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birminghamcitycouncil.sharepoint.com/sites/SchoolFairfundingTeam/Shared Documents/Website/School Noticeboard/2026-27/3June/"/>
    </mc:Choice>
  </mc:AlternateContent>
  <xr:revisionPtr revIDLastSave="1884" documentId="13_ncr:1_{FE1B5115-EF0C-4D97-A823-C20E0470A90C}" xr6:coauthVersionLast="47" xr6:coauthVersionMax="47" xr10:uidLastSave="{FF1EE0A1-B4F0-4AB4-AC64-5DFEE6F7B647}"/>
  <workbookProtection workbookAlgorithmName="SHA-512" workbookHashValue="ugt0OrVWnbvEMu6CyLtpgzDeg45O1bTrSqyDCvX1kqFUT46lJOi70GbgnUNRj7kGywOYFYPVqxGcx/quNfjbAA==" workbookSaltValue="bNuH6+YTCEhtepIxJjkzSw==" workbookSpinCount="100000" lockStructure="1"/>
  <bookViews>
    <workbookView xWindow="8415" yWindow="2910" windowWidth="15570" windowHeight="10890" firstSheet="1" activeTab="1" xr2:uid="{00000000-000D-0000-FFFF-FFFF00000000}"/>
  </bookViews>
  <sheets>
    <sheet name="CONTROL CFR" sheetId="71" state="hidden" r:id="rId1"/>
    <sheet name="1. Calculator" sheetId="11" r:id="rId2"/>
    <sheet name="2. Cash Flow Statement" sheetId="74" r:id="rId3"/>
    <sheet name="3. Monitoring" sheetId="77" r:id="rId4"/>
    <sheet name="PIVOT Summary May 2026" sheetId="75" state="hidden" r:id="rId5"/>
    <sheet name="Summary June 2026" sheetId="67" state="hidden" r:id="rId6"/>
    <sheet name="Grants+ Other Funding" sheetId="49" state="hidden" r:id="rId7"/>
    <sheet name="Cash Advances" sheetId="72" state="hidden" r:id="rId8"/>
    <sheet name="HN" sheetId="62" state="hidden" r:id="rId9"/>
    <sheet name="EY" sheetId="61" state="hidden" r:id="rId10"/>
    <sheet name="Post 16" sheetId="65" state="hidden" r:id="rId11"/>
    <sheet name="ISB" sheetId="52" state="hidden" r:id="rId12"/>
    <sheet name="LA Deductions" sheetId="68" state="hidden" r:id="rId13"/>
    <sheet name="Lookup" sheetId="44" state="hidden" r:id="rId14"/>
  </sheets>
  <definedNames>
    <definedName name="_xlnm._FilterDatabase" localSheetId="7" hidden="1">'Cash Advances'!$A$4:$V$191</definedName>
    <definedName name="_xlnm._FilterDatabase" localSheetId="0" hidden="1">'CONTROL CFR'!$A$7:$F$195</definedName>
    <definedName name="_xlnm._FilterDatabase" localSheetId="9" hidden="1">EY!$A$7:$DZ$195</definedName>
    <definedName name="_xlnm._FilterDatabase" localSheetId="6" hidden="1">'Grants+ Other Funding'!$A$7:$CG$193</definedName>
    <definedName name="_xlnm._FilterDatabase" localSheetId="8" hidden="1">HN!$A$7:$G$195</definedName>
    <definedName name="_xlnm._FilterDatabase" localSheetId="11" hidden="1">ISB!$A$3:$BY$145</definedName>
    <definedName name="_xlnm._FilterDatabase" localSheetId="12" hidden="1">'LA Deductions'!$A$6:$K$193</definedName>
    <definedName name="_xlnm._FilterDatabase" localSheetId="13" hidden="1">Lookup!$A$2:$Q$2</definedName>
    <definedName name="_xlnm._FilterDatabase" localSheetId="10" hidden="1">'Post 16'!$A$8:$G$15</definedName>
    <definedName name="_xlnm._FilterDatabase" localSheetId="5" hidden="1">'Summary June 2026'!$A$7:$HD$196</definedName>
    <definedName name="aaa">#REF!</definedName>
    <definedName name="abcde">#REF!</definedName>
    <definedName name="Accrual">#REF!</definedName>
    <definedName name="Accrualsrevised">#REF!</definedName>
    <definedName name="Adjustment">#REF!</definedName>
    <definedName name="Adjustments_To_1415_SBS">#REF!</definedName>
    <definedName name="Adjustments_To_1516_SBS">#REF!</definedName>
    <definedName name="Adjustments_To_PY_SBS">#REF!</definedName>
    <definedName name="agrclient">#REF!</definedName>
    <definedName name="All_dist_taper">#REF!</definedName>
    <definedName name="All_distance_threshold">#REF!</definedName>
    <definedName name="All_PupilNo_threshold">#REF!</definedName>
    <definedName name="Alt_Gains_Cap">#REF!</definedName>
    <definedName name="anteprevious_year">#REF!</definedName>
    <definedName name="APRIL">#REF!</definedName>
    <definedName name="AUGUST">#REF!</definedName>
    <definedName name="AWPU_KS3_Rate">#REF!</definedName>
    <definedName name="AWPU_KS4_Rate">#REF!</definedName>
    <definedName name="AWPU_Pri_Rate">#REF!</definedName>
    <definedName name="AWPU_Primary_DD_rate">#REF!</definedName>
    <definedName name="AWPU_Sec_DD_rate">#REF!</definedName>
    <definedName name="BalanceSheet">#REF!</definedName>
    <definedName name="BANK">#REF!</definedName>
    <definedName name="BlockTransfersDSGSchoolsBlock">#REF!</definedName>
    <definedName name="BUDGET">#REF!</definedName>
    <definedName name="BUDGET94">#REF!</definedName>
    <definedName name="Capping_Scaling_YesNo">#REF!</definedName>
    <definedName name="CCtr">#REF!</definedName>
    <definedName name="Cdmndr">#REF!</definedName>
    <definedName name="Ceiling">#REF!</definedName>
    <definedName name="column">#REF!</definedName>
    <definedName name="CommentaryAdditionalFundingFromHN">#REF!</definedName>
    <definedName name="CommentaryFallingRollsFund">#REF!</definedName>
    <definedName name="CommentaryGrowth">#REF!</definedName>
    <definedName name="CommentaryPFI">#REF!</definedName>
    <definedName name="CostCentre">#REF!</definedName>
    <definedName name="Creditors">#REF!</definedName>
    <definedName name="current_year">#REF!</definedName>
    <definedName name="current_year_full">#REF!</definedName>
    <definedName name="CY_MFG_Exclusion_Totals">#REF!</definedName>
    <definedName name="Debtors">#REF!</definedName>
    <definedName name="DECEMBER">#REF!</definedName>
    <definedName name="dsource">#REF!</definedName>
    <definedName name="EAL_Pri">#REF!</definedName>
    <definedName name="EAL_Pri_DD_rate">#REF!</definedName>
    <definedName name="EAL_Pri_Option">#REF!</definedName>
    <definedName name="EAL_Sec">#REF!</definedName>
    <definedName name="EAL_Sec_DD_rate">#REF!</definedName>
    <definedName name="EAL_Sec_Option">#REF!</definedName>
    <definedName name="EarlyYears">#REF!</definedName>
    <definedName name="Ever6_Pri_DD_Rate">#REF!</definedName>
    <definedName name="Ever6_pri_rate">#REF!</definedName>
    <definedName name="Ever6_Sec_DD_Rate">#REF!</definedName>
    <definedName name="Ever6_sec_rate">#REF!</definedName>
    <definedName name="Exc_Cir1_Total">#REF!</definedName>
    <definedName name="Exc_Cir2_Total">#REF!</definedName>
    <definedName name="Exc_Cir3_Total">#REF!</definedName>
    <definedName name="Exc_Cir4_Total">#REF!</definedName>
    <definedName name="Exc_Cir5_Total">#REF!</definedName>
    <definedName name="Exc_Cir6_Total">#REF!</definedName>
    <definedName name="Exc_Cir7_Total">#REF!</definedName>
    <definedName name="Excel_BuiltIn__FilterDatabase_3">"['Maintained Schools'.$A$1:.$H$11636]"</definedName>
    <definedName name="Excel_BuiltIn__FilterDatabase_4">"[Academies.$A$1:.$H$6222]"</definedName>
    <definedName name="Excel_BuiltIn__FilterDatabase_5">"[NMSS.$A$1:.$H$56]"</definedName>
    <definedName name="FEBRUARY">#REF!</definedName>
    <definedName name="File_Name">#REF!</definedName>
    <definedName name="File_Type">#REF!</definedName>
    <definedName name="Fringe_multiplier">#REF!</definedName>
    <definedName name="Fringe_Total">#REF!</definedName>
    <definedName name="FSM_Pri_DD_rate">#REF!</definedName>
    <definedName name="FSM_Pri_Option">#REF!</definedName>
    <definedName name="FSM_Pri_Rate">#REF!</definedName>
    <definedName name="FSM_Pri_Rate_2">#REF!</definedName>
    <definedName name="FSM_Sec_DD_rate">#REF!</definedName>
    <definedName name="FSM_Sec_Option">#REF!</definedName>
    <definedName name="FSM_Sec_Rate">#REF!</definedName>
    <definedName name="Funding_Floor">#REF!</definedName>
    <definedName name="Funding_Floor_Adjustment">#REF!</definedName>
    <definedName name="gfd">#REF!</definedName>
    <definedName name="glpage1">#REF!</definedName>
    <definedName name="glpage2">#REF!</definedName>
    <definedName name="glsum">#REF!</definedName>
    <definedName name="growthfunding">#REF!</definedName>
    <definedName name="IA_amalgamation">#REF!</definedName>
    <definedName name="IA_closed_preApril">#REF!</definedName>
    <definedName name="IA_conversion">#REF!</definedName>
    <definedName name="IA_new_free_school">#REF!</definedName>
    <definedName name="IA_NOR_change">#REF!</definedName>
    <definedName name="IA_open_postApril">#REF!</definedName>
    <definedName name="IA_open_preApril">#REF!</definedName>
    <definedName name="IDACI_B1_Pri">#REF!</definedName>
    <definedName name="IDACI_B1_Pri_DD_rate">#REF!</definedName>
    <definedName name="IDACI_B1_Sec">#REF!</definedName>
    <definedName name="IDACI_B1_Sec_DD_rate">#REF!</definedName>
    <definedName name="IDACI_B2_Pri">#REF!</definedName>
    <definedName name="IDACI_B2_Pri_DD_rate">#REF!</definedName>
    <definedName name="IDACI_B2_Sec">#REF!</definedName>
    <definedName name="IDACI_B2_Sec_DD_rate">#REF!</definedName>
    <definedName name="IDACI_B3_Pri">#REF!</definedName>
    <definedName name="IDACI_B3_Pri_DD_rate">#REF!</definedName>
    <definedName name="IDACI_B3_Sec">#REF!</definedName>
    <definedName name="IDACI_B3_Sec_DD_rate">#REF!</definedName>
    <definedName name="IDACI_B4_Pri">#REF!</definedName>
    <definedName name="IDACI_B4_Pri_DD_rate">#REF!</definedName>
    <definedName name="IDACI_B4_Sec">#REF!</definedName>
    <definedName name="IDACI_B4_Sec_DD_rate">#REF!</definedName>
    <definedName name="IDACI_B5_Pri">#REF!</definedName>
    <definedName name="IDACI_B5_Pri_DD_rate">#REF!</definedName>
    <definedName name="IDACI_B5_Sec">#REF!</definedName>
    <definedName name="IDACI_B5_Sec_DD_rate">#REF!</definedName>
    <definedName name="IDACI_B6_Pri">#REF!</definedName>
    <definedName name="IDACI_B6_Pri_DD_rate">#REF!</definedName>
    <definedName name="IDACI_B6_Sec">#REF!</definedName>
    <definedName name="IDACI_B6_Sec_DD_rate">#REF!</definedName>
    <definedName name="INCOME">#REF!</definedName>
    <definedName name="Income_in_advance">#REF!</definedName>
    <definedName name="INCOME94">#REF!</definedName>
    <definedName name="JANUARY">#REF!</definedName>
    <definedName name="JULY">#REF!</definedName>
    <definedName name="JUNE">#REF!</definedName>
    <definedName name="LA_Code">#REF!</definedName>
    <definedName name="LA_Name">#REF!</definedName>
    <definedName name="LAC_Pri_DD_rate">#REF!</definedName>
    <definedName name="LAC_Rate">#REF!</definedName>
    <definedName name="LAC_Sec_DD_rate">#REF!</definedName>
    <definedName name="LCHI_Pri">#REF!</definedName>
    <definedName name="LCHI_Pri_DD_rate">#REF!</definedName>
    <definedName name="LCHI_Pri_Option">#REF!</definedName>
    <definedName name="LCHI_Sec">#REF!</definedName>
    <definedName name="LCHI_Sec_DD_rate">#REF!</definedName>
    <definedName name="Lump_sum_Pri_DD_rate">#REF!</definedName>
    <definedName name="Lump_sum_Sec_DD_rate">#REF!</definedName>
    <definedName name="Lump_Sum_total">#REF!</definedName>
    <definedName name="MARCH">#REF!</definedName>
    <definedName name="MAY">#REF!</definedName>
    <definedName name="MFG_Rate">#REF!</definedName>
    <definedName name="MFG_Total">#REF!</definedName>
    <definedName name="Mid_dist_taper">#REF!</definedName>
    <definedName name="Mid_distance_threshold">#REF!</definedName>
    <definedName name="Mid_PupilNo_threshold">#REF!</definedName>
    <definedName name="min_pupil_rate_KS3">#REF!</definedName>
    <definedName name="min_pupil_rate_KS4">#REF!</definedName>
    <definedName name="min_pupil_rate_pri">#REF!</definedName>
    <definedName name="min_pupil_rate_sec">#REF!</definedName>
    <definedName name="Mobility_Pri">#REF!</definedName>
    <definedName name="Mobility_Pri_DD_Rate">#REF!</definedName>
    <definedName name="Mobility_Sec">#REF!</definedName>
    <definedName name="Mobility_Sec_DD_Rate">#REF!</definedName>
    <definedName name="mppf_pri">#REF!</definedName>
    <definedName name="mppf_sec">#REF!</definedName>
    <definedName name="Notional_SEN_AWPU_KS3">#REF!</definedName>
    <definedName name="Notional_SEN_AWPU_KS4">#REF!</definedName>
    <definedName name="Notional_SEN_AWPU_Pri">#REF!</definedName>
    <definedName name="Notional_SEN_EAL_Pri">#REF!</definedName>
    <definedName name="Notional_SEN_EAL_Sec">#REF!</definedName>
    <definedName name="Notional_SEN_Ever6_Pri">#REF!</definedName>
    <definedName name="Notional_SEN_Ever6_Sec">#REF!</definedName>
    <definedName name="Notional_SEN_ExCir2">#REF!</definedName>
    <definedName name="Notional_SEN_ExCir3">#REF!</definedName>
    <definedName name="Notional_SEN_ExCir4">#REF!</definedName>
    <definedName name="Notional_SEN_ExCir5">#REF!</definedName>
    <definedName name="Notional_SEN_ExCir6">#REF!</definedName>
    <definedName name="Notional_SEN_ExCir7">#REF!</definedName>
    <definedName name="Notional_SEN_FF">#REF!</definedName>
    <definedName name="Notional_SEN_FSM_Pri">#REF!</definedName>
    <definedName name="Notional_SEN_FSM_Sec">#REF!</definedName>
    <definedName name="Notional_SEN_IDACI_B1_Pri">#REF!</definedName>
    <definedName name="Notional_SEN_IDACI_B1_Sec">#REF!</definedName>
    <definedName name="Notional_SEN_IDACI_B2_Pri">#REF!</definedName>
    <definedName name="Notional_SEN_IDACI_B2_Sec">#REF!</definedName>
    <definedName name="Notional_SEN_IDACI_B3_Pri">#REF!</definedName>
    <definedName name="Notional_SEN_IDACI_B3_Sec">#REF!</definedName>
    <definedName name="Notional_SEN_IDACI_B4_Pri">#REF!</definedName>
    <definedName name="Notional_SEN_IDACI_B4_Sec">#REF!</definedName>
    <definedName name="Notional_SEN_IDACI_B5_Pri">#REF!</definedName>
    <definedName name="Notional_SEN_IDACI_B5_Sec">#REF!</definedName>
    <definedName name="Notional_SEN_IDACI_B6_Pri">#REF!</definedName>
    <definedName name="Notional_SEN_IDACI_B6_Sec">#REF!</definedName>
    <definedName name="Notional_SEN_LAC">#REF!</definedName>
    <definedName name="Notional_SEN_LCHI_Pri">#REF!</definedName>
    <definedName name="Notional_SEN_LCHI_Sec">#REF!</definedName>
    <definedName name="Notional_SEN_Lump_sum_Pri">#REF!</definedName>
    <definedName name="Notional_SEN_Lump_sum_Sec">#REF!</definedName>
    <definedName name="Notional_SEN_MFG">#REF!</definedName>
    <definedName name="Notional_SEN_Mobility_Pri">#REF!</definedName>
    <definedName name="Notional_SEN_Mobility_Sec">#REF!</definedName>
    <definedName name="Notional_SEN_MPPF">#REF!</definedName>
    <definedName name="Notional_SEN_PFI">#REF!</definedName>
    <definedName name="Notional_SEN_Rates">#REF!</definedName>
    <definedName name="Notional_SEN_SixthForm">#REF!</definedName>
    <definedName name="Notional_SEN_Sparsity_Pri">#REF!</definedName>
    <definedName name="Notional_SEN_Sparsity_Sec">#REF!</definedName>
    <definedName name="Notional_SEN_Split_sites">#REF!</definedName>
    <definedName name="NOVEMBER">#REF!</definedName>
    <definedName name="OCTOBER">#REF!</definedName>
    <definedName name="part">#REF!</definedName>
    <definedName name="Payment_in_advance">#REF!</definedName>
    <definedName name="PFI_Total">#REF!</definedName>
    <definedName name="previous_year">#REF!</definedName>
    <definedName name="previous_year_full">#REF!</definedName>
    <definedName name="Pri_dist_taper">#REF!</definedName>
    <definedName name="Pri_distance_threshold">#REF!</definedName>
    <definedName name="Pri_PupilNo_threshold">#REF!</definedName>
    <definedName name="Primary_Lump_sum">#REF!</definedName>
    <definedName name="_xlnm.Print_Area" localSheetId="1">'1. Calculator'!$A$1:$U$140</definedName>
    <definedName name="_xlnm.Print_Area" localSheetId="2">'2. Cash Flow Statement'!$A$1:$U$59</definedName>
    <definedName name="Private">#REF!</definedName>
    <definedName name="ProformaAdditionalFundingFromHN">#REF!</definedName>
    <definedName name="ProformaExceptionalCircumstanceTotals">#REF!</definedName>
    <definedName name="ProformaFallingRollsFund">#REF!</definedName>
    <definedName name="ProformaGrowthFund">#REF!</definedName>
    <definedName name="ProformaHNThreshold">#REF!</definedName>
    <definedName name="PupilPremium">#REF!</definedName>
    <definedName name="PY_MFG_Exclusion_Totals">#REF!</definedName>
    <definedName name="Quarter">#REF!</definedName>
    <definedName name="Rates_Total">#REF!</definedName>
    <definedName name="Reasons_list">#REF!</definedName>
    <definedName name="Reception_Uplift_YesNo">#REF!</definedName>
    <definedName name="revbudg">#REF!</definedName>
    <definedName name="row">#REF!</definedName>
    <definedName name="Scaling_Factor">#REF!</definedName>
    <definedName name="School">#REF!</definedName>
    <definedName name="School_list">#REF!</definedName>
    <definedName name="School_Name">#REF!</definedName>
    <definedName name="Schools">#REF!</definedName>
    <definedName name="Schoolsreference2">#REF!</definedName>
    <definedName name="Sec_dist_taper">#REF!</definedName>
    <definedName name="Sec_distance_threshold">#REF!</definedName>
    <definedName name="Sec_PupilNo_threshold">#REF!</definedName>
    <definedName name="Secondary_Lump_Sum">#REF!</definedName>
    <definedName name="SEPTEMBER">#REF!</definedName>
    <definedName name="Sheet_Name">#REF!</definedName>
    <definedName name="Sixth_Form_Total">#REF!</definedName>
    <definedName name="Sparsity_All_lump_sum">#REF!</definedName>
    <definedName name="Sparsity_Mid_lump_sum">#REF!</definedName>
    <definedName name="Sparsity_Pri_DD_percentage">#REF!</definedName>
    <definedName name="Sparsity_Pri_lump_sum">#REF!</definedName>
    <definedName name="Sparsity_Sec_DD_percentage">#REF!</definedName>
    <definedName name="Sparsity_Sec_lump_sum">#REF!</definedName>
    <definedName name="Sparsity_Total">#REF!</definedName>
    <definedName name="Split_sites_distance_rate">#REF!</definedName>
    <definedName name="Split_sites_lump_sum">#REF!</definedName>
    <definedName name="Split_Sites_Total">#REF!</definedName>
    <definedName name="table">#REF!</definedName>
    <definedName name="Tapered_all_lump_sum">#REF!</definedName>
    <definedName name="Tapered_mid_lump_sum">#REF!</definedName>
    <definedName name="Tapered_primary_lump_sum">#REF!</definedName>
    <definedName name="Tapered_secondary_lump_sum">#REF!</definedName>
    <definedName name="tm1\\_0_C">#REF!</definedName>
    <definedName name="tm1\\_0_H">"{ ""server"" : ""https://paw.oscar.hmt.gov.uk/"", ""cube"" : ""{ \""server\"" : \""oscar_prd\"", \""cube\"" : \""}ElementAttributes_cpid_wga\""}""}"</definedName>
    <definedName name="tm1\\_0_R">#REF!</definedName>
    <definedName name="tm1\\_0_S">#REF!</definedName>
    <definedName name="TopRankDefaultDistForRange" hidden="1">0</definedName>
    <definedName name="TopRankDefaultMaxChange" hidden="1">0.1</definedName>
    <definedName name="TopRankDefaultMinChange" hidden="1">-0.1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"Active Workbook"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otal_Notional_SEN">#REF!</definedName>
    <definedName name="Total_Primary_funding">#REF!</definedName>
    <definedName name="Total_Secondary_Funding">#REF!</definedName>
    <definedName name="ValidationList1">#REF!</definedName>
    <definedName name="ValidationList2">#REF!</definedName>
    <definedName name="Vol">#REF!</definedName>
    <definedName name="WorkingBudget">#REF!</definedName>
    <definedName name="YesNo">#REF!</definedName>
  </definedNames>
  <calcPr calcId="191028"/>
  <pivotCaches>
    <pivotCache cacheId="72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J9" i="67" l="1"/>
  <c r="BJ10" i="67"/>
  <c r="BJ11" i="67"/>
  <c r="BJ12" i="67"/>
  <c r="BJ13" i="67"/>
  <c r="BJ14" i="67"/>
  <c r="BJ15" i="67"/>
  <c r="BJ16" i="67"/>
  <c r="BJ17" i="67"/>
  <c r="BJ18" i="67"/>
  <c r="BJ19" i="67"/>
  <c r="BJ20" i="67"/>
  <c r="BJ21" i="67"/>
  <c r="BJ22" i="67"/>
  <c r="BJ23" i="67"/>
  <c r="BJ24" i="67"/>
  <c r="BJ25" i="67"/>
  <c r="BJ26" i="67"/>
  <c r="BJ27" i="67"/>
  <c r="BJ28" i="67"/>
  <c r="BJ29" i="67"/>
  <c r="BJ30" i="67"/>
  <c r="BJ31" i="67"/>
  <c r="BJ32" i="67"/>
  <c r="BJ33" i="67"/>
  <c r="BJ34" i="67"/>
  <c r="BJ35" i="67"/>
  <c r="BJ36" i="67"/>
  <c r="BJ37" i="67"/>
  <c r="BJ38" i="67"/>
  <c r="BJ39" i="67"/>
  <c r="BJ40" i="67"/>
  <c r="BJ41" i="67"/>
  <c r="BJ42" i="67"/>
  <c r="BJ43" i="67"/>
  <c r="BJ44" i="67"/>
  <c r="BJ45" i="67"/>
  <c r="BJ46" i="67"/>
  <c r="BJ47" i="67"/>
  <c r="BJ48" i="67"/>
  <c r="BJ49" i="67"/>
  <c r="BJ50" i="67"/>
  <c r="BJ51" i="67"/>
  <c r="BJ52" i="67"/>
  <c r="BJ53" i="67"/>
  <c r="BJ54" i="67"/>
  <c r="BJ55" i="67"/>
  <c r="BJ56" i="67"/>
  <c r="BJ57" i="67"/>
  <c r="BJ58" i="67"/>
  <c r="BJ59" i="67"/>
  <c r="BJ60" i="67"/>
  <c r="BJ61" i="67"/>
  <c r="BJ62" i="67"/>
  <c r="BJ63" i="67"/>
  <c r="BJ64" i="67"/>
  <c r="BJ65" i="67"/>
  <c r="BJ66" i="67"/>
  <c r="BJ67" i="67"/>
  <c r="BJ68" i="67"/>
  <c r="BJ69" i="67"/>
  <c r="BJ70" i="67"/>
  <c r="BJ71" i="67"/>
  <c r="BJ72" i="67"/>
  <c r="BJ73" i="67"/>
  <c r="BJ74" i="67"/>
  <c r="BJ75" i="67"/>
  <c r="BJ76" i="67"/>
  <c r="BJ77" i="67"/>
  <c r="BJ78" i="67"/>
  <c r="BJ79" i="67"/>
  <c r="BJ80" i="67"/>
  <c r="BJ81" i="67"/>
  <c r="BJ82" i="67"/>
  <c r="BJ83" i="67"/>
  <c r="BJ84" i="67"/>
  <c r="BJ85" i="67"/>
  <c r="BJ86" i="67"/>
  <c r="BJ87" i="67"/>
  <c r="BJ88" i="67"/>
  <c r="BJ89" i="67"/>
  <c r="BJ90" i="67"/>
  <c r="BJ91" i="67"/>
  <c r="BJ92" i="67"/>
  <c r="BJ93" i="67"/>
  <c r="BJ94" i="67"/>
  <c r="BJ95" i="67"/>
  <c r="BJ96" i="67"/>
  <c r="BJ97" i="67"/>
  <c r="BJ98" i="67"/>
  <c r="BJ99" i="67"/>
  <c r="BJ100" i="67"/>
  <c r="BJ101" i="67"/>
  <c r="BJ102" i="67"/>
  <c r="BJ103" i="67"/>
  <c r="BJ104" i="67"/>
  <c r="BJ105" i="67"/>
  <c r="BJ106" i="67"/>
  <c r="BJ107" i="67"/>
  <c r="BJ108" i="67"/>
  <c r="BJ109" i="67"/>
  <c r="BJ110" i="67"/>
  <c r="BJ111" i="67"/>
  <c r="BJ112" i="67"/>
  <c r="BJ113" i="67"/>
  <c r="BJ114" i="67"/>
  <c r="BJ115" i="67"/>
  <c r="BJ116" i="67"/>
  <c r="BJ117" i="67"/>
  <c r="BJ118" i="67"/>
  <c r="BJ119" i="67"/>
  <c r="BJ120" i="67"/>
  <c r="BJ121" i="67"/>
  <c r="BJ122" i="67"/>
  <c r="BJ123" i="67"/>
  <c r="BJ124" i="67"/>
  <c r="BJ125" i="67"/>
  <c r="BJ126" i="67"/>
  <c r="BJ127" i="67"/>
  <c r="BJ128" i="67"/>
  <c r="BJ129" i="67"/>
  <c r="BJ130" i="67"/>
  <c r="BJ131" i="67"/>
  <c r="BJ132" i="67"/>
  <c r="BJ133" i="67"/>
  <c r="BJ134" i="67"/>
  <c r="BJ135" i="67"/>
  <c r="BJ136" i="67"/>
  <c r="BJ137" i="67"/>
  <c r="BJ138" i="67"/>
  <c r="BJ139" i="67"/>
  <c r="BJ140" i="67"/>
  <c r="BJ141" i="67"/>
  <c r="BJ142" i="67"/>
  <c r="BJ143" i="67"/>
  <c r="BJ144" i="67"/>
  <c r="BJ145" i="67"/>
  <c r="BJ146" i="67"/>
  <c r="BJ147" i="67"/>
  <c r="BJ148" i="67"/>
  <c r="BJ149" i="67"/>
  <c r="BJ150" i="67"/>
  <c r="BJ151" i="67"/>
  <c r="BJ152" i="67"/>
  <c r="BJ153" i="67"/>
  <c r="BJ154" i="67"/>
  <c r="BJ155" i="67"/>
  <c r="BJ156" i="67"/>
  <c r="BJ157" i="67"/>
  <c r="BJ158" i="67"/>
  <c r="BJ159" i="67"/>
  <c r="BJ160" i="67"/>
  <c r="BJ161" i="67"/>
  <c r="BJ162" i="67"/>
  <c r="BJ163" i="67"/>
  <c r="BJ164" i="67"/>
  <c r="BJ165" i="67"/>
  <c r="BJ166" i="67"/>
  <c r="BJ167" i="67"/>
  <c r="BJ168" i="67"/>
  <c r="BJ169" i="67"/>
  <c r="BJ170" i="67"/>
  <c r="BJ171" i="67"/>
  <c r="BJ172" i="67"/>
  <c r="BJ173" i="67"/>
  <c r="BJ174" i="67"/>
  <c r="BJ175" i="67"/>
  <c r="BJ176" i="67"/>
  <c r="BJ177" i="67"/>
  <c r="BJ178" i="67"/>
  <c r="BJ179" i="67"/>
  <c r="BJ180" i="67"/>
  <c r="BJ181" i="67"/>
  <c r="BJ182" i="67"/>
  <c r="BJ183" i="67"/>
  <c r="BJ184" i="67"/>
  <c r="BJ185" i="67"/>
  <c r="BJ186" i="67"/>
  <c r="BJ187" i="67"/>
  <c r="BJ188" i="67"/>
  <c r="BJ189" i="67"/>
  <c r="BJ190" i="67"/>
  <c r="BJ191" i="67"/>
  <c r="BJ192" i="67"/>
  <c r="BJ193" i="67"/>
  <c r="BJ194" i="67"/>
  <c r="BJ195" i="67"/>
  <c r="BJ8" i="67"/>
  <c r="V9" i="71"/>
  <c r="V10" i="71"/>
  <c r="V11" i="71"/>
  <c r="V12" i="71"/>
  <c r="V13" i="71"/>
  <c r="V14" i="71"/>
  <c r="V15" i="71"/>
  <c r="V16" i="71"/>
  <c r="V17" i="71"/>
  <c r="V18" i="71"/>
  <c r="V19" i="71"/>
  <c r="V20" i="71"/>
  <c r="V21" i="71"/>
  <c r="V22" i="71"/>
  <c r="V23" i="71"/>
  <c r="V24" i="71"/>
  <c r="V25" i="71"/>
  <c r="V26" i="71"/>
  <c r="V27" i="71"/>
  <c r="V28" i="71"/>
  <c r="V29" i="71"/>
  <c r="V30" i="71"/>
  <c r="V31" i="71"/>
  <c r="V32" i="71"/>
  <c r="V33" i="71"/>
  <c r="V34" i="71"/>
  <c r="V35" i="71"/>
  <c r="V36" i="71"/>
  <c r="V37" i="71"/>
  <c r="V38" i="71"/>
  <c r="V39" i="71"/>
  <c r="V40" i="71"/>
  <c r="V41" i="71"/>
  <c r="V42" i="71"/>
  <c r="V43" i="71"/>
  <c r="V44" i="71"/>
  <c r="V45" i="71"/>
  <c r="V46" i="71"/>
  <c r="V47" i="71"/>
  <c r="V48" i="71"/>
  <c r="V49" i="71"/>
  <c r="V50" i="71"/>
  <c r="V51" i="71"/>
  <c r="V52" i="71"/>
  <c r="V53" i="71"/>
  <c r="V54" i="71"/>
  <c r="V55" i="71"/>
  <c r="V56" i="71"/>
  <c r="V57" i="71"/>
  <c r="V58" i="71"/>
  <c r="V59" i="71"/>
  <c r="V60" i="71"/>
  <c r="V61" i="71"/>
  <c r="V62" i="71"/>
  <c r="V63" i="71"/>
  <c r="V64" i="71"/>
  <c r="V65" i="71"/>
  <c r="V66" i="71"/>
  <c r="V67" i="71"/>
  <c r="V68" i="71"/>
  <c r="V69" i="71"/>
  <c r="V70" i="71"/>
  <c r="V71" i="71"/>
  <c r="V72" i="71"/>
  <c r="V73" i="71"/>
  <c r="V74" i="71"/>
  <c r="V75" i="71"/>
  <c r="V76" i="71"/>
  <c r="V77" i="71"/>
  <c r="V78" i="71"/>
  <c r="V79" i="71"/>
  <c r="V80" i="71"/>
  <c r="V81" i="71"/>
  <c r="V82" i="71"/>
  <c r="V83" i="71"/>
  <c r="V84" i="71"/>
  <c r="V85" i="71"/>
  <c r="V86" i="71"/>
  <c r="V87" i="71"/>
  <c r="V88" i="71"/>
  <c r="V89" i="71"/>
  <c r="V90" i="71"/>
  <c r="V91" i="71"/>
  <c r="V92" i="71"/>
  <c r="V93" i="71"/>
  <c r="V94" i="71"/>
  <c r="V95" i="71"/>
  <c r="V96" i="71"/>
  <c r="V97" i="71"/>
  <c r="V98" i="71"/>
  <c r="V99" i="71"/>
  <c r="V100" i="71"/>
  <c r="V101" i="71"/>
  <c r="V102" i="71"/>
  <c r="V103" i="71"/>
  <c r="V104" i="71"/>
  <c r="V105" i="71"/>
  <c r="V106" i="71"/>
  <c r="V107" i="71"/>
  <c r="V108" i="71"/>
  <c r="V109" i="71"/>
  <c r="V110" i="71"/>
  <c r="V111" i="71"/>
  <c r="V112" i="71"/>
  <c r="V113" i="71"/>
  <c r="V114" i="71"/>
  <c r="V115" i="71"/>
  <c r="V116" i="71"/>
  <c r="V117" i="71"/>
  <c r="V118" i="71"/>
  <c r="V119" i="71"/>
  <c r="V120" i="71"/>
  <c r="V121" i="71"/>
  <c r="V122" i="71"/>
  <c r="V123" i="71"/>
  <c r="V124" i="71"/>
  <c r="V125" i="71"/>
  <c r="V126" i="71"/>
  <c r="V127" i="71"/>
  <c r="V128" i="71"/>
  <c r="V129" i="71"/>
  <c r="V130" i="71"/>
  <c r="V131" i="71"/>
  <c r="V132" i="71"/>
  <c r="V133" i="71"/>
  <c r="V134" i="71"/>
  <c r="V135" i="71"/>
  <c r="V136" i="71"/>
  <c r="V137" i="71"/>
  <c r="V138" i="71"/>
  <c r="V139" i="71"/>
  <c r="V140" i="71"/>
  <c r="V141" i="71"/>
  <c r="V142" i="71"/>
  <c r="V143" i="71"/>
  <c r="V144" i="71"/>
  <c r="V145" i="71"/>
  <c r="V146" i="71"/>
  <c r="V147" i="71"/>
  <c r="V148" i="71"/>
  <c r="V149" i="71"/>
  <c r="V150" i="71"/>
  <c r="V151" i="71"/>
  <c r="V152" i="71"/>
  <c r="V153" i="71"/>
  <c r="V154" i="71"/>
  <c r="V155" i="71"/>
  <c r="V156" i="71"/>
  <c r="V157" i="71"/>
  <c r="V158" i="71"/>
  <c r="V159" i="71"/>
  <c r="V160" i="71"/>
  <c r="V161" i="71"/>
  <c r="V162" i="71"/>
  <c r="V163" i="71"/>
  <c r="V164" i="71"/>
  <c r="V165" i="71"/>
  <c r="V166" i="71"/>
  <c r="V167" i="71"/>
  <c r="V168" i="71"/>
  <c r="V169" i="71"/>
  <c r="V170" i="71"/>
  <c r="V171" i="71"/>
  <c r="V172" i="71"/>
  <c r="V173" i="71"/>
  <c r="V174" i="71"/>
  <c r="V175" i="71"/>
  <c r="V176" i="71"/>
  <c r="V177" i="71"/>
  <c r="V178" i="71"/>
  <c r="V179" i="71"/>
  <c r="V180" i="71"/>
  <c r="V181" i="71"/>
  <c r="V182" i="71"/>
  <c r="V183" i="71"/>
  <c r="V184" i="71"/>
  <c r="V185" i="71"/>
  <c r="V186" i="71"/>
  <c r="V187" i="71"/>
  <c r="V188" i="71"/>
  <c r="V189" i="71"/>
  <c r="V190" i="71"/>
  <c r="V191" i="71"/>
  <c r="V192" i="71"/>
  <c r="V193" i="71"/>
  <c r="V8" i="71"/>
  <c r="F8" i="68"/>
  <c r="F9" i="68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F30" i="68"/>
  <c r="F31" i="68"/>
  <c r="F32" i="68"/>
  <c r="F33" i="68"/>
  <c r="F34" i="68"/>
  <c r="F35" i="68"/>
  <c r="F36" i="68"/>
  <c r="F37" i="68"/>
  <c r="F38" i="68"/>
  <c r="F39" i="68"/>
  <c r="F40" i="68"/>
  <c r="F41" i="68"/>
  <c r="F42" i="68"/>
  <c r="F43" i="68"/>
  <c r="F44" i="68"/>
  <c r="F45" i="68"/>
  <c r="F46" i="68"/>
  <c r="F47" i="68"/>
  <c r="F48" i="68"/>
  <c r="F49" i="68"/>
  <c r="F50" i="68"/>
  <c r="F51" i="68"/>
  <c r="F52" i="68"/>
  <c r="F53" i="68"/>
  <c r="F54" i="68"/>
  <c r="F55" i="68"/>
  <c r="F56" i="68"/>
  <c r="F57" i="68"/>
  <c r="F58" i="68"/>
  <c r="F59" i="68"/>
  <c r="F60" i="68"/>
  <c r="F61" i="68"/>
  <c r="F62" i="68"/>
  <c r="F63" i="68"/>
  <c r="F64" i="68"/>
  <c r="F65" i="68"/>
  <c r="F66" i="68"/>
  <c r="F67" i="68"/>
  <c r="F68" i="68"/>
  <c r="F69" i="68"/>
  <c r="F70" i="68"/>
  <c r="F71" i="68"/>
  <c r="F72" i="68"/>
  <c r="F73" i="68"/>
  <c r="F74" i="68"/>
  <c r="F75" i="68"/>
  <c r="F76" i="68"/>
  <c r="F77" i="68"/>
  <c r="F78" i="68"/>
  <c r="F79" i="68"/>
  <c r="F80" i="68"/>
  <c r="F81" i="68"/>
  <c r="F82" i="68"/>
  <c r="F83" i="68"/>
  <c r="F84" i="68"/>
  <c r="F85" i="68"/>
  <c r="F86" i="68"/>
  <c r="F87" i="68"/>
  <c r="F88" i="68"/>
  <c r="F89" i="68"/>
  <c r="F90" i="68"/>
  <c r="F91" i="68"/>
  <c r="F92" i="68"/>
  <c r="F93" i="68"/>
  <c r="F94" i="68"/>
  <c r="F95" i="68"/>
  <c r="F96" i="68"/>
  <c r="F97" i="68"/>
  <c r="F98" i="68"/>
  <c r="F99" i="68"/>
  <c r="F100" i="68"/>
  <c r="F101" i="68"/>
  <c r="F102" i="68"/>
  <c r="F103" i="68"/>
  <c r="F104" i="68"/>
  <c r="F105" i="68"/>
  <c r="F106" i="68"/>
  <c r="F107" i="68"/>
  <c r="F108" i="68"/>
  <c r="F109" i="68"/>
  <c r="F110" i="68"/>
  <c r="F111" i="68"/>
  <c r="F112" i="68"/>
  <c r="F113" i="68"/>
  <c r="F114" i="68"/>
  <c r="F115" i="68"/>
  <c r="F116" i="68"/>
  <c r="F117" i="68"/>
  <c r="F118" i="68"/>
  <c r="F119" i="68"/>
  <c r="F120" i="68"/>
  <c r="F121" i="68"/>
  <c r="F122" i="68"/>
  <c r="F123" i="68"/>
  <c r="F124" i="68"/>
  <c r="F125" i="68"/>
  <c r="F126" i="68"/>
  <c r="F127" i="68"/>
  <c r="F128" i="68"/>
  <c r="F129" i="68"/>
  <c r="F130" i="68"/>
  <c r="F131" i="68"/>
  <c r="F132" i="68"/>
  <c r="F133" i="68"/>
  <c r="F134" i="68"/>
  <c r="F135" i="68"/>
  <c r="F136" i="68"/>
  <c r="F137" i="68"/>
  <c r="F138" i="68"/>
  <c r="F139" i="68"/>
  <c r="F140" i="68"/>
  <c r="F141" i="68"/>
  <c r="F142" i="68"/>
  <c r="F143" i="68"/>
  <c r="F144" i="68"/>
  <c r="F145" i="68"/>
  <c r="F146" i="68"/>
  <c r="F147" i="68"/>
  <c r="F148" i="68"/>
  <c r="F149" i="68"/>
  <c r="F150" i="68"/>
  <c r="F151" i="68"/>
  <c r="F152" i="68"/>
  <c r="F153" i="68"/>
  <c r="F154" i="68"/>
  <c r="F155" i="68"/>
  <c r="F156" i="68"/>
  <c r="F157" i="68"/>
  <c r="F158" i="68"/>
  <c r="F159" i="68"/>
  <c r="F160" i="68"/>
  <c r="F161" i="68"/>
  <c r="F162" i="68"/>
  <c r="F163" i="68"/>
  <c r="F164" i="68"/>
  <c r="F165" i="68"/>
  <c r="F166" i="68"/>
  <c r="F167" i="68"/>
  <c r="F168" i="68"/>
  <c r="F169" i="68"/>
  <c r="F170" i="68"/>
  <c r="F171" i="68"/>
  <c r="F172" i="68"/>
  <c r="F173" i="68"/>
  <c r="F174" i="68"/>
  <c r="F175" i="68"/>
  <c r="F176" i="68"/>
  <c r="F177" i="68"/>
  <c r="F178" i="68"/>
  <c r="F179" i="68"/>
  <c r="F180" i="68"/>
  <c r="F181" i="68"/>
  <c r="F182" i="68"/>
  <c r="F183" i="68"/>
  <c r="F184" i="68"/>
  <c r="F185" i="68"/>
  <c r="F186" i="68"/>
  <c r="F187" i="68"/>
  <c r="F188" i="68"/>
  <c r="F189" i="68"/>
  <c r="F190" i="68"/>
  <c r="F191" i="68"/>
  <c r="F192" i="68"/>
  <c r="F7" i="68"/>
  <c r="AQ38" i="67"/>
  <c r="AW9" i="67" l="1"/>
  <c r="AW10" i="67"/>
  <c r="AW11" i="67"/>
  <c r="AW12" i="67"/>
  <c r="AW13" i="67"/>
  <c r="AW14" i="67"/>
  <c r="AW15" i="67"/>
  <c r="AW16" i="67"/>
  <c r="AW17" i="67"/>
  <c r="AW18" i="67"/>
  <c r="AW19" i="67"/>
  <c r="AW20" i="67"/>
  <c r="AW21" i="67"/>
  <c r="AW22" i="67"/>
  <c r="AW23" i="67"/>
  <c r="AW24" i="67"/>
  <c r="AW25" i="67"/>
  <c r="AW26" i="67"/>
  <c r="AW27" i="67"/>
  <c r="AW28" i="67"/>
  <c r="AW29" i="67"/>
  <c r="AW30" i="67"/>
  <c r="AW31" i="67"/>
  <c r="AW32" i="67"/>
  <c r="AW33" i="67"/>
  <c r="AW34" i="67"/>
  <c r="AW35" i="67"/>
  <c r="AW36" i="67"/>
  <c r="AW37" i="67"/>
  <c r="AW38" i="67"/>
  <c r="AW39" i="67"/>
  <c r="AW40" i="67"/>
  <c r="AW41" i="67"/>
  <c r="AW42" i="67"/>
  <c r="AW43" i="67"/>
  <c r="AW44" i="67"/>
  <c r="AW45" i="67"/>
  <c r="AW46" i="67"/>
  <c r="AW47" i="67"/>
  <c r="AW48" i="67"/>
  <c r="AW49" i="67"/>
  <c r="AW50" i="67"/>
  <c r="AW51" i="67"/>
  <c r="AW52" i="67"/>
  <c r="AW53" i="67"/>
  <c r="AW54" i="67"/>
  <c r="AW55" i="67"/>
  <c r="AW56" i="67"/>
  <c r="AW57" i="67"/>
  <c r="AW58" i="67"/>
  <c r="AW59" i="67"/>
  <c r="AW60" i="67"/>
  <c r="AW61" i="67"/>
  <c r="AW62" i="67"/>
  <c r="AW63" i="67"/>
  <c r="AW64" i="67"/>
  <c r="AW65" i="67"/>
  <c r="AW66" i="67"/>
  <c r="AW67" i="67"/>
  <c r="AW68" i="67"/>
  <c r="AW69" i="67"/>
  <c r="AW70" i="67"/>
  <c r="AW71" i="67"/>
  <c r="AW72" i="67"/>
  <c r="AW73" i="67"/>
  <c r="AW74" i="67"/>
  <c r="AW75" i="67"/>
  <c r="AW76" i="67"/>
  <c r="AW77" i="67"/>
  <c r="AW78" i="67"/>
  <c r="AW79" i="67"/>
  <c r="AW80" i="67"/>
  <c r="AW81" i="67"/>
  <c r="AW82" i="67"/>
  <c r="AW83" i="67"/>
  <c r="AW84" i="67"/>
  <c r="AW85" i="67"/>
  <c r="AW86" i="67"/>
  <c r="AW87" i="67"/>
  <c r="AW88" i="67"/>
  <c r="AW89" i="67"/>
  <c r="AW90" i="67"/>
  <c r="AW91" i="67"/>
  <c r="AW92" i="67"/>
  <c r="AW93" i="67"/>
  <c r="AW94" i="67"/>
  <c r="AW95" i="67"/>
  <c r="AW96" i="67"/>
  <c r="AW97" i="67"/>
  <c r="AW98" i="67"/>
  <c r="AW99" i="67"/>
  <c r="AW100" i="67"/>
  <c r="AW101" i="67"/>
  <c r="AW102" i="67"/>
  <c r="AW103" i="67"/>
  <c r="AW104" i="67"/>
  <c r="AW105" i="67"/>
  <c r="AW106" i="67"/>
  <c r="AW107" i="67"/>
  <c r="AW108" i="67"/>
  <c r="AW109" i="67"/>
  <c r="AW110" i="67"/>
  <c r="AW111" i="67"/>
  <c r="AW112" i="67"/>
  <c r="AW113" i="67"/>
  <c r="AW114" i="67"/>
  <c r="AW115" i="67"/>
  <c r="AW116" i="67"/>
  <c r="AW117" i="67"/>
  <c r="AW118" i="67"/>
  <c r="AW119" i="67"/>
  <c r="AW120" i="67"/>
  <c r="AW121" i="67"/>
  <c r="AW122" i="67"/>
  <c r="AW123" i="67"/>
  <c r="AW124" i="67"/>
  <c r="AW125" i="67"/>
  <c r="AW126" i="67"/>
  <c r="AW127" i="67"/>
  <c r="AW128" i="67"/>
  <c r="AW129" i="67"/>
  <c r="AW130" i="67"/>
  <c r="AW131" i="67"/>
  <c r="AW132" i="67"/>
  <c r="AW133" i="67"/>
  <c r="AW134" i="67"/>
  <c r="AW135" i="67"/>
  <c r="AW136" i="67"/>
  <c r="AW137" i="67"/>
  <c r="AW138" i="67"/>
  <c r="AW139" i="67"/>
  <c r="AW140" i="67"/>
  <c r="AW141" i="67"/>
  <c r="AW142" i="67"/>
  <c r="AW143" i="67"/>
  <c r="AW144" i="67"/>
  <c r="AW145" i="67"/>
  <c r="AW146" i="67"/>
  <c r="AW147" i="67"/>
  <c r="AW148" i="67"/>
  <c r="AW149" i="67"/>
  <c r="AW150" i="67"/>
  <c r="AW151" i="67"/>
  <c r="AW152" i="67"/>
  <c r="AW153" i="67"/>
  <c r="AW154" i="67"/>
  <c r="AW155" i="67"/>
  <c r="AW156" i="67"/>
  <c r="AW157" i="67"/>
  <c r="AW158" i="67"/>
  <c r="AW159" i="67"/>
  <c r="AW160" i="67"/>
  <c r="AW161" i="67"/>
  <c r="AW162" i="67"/>
  <c r="AW163" i="67"/>
  <c r="AW164" i="67"/>
  <c r="AW165" i="67"/>
  <c r="AW166" i="67"/>
  <c r="AW167" i="67"/>
  <c r="AW168" i="67"/>
  <c r="AW169" i="67"/>
  <c r="AW170" i="67"/>
  <c r="AW171" i="67"/>
  <c r="AW172" i="67"/>
  <c r="AW173" i="67"/>
  <c r="AW174" i="67"/>
  <c r="AW175" i="67"/>
  <c r="AW176" i="67"/>
  <c r="AW177" i="67"/>
  <c r="AW178" i="67"/>
  <c r="AW179" i="67"/>
  <c r="AW180" i="67"/>
  <c r="AW181" i="67"/>
  <c r="AW182" i="67"/>
  <c r="AW183" i="67"/>
  <c r="AW184" i="67"/>
  <c r="AW185" i="67"/>
  <c r="AW186" i="67"/>
  <c r="AW187" i="67"/>
  <c r="AW188" i="67"/>
  <c r="AW189" i="67"/>
  <c r="AW190" i="67"/>
  <c r="AW191" i="67"/>
  <c r="AW192" i="67"/>
  <c r="AW193" i="67"/>
  <c r="AW8" i="67"/>
  <c r="H32" i="11"/>
  <c r="BA26" i="67"/>
  <c r="BA34" i="67"/>
  <c r="BA54" i="67"/>
  <c r="BA57" i="67"/>
  <c r="BA128" i="67"/>
  <c r="BA129" i="67"/>
  <c r="BA173" i="67"/>
  <c r="BA177" i="67"/>
  <c r="BA178" i="67"/>
  <c r="BP194" i="49" l="1"/>
  <c r="CF16" i="49"/>
  <c r="CF32" i="49"/>
  <c r="CF40" i="49"/>
  <c r="CF48" i="49"/>
  <c r="CF56" i="49"/>
  <c r="CF64" i="49"/>
  <c r="CF72" i="49"/>
  <c r="CF80" i="49"/>
  <c r="CF96" i="49"/>
  <c r="CF104" i="49"/>
  <c r="CF112" i="49"/>
  <c r="CF120" i="49"/>
  <c r="CF128" i="49"/>
  <c r="CF136" i="49"/>
  <c r="CF144" i="49"/>
  <c r="CF160" i="49"/>
  <c r="CF168" i="49"/>
  <c r="CF176" i="49"/>
  <c r="CF184" i="49"/>
  <c r="CF192" i="49"/>
  <c r="BO194" i="49"/>
  <c r="CD16" i="49"/>
  <c r="CD24" i="49"/>
  <c r="CD32" i="49"/>
  <c r="CD40" i="49"/>
  <c r="CD48" i="49"/>
  <c r="CD56" i="49"/>
  <c r="CD64" i="49"/>
  <c r="CD72" i="49"/>
  <c r="CD80" i="49"/>
  <c r="CD88" i="49"/>
  <c r="CD96" i="49"/>
  <c r="CD104" i="49"/>
  <c r="CD112" i="49"/>
  <c r="CD120" i="49"/>
  <c r="CD128" i="49"/>
  <c r="CD136" i="49"/>
  <c r="CD144" i="49"/>
  <c r="CD152" i="49"/>
  <c r="CD160" i="49"/>
  <c r="CD168" i="49"/>
  <c r="CD176" i="49"/>
  <c r="CD184" i="49"/>
  <c r="DW40" i="61"/>
  <c r="M40" i="71" s="1"/>
  <c r="DW72" i="61"/>
  <c r="M72" i="71" s="1"/>
  <c r="DW104" i="61"/>
  <c r="M104" i="71" s="1"/>
  <c r="DW136" i="61"/>
  <c r="M136" i="71" s="1"/>
  <c r="DW168" i="61"/>
  <c r="M168" i="71" s="1"/>
  <c r="AZ10" i="67"/>
  <c r="AZ13" i="67"/>
  <c r="AZ42" i="67"/>
  <c r="AZ74" i="67"/>
  <c r="AZ106" i="67"/>
  <c r="AZ138" i="67"/>
  <c r="AZ170" i="67"/>
  <c r="AZ173" i="67"/>
  <c r="AZ194" i="67"/>
  <c r="AZ195" i="67"/>
  <c r="AU14" i="67"/>
  <c r="AU31" i="67"/>
  <c r="AU54" i="67"/>
  <c r="AU55" i="67"/>
  <c r="AU78" i="67"/>
  <c r="AU95" i="67"/>
  <c r="AU118" i="67"/>
  <c r="AU119" i="67"/>
  <c r="AU194" i="67"/>
  <c r="AU195" i="67"/>
  <c r="DV10" i="61"/>
  <c r="L10" i="71" s="1"/>
  <c r="DV21" i="61"/>
  <c r="L21" i="71" s="1"/>
  <c r="DV22" i="61"/>
  <c r="L22" i="71" s="1"/>
  <c r="DV34" i="61"/>
  <c r="L34" i="71" s="1"/>
  <c r="DV35" i="61"/>
  <c r="DV46" i="61"/>
  <c r="L46" i="71" s="1"/>
  <c r="DV47" i="61"/>
  <c r="L47" i="71" s="1"/>
  <c r="DV59" i="61"/>
  <c r="L59" i="71" s="1"/>
  <c r="DV71" i="61"/>
  <c r="L71" i="71" s="1"/>
  <c r="DV74" i="61"/>
  <c r="L74" i="71" s="1"/>
  <c r="DV86" i="61"/>
  <c r="L86" i="71" s="1"/>
  <c r="DV106" i="61"/>
  <c r="L106" i="71" s="1"/>
  <c r="DV115" i="61"/>
  <c r="DV127" i="61"/>
  <c r="L127" i="71" s="1"/>
  <c r="DV147" i="61"/>
  <c r="L147" i="71" s="1"/>
  <c r="DV151" i="61"/>
  <c r="L151" i="71" s="1"/>
  <c r="AU10" i="67"/>
  <c r="DW10" i="61"/>
  <c r="M10" i="71" s="1"/>
  <c r="AU11" i="67"/>
  <c r="DW13" i="61"/>
  <c r="M13" i="71" s="1"/>
  <c r="DV14" i="61"/>
  <c r="L14" i="71" s="1"/>
  <c r="AU15" i="67"/>
  <c r="AZ16" i="67"/>
  <c r="AU18" i="67"/>
  <c r="DW18" i="61"/>
  <c r="AU19" i="67"/>
  <c r="AU21" i="67"/>
  <c r="AU22" i="67"/>
  <c r="DV23" i="61"/>
  <c r="L23" i="71" s="1"/>
  <c r="AZ24" i="67"/>
  <c r="AU26" i="67"/>
  <c r="DW26" i="61"/>
  <c r="AU27" i="67"/>
  <c r="DV30" i="61"/>
  <c r="L30" i="71" s="1"/>
  <c r="DV31" i="61"/>
  <c r="L31" i="71" s="1"/>
  <c r="AZ32" i="67"/>
  <c r="DV33" i="61"/>
  <c r="L33" i="71" s="1"/>
  <c r="AU34" i="67"/>
  <c r="DW34" i="61"/>
  <c r="M34" i="71" s="1"/>
  <c r="AU35" i="67"/>
  <c r="AU38" i="67"/>
  <c r="AU39" i="67"/>
  <c r="AZ40" i="67"/>
  <c r="AU42" i="67"/>
  <c r="DW42" i="61"/>
  <c r="AU43" i="67"/>
  <c r="DW45" i="61"/>
  <c r="M45" i="71" s="1"/>
  <c r="AU46" i="67"/>
  <c r="AU47" i="67"/>
  <c r="AZ48" i="67"/>
  <c r="AU50" i="67"/>
  <c r="DW50" i="61"/>
  <c r="M50" i="71" s="1"/>
  <c r="AU51" i="67"/>
  <c r="DV54" i="61"/>
  <c r="L54" i="71" s="1"/>
  <c r="DV55" i="61"/>
  <c r="L55" i="71" s="1"/>
  <c r="AZ56" i="67"/>
  <c r="AU58" i="67"/>
  <c r="DW58" i="61"/>
  <c r="M58" i="71" s="1"/>
  <c r="AU59" i="67"/>
  <c r="AU61" i="67"/>
  <c r="DV62" i="61"/>
  <c r="DV63" i="61"/>
  <c r="AZ64" i="67"/>
  <c r="AU66" i="67"/>
  <c r="DW66" i="61"/>
  <c r="M66" i="71" s="1"/>
  <c r="AU67" i="67"/>
  <c r="AU70" i="67"/>
  <c r="AU71" i="67"/>
  <c r="AZ72" i="67"/>
  <c r="AU74" i="67"/>
  <c r="DW74" i="61"/>
  <c r="AU75" i="67"/>
  <c r="DW77" i="61"/>
  <c r="M77" i="71" s="1"/>
  <c r="DV78" i="61"/>
  <c r="L78" i="71" s="1"/>
  <c r="AU79" i="67"/>
  <c r="AZ80" i="67"/>
  <c r="AU82" i="67"/>
  <c r="DW82" i="61"/>
  <c r="M82" i="71" s="1"/>
  <c r="AU83" i="67"/>
  <c r="AU85" i="67"/>
  <c r="AU86" i="67"/>
  <c r="DV87" i="61"/>
  <c r="L87" i="71" s="1"/>
  <c r="AZ88" i="67"/>
  <c r="AU90" i="67"/>
  <c r="DW90" i="61"/>
  <c r="M90" i="71" s="1"/>
  <c r="AU91" i="67"/>
  <c r="AU94" i="67"/>
  <c r="DV95" i="61"/>
  <c r="L95" i="71" s="1"/>
  <c r="AZ96" i="67"/>
  <c r="AU97" i="67"/>
  <c r="DW98" i="61"/>
  <c r="M98" i="71" s="1"/>
  <c r="AU99" i="67"/>
  <c r="AU102" i="67"/>
  <c r="AU103" i="67"/>
  <c r="AZ104" i="67"/>
  <c r="AU105" i="67"/>
  <c r="AU106" i="67"/>
  <c r="DW106" i="61"/>
  <c r="M106" i="71" s="1"/>
  <c r="AU107" i="67"/>
  <c r="DW109" i="61"/>
  <c r="M109" i="71" s="1"/>
  <c r="AU110" i="67"/>
  <c r="DV111" i="61"/>
  <c r="L111" i="71" s="1"/>
  <c r="AZ112" i="67"/>
  <c r="AU113" i="67"/>
  <c r="DW114" i="61"/>
  <c r="M114" i="71" s="1"/>
  <c r="AU115" i="67"/>
  <c r="DV118" i="61"/>
  <c r="L118" i="71" s="1"/>
  <c r="DV119" i="61"/>
  <c r="AZ120" i="67"/>
  <c r="AU121" i="67"/>
  <c r="AU122" i="67"/>
  <c r="DW122" i="61"/>
  <c r="M122" i="71" s="1"/>
  <c r="AU123" i="67"/>
  <c r="AU126" i="67"/>
  <c r="AU127" i="67"/>
  <c r="AU128" i="67"/>
  <c r="AZ128" i="67"/>
  <c r="DW130" i="61"/>
  <c r="M130" i="71" s="1"/>
  <c r="AU131" i="67"/>
  <c r="AU133" i="67"/>
  <c r="AU134" i="67"/>
  <c r="DV135" i="61"/>
  <c r="L135" i="71" s="1"/>
  <c r="AZ136" i="67"/>
  <c r="DV137" i="61"/>
  <c r="L137" i="71" s="1"/>
  <c r="DW138" i="61"/>
  <c r="M138" i="71" s="1"/>
  <c r="AU139" i="67"/>
  <c r="AU140" i="67"/>
  <c r="DW141" i="61"/>
  <c r="M141" i="71" s="1"/>
  <c r="DV142" i="61"/>
  <c r="L142" i="71" s="1"/>
  <c r="AU143" i="67"/>
  <c r="AZ144" i="67"/>
  <c r="AU146" i="67"/>
  <c r="DW146" i="61"/>
  <c r="M146" i="71" s="1"/>
  <c r="AU147" i="67"/>
  <c r="AU151" i="67"/>
  <c r="AZ191" i="67"/>
  <c r="AU192" i="67"/>
  <c r="DW156" i="61"/>
  <c r="M156" i="71" s="1"/>
  <c r="AU155" i="67"/>
  <c r="AU157" i="67"/>
  <c r="DW159" i="61"/>
  <c r="M159" i="71" s="1"/>
  <c r="AU158" i="67"/>
  <c r="AZ158" i="67"/>
  <c r="DV161" i="61"/>
  <c r="L161" i="71" s="1"/>
  <c r="DV163" i="61"/>
  <c r="L163" i="71" s="1"/>
  <c r="AU162" i="67"/>
  <c r="DW164" i="61"/>
  <c r="M164" i="71" s="1"/>
  <c r="AU163" i="67"/>
  <c r="AU164" i="67"/>
  <c r="DW167" i="61"/>
  <c r="M167" i="71" s="1"/>
  <c r="AZ166" i="67"/>
  <c r="AU168" i="67"/>
  <c r="AU170" i="67"/>
  <c r="DW172" i="61"/>
  <c r="M172" i="71" s="1"/>
  <c r="DW175" i="61"/>
  <c r="M175" i="71" s="1"/>
  <c r="AZ174" i="67"/>
  <c r="AU176" i="67"/>
  <c r="AU177" i="67"/>
  <c r="DW180" i="61"/>
  <c r="M180" i="71" s="1"/>
  <c r="AU181" i="67"/>
  <c r="DW183" i="61"/>
  <c r="M183" i="71" s="1"/>
  <c r="DV184" i="61"/>
  <c r="L184" i="71" s="1"/>
  <c r="AZ182" i="67"/>
  <c r="AU183" i="67"/>
  <c r="DW188" i="61"/>
  <c r="M188" i="71" s="1"/>
  <c r="AU187" i="67"/>
  <c r="AU189" i="67"/>
  <c r="DW191" i="61"/>
  <c r="M191" i="71" s="1"/>
  <c r="AU190" i="67"/>
  <c r="AZ190" i="67"/>
  <c r="DV194" i="61"/>
  <c r="DW194" i="61"/>
  <c r="AO195" i="61"/>
  <c r="AU8" i="67"/>
  <c r="M18" i="71"/>
  <c r="M26" i="71"/>
  <c r="L35" i="71"/>
  <c r="M42" i="71"/>
  <c r="L62" i="71"/>
  <c r="L63" i="71"/>
  <c r="M74" i="71"/>
  <c r="L115" i="71"/>
  <c r="L119" i="71"/>
  <c r="BY9" i="49"/>
  <c r="BZ9" i="49"/>
  <c r="CA9" i="49"/>
  <c r="CB9" i="49"/>
  <c r="CC9" i="49"/>
  <c r="CD9" i="49"/>
  <c r="CE9" i="49"/>
  <c r="CF9" i="49"/>
  <c r="BY10" i="49"/>
  <c r="BZ10" i="49"/>
  <c r="CA10" i="49"/>
  <c r="CB10" i="49"/>
  <c r="CC10" i="49"/>
  <c r="CD10" i="49"/>
  <c r="CE10" i="49"/>
  <c r="CF10" i="49"/>
  <c r="BY11" i="49"/>
  <c r="BZ11" i="49"/>
  <c r="CA11" i="49"/>
  <c r="CB11" i="49"/>
  <c r="CC11" i="49"/>
  <c r="CD11" i="49"/>
  <c r="CE11" i="49"/>
  <c r="CF11" i="49"/>
  <c r="BY12" i="49"/>
  <c r="BZ12" i="49"/>
  <c r="CA12" i="49"/>
  <c r="CB12" i="49"/>
  <c r="CC12" i="49"/>
  <c r="CD12" i="49"/>
  <c r="CE12" i="49"/>
  <c r="CF12" i="49"/>
  <c r="BY13" i="49"/>
  <c r="BZ13" i="49"/>
  <c r="CA13" i="49"/>
  <c r="CB13" i="49"/>
  <c r="CC13" i="49"/>
  <c r="CD13" i="49"/>
  <c r="CE13" i="49"/>
  <c r="CF13" i="49"/>
  <c r="BY14" i="49"/>
  <c r="BZ14" i="49"/>
  <c r="CA14" i="49"/>
  <c r="CB14" i="49"/>
  <c r="CC14" i="49"/>
  <c r="CD14" i="49"/>
  <c r="CE14" i="49"/>
  <c r="CF14" i="49"/>
  <c r="BY15" i="49"/>
  <c r="BZ15" i="49"/>
  <c r="CA15" i="49"/>
  <c r="CB15" i="49"/>
  <c r="CC15" i="49"/>
  <c r="CD15" i="49"/>
  <c r="CE15" i="49"/>
  <c r="CF15" i="49"/>
  <c r="BY16" i="49"/>
  <c r="BZ16" i="49"/>
  <c r="CA16" i="49"/>
  <c r="CB16" i="49"/>
  <c r="CC16" i="49"/>
  <c r="CE16" i="49"/>
  <c r="BY17" i="49"/>
  <c r="BZ17" i="49"/>
  <c r="CA17" i="49"/>
  <c r="CB17" i="49"/>
  <c r="CC17" i="49"/>
  <c r="CD17" i="49"/>
  <c r="CE17" i="49"/>
  <c r="CF17" i="49"/>
  <c r="BY18" i="49"/>
  <c r="BZ18" i="49"/>
  <c r="CA18" i="49"/>
  <c r="CB18" i="49"/>
  <c r="CC18" i="49"/>
  <c r="CD18" i="49"/>
  <c r="CE18" i="49"/>
  <c r="CF18" i="49"/>
  <c r="BY19" i="49"/>
  <c r="BZ19" i="49"/>
  <c r="CA19" i="49"/>
  <c r="CB19" i="49"/>
  <c r="CC19" i="49"/>
  <c r="CD19" i="49"/>
  <c r="CE19" i="49"/>
  <c r="CF19" i="49"/>
  <c r="BY20" i="49"/>
  <c r="BZ20" i="49"/>
  <c r="CA20" i="49"/>
  <c r="CB20" i="49"/>
  <c r="CC20" i="49"/>
  <c r="CD20" i="49"/>
  <c r="CE20" i="49"/>
  <c r="CF20" i="49"/>
  <c r="BY21" i="49"/>
  <c r="BZ21" i="49"/>
  <c r="CA21" i="49"/>
  <c r="CB21" i="49"/>
  <c r="CC21" i="49"/>
  <c r="CD21" i="49"/>
  <c r="CE21" i="49"/>
  <c r="CF21" i="49"/>
  <c r="BY22" i="49"/>
  <c r="BZ22" i="49"/>
  <c r="CA22" i="49"/>
  <c r="CB22" i="49"/>
  <c r="CC22" i="49"/>
  <c r="CD22" i="49"/>
  <c r="CE22" i="49"/>
  <c r="CF22" i="49"/>
  <c r="BY23" i="49"/>
  <c r="BZ23" i="49"/>
  <c r="CA23" i="49"/>
  <c r="CB23" i="49"/>
  <c r="CC23" i="49"/>
  <c r="CD23" i="49"/>
  <c r="CE23" i="49"/>
  <c r="CF23" i="49"/>
  <c r="BY24" i="49"/>
  <c r="BZ24" i="49"/>
  <c r="CA24" i="49"/>
  <c r="CB24" i="49"/>
  <c r="CC24" i="49"/>
  <c r="CE24" i="49"/>
  <c r="CF24" i="49"/>
  <c r="BY25" i="49"/>
  <c r="BZ25" i="49"/>
  <c r="CA25" i="49"/>
  <c r="CB25" i="49"/>
  <c r="CC25" i="49"/>
  <c r="CD25" i="49"/>
  <c r="CE25" i="49"/>
  <c r="CF25" i="49"/>
  <c r="BY26" i="49"/>
  <c r="BZ26" i="49"/>
  <c r="CA26" i="49"/>
  <c r="CB26" i="49"/>
  <c r="CC26" i="49"/>
  <c r="CD26" i="49"/>
  <c r="CE26" i="49"/>
  <c r="CF26" i="49"/>
  <c r="BY27" i="49"/>
  <c r="BZ27" i="49"/>
  <c r="CA27" i="49"/>
  <c r="CB27" i="49"/>
  <c r="CC27" i="49"/>
  <c r="CD27" i="49"/>
  <c r="CE27" i="49"/>
  <c r="CF27" i="49"/>
  <c r="BY28" i="49"/>
  <c r="BZ28" i="49"/>
  <c r="CA28" i="49"/>
  <c r="CB28" i="49"/>
  <c r="CC28" i="49"/>
  <c r="CD28" i="49"/>
  <c r="CE28" i="49"/>
  <c r="CF28" i="49"/>
  <c r="BY29" i="49"/>
  <c r="BZ29" i="49"/>
  <c r="CA29" i="49"/>
  <c r="CB29" i="49"/>
  <c r="CC29" i="49"/>
  <c r="CD29" i="49"/>
  <c r="CE29" i="49"/>
  <c r="CF29" i="49"/>
  <c r="BY30" i="49"/>
  <c r="BZ30" i="49"/>
  <c r="CA30" i="49"/>
  <c r="CB30" i="49"/>
  <c r="CC30" i="49"/>
  <c r="CD30" i="49"/>
  <c r="CE30" i="49"/>
  <c r="CF30" i="49"/>
  <c r="BY31" i="49"/>
  <c r="BZ31" i="49"/>
  <c r="CA31" i="49"/>
  <c r="CB31" i="49"/>
  <c r="CC31" i="49"/>
  <c r="CD31" i="49"/>
  <c r="CE31" i="49"/>
  <c r="CF31" i="49"/>
  <c r="BY32" i="49"/>
  <c r="BZ32" i="49"/>
  <c r="CA32" i="49"/>
  <c r="CB32" i="49"/>
  <c r="CC32" i="49"/>
  <c r="CE32" i="49"/>
  <c r="BY33" i="49"/>
  <c r="BZ33" i="49"/>
  <c r="CA33" i="49"/>
  <c r="CB33" i="49"/>
  <c r="CC33" i="49"/>
  <c r="CD33" i="49"/>
  <c r="CE33" i="49"/>
  <c r="CF33" i="49"/>
  <c r="BY34" i="49"/>
  <c r="BZ34" i="49"/>
  <c r="CA34" i="49"/>
  <c r="CB34" i="49"/>
  <c r="CC34" i="49"/>
  <c r="CD34" i="49"/>
  <c r="CE34" i="49"/>
  <c r="CF34" i="49"/>
  <c r="BY35" i="49"/>
  <c r="BZ35" i="49"/>
  <c r="CA35" i="49"/>
  <c r="CB35" i="49"/>
  <c r="CC35" i="49"/>
  <c r="CD35" i="49"/>
  <c r="CE35" i="49"/>
  <c r="CF35" i="49"/>
  <c r="BY36" i="49"/>
  <c r="BZ36" i="49"/>
  <c r="CA36" i="49"/>
  <c r="CB36" i="49"/>
  <c r="CC36" i="49"/>
  <c r="CD36" i="49"/>
  <c r="CE36" i="49"/>
  <c r="CF36" i="49"/>
  <c r="BY37" i="49"/>
  <c r="BZ37" i="49"/>
  <c r="CA37" i="49"/>
  <c r="CB37" i="49"/>
  <c r="CC37" i="49"/>
  <c r="CD37" i="49"/>
  <c r="CE37" i="49"/>
  <c r="CF37" i="49"/>
  <c r="BY38" i="49"/>
  <c r="BZ38" i="49"/>
  <c r="CA38" i="49"/>
  <c r="CB38" i="49"/>
  <c r="CC38" i="49"/>
  <c r="CD38" i="49"/>
  <c r="CE38" i="49"/>
  <c r="CF38" i="49"/>
  <c r="BY39" i="49"/>
  <c r="BZ39" i="49"/>
  <c r="CA39" i="49"/>
  <c r="CB39" i="49"/>
  <c r="CC39" i="49"/>
  <c r="CD39" i="49"/>
  <c r="CE39" i="49"/>
  <c r="CF39" i="49"/>
  <c r="BY40" i="49"/>
  <c r="BZ40" i="49"/>
  <c r="CA40" i="49"/>
  <c r="CB40" i="49"/>
  <c r="CC40" i="49"/>
  <c r="CE40" i="49"/>
  <c r="BY41" i="49"/>
  <c r="BZ41" i="49"/>
  <c r="CA41" i="49"/>
  <c r="CB41" i="49"/>
  <c r="CC41" i="49"/>
  <c r="CD41" i="49"/>
  <c r="CE41" i="49"/>
  <c r="CF41" i="49"/>
  <c r="BY42" i="49"/>
  <c r="BZ42" i="49"/>
  <c r="CA42" i="49"/>
  <c r="CB42" i="49"/>
  <c r="CC42" i="49"/>
  <c r="CD42" i="49"/>
  <c r="CE42" i="49"/>
  <c r="CF42" i="49"/>
  <c r="BY43" i="49"/>
  <c r="BZ43" i="49"/>
  <c r="CA43" i="49"/>
  <c r="CB43" i="49"/>
  <c r="CC43" i="49"/>
  <c r="CD43" i="49"/>
  <c r="CE43" i="49"/>
  <c r="CF43" i="49"/>
  <c r="BY44" i="49"/>
  <c r="BZ44" i="49"/>
  <c r="CA44" i="49"/>
  <c r="CB44" i="49"/>
  <c r="CC44" i="49"/>
  <c r="CD44" i="49"/>
  <c r="CE44" i="49"/>
  <c r="CF44" i="49"/>
  <c r="BY45" i="49"/>
  <c r="BZ45" i="49"/>
  <c r="CA45" i="49"/>
  <c r="CB45" i="49"/>
  <c r="CC45" i="49"/>
  <c r="CD45" i="49"/>
  <c r="CE45" i="49"/>
  <c r="CF45" i="49"/>
  <c r="BY46" i="49"/>
  <c r="BZ46" i="49"/>
  <c r="CA46" i="49"/>
  <c r="CB46" i="49"/>
  <c r="CC46" i="49"/>
  <c r="CD46" i="49"/>
  <c r="CE46" i="49"/>
  <c r="CF46" i="49"/>
  <c r="BY47" i="49"/>
  <c r="BZ47" i="49"/>
  <c r="CA47" i="49"/>
  <c r="CB47" i="49"/>
  <c r="CC47" i="49"/>
  <c r="CD47" i="49"/>
  <c r="CE47" i="49"/>
  <c r="CF47" i="49"/>
  <c r="BY48" i="49"/>
  <c r="BZ48" i="49"/>
  <c r="CA48" i="49"/>
  <c r="CB48" i="49"/>
  <c r="CC48" i="49"/>
  <c r="CE48" i="49"/>
  <c r="BY49" i="49"/>
  <c r="BZ49" i="49"/>
  <c r="CA49" i="49"/>
  <c r="CB49" i="49"/>
  <c r="CC49" i="49"/>
  <c r="CD49" i="49"/>
  <c r="CE49" i="49"/>
  <c r="CF49" i="49"/>
  <c r="BY50" i="49"/>
  <c r="BZ50" i="49"/>
  <c r="CA50" i="49"/>
  <c r="CB50" i="49"/>
  <c r="CC50" i="49"/>
  <c r="CD50" i="49"/>
  <c r="CE50" i="49"/>
  <c r="CF50" i="49"/>
  <c r="BY51" i="49"/>
  <c r="BZ51" i="49"/>
  <c r="CA51" i="49"/>
  <c r="CB51" i="49"/>
  <c r="CC51" i="49"/>
  <c r="CD51" i="49"/>
  <c r="CE51" i="49"/>
  <c r="CF51" i="49"/>
  <c r="BY52" i="49"/>
  <c r="BZ52" i="49"/>
  <c r="CA52" i="49"/>
  <c r="CB52" i="49"/>
  <c r="CC52" i="49"/>
  <c r="CD52" i="49"/>
  <c r="CE52" i="49"/>
  <c r="CF52" i="49"/>
  <c r="BY53" i="49"/>
  <c r="BZ53" i="49"/>
  <c r="CA53" i="49"/>
  <c r="CB53" i="49"/>
  <c r="CC53" i="49"/>
  <c r="CD53" i="49"/>
  <c r="CE53" i="49"/>
  <c r="CF53" i="49"/>
  <c r="BY54" i="49"/>
  <c r="BZ54" i="49"/>
  <c r="CA54" i="49"/>
  <c r="CB54" i="49"/>
  <c r="CC54" i="49"/>
  <c r="CD54" i="49"/>
  <c r="CE54" i="49"/>
  <c r="CF54" i="49"/>
  <c r="BY55" i="49"/>
  <c r="BZ55" i="49"/>
  <c r="CA55" i="49"/>
  <c r="CB55" i="49"/>
  <c r="CC55" i="49"/>
  <c r="CD55" i="49"/>
  <c r="CE55" i="49"/>
  <c r="CF55" i="49"/>
  <c r="BY56" i="49"/>
  <c r="BZ56" i="49"/>
  <c r="CA56" i="49"/>
  <c r="CB56" i="49"/>
  <c r="CC56" i="49"/>
  <c r="CE56" i="49"/>
  <c r="BY57" i="49"/>
  <c r="BZ57" i="49"/>
  <c r="CA57" i="49"/>
  <c r="CB57" i="49"/>
  <c r="CC57" i="49"/>
  <c r="CD57" i="49"/>
  <c r="CE57" i="49"/>
  <c r="CF57" i="49"/>
  <c r="BY58" i="49"/>
  <c r="BZ58" i="49"/>
  <c r="CA58" i="49"/>
  <c r="CB58" i="49"/>
  <c r="CC58" i="49"/>
  <c r="CD58" i="49"/>
  <c r="CE58" i="49"/>
  <c r="CF58" i="49"/>
  <c r="BY59" i="49"/>
  <c r="BZ59" i="49"/>
  <c r="CA59" i="49"/>
  <c r="CB59" i="49"/>
  <c r="CC59" i="49"/>
  <c r="CD59" i="49"/>
  <c r="CE59" i="49"/>
  <c r="CF59" i="49"/>
  <c r="BY60" i="49"/>
  <c r="BZ60" i="49"/>
  <c r="CA60" i="49"/>
  <c r="CB60" i="49"/>
  <c r="CC60" i="49"/>
  <c r="CD60" i="49"/>
  <c r="CE60" i="49"/>
  <c r="CF60" i="49"/>
  <c r="BY61" i="49"/>
  <c r="BZ61" i="49"/>
  <c r="CA61" i="49"/>
  <c r="CB61" i="49"/>
  <c r="CC61" i="49"/>
  <c r="CD61" i="49"/>
  <c r="CE61" i="49"/>
  <c r="CF61" i="49"/>
  <c r="BY62" i="49"/>
  <c r="BZ62" i="49"/>
  <c r="CA62" i="49"/>
  <c r="CB62" i="49"/>
  <c r="CC62" i="49"/>
  <c r="CD62" i="49"/>
  <c r="CE62" i="49"/>
  <c r="CF62" i="49"/>
  <c r="BY63" i="49"/>
  <c r="BZ63" i="49"/>
  <c r="CA63" i="49"/>
  <c r="CB63" i="49"/>
  <c r="CC63" i="49"/>
  <c r="CD63" i="49"/>
  <c r="CE63" i="49"/>
  <c r="CF63" i="49"/>
  <c r="BY64" i="49"/>
  <c r="BZ64" i="49"/>
  <c r="CA64" i="49"/>
  <c r="CB64" i="49"/>
  <c r="CC64" i="49"/>
  <c r="CE64" i="49"/>
  <c r="BY65" i="49"/>
  <c r="BZ65" i="49"/>
  <c r="CA65" i="49"/>
  <c r="CB65" i="49"/>
  <c r="CC65" i="49"/>
  <c r="CD65" i="49"/>
  <c r="CE65" i="49"/>
  <c r="CF65" i="49"/>
  <c r="BY66" i="49"/>
  <c r="BZ66" i="49"/>
  <c r="CA66" i="49"/>
  <c r="CB66" i="49"/>
  <c r="CC66" i="49"/>
  <c r="CD66" i="49"/>
  <c r="CE66" i="49"/>
  <c r="CF66" i="49"/>
  <c r="BY67" i="49"/>
  <c r="BZ67" i="49"/>
  <c r="CA67" i="49"/>
  <c r="CB67" i="49"/>
  <c r="CC67" i="49"/>
  <c r="CD67" i="49"/>
  <c r="CE67" i="49"/>
  <c r="CF67" i="49"/>
  <c r="BY68" i="49"/>
  <c r="BZ68" i="49"/>
  <c r="CA68" i="49"/>
  <c r="CB68" i="49"/>
  <c r="CC68" i="49"/>
  <c r="CD68" i="49"/>
  <c r="CE68" i="49"/>
  <c r="CF68" i="49"/>
  <c r="BY69" i="49"/>
  <c r="BZ69" i="49"/>
  <c r="CA69" i="49"/>
  <c r="CB69" i="49"/>
  <c r="CC69" i="49"/>
  <c r="CD69" i="49"/>
  <c r="CE69" i="49"/>
  <c r="CF69" i="49"/>
  <c r="BY70" i="49"/>
  <c r="BZ70" i="49"/>
  <c r="CA70" i="49"/>
  <c r="CB70" i="49"/>
  <c r="CC70" i="49"/>
  <c r="CD70" i="49"/>
  <c r="CE70" i="49"/>
  <c r="CF70" i="49"/>
  <c r="BY71" i="49"/>
  <c r="BZ71" i="49"/>
  <c r="CA71" i="49"/>
  <c r="CB71" i="49"/>
  <c r="CC71" i="49"/>
  <c r="CD71" i="49"/>
  <c r="CE71" i="49"/>
  <c r="CF71" i="49"/>
  <c r="BY72" i="49"/>
  <c r="BZ72" i="49"/>
  <c r="CA72" i="49"/>
  <c r="CB72" i="49"/>
  <c r="CC72" i="49"/>
  <c r="CE72" i="49"/>
  <c r="BY73" i="49"/>
  <c r="BZ73" i="49"/>
  <c r="CA73" i="49"/>
  <c r="CB73" i="49"/>
  <c r="CC73" i="49"/>
  <c r="CD73" i="49"/>
  <c r="CE73" i="49"/>
  <c r="CF73" i="49"/>
  <c r="BY74" i="49"/>
  <c r="BZ74" i="49"/>
  <c r="CA74" i="49"/>
  <c r="CB74" i="49"/>
  <c r="CC74" i="49"/>
  <c r="CD74" i="49"/>
  <c r="CE74" i="49"/>
  <c r="CF74" i="49"/>
  <c r="BY75" i="49"/>
  <c r="BZ75" i="49"/>
  <c r="CA75" i="49"/>
  <c r="CB75" i="49"/>
  <c r="CC75" i="49"/>
  <c r="CD75" i="49"/>
  <c r="CE75" i="49"/>
  <c r="CF75" i="49"/>
  <c r="BY76" i="49"/>
  <c r="BZ76" i="49"/>
  <c r="CA76" i="49"/>
  <c r="CB76" i="49"/>
  <c r="CC76" i="49"/>
  <c r="CD76" i="49"/>
  <c r="CE76" i="49"/>
  <c r="CF76" i="49"/>
  <c r="BY77" i="49"/>
  <c r="BZ77" i="49"/>
  <c r="CA77" i="49"/>
  <c r="CB77" i="49"/>
  <c r="CC77" i="49"/>
  <c r="CD77" i="49"/>
  <c r="CE77" i="49"/>
  <c r="CF77" i="49"/>
  <c r="BY78" i="49"/>
  <c r="BZ78" i="49"/>
  <c r="CA78" i="49"/>
  <c r="CB78" i="49"/>
  <c r="CC78" i="49"/>
  <c r="CD78" i="49"/>
  <c r="CE78" i="49"/>
  <c r="CF78" i="49"/>
  <c r="BY79" i="49"/>
  <c r="BZ79" i="49"/>
  <c r="CA79" i="49"/>
  <c r="CB79" i="49"/>
  <c r="CC79" i="49"/>
  <c r="CD79" i="49"/>
  <c r="CE79" i="49"/>
  <c r="CF79" i="49"/>
  <c r="BY80" i="49"/>
  <c r="BZ80" i="49"/>
  <c r="CA80" i="49"/>
  <c r="CB80" i="49"/>
  <c r="CC80" i="49"/>
  <c r="CE80" i="49"/>
  <c r="BY81" i="49"/>
  <c r="BZ81" i="49"/>
  <c r="CA81" i="49"/>
  <c r="CB81" i="49"/>
  <c r="CC81" i="49"/>
  <c r="CD81" i="49"/>
  <c r="CE81" i="49"/>
  <c r="CF81" i="49"/>
  <c r="BY82" i="49"/>
  <c r="BZ82" i="49"/>
  <c r="CA82" i="49"/>
  <c r="CB82" i="49"/>
  <c r="CC82" i="49"/>
  <c r="CD82" i="49"/>
  <c r="CE82" i="49"/>
  <c r="CF82" i="49"/>
  <c r="BY83" i="49"/>
  <c r="BZ83" i="49"/>
  <c r="CA83" i="49"/>
  <c r="CB83" i="49"/>
  <c r="CC83" i="49"/>
  <c r="CD83" i="49"/>
  <c r="CE83" i="49"/>
  <c r="CF83" i="49"/>
  <c r="BY84" i="49"/>
  <c r="BZ84" i="49"/>
  <c r="CA84" i="49"/>
  <c r="CB84" i="49"/>
  <c r="CC84" i="49"/>
  <c r="CD84" i="49"/>
  <c r="CE84" i="49"/>
  <c r="CF84" i="49"/>
  <c r="BY85" i="49"/>
  <c r="BZ85" i="49"/>
  <c r="CA85" i="49"/>
  <c r="CB85" i="49"/>
  <c r="CC85" i="49"/>
  <c r="CD85" i="49"/>
  <c r="CE85" i="49"/>
  <c r="CF85" i="49"/>
  <c r="BY86" i="49"/>
  <c r="BZ86" i="49"/>
  <c r="CA86" i="49"/>
  <c r="CB86" i="49"/>
  <c r="CC86" i="49"/>
  <c r="CD86" i="49"/>
  <c r="CE86" i="49"/>
  <c r="CF86" i="49"/>
  <c r="BY87" i="49"/>
  <c r="BZ87" i="49"/>
  <c r="CA87" i="49"/>
  <c r="CB87" i="49"/>
  <c r="CC87" i="49"/>
  <c r="CD87" i="49"/>
  <c r="CE87" i="49"/>
  <c r="CF87" i="49"/>
  <c r="BY88" i="49"/>
  <c r="BZ88" i="49"/>
  <c r="CA88" i="49"/>
  <c r="CB88" i="49"/>
  <c r="CC88" i="49"/>
  <c r="CE88" i="49"/>
  <c r="CF88" i="49"/>
  <c r="BY89" i="49"/>
  <c r="BZ89" i="49"/>
  <c r="CA89" i="49"/>
  <c r="CB89" i="49"/>
  <c r="CC89" i="49"/>
  <c r="CD89" i="49"/>
  <c r="CE89" i="49"/>
  <c r="CF89" i="49"/>
  <c r="BY90" i="49"/>
  <c r="BZ90" i="49"/>
  <c r="CA90" i="49"/>
  <c r="CB90" i="49"/>
  <c r="CC90" i="49"/>
  <c r="CD90" i="49"/>
  <c r="CE90" i="49"/>
  <c r="CF90" i="49"/>
  <c r="BY91" i="49"/>
  <c r="BZ91" i="49"/>
  <c r="CA91" i="49"/>
  <c r="CB91" i="49"/>
  <c r="CC91" i="49"/>
  <c r="CD91" i="49"/>
  <c r="CE91" i="49"/>
  <c r="CF91" i="49"/>
  <c r="BY92" i="49"/>
  <c r="BZ92" i="49"/>
  <c r="CA92" i="49"/>
  <c r="CB92" i="49"/>
  <c r="CC92" i="49"/>
  <c r="CD92" i="49"/>
  <c r="CE92" i="49"/>
  <c r="CF92" i="49"/>
  <c r="BY93" i="49"/>
  <c r="BZ93" i="49"/>
  <c r="CA93" i="49"/>
  <c r="CB93" i="49"/>
  <c r="CC93" i="49"/>
  <c r="CD93" i="49"/>
  <c r="CE93" i="49"/>
  <c r="CF93" i="49"/>
  <c r="BY94" i="49"/>
  <c r="BZ94" i="49"/>
  <c r="CA94" i="49"/>
  <c r="CB94" i="49"/>
  <c r="CC94" i="49"/>
  <c r="CD94" i="49"/>
  <c r="CE94" i="49"/>
  <c r="CF94" i="49"/>
  <c r="BY95" i="49"/>
  <c r="BZ95" i="49"/>
  <c r="CA95" i="49"/>
  <c r="CB95" i="49"/>
  <c r="CC95" i="49"/>
  <c r="CD95" i="49"/>
  <c r="CE95" i="49"/>
  <c r="CF95" i="49"/>
  <c r="BY96" i="49"/>
  <c r="BZ96" i="49"/>
  <c r="CA96" i="49"/>
  <c r="CB96" i="49"/>
  <c r="CC96" i="49"/>
  <c r="CE96" i="49"/>
  <c r="BY97" i="49"/>
  <c r="BZ97" i="49"/>
  <c r="CA97" i="49"/>
  <c r="CB97" i="49"/>
  <c r="CC97" i="49"/>
  <c r="CD97" i="49"/>
  <c r="CE97" i="49"/>
  <c r="CF97" i="49"/>
  <c r="BY98" i="49"/>
  <c r="BZ98" i="49"/>
  <c r="CA98" i="49"/>
  <c r="CB98" i="49"/>
  <c r="CC98" i="49"/>
  <c r="CD98" i="49"/>
  <c r="CE98" i="49"/>
  <c r="CF98" i="49"/>
  <c r="BY99" i="49"/>
  <c r="BZ99" i="49"/>
  <c r="CA99" i="49"/>
  <c r="CB99" i="49"/>
  <c r="CC99" i="49"/>
  <c r="CD99" i="49"/>
  <c r="CE99" i="49"/>
  <c r="CF99" i="49"/>
  <c r="BY100" i="49"/>
  <c r="BZ100" i="49"/>
  <c r="CA100" i="49"/>
  <c r="CB100" i="49"/>
  <c r="CC100" i="49"/>
  <c r="CD100" i="49"/>
  <c r="CE100" i="49"/>
  <c r="CF100" i="49"/>
  <c r="BY101" i="49"/>
  <c r="BZ101" i="49"/>
  <c r="CA101" i="49"/>
  <c r="CB101" i="49"/>
  <c r="CC101" i="49"/>
  <c r="CD101" i="49"/>
  <c r="CE101" i="49"/>
  <c r="CF101" i="49"/>
  <c r="BY102" i="49"/>
  <c r="BZ102" i="49"/>
  <c r="CA102" i="49"/>
  <c r="CB102" i="49"/>
  <c r="CC102" i="49"/>
  <c r="CD102" i="49"/>
  <c r="CE102" i="49"/>
  <c r="CF102" i="49"/>
  <c r="BY103" i="49"/>
  <c r="BZ103" i="49"/>
  <c r="CA103" i="49"/>
  <c r="CB103" i="49"/>
  <c r="CC103" i="49"/>
  <c r="CD103" i="49"/>
  <c r="CE103" i="49"/>
  <c r="CF103" i="49"/>
  <c r="BY104" i="49"/>
  <c r="BZ104" i="49"/>
  <c r="CA104" i="49"/>
  <c r="CB104" i="49"/>
  <c r="CC104" i="49"/>
  <c r="CE104" i="49"/>
  <c r="BY105" i="49"/>
  <c r="BZ105" i="49"/>
  <c r="CA105" i="49"/>
  <c r="CB105" i="49"/>
  <c r="CC105" i="49"/>
  <c r="CD105" i="49"/>
  <c r="CE105" i="49"/>
  <c r="CF105" i="49"/>
  <c r="BY106" i="49"/>
  <c r="BZ106" i="49"/>
  <c r="CA106" i="49"/>
  <c r="CB106" i="49"/>
  <c r="CC106" i="49"/>
  <c r="CD106" i="49"/>
  <c r="CE106" i="49"/>
  <c r="CF106" i="49"/>
  <c r="BY107" i="49"/>
  <c r="BZ107" i="49"/>
  <c r="CA107" i="49"/>
  <c r="CB107" i="49"/>
  <c r="CC107" i="49"/>
  <c r="CD107" i="49"/>
  <c r="CE107" i="49"/>
  <c r="CF107" i="49"/>
  <c r="BY108" i="49"/>
  <c r="BZ108" i="49"/>
  <c r="CA108" i="49"/>
  <c r="CB108" i="49"/>
  <c r="CC108" i="49"/>
  <c r="CD108" i="49"/>
  <c r="CE108" i="49"/>
  <c r="CF108" i="49"/>
  <c r="BY109" i="49"/>
  <c r="BZ109" i="49"/>
  <c r="CA109" i="49"/>
  <c r="CB109" i="49"/>
  <c r="CC109" i="49"/>
  <c r="CD109" i="49"/>
  <c r="CE109" i="49"/>
  <c r="CF109" i="49"/>
  <c r="BY110" i="49"/>
  <c r="BZ110" i="49"/>
  <c r="CA110" i="49"/>
  <c r="CB110" i="49"/>
  <c r="CC110" i="49"/>
  <c r="CD110" i="49"/>
  <c r="CE110" i="49"/>
  <c r="CF110" i="49"/>
  <c r="BY111" i="49"/>
  <c r="BZ111" i="49"/>
  <c r="CA111" i="49"/>
  <c r="CB111" i="49"/>
  <c r="CC111" i="49"/>
  <c r="CD111" i="49"/>
  <c r="CE111" i="49"/>
  <c r="CF111" i="49"/>
  <c r="BY112" i="49"/>
  <c r="BZ112" i="49"/>
  <c r="CA112" i="49"/>
  <c r="CB112" i="49"/>
  <c r="CC112" i="49"/>
  <c r="CE112" i="49"/>
  <c r="BY113" i="49"/>
  <c r="BZ113" i="49"/>
  <c r="CA113" i="49"/>
  <c r="CB113" i="49"/>
  <c r="CC113" i="49"/>
  <c r="CD113" i="49"/>
  <c r="CE113" i="49"/>
  <c r="CF113" i="49"/>
  <c r="BY114" i="49"/>
  <c r="BZ114" i="49"/>
  <c r="CA114" i="49"/>
  <c r="CB114" i="49"/>
  <c r="CC114" i="49"/>
  <c r="CD114" i="49"/>
  <c r="CE114" i="49"/>
  <c r="CF114" i="49"/>
  <c r="BY115" i="49"/>
  <c r="BZ115" i="49"/>
  <c r="CA115" i="49"/>
  <c r="CB115" i="49"/>
  <c r="CC115" i="49"/>
  <c r="CD115" i="49"/>
  <c r="CE115" i="49"/>
  <c r="CF115" i="49"/>
  <c r="BY116" i="49"/>
  <c r="BZ116" i="49"/>
  <c r="CA116" i="49"/>
  <c r="CB116" i="49"/>
  <c r="CC116" i="49"/>
  <c r="CD116" i="49"/>
  <c r="CE116" i="49"/>
  <c r="CF116" i="49"/>
  <c r="BY117" i="49"/>
  <c r="BZ117" i="49"/>
  <c r="CA117" i="49"/>
  <c r="CB117" i="49"/>
  <c r="CC117" i="49"/>
  <c r="CD117" i="49"/>
  <c r="CE117" i="49"/>
  <c r="CF117" i="49"/>
  <c r="BY118" i="49"/>
  <c r="BZ118" i="49"/>
  <c r="CA118" i="49"/>
  <c r="CB118" i="49"/>
  <c r="CC118" i="49"/>
  <c r="CD118" i="49"/>
  <c r="CE118" i="49"/>
  <c r="CF118" i="49"/>
  <c r="BY119" i="49"/>
  <c r="BZ119" i="49"/>
  <c r="CA119" i="49"/>
  <c r="CB119" i="49"/>
  <c r="CC119" i="49"/>
  <c r="CD119" i="49"/>
  <c r="CE119" i="49"/>
  <c r="CF119" i="49"/>
  <c r="BY120" i="49"/>
  <c r="BZ120" i="49"/>
  <c r="CA120" i="49"/>
  <c r="CB120" i="49"/>
  <c r="CC120" i="49"/>
  <c r="CE120" i="49"/>
  <c r="BY121" i="49"/>
  <c r="BZ121" i="49"/>
  <c r="CA121" i="49"/>
  <c r="CB121" i="49"/>
  <c r="CC121" i="49"/>
  <c r="CD121" i="49"/>
  <c r="CE121" i="49"/>
  <c r="CF121" i="49"/>
  <c r="BY122" i="49"/>
  <c r="BZ122" i="49"/>
  <c r="CA122" i="49"/>
  <c r="CB122" i="49"/>
  <c r="CC122" i="49"/>
  <c r="CD122" i="49"/>
  <c r="CE122" i="49"/>
  <c r="CF122" i="49"/>
  <c r="BY123" i="49"/>
  <c r="BZ123" i="49"/>
  <c r="CA123" i="49"/>
  <c r="CB123" i="49"/>
  <c r="CC123" i="49"/>
  <c r="CD123" i="49"/>
  <c r="CE123" i="49"/>
  <c r="CF123" i="49"/>
  <c r="BY124" i="49"/>
  <c r="BZ124" i="49"/>
  <c r="CA124" i="49"/>
  <c r="CB124" i="49"/>
  <c r="CC124" i="49"/>
  <c r="CD124" i="49"/>
  <c r="CE124" i="49"/>
  <c r="CF124" i="49"/>
  <c r="BY125" i="49"/>
  <c r="BZ125" i="49"/>
  <c r="CA125" i="49"/>
  <c r="CB125" i="49"/>
  <c r="CC125" i="49"/>
  <c r="CD125" i="49"/>
  <c r="CE125" i="49"/>
  <c r="CF125" i="49"/>
  <c r="BY126" i="49"/>
  <c r="BZ126" i="49"/>
  <c r="CA126" i="49"/>
  <c r="CB126" i="49"/>
  <c r="CC126" i="49"/>
  <c r="CD126" i="49"/>
  <c r="CE126" i="49"/>
  <c r="CF126" i="49"/>
  <c r="BY127" i="49"/>
  <c r="BZ127" i="49"/>
  <c r="CA127" i="49"/>
  <c r="CB127" i="49"/>
  <c r="CC127" i="49"/>
  <c r="CD127" i="49"/>
  <c r="CE127" i="49"/>
  <c r="CF127" i="49"/>
  <c r="BY128" i="49"/>
  <c r="BZ128" i="49"/>
  <c r="CA128" i="49"/>
  <c r="CB128" i="49"/>
  <c r="CC128" i="49"/>
  <c r="CE128" i="49"/>
  <c r="BY129" i="49"/>
  <c r="BZ129" i="49"/>
  <c r="CA129" i="49"/>
  <c r="CB129" i="49"/>
  <c r="CC129" i="49"/>
  <c r="CD129" i="49"/>
  <c r="CE129" i="49"/>
  <c r="CF129" i="49"/>
  <c r="BY130" i="49"/>
  <c r="BZ130" i="49"/>
  <c r="CA130" i="49"/>
  <c r="CB130" i="49"/>
  <c r="CC130" i="49"/>
  <c r="CD130" i="49"/>
  <c r="CE130" i="49"/>
  <c r="CF130" i="49"/>
  <c r="BY131" i="49"/>
  <c r="BZ131" i="49"/>
  <c r="CA131" i="49"/>
  <c r="CB131" i="49"/>
  <c r="CC131" i="49"/>
  <c r="CD131" i="49"/>
  <c r="CE131" i="49"/>
  <c r="CF131" i="49"/>
  <c r="BY132" i="49"/>
  <c r="BZ132" i="49"/>
  <c r="CA132" i="49"/>
  <c r="CB132" i="49"/>
  <c r="CC132" i="49"/>
  <c r="CD132" i="49"/>
  <c r="CE132" i="49"/>
  <c r="CF132" i="49"/>
  <c r="BY133" i="49"/>
  <c r="BZ133" i="49"/>
  <c r="CA133" i="49"/>
  <c r="CB133" i="49"/>
  <c r="CC133" i="49"/>
  <c r="CD133" i="49"/>
  <c r="CE133" i="49"/>
  <c r="CF133" i="49"/>
  <c r="BY134" i="49"/>
  <c r="BZ134" i="49"/>
  <c r="CA134" i="49"/>
  <c r="CB134" i="49"/>
  <c r="CC134" i="49"/>
  <c r="CD134" i="49"/>
  <c r="CE134" i="49"/>
  <c r="CF134" i="49"/>
  <c r="BY135" i="49"/>
  <c r="BZ135" i="49"/>
  <c r="CA135" i="49"/>
  <c r="CB135" i="49"/>
  <c r="CC135" i="49"/>
  <c r="CD135" i="49"/>
  <c r="CE135" i="49"/>
  <c r="CF135" i="49"/>
  <c r="BY136" i="49"/>
  <c r="BZ136" i="49"/>
  <c r="CA136" i="49"/>
  <c r="CB136" i="49"/>
  <c r="CC136" i="49"/>
  <c r="CE136" i="49"/>
  <c r="BY137" i="49"/>
  <c r="BZ137" i="49"/>
  <c r="CA137" i="49"/>
  <c r="CB137" i="49"/>
  <c r="CC137" i="49"/>
  <c r="CD137" i="49"/>
  <c r="CE137" i="49"/>
  <c r="CF137" i="49"/>
  <c r="BY138" i="49"/>
  <c r="BZ138" i="49"/>
  <c r="CA138" i="49"/>
  <c r="CB138" i="49"/>
  <c r="CC138" i="49"/>
  <c r="CD138" i="49"/>
  <c r="CE138" i="49"/>
  <c r="CF138" i="49"/>
  <c r="BY139" i="49"/>
  <c r="BZ139" i="49"/>
  <c r="CA139" i="49"/>
  <c r="CB139" i="49"/>
  <c r="CC139" i="49"/>
  <c r="CD139" i="49"/>
  <c r="CE139" i="49"/>
  <c r="CF139" i="49"/>
  <c r="BY140" i="49"/>
  <c r="BZ140" i="49"/>
  <c r="CA140" i="49"/>
  <c r="CB140" i="49"/>
  <c r="CC140" i="49"/>
  <c r="CD140" i="49"/>
  <c r="CE140" i="49"/>
  <c r="CF140" i="49"/>
  <c r="BY141" i="49"/>
  <c r="BZ141" i="49"/>
  <c r="CA141" i="49"/>
  <c r="CB141" i="49"/>
  <c r="CC141" i="49"/>
  <c r="CD141" i="49"/>
  <c r="CE141" i="49"/>
  <c r="CF141" i="49"/>
  <c r="BY142" i="49"/>
  <c r="BZ142" i="49"/>
  <c r="CA142" i="49"/>
  <c r="CB142" i="49"/>
  <c r="CC142" i="49"/>
  <c r="CD142" i="49"/>
  <c r="CE142" i="49"/>
  <c r="CF142" i="49"/>
  <c r="BY143" i="49"/>
  <c r="BZ143" i="49"/>
  <c r="CA143" i="49"/>
  <c r="CB143" i="49"/>
  <c r="CC143" i="49"/>
  <c r="CD143" i="49"/>
  <c r="CE143" i="49"/>
  <c r="CF143" i="49"/>
  <c r="BY144" i="49"/>
  <c r="BZ144" i="49"/>
  <c r="CA144" i="49"/>
  <c r="CB144" i="49"/>
  <c r="CC144" i="49"/>
  <c r="CE144" i="49"/>
  <c r="BY145" i="49"/>
  <c r="BZ145" i="49"/>
  <c r="CA145" i="49"/>
  <c r="CB145" i="49"/>
  <c r="CC145" i="49"/>
  <c r="CD145" i="49"/>
  <c r="CE145" i="49"/>
  <c r="CF145" i="49"/>
  <c r="BY146" i="49"/>
  <c r="BZ146" i="49"/>
  <c r="CA146" i="49"/>
  <c r="CB146" i="49"/>
  <c r="CC146" i="49"/>
  <c r="CD146" i="49"/>
  <c r="CE146" i="49"/>
  <c r="CF146" i="49"/>
  <c r="BY147" i="49"/>
  <c r="BZ147" i="49"/>
  <c r="CA147" i="49"/>
  <c r="CB147" i="49"/>
  <c r="CC147" i="49"/>
  <c r="CD147" i="49"/>
  <c r="CE147" i="49"/>
  <c r="CF147" i="49"/>
  <c r="BY148" i="49"/>
  <c r="BZ148" i="49"/>
  <c r="CA148" i="49"/>
  <c r="CB148" i="49"/>
  <c r="CC148" i="49"/>
  <c r="CD148" i="49"/>
  <c r="CE148" i="49"/>
  <c r="CF148" i="49"/>
  <c r="BY149" i="49"/>
  <c r="BZ149" i="49"/>
  <c r="CA149" i="49"/>
  <c r="CB149" i="49"/>
  <c r="CC149" i="49"/>
  <c r="CD149" i="49"/>
  <c r="CE149" i="49"/>
  <c r="CF149" i="49"/>
  <c r="BY150" i="49"/>
  <c r="BZ150" i="49"/>
  <c r="CA150" i="49"/>
  <c r="CB150" i="49"/>
  <c r="CC150" i="49"/>
  <c r="CD150" i="49"/>
  <c r="CE150" i="49"/>
  <c r="CF150" i="49"/>
  <c r="BY151" i="49"/>
  <c r="BZ151" i="49"/>
  <c r="CA151" i="49"/>
  <c r="CB151" i="49"/>
  <c r="CC151" i="49"/>
  <c r="CD151" i="49"/>
  <c r="CE151" i="49"/>
  <c r="CF151" i="49"/>
  <c r="BY152" i="49"/>
  <c r="BZ152" i="49"/>
  <c r="CA152" i="49"/>
  <c r="CB152" i="49"/>
  <c r="CC152" i="49"/>
  <c r="CE152" i="49"/>
  <c r="CF152" i="49"/>
  <c r="BY153" i="49"/>
  <c r="BZ153" i="49"/>
  <c r="CA153" i="49"/>
  <c r="CB153" i="49"/>
  <c r="CC153" i="49"/>
  <c r="CD153" i="49"/>
  <c r="CE153" i="49"/>
  <c r="CF153" i="49"/>
  <c r="BY154" i="49"/>
  <c r="BZ154" i="49"/>
  <c r="CA154" i="49"/>
  <c r="CB154" i="49"/>
  <c r="CC154" i="49"/>
  <c r="CD154" i="49"/>
  <c r="CE154" i="49"/>
  <c r="CF154" i="49"/>
  <c r="BY155" i="49"/>
  <c r="BZ155" i="49"/>
  <c r="CA155" i="49"/>
  <c r="CB155" i="49"/>
  <c r="CC155" i="49"/>
  <c r="CD155" i="49"/>
  <c r="CE155" i="49"/>
  <c r="CF155" i="49"/>
  <c r="BY156" i="49"/>
  <c r="BZ156" i="49"/>
  <c r="CA156" i="49"/>
  <c r="CB156" i="49"/>
  <c r="CC156" i="49"/>
  <c r="CD156" i="49"/>
  <c r="CE156" i="49"/>
  <c r="CF156" i="49"/>
  <c r="BY157" i="49"/>
  <c r="BZ157" i="49"/>
  <c r="CA157" i="49"/>
  <c r="CB157" i="49"/>
  <c r="CC157" i="49"/>
  <c r="CD157" i="49"/>
  <c r="CE157" i="49"/>
  <c r="CF157" i="49"/>
  <c r="BY158" i="49"/>
  <c r="BZ158" i="49"/>
  <c r="CA158" i="49"/>
  <c r="CB158" i="49"/>
  <c r="CC158" i="49"/>
  <c r="CD158" i="49"/>
  <c r="CE158" i="49"/>
  <c r="CF158" i="49"/>
  <c r="BY159" i="49"/>
  <c r="BZ159" i="49"/>
  <c r="CA159" i="49"/>
  <c r="CB159" i="49"/>
  <c r="CC159" i="49"/>
  <c r="CD159" i="49"/>
  <c r="CE159" i="49"/>
  <c r="CF159" i="49"/>
  <c r="BY160" i="49"/>
  <c r="BZ160" i="49"/>
  <c r="CA160" i="49"/>
  <c r="CB160" i="49"/>
  <c r="CC160" i="49"/>
  <c r="CE160" i="49"/>
  <c r="BY161" i="49"/>
  <c r="BZ161" i="49"/>
  <c r="CA161" i="49"/>
  <c r="CB161" i="49"/>
  <c r="CC161" i="49"/>
  <c r="CD161" i="49"/>
  <c r="CE161" i="49"/>
  <c r="CF161" i="49"/>
  <c r="BY162" i="49"/>
  <c r="BZ162" i="49"/>
  <c r="CA162" i="49"/>
  <c r="CB162" i="49"/>
  <c r="CC162" i="49"/>
  <c r="CD162" i="49"/>
  <c r="CE162" i="49"/>
  <c r="CF162" i="49"/>
  <c r="BY163" i="49"/>
  <c r="BZ163" i="49"/>
  <c r="CA163" i="49"/>
  <c r="CB163" i="49"/>
  <c r="CC163" i="49"/>
  <c r="CD163" i="49"/>
  <c r="CE163" i="49"/>
  <c r="CF163" i="49"/>
  <c r="BY164" i="49"/>
  <c r="BZ164" i="49"/>
  <c r="CA164" i="49"/>
  <c r="CB164" i="49"/>
  <c r="CC164" i="49"/>
  <c r="CD164" i="49"/>
  <c r="CE164" i="49"/>
  <c r="CF164" i="49"/>
  <c r="BY165" i="49"/>
  <c r="BZ165" i="49"/>
  <c r="CA165" i="49"/>
  <c r="CB165" i="49"/>
  <c r="CC165" i="49"/>
  <c r="CD165" i="49"/>
  <c r="CE165" i="49"/>
  <c r="CF165" i="49"/>
  <c r="BY166" i="49"/>
  <c r="BZ166" i="49"/>
  <c r="CA166" i="49"/>
  <c r="CB166" i="49"/>
  <c r="CC166" i="49"/>
  <c r="CD166" i="49"/>
  <c r="CE166" i="49"/>
  <c r="CF166" i="49"/>
  <c r="BY167" i="49"/>
  <c r="BZ167" i="49"/>
  <c r="CA167" i="49"/>
  <c r="CB167" i="49"/>
  <c r="CC167" i="49"/>
  <c r="CD167" i="49"/>
  <c r="CE167" i="49"/>
  <c r="CF167" i="49"/>
  <c r="BY168" i="49"/>
  <c r="BZ168" i="49"/>
  <c r="CA168" i="49"/>
  <c r="CB168" i="49"/>
  <c r="CC168" i="49"/>
  <c r="CE168" i="49"/>
  <c r="BY169" i="49"/>
  <c r="BZ169" i="49"/>
  <c r="CA169" i="49"/>
  <c r="CB169" i="49"/>
  <c r="CC169" i="49"/>
  <c r="CD169" i="49"/>
  <c r="CE169" i="49"/>
  <c r="CF169" i="49"/>
  <c r="BY170" i="49"/>
  <c r="BZ170" i="49"/>
  <c r="CA170" i="49"/>
  <c r="CB170" i="49"/>
  <c r="CC170" i="49"/>
  <c r="CD170" i="49"/>
  <c r="CE170" i="49"/>
  <c r="CF170" i="49"/>
  <c r="BY171" i="49"/>
  <c r="BZ171" i="49"/>
  <c r="CA171" i="49"/>
  <c r="CB171" i="49"/>
  <c r="CC171" i="49"/>
  <c r="CD171" i="49"/>
  <c r="CE171" i="49"/>
  <c r="CF171" i="49"/>
  <c r="BY172" i="49"/>
  <c r="BZ172" i="49"/>
  <c r="CA172" i="49"/>
  <c r="CB172" i="49"/>
  <c r="CC172" i="49"/>
  <c r="CD172" i="49"/>
  <c r="CE172" i="49"/>
  <c r="CF172" i="49"/>
  <c r="BY173" i="49"/>
  <c r="BZ173" i="49"/>
  <c r="CA173" i="49"/>
  <c r="CB173" i="49"/>
  <c r="CC173" i="49"/>
  <c r="CD173" i="49"/>
  <c r="CE173" i="49"/>
  <c r="CF173" i="49"/>
  <c r="BY174" i="49"/>
  <c r="BZ174" i="49"/>
  <c r="CA174" i="49"/>
  <c r="CB174" i="49"/>
  <c r="CC174" i="49"/>
  <c r="CD174" i="49"/>
  <c r="CE174" i="49"/>
  <c r="CF174" i="49"/>
  <c r="BY175" i="49"/>
  <c r="BZ175" i="49"/>
  <c r="CA175" i="49"/>
  <c r="CB175" i="49"/>
  <c r="CC175" i="49"/>
  <c r="CD175" i="49"/>
  <c r="CE175" i="49"/>
  <c r="CF175" i="49"/>
  <c r="BY176" i="49"/>
  <c r="BZ176" i="49"/>
  <c r="CA176" i="49"/>
  <c r="CB176" i="49"/>
  <c r="CC176" i="49"/>
  <c r="CE176" i="49"/>
  <c r="BY177" i="49"/>
  <c r="BZ177" i="49"/>
  <c r="CA177" i="49"/>
  <c r="CB177" i="49"/>
  <c r="CC177" i="49"/>
  <c r="CD177" i="49"/>
  <c r="CE177" i="49"/>
  <c r="CF177" i="49"/>
  <c r="BY178" i="49"/>
  <c r="BZ178" i="49"/>
  <c r="CA178" i="49"/>
  <c r="CB178" i="49"/>
  <c r="CC178" i="49"/>
  <c r="CD178" i="49"/>
  <c r="CE178" i="49"/>
  <c r="CF178" i="49"/>
  <c r="BY179" i="49"/>
  <c r="BZ179" i="49"/>
  <c r="CA179" i="49"/>
  <c r="CB179" i="49"/>
  <c r="CC179" i="49"/>
  <c r="CD179" i="49"/>
  <c r="CE179" i="49"/>
  <c r="CF179" i="49"/>
  <c r="BY180" i="49"/>
  <c r="BZ180" i="49"/>
  <c r="CA180" i="49"/>
  <c r="CB180" i="49"/>
  <c r="CC180" i="49"/>
  <c r="CD180" i="49"/>
  <c r="CE180" i="49"/>
  <c r="CF180" i="49"/>
  <c r="BY181" i="49"/>
  <c r="BZ181" i="49"/>
  <c r="CA181" i="49"/>
  <c r="CB181" i="49"/>
  <c r="CC181" i="49"/>
  <c r="CD181" i="49"/>
  <c r="CE181" i="49"/>
  <c r="CF181" i="49"/>
  <c r="BY182" i="49"/>
  <c r="BZ182" i="49"/>
  <c r="CA182" i="49"/>
  <c r="CB182" i="49"/>
  <c r="CC182" i="49"/>
  <c r="CD182" i="49"/>
  <c r="CE182" i="49"/>
  <c r="CF182" i="49"/>
  <c r="BY183" i="49"/>
  <c r="BZ183" i="49"/>
  <c r="CA183" i="49"/>
  <c r="CB183" i="49"/>
  <c r="CC183" i="49"/>
  <c r="CD183" i="49"/>
  <c r="CE183" i="49"/>
  <c r="CF183" i="49"/>
  <c r="BY184" i="49"/>
  <c r="BZ184" i="49"/>
  <c r="CA184" i="49"/>
  <c r="CB184" i="49"/>
  <c r="CC184" i="49"/>
  <c r="CE184" i="49"/>
  <c r="BY185" i="49"/>
  <c r="BZ185" i="49"/>
  <c r="CA185" i="49"/>
  <c r="CB185" i="49"/>
  <c r="CC185" i="49"/>
  <c r="CD185" i="49"/>
  <c r="CE185" i="49"/>
  <c r="CF185" i="49"/>
  <c r="BY186" i="49"/>
  <c r="BZ186" i="49"/>
  <c r="CA186" i="49"/>
  <c r="CB186" i="49"/>
  <c r="CC186" i="49"/>
  <c r="CD186" i="49"/>
  <c r="CE186" i="49"/>
  <c r="CF186" i="49"/>
  <c r="BY187" i="49"/>
  <c r="BZ187" i="49"/>
  <c r="CA187" i="49"/>
  <c r="CB187" i="49"/>
  <c r="CC187" i="49"/>
  <c r="CD187" i="49"/>
  <c r="CE187" i="49"/>
  <c r="CF187" i="49"/>
  <c r="BY188" i="49"/>
  <c r="BZ188" i="49"/>
  <c r="CA188" i="49"/>
  <c r="CB188" i="49"/>
  <c r="CC188" i="49"/>
  <c r="CD188" i="49"/>
  <c r="CE188" i="49"/>
  <c r="CF188" i="49"/>
  <c r="BY189" i="49"/>
  <c r="BZ189" i="49"/>
  <c r="CA189" i="49"/>
  <c r="CB189" i="49"/>
  <c r="CC189" i="49"/>
  <c r="CD189" i="49"/>
  <c r="CE189" i="49"/>
  <c r="CF189" i="49"/>
  <c r="BY190" i="49"/>
  <c r="BZ190" i="49"/>
  <c r="CA190" i="49"/>
  <c r="CB190" i="49"/>
  <c r="CC190" i="49"/>
  <c r="CD190" i="49"/>
  <c r="CE190" i="49"/>
  <c r="CF190" i="49"/>
  <c r="BY191" i="49"/>
  <c r="BZ191" i="49"/>
  <c r="CA191" i="49"/>
  <c r="CB191" i="49"/>
  <c r="CC191" i="49"/>
  <c r="CD191" i="49"/>
  <c r="CE191" i="49"/>
  <c r="CF191" i="49"/>
  <c r="BY192" i="49"/>
  <c r="BZ192" i="49"/>
  <c r="CA192" i="49"/>
  <c r="CB192" i="49"/>
  <c r="CC192" i="49"/>
  <c r="CD192" i="49"/>
  <c r="CE192" i="49"/>
  <c r="BY193" i="49"/>
  <c r="BZ193" i="49"/>
  <c r="CA193" i="49"/>
  <c r="CB193" i="49"/>
  <c r="CC193" i="49"/>
  <c r="CD193" i="49"/>
  <c r="CE193" i="49"/>
  <c r="CF193" i="49"/>
  <c r="BZ8" i="49"/>
  <c r="CA8" i="49"/>
  <c r="CB8" i="49"/>
  <c r="CC8" i="49"/>
  <c r="CD8" i="49"/>
  <c r="CE8" i="49"/>
  <c r="CF8" i="49"/>
  <c r="BY8" i="49"/>
  <c r="AU175" i="67" l="1"/>
  <c r="DV177" i="61"/>
  <c r="L177" i="71" s="1"/>
  <c r="DV178" i="61"/>
  <c r="L178" i="71" s="1"/>
  <c r="DV160" i="61"/>
  <c r="L160" i="71" s="1"/>
  <c r="AU159" i="67"/>
  <c r="AU171" i="67"/>
  <c r="DV173" i="61"/>
  <c r="L173" i="71" s="1"/>
  <c r="AU186" i="67"/>
  <c r="DV188" i="61"/>
  <c r="L188" i="71" s="1"/>
  <c r="AU174" i="67"/>
  <c r="DV176" i="61"/>
  <c r="L176" i="71" s="1"/>
  <c r="AU191" i="67"/>
  <c r="DV152" i="61"/>
  <c r="L152" i="71" s="1"/>
  <c r="AU144" i="67"/>
  <c r="DV144" i="61"/>
  <c r="L144" i="71" s="1"/>
  <c r="AU136" i="67"/>
  <c r="DV136" i="61"/>
  <c r="L136" i="71" s="1"/>
  <c r="AU120" i="67"/>
  <c r="DV120" i="61"/>
  <c r="L120" i="71" s="1"/>
  <c r="AU112" i="67"/>
  <c r="DV112" i="61"/>
  <c r="L112" i="71" s="1"/>
  <c r="AU108" i="67"/>
  <c r="DV108" i="61"/>
  <c r="L108" i="71" s="1"/>
  <c r="AU100" i="67"/>
  <c r="DV100" i="61"/>
  <c r="L100" i="71" s="1"/>
  <c r="DV88" i="61"/>
  <c r="L88" i="71" s="1"/>
  <c r="AU88" i="67"/>
  <c r="DV80" i="61"/>
  <c r="L80" i="71" s="1"/>
  <c r="AU80" i="67"/>
  <c r="DV72" i="61"/>
  <c r="L72" i="71" s="1"/>
  <c r="AU72" i="67"/>
  <c r="DV64" i="61"/>
  <c r="L64" i="71" s="1"/>
  <c r="AU64" i="67"/>
  <c r="DV56" i="61"/>
  <c r="L56" i="71" s="1"/>
  <c r="AU56" i="67"/>
  <c r="DV48" i="61"/>
  <c r="L48" i="71" s="1"/>
  <c r="AU48" i="67"/>
  <c r="DV40" i="61"/>
  <c r="L40" i="71" s="1"/>
  <c r="AU40" i="67"/>
  <c r="DV32" i="61"/>
  <c r="L32" i="71" s="1"/>
  <c r="AU32" i="67"/>
  <c r="AU28" i="67"/>
  <c r="DV28" i="61"/>
  <c r="L28" i="71" s="1"/>
  <c r="DV24" i="61"/>
  <c r="L24" i="71" s="1"/>
  <c r="AU24" i="67"/>
  <c r="AU20" i="67"/>
  <c r="DV20" i="61"/>
  <c r="L20" i="71" s="1"/>
  <c r="AU12" i="67"/>
  <c r="DV12" i="61"/>
  <c r="L12" i="71" s="1"/>
  <c r="AU142" i="67"/>
  <c r="AU145" i="67"/>
  <c r="DV145" i="61"/>
  <c r="L145" i="71" s="1"/>
  <c r="AU148" i="67"/>
  <c r="DV148" i="61"/>
  <c r="L148" i="71" s="1"/>
  <c r="AU132" i="67"/>
  <c r="DV132" i="61"/>
  <c r="L132" i="71" s="1"/>
  <c r="AU124" i="67"/>
  <c r="DV124" i="61"/>
  <c r="L124" i="71" s="1"/>
  <c r="AU116" i="67"/>
  <c r="DV116" i="61"/>
  <c r="L116" i="71" s="1"/>
  <c r="AU104" i="67"/>
  <c r="DV104" i="61"/>
  <c r="L104" i="71" s="1"/>
  <c r="DV96" i="61"/>
  <c r="L96" i="71" s="1"/>
  <c r="AU96" i="67"/>
  <c r="AU92" i="67"/>
  <c r="DV92" i="61"/>
  <c r="L92" i="71" s="1"/>
  <c r="AU84" i="67"/>
  <c r="DV84" i="61"/>
  <c r="L84" i="71" s="1"/>
  <c r="AU76" i="67"/>
  <c r="DV76" i="61"/>
  <c r="L76" i="71" s="1"/>
  <c r="AU68" i="67"/>
  <c r="DV68" i="61"/>
  <c r="L68" i="71" s="1"/>
  <c r="AU60" i="67"/>
  <c r="DV60" i="61"/>
  <c r="L60" i="71" s="1"/>
  <c r="AU52" i="67"/>
  <c r="DV52" i="61"/>
  <c r="L52" i="71" s="1"/>
  <c r="AU44" i="67"/>
  <c r="DV44" i="61"/>
  <c r="L44" i="71" s="1"/>
  <c r="AU36" i="67"/>
  <c r="DV36" i="61"/>
  <c r="L36" i="71" s="1"/>
  <c r="DV16" i="61"/>
  <c r="L16" i="71" s="1"/>
  <c r="AU16" i="67"/>
  <c r="DV192" i="61"/>
  <c r="L192" i="71" s="1"/>
  <c r="DV159" i="61"/>
  <c r="L159" i="71" s="1"/>
  <c r="DV140" i="61"/>
  <c r="L140" i="71" s="1"/>
  <c r="DV113" i="61"/>
  <c r="L113" i="71" s="1"/>
  <c r="AZ141" i="67"/>
  <c r="DV191" i="61"/>
  <c r="L191" i="71" s="1"/>
  <c r="DV157" i="61"/>
  <c r="L157" i="71" s="1"/>
  <c r="DV134" i="61"/>
  <c r="L134" i="71" s="1"/>
  <c r="DV61" i="61"/>
  <c r="L61" i="71" s="1"/>
  <c r="AU137" i="67"/>
  <c r="AU33" i="67"/>
  <c r="AU141" i="67"/>
  <c r="DV141" i="61"/>
  <c r="L141" i="71" s="1"/>
  <c r="AU178" i="67"/>
  <c r="DV180" i="61"/>
  <c r="L180" i="71" s="1"/>
  <c r="AU166" i="67"/>
  <c r="DV168" i="61"/>
  <c r="L168" i="71" s="1"/>
  <c r="AU154" i="67"/>
  <c r="DV156" i="61"/>
  <c r="L156" i="71" s="1"/>
  <c r="DW8" i="61"/>
  <c r="M8" i="71" s="1"/>
  <c r="AZ8" i="67"/>
  <c r="AU185" i="67"/>
  <c r="DV187" i="61"/>
  <c r="L187" i="71" s="1"/>
  <c r="AU173" i="67"/>
  <c r="DV175" i="61"/>
  <c r="L175" i="71" s="1"/>
  <c r="AU169" i="67"/>
  <c r="DV171" i="61"/>
  <c r="L171" i="71" s="1"/>
  <c r="AU165" i="67"/>
  <c r="DV167" i="61"/>
  <c r="L167" i="71" s="1"/>
  <c r="DV155" i="61"/>
  <c r="L155" i="71" s="1"/>
  <c r="AU153" i="67"/>
  <c r="DV189" i="61"/>
  <c r="L189" i="71" s="1"/>
  <c r="DV172" i="61"/>
  <c r="L172" i="71" s="1"/>
  <c r="DV153" i="61"/>
  <c r="L153" i="71" s="1"/>
  <c r="DV133" i="61"/>
  <c r="L133" i="71" s="1"/>
  <c r="DV105" i="61"/>
  <c r="L105" i="71" s="1"/>
  <c r="AZ109" i="67"/>
  <c r="AU167" i="67"/>
  <c r="DV169" i="61"/>
  <c r="L169" i="71" s="1"/>
  <c r="AU149" i="67"/>
  <c r="DV149" i="61"/>
  <c r="L149" i="71" s="1"/>
  <c r="DV185" i="61"/>
  <c r="L185" i="71" s="1"/>
  <c r="DV170" i="61"/>
  <c r="L170" i="71" s="1"/>
  <c r="DV128" i="61"/>
  <c r="L128" i="71" s="1"/>
  <c r="DV97" i="61"/>
  <c r="L97" i="71" s="1"/>
  <c r="DV193" i="61"/>
  <c r="L193" i="71" s="1"/>
  <c r="AU193" i="67"/>
  <c r="AU188" i="67"/>
  <c r="DV190" i="61"/>
  <c r="L190" i="71" s="1"/>
  <c r="AU184" i="67"/>
  <c r="DV186" i="61"/>
  <c r="L186" i="71" s="1"/>
  <c r="AU180" i="67"/>
  <c r="DV182" i="61"/>
  <c r="L182" i="71" s="1"/>
  <c r="AU172" i="67"/>
  <c r="DV174" i="61"/>
  <c r="L174" i="71" s="1"/>
  <c r="AU160" i="67"/>
  <c r="DV162" i="61"/>
  <c r="L162" i="71" s="1"/>
  <c r="AU156" i="67"/>
  <c r="DV158" i="61"/>
  <c r="L158" i="71" s="1"/>
  <c r="AU152" i="67"/>
  <c r="DV154" i="61"/>
  <c r="L154" i="71" s="1"/>
  <c r="AU150" i="67"/>
  <c r="DV150" i="61"/>
  <c r="L150" i="71" s="1"/>
  <c r="AU138" i="67"/>
  <c r="DV138" i="61"/>
  <c r="L138" i="71" s="1"/>
  <c r="AU130" i="67"/>
  <c r="DV130" i="61"/>
  <c r="L130" i="71" s="1"/>
  <c r="DV166" i="61"/>
  <c r="L166" i="71" s="1"/>
  <c r="AZ77" i="67"/>
  <c r="AU179" i="67"/>
  <c r="DV181" i="61"/>
  <c r="L181" i="71" s="1"/>
  <c r="DW193" i="61"/>
  <c r="M193" i="71" s="1"/>
  <c r="AZ193" i="67"/>
  <c r="AZ187" i="67"/>
  <c r="DW189" i="61"/>
  <c r="M189" i="71" s="1"/>
  <c r="DW185" i="61"/>
  <c r="M185" i="71" s="1"/>
  <c r="AZ183" i="67"/>
  <c r="AZ179" i="67"/>
  <c r="DW181" i="61"/>
  <c r="M181" i="71" s="1"/>
  <c r="DW177" i="61"/>
  <c r="M177" i="71" s="1"/>
  <c r="AZ175" i="67"/>
  <c r="AZ171" i="67"/>
  <c r="DW173" i="61"/>
  <c r="M173" i="71" s="1"/>
  <c r="DW169" i="61"/>
  <c r="M169" i="71" s="1"/>
  <c r="AZ167" i="67"/>
  <c r="AZ163" i="67"/>
  <c r="DW165" i="61"/>
  <c r="M165" i="71" s="1"/>
  <c r="DW161" i="61"/>
  <c r="M161" i="71" s="1"/>
  <c r="AZ159" i="67"/>
  <c r="AZ155" i="67"/>
  <c r="DW157" i="61"/>
  <c r="M157" i="71" s="1"/>
  <c r="DW153" i="61"/>
  <c r="M153" i="71" s="1"/>
  <c r="AZ192" i="67"/>
  <c r="AZ149" i="67"/>
  <c r="DW149" i="61"/>
  <c r="M149" i="71" s="1"/>
  <c r="DW145" i="61"/>
  <c r="M145" i="71" s="1"/>
  <c r="AZ145" i="67"/>
  <c r="DW137" i="61"/>
  <c r="M137" i="71" s="1"/>
  <c r="AZ137" i="67"/>
  <c r="AZ133" i="67"/>
  <c r="DW133" i="61"/>
  <c r="M133" i="71" s="1"/>
  <c r="DW129" i="61"/>
  <c r="M129" i="71" s="1"/>
  <c r="AZ129" i="67"/>
  <c r="AZ125" i="67"/>
  <c r="DW125" i="61"/>
  <c r="M125" i="71" s="1"/>
  <c r="DW121" i="61"/>
  <c r="M121" i="71" s="1"/>
  <c r="AZ121" i="67"/>
  <c r="AZ117" i="67"/>
  <c r="DW117" i="61"/>
  <c r="M117" i="71" s="1"/>
  <c r="DW113" i="61"/>
  <c r="M113" i="71" s="1"/>
  <c r="AZ113" i="67"/>
  <c r="DW105" i="61"/>
  <c r="M105" i="71" s="1"/>
  <c r="AZ105" i="67"/>
  <c r="AZ101" i="67"/>
  <c r="DW101" i="61"/>
  <c r="M101" i="71" s="1"/>
  <c r="DW97" i="61"/>
  <c r="M97" i="71" s="1"/>
  <c r="AZ97" i="67"/>
  <c r="AZ93" i="67"/>
  <c r="DW93" i="61"/>
  <c r="M93" i="71" s="1"/>
  <c r="DW89" i="61"/>
  <c r="M89" i="71" s="1"/>
  <c r="AZ89" i="67"/>
  <c r="AZ85" i="67"/>
  <c r="DW85" i="61"/>
  <c r="M85" i="71" s="1"/>
  <c r="DW81" i="61"/>
  <c r="M81" i="71" s="1"/>
  <c r="AZ81" i="67"/>
  <c r="DW73" i="61"/>
  <c r="M73" i="71" s="1"/>
  <c r="AZ73" i="67"/>
  <c r="AZ69" i="67"/>
  <c r="DW69" i="61"/>
  <c r="M69" i="71" s="1"/>
  <c r="DW65" i="61"/>
  <c r="M65" i="71" s="1"/>
  <c r="AZ65" i="67"/>
  <c r="AZ61" i="67"/>
  <c r="DW61" i="61"/>
  <c r="M61" i="71" s="1"/>
  <c r="DW57" i="61"/>
  <c r="M57" i="71" s="1"/>
  <c r="AZ57" i="67"/>
  <c r="AZ53" i="67"/>
  <c r="DW53" i="61"/>
  <c r="M53" i="71" s="1"/>
  <c r="DW49" i="61"/>
  <c r="M49" i="71" s="1"/>
  <c r="AZ49" i="67"/>
  <c r="DW41" i="61"/>
  <c r="M41" i="71" s="1"/>
  <c r="AZ41" i="67"/>
  <c r="AZ37" i="67"/>
  <c r="DW37" i="61"/>
  <c r="M37" i="71" s="1"/>
  <c r="DW33" i="61"/>
  <c r="M33" i="71" s="1"/>
  <c r="AZ33" i="67"/>
  <c r="AZ29" i="67"/>
  <c r="DW29" i="61"/>
  <c r="M29" i="71" s="1"/>
  <c r="DW25" i="61"/>
  <c r="M25" i="71" s="1"/>
  <c r="AZ25" i="67"/>
  <c r="AZ21" i="67"/>
  <c r="DW21" i="61"/>
  <c r="M21" i="71" s="1"/>
  <c r="DW17" i="61"/>
  <c r="M17" i="71" s="1"/>
  <c r="AZ17" i="67"/>
  <c r="DW9" i="61"/>
  <c r="M9" i="71" s="1"/>
  <c r="AZ9" i="67"/>
  <c r="DV183" i="61"/>
  <c r="L183" i="71" s="1"/>
  <c r="DV165" i="61"/>
  <c r="L165" i="71" s="1"/>
  <c r="DV121" i="61"/>
  <c r="L121" i="71" s="1"/>
  <c r="AU182" i="67"/>
  <c r="DV129" i="61"/>
  <c r="L129" i="71" s="1"/>
  <c r="AU129" i="67"/>
  <c r="AU125" i="67"/>
  <c r="DV125" i="61"/>
  <c r="L125" i="71" s="1"/>
  <c r="AU117" i="67"/>
  <c r="DV117" i="61"/>
  <c r="L117" i="71" s="1"/>
  <c r="AU109" i="67"/>
  <c r="DV109" i="61"/>
  <c r="L109" i="71" s="1"/>
  <c r="DV101" i="61"/>
  <c r="L101" i="71" s="1"/>
  <c r="AU101" i="67"/>
  <c r="AU93" i="67"/>
  <c r="DV93" i="61"/>
  <c r="L93" i="71" s="1"/>
  <c r="DV89" i="61"/>
  <c r="L89" i="71" s="1"/>
  <c r="AU89" i="67"/>
  <c r="DV81" i="61"/>
  <c r="L81" i="71" s="1"/>
  <c r="AU81" i="67"/>
  <c r="AU77" i="67"/>
  <c r="DV77" i="61"/>
  <c r="L77" i="71" s="1"/>
  <c r="DV73" i="61"/>
  <c r="L73" i="71" s="1"/>
  <c r="AU73" i="67"/>
  <c r="AU69" i="67"/>
  <c r="DV69" i="61"/>
  <c r="L69" i="71" s="1"/>
  <c r="DV65" i="61"/>
  <c r="L65" i="71" s="1"/>
  <c r="AU65" i="67"/>
  <c r="DV57" i="61"/>
  <c r="L57" i="71" s="1"/>
  <c r="AU57" i="67"/>
  <c r="AU53" i="67"/>
  <c r="DV53" i="61"/>
  <c r="L53" i="71" s="1"/>
  <c r="DV49" i="61"/>
  <c r="L49" i="71" s="1"/>
  <c r="AU49" i="67"/>
  <c r="AU45" i="67"/>
  <c r="DV45" i="61"/>
  <c r="L45" i="71" s="1"/>
  <c r="DV41" i="61"/>
  <c r="L41" i="71" s="1"/>
  <c r="AU41" i="67"/>
  <c r="AU37" i="67"/>
  <c r="DV37" i="61"/>
  <c r="L37" i="71" s="1"/>
  <c r="AU29" i="67"/>
  <c r="DV29" i="61"/>
  <c r="L29" i="71" s="1"/>
  <c r="DV25" i="61"/>
  <c r="L25" i="71" s="1"/>
  <c r="AU25" i="67"/>
  <c r="DV17" i="61"/>
  <c r="L17" i="71" s="1"/>
  <c r="AU17" i="67"/>
  <c r="AU13" i="67"/>
  <c r="DV13" i="61"/>
  <c r="L13" i="71" s="1"/>
  <c r="DV9" i="61"/>
  <c r="L9" i="71" s="1"/>
  <c r="AU9" i="67"/>
  <c r="DV179" i="61"/>
  <c r="L179" i="71" s="1"/>
  <c r="DV164" i="61"/>
  <c r="L164" i="71" s="1"/>
  <c r="DV146" i="61"/>
  <c r="L146" i="71" s="1"/>
  <c r="DV85" i="61"/>
  <c r="L85" i="71" s="1"/>
  <c r="AU161" i="67"/>
  <c r="AZ45" i="67"/>
  <c r="DW148" i="61"/>
  <c r="M148" i="71" s="1"/>
  <c r="AZ148" i="67"/>
  <c r="DW140" i="61"/>
  <c r="M140" i="71" s="1"/>
  <c r="AZ140" i="67"/>
  <c r="DW132" i="61"/>
  <c r="M132" i="71" s="1"/>
  <c r="AZ132" i="67"/>
  <c r="DW124" i="61"/>
  <c r="M124" i="71" s="1"/>
  <c r="AZ124" i="67"/>
  <c r="DW116" i="61"/>
  <c r="M116" i="71" s="1"/>
  <c r="AZ116" i="67"/>
  <c r="DW108" i="61"/>
  <c r="M108" i="71" s="1"/>
  <c r="AZ108" i="67"/>
  <c r="DW100" i="61"/>
  <c r="M100" i="71" s="1"/>
  <c r="AZ100" i="67"/>
  <c r="DW92" i="61"/>
  <c r="M92" i="71" s="1"/>
  <c r="AZ92" i="67"/>
  <c r="DW84" i="61"/>
  <c r="M84" i="71" s="1"/>
  <c r="AZ84" i="67"/>
  <c r="DW76" i="61"/>
  <c r="M76" i="71" s="1"/>
  <c r="AZ76" i="67"/>
  <c r="DW68" i="61"/>
  <c r="M68" i="71" s="1"/>
  <c r="AZ68" i="67"/>
  <c r="DW60" i="61"/>
  <c r="M60" i="71" s="1"/>
  <c r="AZ60" i="67"/>
  <c r="DW52" i="61"/>
  <c r="M52" i="71" s="1"/>
  <c r="AZ52" i="67"/>
  <c r="DW44" i="61"/>
  <c r="M44" i="71" s="1"/>
  <c r="AZ44" i="67"/>
  <c r="DW36" i="61"/>
  <c r="M36" i="71" s="1"/>
  <c r="AZ36" i="67"/>
  <c r="DW28" i="61"/>
  <c r="M28" i="71" s="1"/>
  <c r="AZ28" i="67"/>
  <c r="DW20" i="61"/>
  <c r="M20" i="71" s="1"/>
  <c r="AZ20" i="67"/>
  <c r="DW12" i="61"/>
  <c r="M12" i="71" s="1"/>
  <c r="AZ12" i="67"/>
  <c r="AN195" i="61"/>
  <c r="DV139" i="61"/>
  <c r="L139" i="71" s="1"/>
  <c r="DV126" i="61"/>
  <c r="L126" i="71" s="1"/>
  <c r="DV94" i="61"/>
  <c r="L94" i="71" s="1"/>
  <c r="DV83" i="61"/>
  <c r="L83" i="71" s="1"/>
  <c r="DV70" i="61"/>
  <c r="L70" i="71" s="1"/>
  <c r="DV58" i="61"/>
  <c r="L58" i="71" s="1"/>
  <c r="DV19" i="61"/>
  <c r="L19" i="71" s="1"/>
  <c r="AU135" i="67"/>
  <c r="AU30" i="67"/>
  <c r="AZ165" i="67"/>
  <c r="DW192" i="61"/>
  <c r="M192" i="71" s="1"/>
  <c r="DW160" i="61"/>
  <c r="M160" i="71" s="1"/>
  <c r="DW128" i="61"/>
  <c r="M128" i="71" s="1"/>
  <c r="DW96" i="61"/>
  <c r="M96" i="71" s="1"/>
  <c r="DW64" i="61"/>
  <c r="M64" i="71" s="1"/>
  <c r="DW32" i="61"/>
  <c r="M32" i="71" s="1"/>
  <c r="DV103" i="61"/>
  <c r="L103" i="71" s="1"/>
  <c r="DV82" i="61"/>
  <c r="L82" i="71" s="1"/>
  <c r="DV43" i="61"/>
  <c r="L43" i="71" s="1"/>
  <c r="DV18" i="61"/>
  <c r="L18" i="71" s="1"/>
  <c r="AU111" i="67"/>
  <c r="AZ162" i="67"/>
  <c r="AZ130" i="67"/>
  <c r="AZ98" i="67"/>
  <c r="AZ66" i="67"/>
  <c r="AZ34" i="67"/>
  <c r="DW187" i="61"/>
  <c r="M187" i="71" s="1"/>
  <c r="AZ185" i="67"/>
  <c r="DW179" i="61"/>
  <c r="M179" i="71" s="1"/>
  <c r="AZ177" i="67"/>
  <c r="DW171" i="61"/>
  <c r="M171" i="71" s="1"/>
  <c r="AZ169" i="67"/>
  <c r="DW163" i="61"/>
  <c r="M163" i="71" s="1"/>
  <c r="AZ161" i="67"/>
  <c r="DW155" i="61"/>
  <c r="M155" i="71" s="1"/>
  <c r="AZ153" i="67"/>
  <c r="AZ151" i="67"/>
  <c r="DW151" i="61"/>
  <c r="M151" i="71" s="1"/>
  <c r="DW147" i="61"/>
  <c r="M147" i="71" s="1"/>
  <c r="AZ147" i="67"/>
  <c r="AZ143" i="67"/>
  <c r="DW143" i="61"/>
  <c r="M143" i="71" s="1"/>
  <c r="DW139" i="61"/>
  <c r="M139" i="71" s="1"/>
  <c r="AZ139" i="67"/>
  <c r="AZ135" i="67"/>
  <c r="DW135" i="61"/>
  <c r="M135" i="71" s="1"/>
  <c r="DW131" i="61"/>
  <c r="M131" i="71" s="1"/>
  <c r="AZ131" i="67"/>
  <c r="AZ127" i="67"/>
  <c r="DW127" i="61"/>
  <c r="M127" i="71" s="1"/>
  <c r="DW123" i="61"/>
  <c r="M123" i="71" s="1"/>
  <c r="AZ123" i="67"/>
  <c r="AZ119" i="67"/>
  <c r="DW119" i="61"/>
  <c r="M119" i="71" s="1"/>
  <c r="DW115" i="61"/>
  <c r="M115" i="71" s="1"/>
  <c r="AZ115" i="67"/>
  <c r="AZ111" i="67"/>
  <c r="DW111" i="61"/>
  <c r="M111" i="71" s="1"/>
  <c r="DW107" i="61"/>
  <c r="M107" i="71" s="1"/>
  <c r="AZ107" i="67"/>
  <c r="AZ103" i="67"/>
  <c r="DW103" i="61"/>
  <c r="M103" i="71" s="1"/>
  <c r="DW99" i="61"/>
  <c r="M99" i="71" s="1"/>
  <c r="AZ99" i="67"/>
  <c r="AZ95" i="67"/>
  <c r="DW95" i="61"/>
  <c r="M95" i="71" s="1"/>
  <c r="DW91" i="61"/>
  <c r="M91" i="71" s="1"/>
  <c r="AZ91" i="67"/>
  <c r="AZ87" i="67"/>
  <c r="DW87" i="61"/>
  <c r="M87" i="71" s="1"/>
  <c r="DW83" i="61"/>
  <c r="M83" i="71" s="1"/>
  <c r="AZ83" i="67"/>
  <c r="AZ79" i="67"/>
  <c r="DW79" i="61"/>
  <c r="M79" i="71" s="1"/>
  <c r="DW75" i="61"/>
  <c r="M75" i="71" s="1"/>
  <c r="AZ75" i="67"/>
  <c r="AZ71" i="67"/>
  <c r="DW71" i="61"/>
  <c r="M71" i="71" s="1"/>
  <c r="DW67" i="61"/>
  <c r="M67" i="71" s="1"/>
  <c r="AZ67" i="67"/>
  <c r="AZ63" i="67"/>
  <c r="DW63" i="61"/>
  <c r="M63" i="71" s="1"/>
  <c r="DW59" i="61"/>
  <c r="M59" i="71" s="1"/>
  <c r="AZ59" i="67"/>
  <c r="AZ55" i="67"/>
  <c r="DW55" i="61"/>
  <c r="M55" i="71" s="1"/>
  <c r="DW51" i="61"/>
  <c r="M51" i="71" s="1"/>
  <c r="AZ51" i="67"/>
  <c r="AZ47" i="67"/>
  <c r="DW47" i="61"/>
  <c r="M47" i="71" s="1"/>
  <c r="DW43" i="61"/>
  <c r="M43" i="71" s="1"/>
  <c r="AZ43" i="67"/>
  <c r="AZ39" i="67"/>
  <c r="DW39" i="61"/>
  <c r="M39" i="71" s="1"/>
  <c r="DW35" i="61"/>
  <c r="M35" i="71" s="1"/>
  <c r="AZ35" i="67"/>
  <c r="AZ31" i="67"/>
  <c r="DW31" i="61"/>
  <c r="M31" i="71" s="1"/>
  <c r="DW27" i="61"/>
  <c r="M27" i="71" s="1"/>
  <c r="AZ27" i="67"/>
  <c r="AZ23" i="67"/>
  <c r="DW23" i="61"/>
  <c r="M23" i="71" s="1"/>
  <c r="DW19" i="61"/>
  <c r="M19" i="71" s="1"/>
  <c r="AZ19" i="67"/>
  <c r="AZ15" i="67"/>
  <c r="DW15" i="61"/>
  <c r="M15" i="71" s="1"/>
  <c r="DW11" i="61"/>
  <c r="M11" i="71" s="1"/>
  <c r="AZ11" i="67"/>
  <c r="DV8" i="61"/>
  <c r="L8" i="71" s="1"/>
  <c r="DV131" i="61"/>
  <c r="L131" i="71" s="1"/>
  <c r="DV110" i="61"/>
  <c r="L110" i="71" s="1"/>
  <c r="DV102" i="61"/>
  <c r="L102" i="71" s="1"/>
  <c r="DV79" i="61"/>
  <c r="L79" i="71" s="1"/>
  <c r="DV67" i="61"/>
  <c r="L67" i="71" s="1"/>
  <c r="DV42" i="61"/>
  <c r="L42" i="71" s="1"/>
  <c r="DV15" i="61"/>
  <c r="L15" i="71" s="1"/>
  <c r="AU87" i="67"/>
  <c r="AU23" i="67"/>
  <c r="AZ189" i="67"/>
  <c r="AZ157" i="67"/>
  <c r="DW184" i="61"/>
  <c r="M184" i="71" s="1"/>
  <c r="DW152" i="61"/>
  <c r="M152" i="71" s="1"/>
  <c r="DW120" i="61"/>
  <c r="M120" i="71" s="1"/>
  <c r="DW88" i="61"/>
  <c r="M88" i="71" s="1"/>
  <c r="DW56" i="61"/>
  <c r="M56" i="71" s="1"/>
  <c r="DW24" i="61"/>
  <c r="M24" i="71" s="1"/>
  <c r="DV143" i="61"/>
  <c r="L143" i="71" s="1"/>
  <c r="DV91" i="61"/>
  <c r="L91" i="71" s="1"/>
  <c r="DV66" i="61"/>
  <c r="L66" i="71" s="1"/>
  <c r="DV39" i="61"/>
  <c r="L39" i="71" s="1"/>
  <c r="DV27" i="61"/>
  <c r="L27" i="71" s="1"/>
  <c r="AU63" i="67"/>
  <c r="AZ186" i="67"/>
  <c r="AZ154" i="67"/>
  <c r="AZ122" i="67"/>
  <c r="AZ90" i="67"/>
  <c r="AZ58" i="67"/>
  <c r="AZ26" i="67"/>
  <c r="DW190" i="61"/>
  <c r="M190" i="71" s="1"/>
  <c r="AZ188" i="67"/>
  <c r="DW186" i="61"/>
  <c r="M186" i="71" s="1"/>
  <c r="AZ184" i="67"/>
  <c r="DW182" i="61"/>
  <c r="M182" i="71" s="1"/>
  <c r="AZ180" i="67"/>
  <c r="DW178" i="61"/>
  <c r="M178" i="71" s="1"/>
  <c r="AZ176" i="67"/>
  <c r="DW174" i="61"/>
  <c r="M174" i="71" s="1"/>
  <c r="AZ172" i="67"/>
  <c r="DW170" i="61"/>
  <c r="M170" i="71" s="1"/>
  <c r="AZ168" i="67"/>
  <c r="DW166" i="61"/>
  <c r="M166" i="71" s="1"/>
  <c r="AZ164" i="67"/>
  <c r="DW162" i="61"/>
  <c r="M162" i="71" s="1"/>
  <c r="AZ160" i="67"/>
  <c r="DW158" i="61"/>
  <c r="M158" i="71" s="1"/>
  <c r="AZ156" i="67"/>
  <c r="DW154" i="61"/>
  <c r="M154" i="71" s="1"/>
  <c r="AZ152" i="67"/>
  <c r="AZ150" i="67"/>
  <c r="DW150" i="61"/>
  <c r="M150" i="71" s="1"/>
  <c r="AZ142" i="67"/>
  <c r="DW142" i="61"/>
  <c r="M142" i="71" s="1"/>
  <c r="AZ134" i="67"/>
  <c r="DW134" i="61"/>
  <c r="M134" i="71" s="1"/>
  <c r="AZ126" i="67"/>
  <c r="DW126" i="61"/>
  <c r="M126" i="71" s="1"/>
  <c r="AZ118" i="67"/>
  <c r="DW118" i="61"/>
  <c r="M118" i="71" s="1"/>
  <c r="AZ110" i="67"/>
  <c r="DW110" i="61"/>
  <c r="M110" i="71" s="1"/>
  <c r="AZ102" i="67"/>
  <c r="DW102" i="61"/>
  <c r="M102" i="71" s="1"/>
  <c r="AZ94" i="67"/>
  <c r="DW94" i="61"/>
  <c r="M94" i="71" s="1"/>
  <c r="AZ86" i="67"/>
  <c r="DW86" i="61"/>
  <c r="M86" i="71" s="1"/>
  <c r="AZ78" i="67"/>
  <c r="DW78" i="61"/>
  <c r="M78" i="71" s="1"/>
  <c r="AZ70" i="67"/>
  <c r="DW70" i="61"/>
  <c r="M70" i="71" s="1"/>
  <c r="AZ62" i="67"/>
  <c r="DW62" i="61"/>
  <c r="M62" i="71" s="1"/>
  <c r="AZ54" i="67"/>
  <c r="DW54" i="61"/>
  <c r="M54" i="71" s="1"/>
  <c r="AZ46" i="67"/>
  <c r="DW46" i="61"/>
  <c r="M46" i="71" s="1"/>
  <c r="AZ38" i="67"/>
  <c r="DW38" i="61"/>
  <c r="M38" i="71" s="1"/>
  <c r="AZ30" i="67"/>
  <c r="DW30" i="61"/>
  <c r="M30" i="71" s="1"/>
  <c r="AZ22" i="67"/>
  <c r="DW22" i="61"/>
  <c r="M22" i="71" s="1"/>
  <c r="AZ14" i="67"/>
  <c r="DW14" i="61"/>
  <c r="M14" i="71" s="1"/>
  <c r="DV123" i="61"/>
  <c r="L123" i="71" s="1"/>
  <c r="DV90" i="61"/>
  <c r="L90" i="71" s="1"/>
  <c r="DV51" i="61"/>
  <c r="L51" i="71" s="1"/>
  <c r="DV38" i="61"/>
  <c r="L38" i="71" s="1"/>
  <c r="DV26" i="61"/>
  <c r="L26" i="71" s="1"/>
  <c r="AU62" i="67"/>
  <c r="AZ181" i="67"/>
  <c r="DW176" i="61"/>
  <c r="M176" i="71" s="1"/>
  <c r="DW144" i="61"/>
  <c r="M144" i="71" s="1"/>
  <c r="DW112" i="61"/>
  <c r="M112" i="71" s="1"/>
  <c r="DW80" i="61"/>
  <c r="M80" i="71" s="1"/>
  <c r="DW48" i="61"/>
  <c r="M48" i="71" s="1"/>
  <c r="DW16" i="61"/>
  <c r="M16" i="71" s="1"/>
  <c r="AU114" i="67"/>
  <c r="DV114" i="61"/>
  <c r="L114" i="71" s="1"/>
  <c r="AU98" i="67"/>
  <c r="DV98" i="61"/>
  <c r="L98" i="71" s="1"/>
  <c r="DV122" i="61"/>
  <c r="L122" i="71" s="1"/>
  <c r="DV107" i="61"/>
  <c r="L107" i="71" s="1"/>
  <c r="DV99" i="61"/>
  <c r="L99" i="71" s="1"/>
  <c r="DV75" i="61"/>
  <c r="L75" i="71" s="1"/>
  <c r="DV50" i="61"/>
  <c r="L50" i="71" s="1"/>
  <c r="DV11" i="61"/>
  <c r="L11" i="71" s="1"/>
  <c r="AZ178" i="67"/>
  <c r="AZ146" i="67"/>
  <c r="AZ114" i="67"/>
  <c r="AZ82" i="67"/>
  <c r="AZ50" i="67"/>
  <c r="AZ18" i="67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131" i="61"/>
  <c r="F132" i="61"/>
  <c r="F133" i="61"/>
  <c r="F134" i="61"/>
  <c r="F135" i="61"/>
  <c r="F136" i="61"/>
  <c r="F137" i="61"/>
  <c r="F138" i="61"/>
  <c r="F139" i="61"/>
  <c r="F140" i="61"/>
  <c r="F141" i="61"/>
  <c r="F142" i="61"/>
  <c r="F143" i="61"/>
  <c r="F144" i="61"/>
  <c r="F145" i="61"/>
  <c r="F146" i="61"/>
  <c r="F147" i="61"/>
  <c r="F148" i="61"/>
  <c r="F149" i="61"/>
  <c r="F150" i="61"/>
  <c r="F151" i="61"/>
  <c r="F152" i="61"/>
  <c r="F153" i="61"/>
  <c r="F154" i="61"/>
  <c r="F155" i="61"/>
  <c r="F156" i="61"/>
  <c r="F157" i="61"/>
  <c r="F158" i="61"/>
  <c r="F159" i="61"/>
  <c r="F160" i="61"/>
  <c r="F161" i="61"/>
  <c r="F162" i="61"/>
  <c r="F163" i="61"/>
  <c r="F164" i="61"/>
  <c r="F165" i="61"/>
  <c r="F166" i="61"/>
  <c r="F167" i="61"/>
  <c r="F168" i="61"/>
  <c r="F169" i="61"/>
  <c r="F170" i="61"/>
  <c r="F171" i="61"/>
  <c r="F172" i="61"/>
  <c r="F173" i="61"/>
  <c r="F174" i="61"/>
  <c r="F175" i="61"/>
  <c r="F176" i="61"/>
  <c r="F177" i="61"/>
  <c r="F178" i="61"/>
  <c r="F179" i="61"/>
  <c r="F180" i="61"/>
  <c r="F181" i="61"/>
  <c r="F182" i="61"/>
  <c r="F183" i="61"/>
  <c r="F184" i="61"/>
  <c r="F185" i="61"/>
  <c r="F186" i="61"/>
  <c r="F187" i="61"/>
  <c r="F188" i="61"/>
  <c r="F189" i="61"/>
  <c r="F190" i="61"/>
  <c r="F191" i="61"/>
  <c r="F192" i="61"/>
  <c r="F193" i="61"/>
  <c r="F8" i="61"/>
  <c r="F9" i="71" l="1"/>
  <c r="F10" i="71"/>
  <c r="F11" i="71"/>
  <c r="F12" i="71"/>
  <c r="F13" i="71"/>
  <c r="F14" i="71"/>
  <c r="F15" i="71"/>
  <c r="F16" i="71"/>
  <c r="F17" i="71"/>
  <c r="F18" i="71"/>
  <c r="F19" i="71"/>
  <c r="F20" i="71"/>
  <c r="F21" i="71"/>
  <c r="F22" i="71"/>
  <c r="F23" i="71"/>
  <c r="F24" i="71"/>
  <c r="F25" i="71"/>
  <c r="F26" i="71"/>
  <c r="F27" i="71"/>
  <c r="F28" i="71"/>
  <c r="F29" i="71"/>
  <c r="F30" i="71"/>
  <c r="F31" i="71"/>
  <c r="F32" i="71"/>
  <c r="F33" i="71"/>
  <c r="F34" i="71"/>
  <c r="F35" i="71"/>
  <c r="F36" i="71"/>
  <c r="F37" i="71"/>
  <c r="F38" i="71"/>
  <c r="F39" i="71"/>
  <c r="F40" i="71"/>
  <c r="F41" i="71"/>
  <c r="F42" i="71"/>
  <c r="F43" i="71"/>
  <c r="F44" i="71"/>
  <c r="F45" i="71"/>
  <c r="F46" i="71"/>
  <c r="F47" i="7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80" i="71"/>
  <c r="F81" i="71"/>
  <c r="F82" i="71"/>
  <c r="F83" i="71"/>
  <c r="F84" i="71"/>
  <c r="F85" i="71"/>
  <c r="F86" i="71"/>
  <c r="F87" i="71"/>
  <c r="F88" i="71"/>
  <c r="F89" i="71"/>
  <c r="F90" i="71"/>
  <c r="F91" i="71"/>
  <c r="F92" i="71"/>
  <c r="F93" i="71"/>
  <c r="F94" i="71"/>
  <c r="F95" i="71"/>
  <c r="F96" i="71"/>
  <c r="F97" i="71"/>
  <c r="F98" i="71"/>
  <c r="F99" i="71"/>
  <c r="F100" i="71"/>
  <c r="F101" i="71"/>
  <c r="F102" i="71"/>
  <c r="F103" i="71"/>
  <c r="F104" i="71"/>
  <c r="F105" i="71"/>
  <c r="F106" i="71"/>
  <c r="F107" i="71"/>
  <c r="F108" i="71"/>
  <c r="F109" i="71"/>
  <c r="F110" i="71"/>
  <c r="F111" i="71"/>
  <c r="F112" i="71"/>
  <c r="F113" i="71"/>
  <c r="F114" i="71"/>
  <c r="F115" i="71"/>
  <c r="F116" i="71"/>
  <c r="F117" i="71"/>
  <c r="F118" i="71"/>
  <c r="F119" i="71"/>
  <c r="F120" i="71"/>
  <c r="F121" i="71"/>
  <c r="F122" i="71"/>
  <c r="F123" i="71"/>
  <c r="F124" i="71"/>
  <c r="F125" i="71"/>
  <c r="F126" i="71"/>
  <c r="F127" i="71"/>
  <c r="F128" i="71"/>
  <c r="F129" i="71"/>
  <c r="F130" i="71"/>
  <c r="F131" i="71"/>
  <c r="F132" i="71"/>
  <c r="F133" i="71"/>
  <c r="F134" i="71"/>
  <c r="F135" i="71"/>
  <c r="F136" i="71"/>
  <c r="F137" i="71"/>
  <c r="F138" i="71"/>
  <c r="F139" i="71"/>
  <c r="F140" i="71"/>
  <c r="F141" i="71"/>
  <c r="F142" i="71"/>
  <c r="F143" i="71"/>
  <c r="F144" i="71"/>
  <c r="F145" i="71"/>
  <c r="F146" i="71"/>
  <c r="F147" i="71"/>
  <c r="F148" i="71"/>
  <c r="F149" i="71"/>
  <c r="F150" i="71"/>
  <c r="F151" i="71"/>
  <c r="F152" i="71"/>
  <c r="F153" i="71"/>
  <c r="F154" i="71"/>
  <c r="F155" i="71"/>
  <c r="F156" i="71"/>
  <c r="F157" i="71"/>
  <c r="F158" i="71"/>
  <c r="F159" i="71"/>
  <c r="F160" i="71"/>
  <c r="F161" i="71"/>
  <c r="F162" i="71"/>
  <c r="F163" i="71"/>
  <c r="F164" i="71"/>
  <c r="F165" i="71"/>
  <c r="F166" i="71"/>
  <c r="F167" i="71"/>
  <c r="F168" i="71"/>
  <c r="F169" i="71"/>
  <c r="F170" i="71"/>
  <c r="F171" i="71"/>
  <c r="F172" i="71"/>
  <c r="F173" i="71"/>
  <c r="F174" i="71"/>
  <c r="F175" i="71"/>
  <c r="F176" i="71"/>
  <c r="F177" i="71"/>
  <c r="F178" i="71"/>
  <c r="F179" i="71"/>
  <c r="F180" i="71"/>
  <c r="F181" i="71"/>
  <c r="F182" i="71"/>
  <c r="F183" i="71"/>
  <c r="F184" i="71"/>
  <c r="F185" i="71"/>
  <c r="F186" i="71"/>
  <c r="F187" i="71"/>
  <c r="F188" i="71"/>
  <c r="F189" i="71"/>
  <c r="F190" i="71"/>
  <c r="F191" i="71"/>
  <c r="F192" i="71"/>
  <c r="F193" i="71"/>
  <c r="F8" i="71"/>
  <c r="AL9" i="67" l="1"/>
  <c r="BB9" i="67" s="1"/>
  <c r="AL10" i="67"/>
  <c r="AL11" i="67"/>
  <c r="BB11" i="67" s="1"/>
  <c r="AL12" i="67"/>
  <c r="BB12" i="67" s="1"/>
  <c r="AL13" i="67"/>
  <c r="AL14" i="67"/>
  <c r="AL15" i="67"/>
  <c r="BB15" i="67" s="1"/>
  <c r="AL16" i="67"/>
  <c r="BB16" i="67" s="1"/>
  <c r="AL17" i="67"/>
  <c r="BB17" i="67" s="1"/>
  <c r="AL18" i="67"/>
  <c r="AL19" i="67"/>
  <c r="BB19" i="67" s="1"/>
  <c r="AL20" i="67"/>
  <c r="BB20" i="67" s="1"/>
  <c r="AL21" i="67"/>
  <c r="AL22" i="67"/>
  <c r="BB22" i="67" s="1"/>
  <c r="AL23" i="67"/>
  <c r="BB23" i="67" s="1"/>
  <c r="AL24" i="67"/>
  <c r="BB24" i="67" s="1"/>
  <c r="AL25" i="67"/>
  <c r="AL26" i="67"/>
  <c r="BB26" i="67" s="1"/>
  <c r="AL27" i="67"/>
  <c r="AL28" i="67"/>
  <c r="BB28" i="67" s="1"/>
  <c r="AL29" i="67"/>
  <c r="AL30" i="67"/>
  <c r="BB30" i="67" s="1"/>
  <c r="AL31" i="67"/>
  <c r="BB31" i="67" s="1"/>
  <c r="AL32" i="67"/>
  <c r="BB32" i="67" s="1"/>
  <c r="AL33" i="67"/>
  <c r="BB33" i="67" s="1"/>
  <c r="AL34" i="67"/>
  <c r="BB34" i="67" s="1"/>
  <c r="AL35" i="67"/>
  <c r="BB35" i="67" s="1"/>
  <c r="AL36" i="67"/>
  <c r="BB36" i="67" s="1"/>
  <c r="AL37" i="67"/>
  <c r="AL38" i="67"/>
  <c r="BB38" i="67" s="1"/>
  <c r="AL39" i="67"/>
  <c r="AL40" i="67"/>
  <c r="BB40" i="67" s="1"/>
  <c r="AL41" i="67"/>
  <c r="BB41" i="67" s="1"/>
  <c r="AL42" i="67"/>
  <c r="AL43" i="67"/>
  <c r="AL44" i="67"/>
  <c r="BB44" i="67" s="1"/>
  <c r="AL45" i="67"/>
  <c r="AL46" i="67"/>
  <c r="BB46" i="67" s="1"/>
  <c r="AL47" i="67"/>
  <c r="BB47" i="67" s="1"/>
  <c r="AL48" i="67"/>
  <c r="AL49" i="67"/>
  <c r="BB49" i="67" s="1"/>
  <c r="AL50" i="67"/>
  <c r="BB50" i="67" s="1"/>
  <c r="AL51" i="67"/>
  <c r="AL52" i="67"/>
  <c r="BB52" i="67" s="1"/>
  <c r="AL53" i="67"/>
  <c r="AL54" i="67"/>
  <c r="BB54" i="67" s="1"/>
  <c r="AL55" i="67"/>
  <c r="AL56" i="67"/>
  <c r="AL57" i="67"/>
  <c r="BB57" i="67" s="1"/>
  <c r="AL58" i="67"/>
  <c r="AL59" i="67"/>
  <c r="AL60" i="67"/>
  <c r="BB60" i="67" s="1"/>
  <c r="AL61" i="67"/>
  <c r="AL62" i="67"/>
  <c r="BB62" i="67" s="1"/>
  <c r="AL63" i="67"/>
  <c r="BB63" i="67" s="1"/>
  <c r="AL64" i="67"/>
  <c r="BB64" i="67" s="1"/>
  <c r="AL65" i="67"/>
  <c r="BB65" i="67" s="1"/>
  <c r="AL66" i="67"/>
  <c r="BB66" i="67" s="1"/>
  <c r="AL67" i="67"/>
  <c r="AL68" i="67"/>
  <c r="BB68" i="67" s="1"/>
  <c r="AL69" i="67"/>
  <c r="BB69" i="67" s="1"/>
  <c r="AL70" i="67"/>
  <c r="BB70" i="67" s="1"/>
  <c r="AL71" i="67"/>
  <c r="BB71" i="67" s="1"/>
  <c r="AL72" i="67"/>
  <c r="BB72" i="67" s="1"/>
  <c r="AL73" i="67"/>
  <c r="BB73" i="67" s="1"/>
  <c r="AL74" i="67"/>
  <c r="AL75" i="67"/>
  <c r="BB75" i="67" s="1"/>
  <c r="AL76" i="67"/>
  <c r="BB76" i="67" s="1"/>
  <c r="AL77" i="67"/>
  <c r="AL78" i="67"/>
  <c r="BB78" i="67" s="1"/>
  <c r="AL79" i="67"/>
  <c r="BB79" i="67" s="1"/>
  <c r="AL80" i="67"/>
  <c r="AL81" i="67"/>
  <c r="BB81" i="67" s="1"/>
  <c r="AL82" i="67"/>
  <c r="BB82" i="67" s="1"/>
  <c r="AL83" i="67"/>
  <c r="BB83" i="67" s="1"/>
  <c r="AL84" i="67"/>
  <c r="BB84" i="67" s="1"/>
  <c r="AL85" i="67"/>
  <c r="AL86" i="67"/>
  <c r="BB86" i="67" s="1"/>
  <c r="AL87" i="67"/>
  <c r="BB87" i="67" s="1"/>
  <c r="AL88" i="67"/>
  <c r="BB88" i="67" s="1"/>
  <c r="AL89" i="67"/>
  <c r="BB89" i="67" s="1"/>
  <c r="AL90" i="67"/>
  <c r="BB90" i="67" s="1"/>
  <c r="AL91" i="67"/>
  <c r="AL92" i="67"/>
  <c r="BB92" i="67" s="1"/>
  <c r="AL93" i="67"/>
  <c r="AL94" i="67"/>
  <c r="BB94" i="67" s="1"/>
  <c r="AL95" i="67"/>
  <c r="BB95" i="67" s="1"/>
  <c r="AL96" i="67"/>
  <c r="BB96" i="67" s="1"/>
  <c r="AL97" i="67"/>
  <c r="BB97" i="67" s="1"/>
  <c r="AL98" i="67"/>
  <c r="BB98" i="67" s="1"/>
  <c r="AL99" i="67"/>
  <c r="BB99" i="67" s="1"/>
  <c r="AL100" i="67"/>
  <c r="BB100" i="67" s="1"/>
  <c r="AL101" i="67"/>
  <c r="AL102" i="67"/>
  <c r="BB102" i="67" s="1"/>
  <c r="AL103" i="67"/>
  <c r="AL104" i="67"/>
  <c r="AL105" i="67"/>
  <c r="BB105" i="67" s="1"/>
  <c r="AL106" i="67"/>
  <c r="BB106" i="67" s="1"/>
  <c r="AL108" i="67"/>
  <c r="BB108" i="67" s="1"/>
  <c r="AL110" i="67"/>
  <c r="BB110" i="67" s="1"/>
  <c r="AL111" i="67"/>
  <c r="BB111" i="67" s="1"/>
  <c r="AL112" i="67"/>
  <c r="BB112" i="67" s="1"/>
  <c r="AL113" i="67"/>
  <c r="BB113" i="67" s="1"/>
  <c r="AL114" i="67"/>
  <c r="BB114" i="67" s="1"/>
  <c r="AL115" i="67"/>
  <c r="BB115" i="67" s="1"/>
  <c r="AL116" i="67"/>
  <c r="BB116" i="67" s="1"/>
  <c r="AL118" i="67"/>
  <c r="AL119" i="67"/>
  <c r="AL121" i="67"/>
  <c r="BB121" i="67" s="1"/>
  <c r="AL122" i="67"/>
  <c r="BB122" i="67" s="1"/>
  <c r="AL123" i="67"/>
  <c r="AL124" i="67"/>
  <c r="BB124" i="67" s="1"/>
  <c r="AL126" i="67"/>
  <c r="BB126" i="67" s="1"/>
  <c r="AL127" i="67"/>
  <c r="BB127" i="67" s="1"/>
  <c r="AL128" i="67"/>
  <c r="BB128" i="67" s="1"/>
  <c r="AL129" i="67"/>
  <c r="BB129" i="67" s="1"/>
  <c r="AL130" i="67"/>
  <c r="BB130" i="67" s="1"/>
  <c r="AL132" i="67"/>
  <c r="BB132" i="67" s="1"/>
  <c r="AL133" i="67"/>
  <c r="BB133" i="67" s="1"/>
  <c r="AL134" i="67"/>
  <c r="BB134" i="67" s="1"/>
  <c r="AL135" i="67"/>
  <c r="BB135" i="67" s="1"/>
  <c r="AL136" i="67"/>
  <c r="BB136" i="67" s="1"/>
  <c r="AL137" i="67"/>
  <c r="BB137" i="67" s="1"/>
  <c r="AL138" i="67"/>
  <c r="BB138" i="67" s="1"/>
  <c r="AL140" i="67"/>
  <c r="BB140" i="67" s="1"/>
  <c r="AL141" i="67"/>
  <c r="BB141" i="67" s="1"/>
  <c r="AL142" i="67"/>
  <c r="BB142" i="67" s="1"/>
  <c r="AL143" i="67"/>
  <c r="BB143" i="67" s="1"/>
  <c r="AL144" i="67"/>
  <c r="BB144" i="67" s="1"/>
  <c r="AL145" i="67"/>
  <c r="BB145" i="67" s="1"/>
  <c r="AL148" i="67"/>
  <c r="BB148" i="67" s="1"/>
  <c r="AL150" i="67"/>
  <c r="BB150" i="67" s="1"/>
  <c r="AL151" i="67"/>
  <c r="BB151" i="67" s="1"/>
  <c r="AL191" i="67"/>
  <c r="BB191" i="67" s="1"/>
  <c r="AL192" i="67"/>
  <c r="BB192" i="67" s="1"/>
  <c r="AL152" i="67"/>
  <c r="BB152" i="67" s="1"/>
  <c r="AL153" i="67"/>
  <c r="BB153" i="67" s="1"/>
  <c r="AL156" i="67"/>
  <c r="BB156" i="67" s="1"/>
  <c r="AL157" i="67"/>
  <c r="AL158" i="67"/>
  <c r="BB158" i="67" s="1"/>
  <c r="AL159" i="67"/>
  <c r="AL160" i="67"/>
  <c r="AL161" i="67"/>
  <c r="BB161" i="67" s="1"/>
  <c r="AL162" i="67"/>
  <c r="BB162" i="67" s="1"/>
  <c r="AL163" i="67"/>
  <c r="BB163" i="67" s="1"/>
  <c r="AL164" i="67"/>
  <c r="AL165" i="67"/>
  <c r="AL166" i="67"/>
  <c r="BB166" i="67" s="1"/>
  <c r="AL167" i="67"/>
  <c r="BB167" i="67" s="1"/>
  <c r="AL168" i="67"/>
  <c r="BB168" i="67" s="1"/>
  <c r="AL169" i="67"/>
  <c r="BB169" i="67" s="1"/>
  <c r="AL170" i="67"/>
  <c r="BB170" i="67" s="1"/>
  <c r="AL172" i="67"/>
  <c r="BB172" i="67" s="1"/>
  <c r="AL173" i="67"/>
  <c r="AL174" i="67"/>
  <c r="BB174" i="67" s="1"/>
  <c r="AL175" i="67"/>
  <c r="BB175" i="67" s="1"/>
  <c r="AL176" i="67"/>
  <c r="BB176" i="67" s="1"/>
  <c r="AL177" i="67"/>
  <c r="BB177" i="67" s="1"/>
  <c r="AL178" i="67"/>
  <c r="BB178" i="67" s="1"/>
  <c r="AL180" i="67"/>
  <c r="AL181" i="67"/>
  <c r="BB181" i="67" s="1"/>
  <c r="AL182" i="67"/>
  <c r="BB182" i="67" s="1"/>
  <c r="AL183" i="67"/>
  <c r="BB183" i="67" s="1"/>
  <c r="AL184" i="67"/>
  <c r="BB184" i="67" s="1"/>
  <c r="AL185" i="67"/>
  <c r="BB185" i="67" s="1"/>
  <c r="AL186" i="67"/>
  <c r="BB186" i="67" s="1"/>
  <c r="AL188" i="67"/>
  <c r="BB188" i="67" s="1"/>
  <c r="AL189" i="67"/>
  <c r="BB189" i="67" s="1"/>
  <c r="AL190" i="67"/>
  <c r="BB190" i="67" s="1"/>
  <c r="AL193" i="67"/>
  <c r="BB193" i="67" s="1"/>
  <c r="AG9" i="67"/>
  <c r="AG10" i="67"/>
  <c r="AG11" i="67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8" i="67"/>
  <c r="CX180" i="67" l="1"/>
  <c r="BB180" i="67"/>
  <c r="BR104" i="67"/>
  <c r="BB104" i="67"/>
  <c r="BR80" i="67"/>
  <c r="BB80" i="67"/>
  <c r="BR56" i="67"/>
  <c r="BB56" i="67"/>
  <c r="BR48" i="67"/>
  <c r="BB48" i="67"/>
  <c r="BR55" i="67"/>
  <c r="BB55" i="67"/>
  <c r="FJ160" i="67"/>
  <c r="BB160" i="67"/>
  <c r="BR14" i="67"/>
  <c r="BB14" i="67"/>
  <c r="BR39" i="67"/>
  <c r="BB39" i="67"/>
  <c r="BR159" i="67"/>
  <c r="BB159" i="67"/>
  <c r="CH101" i="67"/>
  <c r="BB101" i="67"/>
  <c r="CH93" i="67"/>
  <c r="BB93" i="67"/>
  <c r="CH85" i="67"/>
  <c r="BB85" i="67"/>
  <c r="BR77" i="67"/>
  <c r="BB77" i="67"/>
  <c r="BR61" i="67"/>
  <c r="BB61" i="67"/>
  <c r="BR53" i="67"/>
  <c r="BB53" i="67"/>
  <c r="CH45" i="67"/>
  <c r="BB45" i="67"/>
  <c r="ET37" i="67"/>
  <c r="BB37" i="67"/>
  <c r="BR29" i="67"/>
  <c r="BB29" i="67"/>
  <c r="CH21" i="67"/>
  <c r="BB21" i="67"/>
  <c r="BR13" i="67"/>
  <c r="BB13" i="67"/>
  <c r="CX123" i="67"/>
  <c r="BB123" i="67"/>
  <c r="ED103" i="67"/>
  <c r="BB103" i="67"/>
  <c r="BR119" i="67"/>
  <c r="BB119" i="67"/>
  <c r="CH165" i="67"/>
  <c r="BB165" i="67"/>
  <c r="CH157" i="67"/>
  <c r="BB157" i="67"/>
  <c r="DN118" i="67"/>
  <c r="BB118" i="67"/>
  <c r="CX91" i="67"/>
  <c r="BB91" i="67"/>
  <c r="CX67" i="67"/>
  <c r="BB67" i="67"/>
  <c r="CX59" i="67"/>
  <c r="BB59" i="67"/>
  <c r="CX51" i="67"/>
  <c r="BB51" i="67"/>
  <c r="CX43" i="67"/>
  <c r="BB43" i="67"/>
  <c r="CX27" i="67"/>
  <c r="BB27" i="67"/>
  <c r="CH173" i="67"/>
  <c r="BB173" i="67"/>
  <c r="CX164" i="67"/>
  <c r="BB164" i="67"/>
  <c r="DN74" i="67"/>
  <c r="BB74" i="67"/>
  <c r="DN58" i="67"/>
  <c r="BB58" i="67"/>
  <c r="DN42" i="67"/>
  <c r="BB42" i="67"/>
  <c r="BR18" i="67"/>
  <c r="BB18" i="67"/>
  <c r="BR10" i="67"/>
  <c r="BB10" i="67"/>
  <c r="BR25" i="67"/>
  <c r="BB25" i="67"/>
  <c r="CH29" i="67"/>
  <c r="AL117" i="67"/>
  <c r="AL187" i="67"/>
  <c r="BB187" i="67" s="1"/>
  <c r="DN138" i="67"/>
  <c r="DN26" i="67"/>
  <c r="AL179" i="67"/>
  <c r="BB179" i="67" s="1"/>
  <c r="AL171" i="67"/>
  <c r="BB171" i="67" s="1"/>
  <c r="AL149" i="67"/>
  <c r="AL155" i="67"/>
  <c r="AL125" i="67"/>
  <c r="AL109" i="67"/>
  <c r="AL147" i="67"/>
  <c r="BB147" i="67" s="1"/>
  <c r="AL139" i="67"/>
  <c r="BB139" i="67" s="1"/>
  <c r="AL131" i="67"/>
  <c r="FJ131" i="67" s="1"/>
  <c r="AL107" i="67"/>
  <c r="AL8" i="67"/>
  <c r="BB8" i="67" s="1"/>
  <c r="AL154" i="67"/>
  <c r="BB154" i="67" s="1"/>
  <c r="AL146" i="67"/>
  <c r="BB146" i="67" s="1"/>
  <c r="CX115" i="67"/>
  <c r="AL120" i="67"/>
  <c r="BB120" i="67" s="1"/>
  <c r="ED159" i="67"/>
  <c r="BR95" i="67"/>
  <c r="BR141" i="67"/>
  <c r="CX35" i="67"/>
  <c r="CX99" i="67"/>
  <c r="ET144" i="67"/>
  <c r="GP144" i="67"/>
  <c r="FZ144" i="67"/>
  <c r="FJ144" i="67"/>
  <c r="ED144" i="67"/>
  <c r="DN144" i="67"/>
  <c r="CX144" i="67"/>
  <c r="CH144" i="67"/>
  <c r="ET88" i="67"/>
  <c r="GP88" i="67"/>
  <c r="FZ88" i="67"/>
  <c r="FJ88" i="67"/>
  <c r="DN88" i="67"/>
  <c r="CX88" i="67"/>
  <c r="ED88" i="67"/>
  <c r="CH88" i="67"/>
  <c r="GP32" i="67"/>
  <c r="FZ32" i="67"/>
  <c r="FJ32" i="67"/>
  <c r="ET32" i="67"/>
  <c r="DN32" i="67"/>
  <c r="ED32" i="67"/>
  <c r="CX32" i="67"/>
  <c r="CH32" i="67"/>
  <c r="GP193" i="67"/>
  <c r="FZ193" i="67"/>
  <c r="FJ193" i="67"/>
  <c r="CX193" i="67"/>
  <c r="ET193" i="67"/>
  <c r="ED193" i="67"/>
  <c r="DN193" i="67"/>
  <c r="CH193" i="67"/>
  <c r="BR193" i="67"/>
  <c r="GP185" i="67"/>
  <c r="FZ185" i="67"/>
  <c r="FJ185" i="67"/>
  <c r="CX185" i="67"/>
  <c r="ED185" i="67"/>
  <c r="CH185" i="67"/>
  <c r="ET185" i="67"/>
  <c r="BR185" i="67"/>
  <c r="DN185" i="67"/>
  <c r="GP177" i="67"/>
  <c r="FZ177" i="67"/>
  <c r="FJ177" i="67"/>
  <c r="CX177" i="67"/>
  <c r="ET177" i="67"/>
  <c r="ED177" i="67"/>
  <c r="DN177" i="67"/>
  <c r="CH177" i="67"/>
  <c r="BR177" i="67"/>
  <c r="GP169" i="67"/>
  <c r="FZ169" i="67"/>
  <c r="FJ169" i="67"/>
  <c r="CX169" i="67"/>
  <c r="ET169" i="67"/>
  <c r="ED169" i="67"/>
  <c r="CH169" i="67"/>
  <c r="DN169" i="67"/>
  <c r="BR169" i="67"/>
  <c r="GP161" i="67"/>
  <c r="FZ161" i="67"/>
  <c r="FJ161" i="67"/>
  <c r="CX161" i="67"/>
  <c r="ED161" i="67"/>
  <c r="ET161" i="67"/>
  <c r="CH161" i="67"/>
  <c r="BR161" i="67"/>
  <c r="GP153" i="67"/>
  <c r="FZ153" i="67"/>
  <c r="FJ153" i="67"/>
  <c r="CX153" i="67"/>
  <c r="ET153" i="67"/>
  <c r="ED153" i="67"/>
  <c r="DN153" i="67"/>
  <c r="CH153" i="67"/>
  <c r="BR153" i="67"/>
  <c r="GP145" i="67"/>
  <c r="FZ145" i="67"/>
  <c r="FJ145" i="67"/>
  <c r="ED145" i="67"/>
  <c r="ET145" i="67"/>
  <c r="CX145" i="67"/>
  <c r="CH145" i="67"/>
  <c r="DN145" i="67"/>
  <c r="BR145" i="67"/>
  <c r="GP137" i="67"/>
  <c r="FZ137" i="67"/>
  <c r="FJ137" i="67"/>
  <c r="ET137" i="67"/>
  <c r="ED137" i="67"/>
  <c r="CX137" i="67"/>
  <c r="CH137" i="67"/>
  <c r="BR137" i="67"/>
  <c r="DN137" i="67"/>
  <c r="GP129" i="67"/>
  <c r="FZ129" i="67"/>
  <c r="FJ129" i="67"/>
  <c r="ET129" i="67"/>
  <c r="ED129" i="67"/>
  <c r="CX129" i="67"/>
  <c r="DN129" i="67"/>
  <c r="CH129" i="67"/>
  <c r="BR129" i="67"/>
  <c r="GP121" i="67"/>
  <c r="FZ121" i="67"/>
  <c r="FJ121" i="67"/>
  <c r="ED121" i="67"/>
  <c r="CX121" i="67"/>
  <c r="CH121" i="67"/>
  <c r="BR121" i="67"/>
  <c r="DN121" i="67"/>
  <c r="ET121" i="67"/>
  <c r="GP113" i="67"/>
  <c r="FZ113" i="67"/>
  <c r="FJ113" i="67"/>
  <c r="ET113" i="67"/>
  <c r="ED113" i="67"/>
  <c r="DN113" i="67"/>
  <c r="CX113" i="67"/>
  <c r="CH113" i="67"/>
  <c r="BR113" i="67"/>
  <c r="GP105" i="67"/>
  <c r="FZ105" i="67"/>
  <c r="FJ105" i="67"/>
  <c r="ET105" i="67"/>
  <c r="ED105" i="67"/>
  <c r="CX105" i="67"/>
  <c r="CH105" i="67"/>
  <c r="DN105" i="67"/>
  <c r="BR105" i="67"/>
  <c r="GP97" i="67"/>
  <c r="FZ97" i="67"/>
  <c r="FJ97" i="67"/>
  <c r="ED97" i="67"/>
  <c r="ET97" i="67"/>
  <c r="CX97" i="67"/>
  <c r="CH97" i="67"/>
  <c r="BR97" i="67"/>
  <c r="GP89" i="67"/>
  <c r="FZ89" i="67"/>
  <c r="FJ89" i="67"/>
  <c r="ET89" i="67"/>
  <c r="ED89" i="67"/>
  <c r="CX89" i="67"/>
  <c r="DN89" i="67"/>
  <c r="CH89" i="67"/>
  <c r="BR89" i="67"/>
  <c r="GP81" i="67"/>
  <c r="FZ81" i="67"/>
  <c r="FJ81" i="67"/>
  <c r="ED81" i="67"/>
  <c r="ET81" i="67"/>
  <c r="CX81" i="67"/>
  <c r="CH81" i="67"/>
  <c r="DN81" i="67"/>
  <c r="BR81" i="67"/>
  <c r="GP73" i="67"/>
  <c r="FZ73" i="67"/>
  <c r="FJ73" i="67"/>
  <c r="ET73" i="67"/>
  <c r="ED73" i="67"/>
  <c r="CX73" i="67"/>
  <c r="CH73" i="67"/>
  <c r="BR73" i="67"/>
  <c r="DN73" i="67"/>
  <c r="GP65" i="67"/>
  <c r="FZ65" i="67"/>
  <c r="FJ65" i="67"/>
  <c r="ET65" i="67"/>
  <c r="ED65" i="67"/>
  <c r="CX65" i="67"/>
  <c r="CH65" i="67"/>
  <c r="DN65" i="67"/>
  <c r="BR65" i="67"/>
  <c r="GP57" i="67"/>
  <c r="FZ57" i="67"/>
  <c r="FJ57" i="67"/>
  <c r="ET57" i="67"/>
  <c r="ED57" i="67"/>
  <c r="CX57" i="67"/>
  <c r="CH57" i="67"/>
  <c r="BR57" i="67"/>
  <c r="DN57" i="67"/>
  <c r="GP49" i="67"/>
  <c r="FZ49" i="67"/>
  <c r="FJ49" i="67"/>
  <c r="ET49" i="67"/>
  <c r="ED49" i="67"/>
  <c r="CX49" i="67"/>
  <c r="CH49" i="67"/>
  <c r="DN49" i="67"/>
  <c r="BR49" i="67"/>
  <c r="GP41" i="67"/>
  <c r="FZ41" i="67"/>
  <c r="FJ41" i="67"/>
  <c r="ET41" i="67"/>
  <c r="ED41" i="67"/>
  <c r="CX41" i="67"/>
  <c r="CH41" i="67"/>
  <c r="BR41" i="67"/>
  <c r="DN41" i="67"/>
  <c r="GP33" i="67"/>
  <c r="FZ33" i="67"/>
  <c r="FJ33" i="67"/>
  <c r="ET33" i="67"/>
  <c r="ED33" i="67"/>
  <c r="CX33" i="67"/>
  <c r="CH33" i="67"/>
  <c r="DN33" i="67"/>
  <c r="GP25" i="67"/>
  <c r="FZ25" i="67"/>
  <c r="FJ25" i="67"/>
  <c r="ET25" i="67"/>
  <c r="ED25" i="67"/>
  <c r="CX25" i="67"/>
  <c r="CH25" i="67"/>
  <c r="DN25" i="67"/>
  <c r="GP17" i="67"/>
  <c r="FZ17" i="67"/>
  <c r="FJ17" i="67"/>
  <c r="ET17" i="67"/>
  <c r="ED17" i="67"/>
  <c r="CX17" i="67"/>
  <c r="CH17" i="67"/>
  <c r="DN17" i="67"/>
  <c r="GP9" i="67"/>
  <c r="FZ9" i="67"/>
  <c r="FJ9" i="67"/>
  <c r="ET9" i="67"/>
  <c r="ED9" i="67"/>
  <c r="CX9" i="67"/>
  <c r="CH9" i="67"/>
  <c r="DN9" i="67"/>
  <c r="BR24" i="67"/>
  <c r="BR37" i="67"/>
  <c r="BR72" i="67"/>
  <c r="BR136" i="67"/>
  <c r="ET152" i="67"/>
  <c r="GP152" i="67"/>
  <c r="FZ152" i="67"/>
  <c r="FJ152" i="67"/>
  <c r="ED152" i="67"/>
  <c r="DN152" i="67"/>
  <c r="CH152" i="67"/>
  <c r="CX152" i="67"/>
  <c r="ET96" i="67"/>
  <c r="GP96" i="67"/>
  <c r="FZ96" i="67"/>
  <c r="DN96" i="67"/>
  <c r="FJ96" i="67"/>
  <c r="ED96" i="67"/>
  <c r="CX96" i="67"/>
  <c r="CH96" i="67"/>
  <c r="GP40" i="67"/>
  <c r="FZ40" i="67"/>
  <c r="ET40" i="67"/>
  <c r="DN40" i="67"/>
  <c r="CX40" i="67"/>
  <c r="FJ40" i="67"/>
  <c r="CH40" i="67"/>
  <c r="ED40" i="67"/>
  <c r="GP191" i="67"/>
  <c r="FZ191" i="67"/>
  <c r="DN191" i="67"/>
  <c r="CX191" i="67"/>
  <c r="ET191" i="67"/>
  <c r="FJ191" i="67"/>
  <c r="ED191" i="67"/>
  <c r="CH191" i="67"/>
  <c r="GP183" i="67"/>
  <c r="FZ183" i="67"/>
  <c r="DN183" i="67"/>
  <c r="FJ183" i="67"/>
  <c r="CX183" i="67"/>
  <c r="ET183" i="67"/>
  <c r="ED183" i="67"/>
  <c r="CH183" i="67"/>
  <c r="GP175" i="67"/>
  <c r="FZ175" i="67"/>
  <c r="DN175" i="67"/>
  <c r="ET175" i="67"/>
  <c r="CX175" i="67"/>
  <c r="FJ175" i="67"/>
  <c r="ED175" i="67"/>
  <c r="CH175" i="67"/>
  <c r="GP167" i="67"/>
  <c r="FZ167" i="67"/>
  <c r="DN167" i="67"/>
  <c r="CX167" i="67"/>
  <c r="FJ167" i="67"/>
  <c r="ET167" i="67"/>
  <c r="CH167" i="67"/>
  <c r="ED167" i="67"/>
  <c r="GP159" i="67"/>
  <c r="FZ159" i="67"/>
  <c r="ET159" i="67"/>
  <c r="DN159" i="67"/>
  <c r="CX159" i="67"/>
  <c r="FJ159" i="67"/>
  <c r="CH159" i="67"/>
  <c r="GP151" i="67"/>
  <c r="FZ151" i="67"/>
  <c r="DN151" i="67"/>
  <c r="FJ151" i="67"/>
  <c r="CX151" i="67"/>
  <c r="ET151" i="67"/>
  <c r="CH151" i="67"/>
  <c r="ED151" i="67"/>
  <c r="GP143" i="67"/>
  <c r="FZ143" i="67"/>
  <c r="DN143" i="67"/>
  <c r="FJ143" i="67"/>
  <c r="ED143" i="67"/>
  <c r="CX143" i="67"/>
  <c r="CH143" i="67"/>
  <c r="GP135" i="67"/>
  <c r="FZ135" i="67"/>
  <c r="DN135" i="67"/>
  <c r="ET135" i="67"/>
  <c r="FJ135" i="67"/>
  <c r="ED135" i="67"/>
  <c r="CX135" i="67"/>
  <c r="CH135" i="67"/>
  <c r="GP127" i="67"/>
  <c r="FZ127" i="67"/>
  <c r="DN127" i="67"/>
  <c r="ET127" i="67"/>
  <c r="FJ127" i="67"/>
  <c r="ED127" i="67"/>
  <c r="CX127" i="67"/>
  <c r="CH127" i="67"/>
  <c r="GP119" i="67"/>
  <c r="FZ119" i="67"/>
  <c r="DN119" i="67"/>
  <c r="FJ119" i="67"/>
  <c r="ET119" i="67"/>
  <c r="CX119" i="67"/>
  <c r="ED119" i="67"/>
  <c r="CH119" i="67"/>
  <c r="GP111" i="67"/>
  <c r="FZ111" i="67"/>
  <c r="DN111" i="67"/>
  <c r="ET111" i="67"/>
  <c r="FJ111" i="67"/>
  <c r="CX111" i="67"/>
  <c r="ED111" i="67"/>
  <c r="CH111" i="67"/>
  <c r="GP103" i="67"/>
  <c r="FZ103" i="67"/>
  <c r="DN103" i="67"/>
  <c r="FJ103" i="67"/>
  <c r="ET103" i="67"/>
  <c r="CX103" i="67"/>
  <c r="CH103" i="67"/>
  <c r="GP95" i="67"/>
  <c r="FZ95" i="67"/>
  <c r="ET95" i="67"/>
  <c r="DN95" i="67"/>
  <c r="FJ95" i="67"/>
  <c r="ED95" i="67"/>
  <c r="CX95" i="67"/>
  <c r="CH95" i="67"/>
  <c r="GP87" i="67"/>
  <c r="FZ87" i="67"/>
  <c r="DN87" i="67"/>
  <c r="FJ87" i="67"/>
  <c r="ET87" i="67"/>
  <c r="CX87" i="67"/>
  <c r="ED87" i="67"/>
  <c r="CH87" i="67"/>
  <c r="GP79" i="67"/>
  <c r="FZ79" i="67"/>
  <c r="DN79" i="67"/>
  <c r="FJ79" i="67"/>
  <c r="ET79" i="67"/>
  <c r="CX79" i="67"/>
  <c r="CH79" i="67"/>
  <c r="ED79" i="67"/>
  <c r="GP71" i="67"/>
  <c r="FZ71" i="67"/>
  <c r="DN71" i="67"/>
  <c r="ET71" i="67"/>
  <c r="FJ71" i="67"/>
  <c r="ED71" i="67"/>
  <c r="CX71" i="67"/>
  <c r="CH71" i="67"/>
  <c r="GP63" i="67"/>
  <c r="FZ63" i="67"/>
  <c r="DN63" i="67"/>
  <c r="ET63" i="67"/>
  <c r="FJ63" i="67"/>
  <c r="CX63" i="67"/>
  <c r="CH63" i="67"/>
  <c r="ED63" i="67"/>
  <c r="GP55" i="67"/>
  <c r="FZ55" i="67"/>
  <c r="DN55" i="67"/>
  <c r="FJ55" i="67"/>
  <c r="ET55" i="67"/>
  <c r="ED55" i="67"/>
  <c r="CX55" i="67"/>
  <c r="CH55" i="67"/>
  <c r="GP47" i="67"/>
  <c r="FZ47" i="67"/>
  <c r="DN47" i="67"/>
  <c r="FJ47" i="67"/>
  <c r="ET47" i="67"/>
  <c r="CX47" i="67"/>
  <c r="ED47" i="67"/>
  <c r="CH47" i="67"/>
  <c r="GP39" i="67"/>
  <c r="FZ39" i="67"/>
  <c r="DN39" i="67"/>
  <c r="ET39" i="67"/>
  <c r="FJ39" i="67"/>
  <c r="CX39" i="67"/>
  <c r="CH39" i="67"/>
  <c r="GP31" i="67"/>
  <c r="FZ31" i="67"/>
  <c r="DN31" i="67"/>
  <c r="FJ31" i="67"/>
  <c r="ET31" i="67"/>
  <c r="ED31" i="67"/>
  <c r="CX31" i="67"/>
  <c r="CH31" i="67"/>
  <c r="GP23" i="67"/>
  <c r="FZ23" i="67"/>
  <c r="DN23" i="67"/>
  <c r="ET23" i="67"/>
  <c r="FJ23" i="67"/>
  <c r="CX23" i="67"/>
  <c r="ED23" i="67"/>
  <c r="CH23" i="67"/>
  <c r="GP15" i="67"/>
  <c r="FZ15" i="67"/>
  <c r="FJ15" i="67"/>
  <c r="DN15" i="67"/>
  <c r="ET15" i="67"/>
  <c r="CX15" i="67"/>
  <c r="CH15" i="67"/>
  <c r="ED15" i="67"/>
  <c r="BR15" i="67"/>
  <c r="BR26" i="67"/>
  <c r="BR40" i="67"/>
  <c r="BR79" i="67"/>
  <c r="BR101" i="67"/>
  <c r="BR143" i="67"/>
  <c r="BR167" i="67"/>
  <c r="CH37" i="67"/>
  <c r="DN10" i="67"/>
  <c r="DN161" i="67"/>
  <c r="ET168" i="67"/>
  <c r="GP168" i="67"/>
  <c r="FZ168" i="67"/>
  <c r="FJ168" i="67"/>
  <c r="ED168" i="67"/>
  <c r="DN168" i="67"/>
  <c r="CH168" i="67"/>
  <c r="CX168" i="67"/>
  <c r="ET112" i="67"/>
  <c r="GP112" i="67"/>
  <c r="FZ112" i="67"/>
  <c r="FJ112" i="67"/>
  <c r="ED112" i="67"/>
  <c r="DN112" i="67"/>
  <c r="CX112" i="67"/>
  <c r="CH112" i="67"/>
  <c r="GP56" i="67"/>
  <c r="FZ56" i="67"/>
  <c r="FJ56" i="67"/>
  <c r="ET56" i="67"/>
  <c r="DN56" i="67"/>
  <c r="CX56" i="67"/>
  <c r="CH56" i="67"/>
  <c r="ED56" i="67"/>
  <c r="GP16" i="67"/>
  <c r="FZ16" i="67"/>
  <c r="ET16" i="67"/>
  <c r="FJ16" i="67"/>
  <c r="DN16" i="67"/>
  <c r="CX16" i="67"/>
  <c r="CH16" i="67"/>
  <c r="FJ190" i="67"/>
  <c r="ET190" i="67"/>
  <c r="GP190" i="67"/>
  <c r="FZ190" i="67"/>
  <c r="ED190" i="67"/>
  <c r="CX190" i="67"/>
  <c r="DN190" i="67"/>
  <c r="CH190" i="67"/>
  <c r="BR190" i="67"/>
  <c r="FJ182" i="67"/>
  <c r="ET182" i="67"/>
  <c r="GP182" i="67"/>
  <c r="FZ182" i="67"/>
  <c r="ED182" i="67"/>
  <c r="CX182" i="67"/>
  <c r="CH182" i="67"/>
  <c r="BR182" i="67"/>
  <c r="FJ174" i="67"/>
  <c r="ET174" i="67"/>
  <c r="GP174" i="67"/>
  <c r="FZ174" i="67"/>
  <c r="ED174" i="67"/>
  <c r="DN174" i="67"/>
  <c r="CX174" i="67"/>
  <c r="CH174" i="67"/>
  <c r="BR174" i="67"/>
  <c r="FJ166" i="67"/>
  <c r="ET166" i="67"/>
  <c r="GP166" i="67"/>
  <c r="ED166" i="67"/>
  <c r="FZ166" i="67"/>
  <c r="DN166" i="67"/>
  <c r="CX166" i="67"/>
  <c r="CH166" i="67"/>
  <c r="BR166" i="67"/>
  <c r="FJ158" i="67"/>
  <c r="ET158" i="67"/>
  <c r="GP158" i="67"/>
  <c r="FZ158" i="67"/>
  <c r="ED158" i="67"/>
  <c r="CX158" i="67"/>
  <c r="CH158" i="67"/>
  <c r="DN158" i="67"/>
  <c r="BR158" i="67"/>
  <c r="FJ150" i="67"/>
  <c r="ET150" i="67"/>
  <c r="GP150" i="67"/>
  <c r="FZ150" i="67"/>
  <c r="ED150" i="67"/>
  <c r="DN150" i="67"/>
  <c r="CX150" i="67"/>
  <c r="CH150" i="67"/>
  <c r="BR150" i="67"/>
  <c r="FJ142" i="67"/>
  <c r="ET142" i="67"/>
  <c r="GP142" i="67"/>
  <c r="FZ142" i="67"/>
  <c r="ED142" i="67"/>
  <c r="CX142" i="67"/>
  <c r="DN142" i="67"/>
  <c r="CH142" i="67"/>
  <c r="BR142" i="67"/>
  <c r="FJ134" i="67"/>
  <c r="ET134" i="67"/>
  <c r="GP134" i="67"/>
  <c r="ED134" i="67"/>
  <c r="DN134" i="67"/>
  <c r="FZ134" i="67"/>
  <c r="CX134" i="67"/>
  <c r="CH134" i="67"/>
  <c r="BR134" i="67"/>
  <c r="FJ126" i="67"/>
  <c r="ET126" i="67"/>
  <c r="GP126" i="67"/>
  <c r="FZ126" i="67"/>
  <c r="ED126" i="67"/>
  <c r="DN126" i="67"/>
  <c r="CX126" i="67"/>
  <c r="CH126" i="67"/>
  <c r="BR126" i="67"/>
  <c r="FJ118" i="67"/>
  <c r="ET118" i="67"/>
  <c r="GP118" i="67"/>
  <c r="FZ118" i="67"/>
  <c r="ED118" i="67"/>
  <c r="CX118" i="67"/>
  <c r="CH118" i="67"/>
  <c r="BR118" i="67"/>
  <c r="FJ110" i="67"/>
  <c r="ET110" i="67"/>
  <c r="GP110" i="67"/>
  <c r="FZ110" i="67"/>
  <c r="ED110" i="67"/>
  <c r="DN110" i="67"/>
  <c r="CX110" i="67"/>
  <c r="CH110" i="67"/>
  <c r="BR110" i="67"/>
  <c r="FJ102" i="67"/>
  <c r="ET102" i="67"/>
  <c r="GP102" i="67"/>
  <c r="ED102" i="67"/>
  <c r="FZ102" i="67"/>
  <c r="CX102" i="67"/>
  <c r="DN102" i="67"/>
  <c r="CH102" i="67"/>
  <c r="BR102" i="67"/>
  <c r="FJ94" i="67"/>
  <c r="ET94" i="67"/>
  <c r="GP94" i="67"/>
  <c r="FZ94" i="67"/>
  <c r="ED94" i="67"/>
  <c r="CX94" i="67"/>
  <c r="CH94" i="67"/>
  <c r="DN94" i="67"/>
  <c r="BR94" i="67"/>
  <c r="FJ86" i="67"/>
  <c r="ET86" i="67"/>
  <c r="GP86" i="67"/>
  <c r="FZ86" i="67"/>
  <c r="ED86" i="67"/>
  <c r="DN86" i="67"/>
  <c r="CX86" i="67"/>
  <c r="CH86" i="67"/>
  <c r="BR86" i="67"/>
  <c r="FJ78" i="67"/>
  <c r="ET78" i="67"/>
  <c r="GP78" i="67"/>
  <c r="FZ78" i="67"/>
  <c r="ED78" i="67"/>
  <c r="CX78" i="67"/>
  <c r="DN78" i="67"/>
  <c r="CH78" i="67"/>
  <c r="BR78" i="67"/>
  <c r="FJ70" i="67"/>
  <c r="GP70" i="67"/>
  <c r="ET70" i="67"/>
  <c r="ED70" i="67"/>
  <c r="DN70" i="67"/>
  <c r="FZ70" i="67"/>
  <c r="CX70" i="67"/>
  <c r="CH70" i="67"/>
  <c r="BR70" i="67"/>
  <c r="FJ62" i="67"/>
  <c r="GP62" i="67"/>
  <c r="FZ62" i="67"/>
  <c r="ET62" i="67"/>
  <c r="ED62" i="67"/>
  <c r="CX62" i="67"/>
  <c r="DN62" i="67"/>
  <c r="CH62" i="67"/>
  <c r="BR62" i="67"/>
  <c r="FJ54" i="67"/>
  <c r="GP54" i="67"/>
  <c r="FZ54" i="67"/>
  <c r="ET54" i="67"/>
  <c r="ED54" i="67"/>
  <c r="DN54" i="67"/>
  <c r="CX54" i="67"/>
  <c r="CH54" i="67"/>
  <c r="BR54" i="67"/>
  <c r="FJ46" i="67"/>
  <c r="GP46" i="67"/>
  <c r="FZ46" i="67"/>
  <c r="ET46" i="67"/>
  <c r="ED46" i="67"/>
  <c r="CX46" i="67"/>
  <c r="DN46" i="67"/>
  <c r="CH46" i="67"/>
  <c r="BR46" i="67"/>
  <c r="FJ38" i="67"/>
  <c r="GP38" i="67"/>
  <c r="ET38" i="67"/>
  <c r="ED38" i="67"/>
  <c r="DN38" i="67"/>
  <c r="CX38" i="67"/>
  <c r="FZ38" i="67"/>
  <c r="CH38" i="67"/>
  <c r="BR38" i="67"/>
  <c r="FJ30" i="67"/>
  <c r="GP30" i="67"/>
  <c r="FZ30" i="67"/>
  <c r="ET30" i="67"/>
  <c r="ED30" i="67"/>
  <c r="CX30" i="67"/>
  <c r="DN30" i="67"/>
  <c r="CH30" i="67"/>
  <c r="BR30" i="67"/>
  <c r="FJ22" i="67"/>
  <c r="GP22" i="67"/>
  <c r="FZ22" i="67"/>
  <c r="ET22" i="67"/>
  <c r="ED22" i="67"/>
  <c r="DN22" i="67"/>
  <c r="CX22" i="67"/>
  <c r="CH22" i="67"/>
  <c r="BR22" i="67"/>
  <c r="FJ14" i="67"/>
  <c r="GP14" i="67"/>
  <c r="FZ14" i="67"/>
  <c r="ET14" i="67"/>
  <c r="ED14" i="67"/>
  <c r="CX14" i="67"/>
  <c r="DN14" i="67"/>
  <c r="CH14" i="67"/>
  <c r="BR16" i="67"/>
  <c r="BR42" i="67"/>
  <c r="BR103" i="67"/>
  <c r="BR144" i="67"/>
  <c r="BR168" i="67"/>
  <c r="DN182" i="67"/>
  <c r="ET143" i="67"/>
  <c r="ET176" i="67"/>
  <c r="GP176" i="67"/>
  <c r="FZ176" i="67"/>
  <c r="FJ176" i="67"/>
  <c r="ED176" i="67"/>
  <c r="DN176" i="67"/>
  <c r="CX176" i="67"/>
  <c r="CH176" i="67"/>
  <c r="BR176" i="67"/>
  <c r="GP64" i="67"/>
  <c r="FZ64" i="67"/>
  <c r="ET64" i="67"/>
  <c r="DN64" i="67"/>
  <c r="FJ64" i="67"/>
  <c r="CX64" i="67"/>
  <c r="CH64" i="67"/>
  <c r="ED64" i="67"/>
  <c r="FJ189" i="67"/>
  <c r="ET189" i="67"/>
  <c r="GP189" i="67"/>
  <c r="ED189" i="67"/>
  <c r="FZ189" i="67"/>
  <c r="DN189" i="67"/>
  <c r="CX189" i="67"/>
  <c r="BR189" i="67"/>
  <c r="FJ181" i="67"/>
  <c r="ET181" i="67"/>
  <c r="GP181" i="67"/>
  <c r="ED181" i="67"/>
  <c r="DN181" i="67"/>
  <c r="FZ181" i="67"/>
  <c r="CX181" i="67"/>
  <c r="BR181" i="67"/>
  <c r="FJ173" i="67"/>
  <c r="ET173" i="67"/>
  <c r="GP173" i="67"/>
  <c r="ED173" i="67"/>
  <c r="DN173" i="67"/>
  <c r="CX173" i="67"/>
  <c r="FZ173" i="67"/>
  <c r="BR173" i="67"/>
  <c r="FJ165" i="67"/>
  <c r="ET165" i="67"/>
  <c r="GP165" i="67"/>
  <c r="ED165" i="67"/>
  <c r="DN165" i="67"/>
  <c r="CX165" i="67"/>
  <c r="FZ165" i="67"/>
  <c r="BR165" i="67"/>
  <c r="FJ157" i="67"/>
  <c r="ET157" i="67"/>
  <c r="GP157" i="67"/>
  <c r="ED157" i="67"/>
  <c r="FZ157" i="67"/>
  <c r="DN157" i="67"/>
  <c r="CX157" i="67"/>
  <c r="GP149" i="67"/>
  <c r="CX149" i="67"/>
  <c r="FJ141" i="67"/>
  <c r="ET141" i="67"/>
  <c r="GP141" i="67"/>
  <c r="ED141" i="67"/>
  <c r="DN141" i="67"/>
  <c r="FZ141" i="67"/>
  <c r="CX141" i="67"/>
  <c r="FJ133" i="67"/>
  <c r="ET133" i="67"/>
  <c r="GP133" i="67"/>
  <c r="ED133" i="67"/>
  <c r="DN133" i="67"/>
  <c r="FZ133" i="67"/>
  <c r="CX133" i="67"/>
  <c r="FJ125" i="67"/>
  <c r="DN125" i="67"/>
  <c r="FJ117" i="67"/>
  <c r="ET117" i="67"/>
  <c r="GP117" i="67"/>
  <c r="ED117" i="67"/>
  <c r="DN117" i="67"/>
  <c r="FZ117" i="67"/>
  <c r="CX117" i="67"/>
  <c r="FJ101" i="67"/>
  <c r="ET101" i="67"/>
  <c r="GP101" i="67"/>
  <c r="ED101" i="67"/>
  <c r="DN101" i="67"/>
  <c r="FZ101" i="67"/>
  <c r="CX101" i="67"/>
  <c r="FJ93" i="67"/>
  <c r="ET93" i="67"/>
  <c r="GP93" i="67"/>
  <c r="ED93" i="67"/>
  <c r="FZ93" i="67"/>
  <c r="DN93" i="67"/>
  <c r="CX93" i="67"/>
  <c r="FJ85" i="67"/>
  <c r="ET85" i="67"/>
  <c r="GP85" i="67"/>
  <c r="ED85" i="67"/>
  <c r="DN85" i="67"/>
  <c r="FZ85" i="67"/>
  <c r="CX85" i="67"/>
  <c r="FJ77" i="67"/>
  <c r="GP77" i="67"/>
  <c r="ED77" i="67"/>
  <c r="DN77" i="67"/>
  <c r="FZ77" i="67"/>
  <c r="ET77" i="67"/>
  <c r="CX77" i="67"/>
  <c r="FJ69" i="67"/>
  <c r="GP69" i="67"/>
  <c r="ED69" i="67"/>
  <c r="DN69" i="67"/>
  <c r="FZ69" i="67"/>
  <c r="ET69" i="67"/>
  <c r="CX69" i="67"/>
  <c r="FJ61" i="67"/>
  <c r="GP61" i="67"/>
  <c r="ED61" i="67"/>
  <c r="FZ61" i="67"/>
  <c r="DN61" i="67"/>
  <c r="ET61" i="67"/>
  <c r="CX61" i="67"/>
  <c r="GP53" i="67"/>
  <c r="ED53" i="67"/>
  <c r="FJ53" i="67"/>
  <c r="DN53" i="67"/>
  <c r="FZ53" i="67"/>
  <c r="ET53" i="67"/>
  <c r="CX53" i="67"/>
  <c r="GP45" i="67"/>
  <c r="ED45" i="67"/>
  <c r="DN45" i="67"/>
  <c r="FZ45" i="67"/>
  <c r="FJ45" i="67"/>
  <c r="CX45" i="67"/>
  <c r="ET45" i="67"/>
  <c r="GP37" i="67"/>
  <c r="FJ37" i="67"/>
  <c r="ED37" i="67"/>
  <c r="DN37" i="67"/>
  <c r="FZ37" i="67"/>
  <c r="CX37" i="67"/>
  <c r="GP29" i="67"/>
  <c r="ED29" i="67"/>
  <c r="FZ29" i="67"/>
  <c r="DN29" i="67"/>
  <c r="FJ29" i="67"/>
  <c r="CX29" i="67"/>
  <c r="ET29" i="67"/>
  <c r="GP21" i="67"/>
  <c r="ED21" i="67"/>
  <c r="DN21" i="67"/>
  <c r="FZ21" i="67"/>
  <c r="ET21" i="67"/>
  <c r="FJ21" i="67"/>
  <c r="CX21" i="67"/>
  <c r="GP13" i="67"/>
  <c r="ED13" i="67"/>
  <c r="FJ13" i="67"/>
  <c r="DN13" i="67"/>
  <c r="FZ13" i="67"/>
  <c r="ET13" i="67"/>
  <c r="CX13" i="67"/>
  <c r="BR9" i="67"/>
  <c r="BR17" i="67"/>
  <c r="BR31" i="67"/>
  <c r="BR45" i="67"/>
  <c r="BR63" i="67"/>
  <c r="BR85" i="67"/>
  <c r="BR127" i="67"/>
  <c r="BR175" i="67"/>
  <c r="CH53" i="67"/>
  <c r="CH117" i="67"/>
  <c r="CH181" i="67"/>
  <c r="ED16" i="67"/>
  <c r="ET184" i="67"/>
  <c r="GP184" i="67"/>
  <c r="FZ184" i="67"/>
  <c r="FJ184" i="67"/>
  <c r="ED184" i="67"/>
  <c r="DN184" i="67"/>
  <c r="CH184" i="67"/>
  <c r="CX184" i="67"/>
  <c r="BR184" i="67"/>
  <c r="ET128" i="67"/>
  <c r="GP128" i="67"/>
  <c r="FZ128" i="67"/>
  <c r="ED128" i="67"/>
  <c r="DN128" i="67"/>
  <c r="CX128" i="67"/>
  <c r="CH128" i="67"/>
  <c r="FJ128" i="67"/>
  <c r="GP72" i="67"/>
  <c r="FZ72" i="67"/>
  <c r="ET72" i="67"/>
  <c r="FJ72" i="67"/>
  <c r="DN72" i="67"/>
  <c r="ED72" i="67"/>
  <c r="CX72" i="67"/>
  <c r="CH72" i="67"/>
  <c r="GP24" i="67"/>
  <c r="FZ24" i="67"/>
  <c r="ET24" i="67"/>
  <c r="FJ24" i="67"/>
  <c r="DN24" i="67"/>
  <c r="CX24" i="67"/>
  <c r="ED24" i="67"/>
  <c r="CH24" i="67"/>
  <c r="BR96" i="67"/>
  <c r="FZ188" i="67"/>
  <c r="FJ188" i="67"/>
  <c r="ET188" i="67"/>
  <c r="ED188" i="67"/>
  <c r="GP188" i="67"/>
  <c r="DN188" i="67"/>
  <c r="BR188" i="67"/>
  <c r="CX188" i="67"/>
  <c r="CH188" i="67"/>
  <c r="FZ180" i="67"/>
  <c r="FJ180" i="67"/>
  <c r="ET180" i="67"/>
  <c r="ED180" i="67"/>
  <c r="DN180" i="67"/>
  <c r="GP180" i="67"/>
  <c r="BR180" i="67"/>
  <c r="CH180" i="67"/>
  <c r="FZ172" i="67"/>
  <c r="FJ172" i="67"/>
  <c r="ET172" i="67"/>
  <c r="ED172" i="67"/>
  <c r="DN172" i="67"/>
  <c r="BR172" i="67"/>
  <c r="GP172" i="67"/>
  <c r="CX172" i="67"/>
  <c r="CH172" i="67"/>
  <c r="FZ164" i="67"/>
  <c r="FJ164" i="67"/>
  <c r="ET164" i="67"/>
  <c r="GP164" i="67"/>
  <c r="ED164" i="67"/>
  <c r="DN164" i="67"/>
  <c r="BR164" i="67"/>
  <c r="CH164" i="67"/>
  <c r="FZ156" i="67"/>
  <c r="FJ156" i="67"/>
  <c r="ET156" i="67"/>
  <c r="ED156" i="67"/>
  <c r="GP156" i="67"/>
  <c r="DN156" i="67"/>
  <c r="BR156" i="67"/>
  <c r="CX156" i="67"/>
  <c r="CH156" i="67"/>
  <c r="FZ148" i="67"/>
  <c r="FJ148" i="67"/>
  <c r="ET148" i="67"/>
  <c r="ED148" i="67"/>
  <c r="DN148" i="67"/>
  <c r="GP148" i="67"/>
  <c r="BR148" i="67"/>
  <c r="CH148" i="67"/>
  <c r="FZ140" i="67"/>
  <c r="FJ140" i="67"/>
  <c r="ET140" i="67"/>
  <c r="ED140" i="67"/>
  <c r="DN140" i="67"/>
  <c r="BR140" i="67"/>
  <c r="GP140" i="67"/>
  <c r="CX140" i="67"/>
  <c r="CH140" i="67"/>
  <c r="FZ132" i="67"/>
  <c r="FJ132" i="67"/>
  <c r="ET132" i="67"/>
  <c r="GP132" i="67"/>
  <c r="ED132" i="67"/>
  <c r="DN132" i="67"/>
  <c r="BR132" i="67"/>
  <c r="CX132" i="67"/>
  <c r="CH132" i="67"/>
  <c r="FZ124" i="67"/>
  <c r="FJ124" i="67"/>
  <c r="ET124" i="67"/>
  <c r="ED124" i="67"/>
  <c r="GP124" i="67"/>
  <c r="DN124" i="67"/>
  <c r="BR124" i="67"/>
  <c r="CX124" i="67"/>
  <c r="CH124" i="67"/>
  <c r="FZ116" i="67"/>
  <c r="FJ116" i="67"/>
  <c r="ET116" i="67"/>
  <c r="ED116" i="67"/>
  <c r="DN116" i="67"/>
  <c r="GP116" i="67"/>
  <c r="BR116" i="67"/>
  <c r="CX116" i="67"/>
  <c r="CH116" i="67"/>
  <c r="FZ108" i="67"/>
  <c r="FJ108" i="67"/>
  <c r="ET108" i="67"/>
  <c r="ED108" i="67"/>
  <c r="DN108" i="67"/>
  <c r="BR108" i="67"/>
  <c r="GP108" i="67"/>
  <c r="CX108" i="67"/>
  <c r="CH108" i="67"/>
  <c r="FZ100" i="67"/>
  <c r="FJ100" i="67"/>
  <c r="ET100" i="67"/>
  <c r="GP100" i="67"/>
  <c r="DN100" i="67"/>
  <c r="BR100" i="67"/>
  <c r="CX100" i="67"/>
  <c r="ED100" i="67"/>
  <c r="CH100" i="67"/>
  <c r="FZ92" i="67"/>
  <c r="FJ92" i="67"/>
  <c r="ET92" i="67"/>
  <c r="GP92" i="67"/>
  <c r="DN92" i="67"/>
  <c r="BR92" i="67"/>
  <c r="ED92" i="67"/>
  <c r="CX92" i="67"/>
  <c r="CH92" i="67"/>
  <c r="FZ84" i="67"/>
  <c r="FJ84" i="67"/>
  <c r="ET84" i="67"/>
  <c r="DN84" i="67"/>
  <c r="GP84" i="67"/>
  <c r="BR84" i="67"/>
  <c r="ED84" i="67"/>
  <c r="CX84" i="67"/>
  <c r="CH84" i="67"/>
  <c r="FZ76" i="67"/>
  <c r="FJ76" i="67"/>
  <c r="ET76" i="67"/>
  <c r="DN76" i="67"/>
  <c r="ED76" i="67"/>
  <c r="BR76" i="67"/>
  <c r="GP76" i="67"/>
  <c r="CX76" i="67"/>
  <c r="CH76" i="67"/>
  <c r="FZ68" i="67"/>
  <c r="FJ68" i="67"/>
  <c r="GP68" i="67"/>
  <c r="ET68" i="67"/>
  <c r="DN68" i="67"/>
  <c r="BR68" i="67"/>
  <c r="ED68" i="67"/>
  <c r="CX68" i="67"/>
  <c r="CH68" i="67"/>
  <c r="FZ60" i="67"/>
  <c r="FJ60" i="67"/>
  <c r="GP60" i="67"/>
  <c r="ET60" i="67"/>
  <c r="BR60" i="67"/>
  <c r="DN60" i="67"/>
  <c r="CX60" i="67"/>
  <c r="CH60" i="67"/>
  <c r="FZ52" i="67"/>
  <c r="FJ52" i="67"/>
  <c r="GP52" i="67"/>
  <c r="ET52" i="67"/>
  <c r="ED52" i="67"/>
  <c r="DN52" i="67"/>
  <c r="BR52" i="67"/>
  <c r="CX52" i="67"/>
  <c r="CH52" i="67"/>
  <c r="FZ44" i="67"/>
  <c r="FJ44" i="67"/>
  <c r="ET44" i="67"/>
  <c r="BR44" i="67"/>
  <c r="ED44" i="67"/>
  <c r="DN44" i="67"/>
  <c r="CX44" i="67"/>
  <c r="CH44" i="67"/>
  <c r="FZ36" i="67"/>
  <c r="FJ36" i="67"/>
  <c r="GP36" i="67"/>
  <c r="ET36" i="67"/>
  <c r="DN36" i="67"/>
  <c r="BR36" i="67"/>
  <c r="CX36" i="67"/>
  <c r="ED36" i="67"/>
  <c r="CH36" i="67"/>
  <c r="FZ28" i="67"/>
  <c r="FJ28" i="67"/>
  <c r="GP28" i="67"/>
  <c r="ET28" i="67"/>
  <c r="BR28" i="67"/>
  <c r="ED28" i="67"/>
  <c r="DN28" i="67"/>
  <c r="CX28" i="67"/>
  <c r="CH28" i="67"/>
  <c r="FZ20" i="67"/>
  <c r="FJ20" i="67"/>
  <c r="GP20" i="67"/>
  <c r="ET20" i="67"/>
  <c r="DN20" i="67"/>
  <c r="BR20" i="67"/>
  <c r="ED20" i="67"/>
  <c r="CX20" i="67"/>
  <c r="CH20" i="67"/>
  <c r="FZ12" i="67"/>
  <c r="FJ12" i="67"/>
  <c r="ET12" i="67"/>
  <c r="ED12" i="67"/>
  <c r="DN12" i="67"/>
  <c r="CX12" i="67"/>
  <c r="GP12" i="67"/>
  <c r="CH12" i="67"/>
  <c r="BR32" i="67"/>
  <c r="BR47" i="67"/>
  <c r="BR64" i="67"/>
  <c r="BR87" i="67"/>
  <c r="BR128" i="67"/>
  <c r="BR151" i="67"/>
  <c r="BR183" i="67"/>
  <c r="CH61" i="67"/>
  <c r="CH125" i="67"/>
  <c r="CH189" i="67"/>
  <c r="ED39" i="67"/>
  <c r="GP44" i="67"/>
  <c r="ET192" i="67"/>
  <c r="GP192" i="67"/>
  <c r="FZ192" i="67"/>
  <c r="ED192" i="67"/>
  <c r="DN192" i="67"/>
  <c r="CX192" i="67"/>
  <c r="CH192" i="67"/>
  <c r="FJ192" i="67"/>
  <c r="BR192" i="67"/>
  <c r="ET136" i="67"/>
  <c r="GP136" i="67"/>
  <c r="FZ136" i="67"/>
  <c r="FJ136" i="67"/>
  <c r="ED136" i="67"/>
  <c r="DN136" i="67"/>
  <c r="CX136" i="67"/>
  <c r="CH136" i="67"/>
  <c r="ET80" i="67"/>
  <c r="GP80" i="67"/>
  <c r="FZ80" i="67"/>
  <c r="FJ80" i="67"/>
  <c r="DN80" i="67"/>
  <c r="CX80" i="67"/>
  <c r="CH80" i="67"/>
  <c r="FZ171" i="67"/>
  <c r="FJ171" i="67"/>
  <c r="ET171" i="67"/>
  <c r="ED171" i="67"/>
  <c r="DN171" i="67"/>
  <c r="GP171" i="67"/>
  <c r="CH171" i="67"/>
  <c r="BR171" i="67"/>
  <c r="CX171" i="67"/>
  <c r="FZ163" i="67"/>
  <c r="FJ163" i="67"/>
  <c r="ET163" i="67"/>
  <c r="GP163" i="67"/>
  <c r="ED163" i="67"/>
  <c r="DN163" i="67"/>
  <c r="CH163" i="67"/>
  <c r="BR163" i="67"/>
  <c r="CX163" i="67"/>
  <c r="FZ123" i="67"/>
  <c r="FJ123" i="67"/>
  <c r="ET123" i="67"/>
  <c r="ED123" i="67"/>
  <c r="GP123" i="67"/>
  <c r="DN123" i="67"/>
  <c r="CH123" i="67"/>
  <c r="BR123" i="67"/>
  <c r="FZ115" i="67"/>
  <c r="FJ115" i="67"/>
  <c r="ET115" i="67"/>
  <c r="ED115" i="67"/>
  <c r="DN115" i="67"/>
  <c r="GP115" i="67"/>
  <c r="CH115" i="67"/>
  <c r="BR115" i="67"/>
  <c r="FZ107" i="67"/>
  <c r="FJ107" i="67"/>
  <c r="ET107" i="67"/>
  <c r="ED107" i="67"/>
  <c r="DN107" i="67"/>
  <c r="GP107" i="67"/>
  <c r="CH107" i="67"/>
  <c r="BR107" i="67"/>
  <c r="FZ99" i="67"/>
  <c r="FJ99" i="67"/>
  <c r="ET99" i="67"/>
  <c r="GP99" i="67"/>
  <c r="ED99" i="67"/>
  <c r="DN99" i="67"/>
  <c r="CH99" i="67"/>
  <c r="BR99" i="67"/>
  <c r="FZ91" i="67"/>
  <c r="FJ91" i="67"/>
  <c r="ET91" i="67"/>
  <c r="ED91" i="67"/>
  <c r="GP91" i="67"/>
  <c r="DN91" i="67"/>
  <c r="CH91" i="67"/>
  <c r="BR91" i="67"/>
  <c r="FZ83" i="67"/>
  <c r="FJ83" i="67"/>
  <c r="ET83" i="67"/>
  <c r="ED83" i="67"/>
  <c r="DN83" i="67"/>
  <c r="GP83" i="67"/>
  <c r="CH83" i="67"/>
  <c r="BR83" i="67"/>
  <c r="FZ75" i="67"/>
  <c r="FJ75" i="67"/>
  <c r="ET75" i="67"/>
  <c r="ED75" i="67"/>
  <c r="DN75" i="67"/>
  <c r="GP75" i="67"/>
  <c r="CH75" i="67"/>
  <c r="BR75" i="67"/>
  <c r="FZ67" i="67"/>
  <c r="FJ67" i="67"/>
  <c r="ET67" i="67"/>
  <c r="GP67" i="67"/>
  <c r="ED67" i="67"/>
  <c r="DN67" i="67"/>
  <c r="CH67" i="67"/>
  <c r="BR67" i="67"/>
  <c r="FZ59" i="67"/>
  <c r="FJ59" i="67"/>
  <c r="ET59" i="67"/>
  <c r="ED59" i="67"/>
  <c r="GP59" i="67"/>
  <c r="DN59" i="67"/>
  <c r="CH59" i="67"/>
  <c r="BR59" i="67"/>
  <c r="FZ51" i="67"/>
  <c r="FJ51" i="67"/>
  <c r="ET51" i="67"/>
  <c r="ED51" i="67"/>
  <c r="DN51" i="67"/>
  <c r="GP51" i="67"/>
  <c r="CH51" i="67"/>
  <c r="BR51" i="67"/>
  <c r="FZ43" i="67"/>
  <c r="FJ43" i="67"/>
  <c r="ET43" i="67"/>
  <c r="ED43" i="67"/>
  <c r="DN43" i="67"/>
  <c r="GP43" i="67"/>
  <c r="CH43" i="67"/>
  <c r="BR43" i="67"/>
  <c r="FZ35" i="67"/>
  <c r="FJ35" i="67"/>
  <c r="ET35" i="67"/>
  <c r="GP35" i="67"/>
  <c r="ED35" i="67"/>
  <c r="DN35" i="67"/>
  <c r="CH35" i="67"/>
  <c r="BR35" i="67"/>
  <c r="FZ27" i="67"/>
  <c r="FJ27" i="67"/>
  <c r="ET27" i="67"/>
  <c r="ED27" i="67"/>
  <c r="GP27" i="67"/>
  <c r="DN27" i="67"/>
  <c r="CH27" i="67"/>
  <c r="BR27" i="67"/>
  <c r="FZ19" i="67"/>
  <c r="FJ19" i="67"/>
  <c r="ET19" i="67"/>
  <c r="ED19" i="67"/>
  <c r="DN19" i="67"/>
  <c r="GP19" i="67"/>
  <c r="CH19" i="67"/>
  <c r="BR19" i="67"/>
  <c r="FZ11" i="67"/>
  <c r="FJ11" i="67"/>
  <c r="ET11" i="67"/>
  <c r="ED11" i="67"/>
  <c r="DN11" i="67"/>
  <c r="GP11" i="67"/>
  <c r="CH11" i="67"/>
  <c r="BR11" i="67"/>
  <c r="BR21" i="67"/>
  <c r="BR33" i="67"/>
  <c r="BR69" i="67"/>
  <c r="BR88" i="67"/>
  <c r="BR111" i="67"/>
  <c r="BR133" i="67"/>
  <c r="BR152" i="67"/>
  <c r="BR191" i="67"/>
  <c r="CH69" i="67"/>
  <c r="CH133" i="67"/>
  <c r="CX11" i="67"/>
  <c r="CX75" i="67"/>
  <c r="ED60" i="67"/>
  <c r="ET160" i="67"/>
  <c r="GP160" i="67"/>
  <c r="FZ160" i="67"/>
  <c r="ED160" i="67"/>
  <c r="DN160" i="67"/>
  <c r="CX160" i="67"/>
  <c r="CH160" i="67"/>
  <c r="ET104" i="67"/>
  <c r="GP104" i="67"/>
  <c r="FZ104" i="67"/>
  <c r="FJ104" i="67"/>
  <c r="DN104" i="67"/>
  <c r="CX104" i="67"/>
  <c r="CH104" i="67"/>
  <c r="ED104" i="67"/>
  <c r="GP48" i="67"/>
  <c r="FZ48" i="67"/>
  <c r="FJ48" i="67"/>
  <c r="ET48" i="67"/>
  <c r="DN48" i="67"/>
  <c r="CX48" i="67"/>
  <c r="ED48" i="67"/>
  <c r="CH48" i="67"/>
  <c r="BR160" i="67"/>
  <c r="GP186" i="67"/>
  <c r="FZ186" i="67"/>
  <c r="FJ186" i="67"/>
  <c r="ED186" i="67"/>
  <c r="ET186" i="67"/>
  <c r="CX186" i="67"/>
  <c r="CH186" i="67"/>
  <c r="BR186" i="67"/>
  <c r="DN186" i="67"/>
  <c r="GP178" i="67"/>
  <c r="FZ178" i="67"/>
  <c r="FJ178" i="67"/>
  <c r="ET178" i="67"/>
  <c r="ED178" i="67"/>
  <c r="CX178" i="67"/>
  <c r="CH178" i="67"/>
  <c r="BR178" i="67"/>
  <c r="DN178" i="67"/>
  <c r="GP170" i="67"/>
  <c r="FZ170" i="67"/>
  <c r="FJ170" i="67"/>
  <c r="ET170" i="67"/>
  <c r="ED170" i="67"/>
  <c r="CX170" i="67"/>
  <c r="CH170" i="67"/>
  <c r="DN170" i="67"/>
  <c r="BR170" i="67"/>
  <c r="GP162" i="67"/>
  <c r="FZ162" i="67"/>
  <c r="FJ162" i="67"/>
  <c r="ED162" i="67"/>
  <c r="CX162" i="67"/>
  <c r="CH162" i="67"/>
  <c r="BR162" i="67"/>
  <c r="ET162" i="67"/>
  <c r="DN162" i="67"/>
  <c r="ET146" i="67"/>
  <c r="CH146" i="67"/>
  <c r="DN146" i="67"/>
  <c r="GP138" i="67"/>
  <c r="FZ138" i="67"/>
  <c r="FJ138" i="67"/>
  <c r="ED138" i="67"/>
  <c r="ET138" i="67"/>
  <c r="CH138" i="67"/>
  <c r="BR138" i="67"/>
  <c r="CX138" i="67"/>
  <c r="GP130" i="67"/>
  <c r="FZ130" i="67"/>
  <c r="FJ130" i="67"/>
  <c r="ET130" i="67"/>
  <c r="ED130" i="67"/>
  <c r="DN130" i="67"/>
  <c r="CH130" i="67"/>
  <c r="BR130" i="67"/>
  <c r="CX130" i="67"/>
  <c r="GP122" i="67"/>
  <c r="FZ122" i="67"/>
  <c r="FJ122" i="67"/>
  <c r="ED122" i="67"/>
  <c r="ET122" i="67"/>
  <c r="CH122" i="67"/>
  <c r="BR122" i="67"/>
  <c r="DN122" i="67"/>
  <c r="CX122" i="67"/>
  <c r="GP114" i="67"/>
  <c r="FZ114" i="67"/>
  <c r="FJ114" i="67"/>
  <c r="ET114" i="67"/>
  <c r="ED114" i="67"/>
  <c r="CH114" i="67"/>
  <c r="BR114" i="67"/>
  <c r="DN114" i="67"/>
  <c r="CX114" i="67"/>
  <c r="GP106" i="67"/>
  <c r="FZ106" i="67"/>
  <c r="FJ106" i="67"/>
  <c r="ET106" i="67"/>
  <c r="ED106" i="67"/>
  <c r="CH106" i="67"/>
  <c r="DN106" i="67"/>
  <c r="BR106" i="67"/>
  <c r="CX106" i="67"/>
  <c r="GP98" i="67"/>
  <c r="FZ98" i="67"/>
  <c r="FJ98" i="67"/>
  <c r="ED98" i="67"/>
  <c r="ET98" i="67"/>
  <c r="CH98" i="67"/>
  <c r="BR98" i="67"/>
  <c r="DN98" i="67"/>
  <c r="CX98" i="67"/>
  <c r="GP90" i="67"/>
  <c r="FZ90" i="67"/>
  <c r="FJ90" i="67"/>
  <c r="ET90" i="67"/>
  <c r="ED90" i="67"/>
  <c r="DN90" i="67"/>
  <c r="CH90" i="67"/>
  <c r="BR90" i="67"/>
  <c r="CX90" i="67"/>
  <c r="GP82" i="67"/>
  <c r="FZ82" i="67"/>
  <c r="FJ82" i="67"/>
  <c r="ED82" i="67"/>
  <c r="ET82" i="67"/>
  <c r="CH82" i="67"/>
  <c r="DN82" i="67"/>
  <c r="BR82" i="67"/>
  <c r="CX82" i="67"/>
  <c r="GP74" i="67"/>
  <c r="FZ74" i="67"/>
  <c r="FJ74" i="67"/>
  <c r="ET74" i="67"/>
  <c r="ED74" i="67"/>
  <c r="CH74" i="67"/>
  <c r="BR74" i="67"/>
  <c r="CX74" i="67"/>
  <c r="GP66" i="67"/>
  <c r="FZ66" i="67"/>
  <c r="FJ66" i="67"/>
  <c r="ET66" i="67"/>
  <c r="ED66" i="67"/>
  <c r="CH66" i="67"/>
  <c r="DN66" i="67"/>
  <c r="BR66" i="67"/>
  <c r="CX66" i="67"/>
  <c r="GP58" i="67"/>
  <c r="FZ58" i="67"/>
  <c r="FJ58" i="67"/>
  <c r="ET58" i="67"/>
  <c r="ED58" i="67"/>
  <c r="CH58" i="67"/>
  <c r="BR58" i="67"/>
  <c r="CX58" i="67"/>
  <c r="GP50" i="67"/>
  <c r="FZ50" i="67"/>
  <c r="FJ50" i="67"/>
  <c r="ET50" i="67"/>
  <c r="ED50" i="67"/>
  <c r="CH50" i="67"/>
  <c r="DN50" i="67"/>
  <c r="CX50" i="67"/>
  <c r="GP42" i="67"/>
  <c r="FZ42" i="67"/>
  <c r="FJ42" i="67"/>
  <c r="ET42" i="67"/>
  <c r="ED42" i="67"/>
  <c r="CH42" i="67"/>
  <c r="CX42" i="67"/>
  <c r="GP34" i="67"/>
  <c r="FZ34" i="67"/>
  <c r="FJ34" i="67"/>
  <c r="ET34" i="67"/>
  <c r="ED34" i="67"/>
  <c r="CH34" i="67"/>
  <c r="DN34" i="67"/>
  <c r="CX34" i="67"/>
  <c r="GP26" i="67"/>
  <c r="FZ26" i="67"/>
  <c r="FJ26" i="67"/>
  <c r="ET26" i="67"/>
  <c r="ED26" i="67"/>
  <c r="CH26" i="67"/>
  <c r="CX26" i="67"/>
  <c r="GP18" i="67"/>
  <c r="FZ18" i="67"/>
  <c r="FJ18" i="67"/>
  <c r="ET18" i="67"/>
  <c r="ED18" i="67"/>
  <c r="CH18" i="67"/>
  <c r="DN18" i="67"/>
  <c r="CX18" i="67"/>
  <c r="GP10" i="67"/>
  <c r="FZ10" i="67"/>
  <c r="FJ10" i="67"/>
  <c r="ET10" i="67"/>
  <c r="ED10" i="67"/>
  <c r="CH10" i="67"/>
  <c r="CX10" i="67"/>
  <c r="BR12" i="67"/>
  <c r="BR23" i="67"/>
  <c r="BR34" i="67"/>
  <c r="BR50" i="67"/>
  <c r="BR71" i="67"/>
  <c r="BR93" i="67"/>
  <c r="BR112" i="67"/>
  <c r="BR135" i="67"/>
  <c r="BR157" i="67"/>
  <c r="CH13" i="67"/>
  <c r="CH77" i="67"/>
  <c r="CH141" i="67"/>
  <c r="CX19" i="67"/>
  <c r="CX83" i="67"/>
  <c r="CX148" i="67"/>
  <c r="DN97" i="67"/>
  <c r="ED80" i="67"/>
  <c r="FJ120" i="67" l="1"/>
  <c r="BR187" i="67"/>
  <c r="DN187" i="67"/>
  <c r="FZ131" i="67"/>
  <c r="FZ139" i="67"/>
  <c r="DN179" i="67"/>
  <c r="CH131" i="67"/>
  <c r="ET179" i="67"/>
  <c r="BR131" i="67"/>
  <c r="ED179" i="67"/>
  <c r="DN131" i="67"/>
  <c r="FJ179" i="67"/>
  <c r="ED131" i="67"/>
  <c r="CX179" i="67"/>
  <c r="FZ179" i="67"/>
  <c r="GP131" i="67"/>
  <c r="BR179" i="67"/>
  <c r="ET131" i="67"/>
  <c r="CH179" i="67"/>
  <c r="GP179" i="67"/>
  <c r="FJ139" i="67"/>
  <c r="BR139" i="67"/>
  <c r="CH139" i="67"/>
  <c r="GP139" i="67"/>
  <c r="CX139" i="67"/>
  <c r="DN139" i="67"/>
  <c r="ED139" i="67"/>
  <c r="ET139" i="67"/>
  <c r="CX131" i="67"/>
  <c r="BB131" i="67"/>
  <c r="CH109" i="67"/>
  <c r="BB109" i="67"/>
  <c r="BR125" i="67"/>
  <c r="BB125" i="67"/>
  <c r="BR117" i="67"/>
  <c r="BB117" i="67"/>
  <c r="ET155" i="67"/>
  <c r="BB155" i="67"/>
  <c r="CH149" i="67"/>
  <c r="BB149" i="67"/>
  <c r="CX107" i="67"/>
  <c r="BB107" i="67"/>
  <c r="BR149" i="67"/>
  <c r="GP187" i="67"/>
  <c r="ED187" i="67"/>
  <c r="ED154" i="67"/>
  <c r="FZ155" i="67"/>
  <c r="CH187" i="67"/>
  <c r="ET149" i="67"/>
  <c r="CX155" i="67"/>
  <c r="FJ149" i="67"/>
  <c r="ED120" i="67"/>
  <c r="BR120" i="67"/>
  <c r="DN8" i="67"/>
  <c r="ET187" i="67"/>
  <c r="FZ149" i="67"/>
  <c r="FJ187" i="67"/>
  <c r="DN149" i="67"/>
  <c r="CX187" i="67"/>
  <c r="FZ187" i="67"/>
  <c r="ED149" i="67"/>
  <c r="ED147" i="67"/>
  <c r="ET147" i="67"/>
  <c r="FJ147" i="67"/>
  <c r="CX147" i="67"/>
  <c r="FZ147" i="67"/>
  <c r="BR147" i="67"/>
  <c r="CH147" i="67"/>
  <c r="GP147" i="67"/>
  <c r="DN147" i="67"/>
  <c r="GP109" i="67"/>
  <c r="ET154" i="67"/>
  <c r="CX154" i="67"/>
  <c r="FJ155" i="67"/>
  <c r="FZ8" i="67"/>
  <c r="FJ154" i="67"/>
  <c r="ET8" i="67"/>
  <c r="CH155" i="67"/>
  <c r="GP120" i="67"/>
  <c r="GP8" i="67"/>
  <c r="FZ154" i="67"/>
  <c r="DN155" i="67"/>
  <c r="BR154" i="67"/>
  <c r="GP154" i="67"/>
  <c r="GP155" i="67"/>
  <c r="BR155" i="67"/>
  <c r="CH154" i="67"/>
  <c r="ED155" i="67"/>
  <c r="DN154" i="67"/>
  <c r="CX146" i="67"/>
  <c r="FJ8" i="67"/>
  <c r="FJ109" i="67"/>
  <c r="CX125" i="67"/>
  <c r="FZ120" i="67"/>
  <c r="ET109" i="67"/>
  <c r="ED146" i="67"/>
  <c r="CX109" i="67"/>
  <c r="FZ125" i="67"/>
  <c r="ET120" i="67"/>
  <c r="FJ146" i="67"/>
  <c r="CH8" i="67"/>
  <c r="FZ109" i="67"/>
  <c r="ED125" i="67"/>
  <c r="CH120" i="67"/>
  <c r="FZ146" i="67"/>
  <c r="CX8" i="67"/>
  <c r="BR109" i="67"/>
  <c r="DN109" i="67"/>
  <c r="GP125" i="67"/>
  <c r="CX120" i="67"/>
  <c r="BR146" i="67"/>
  <c r="GP146" i="67"/>
  <c r="ED8" i="67"/>
  <c r="ED109" i="67"/>
  <c r="ET125" i="67"/>
  <c r="DN120" i="67"/>
  <c r="BR8" i="67"/>
  <c r="F9" i="62"/>
  <c r="F10" i="62"/>
  <c r="F11" i="62"/>
  <c r="F12" i="62"/>
  <c r="F13" i="62"/>
  <c r="F14" i="62"/>
  <c r="F15" i="62"/>
  <c r="F16" i="62"/>
  <c r="F17" i="62"/>
  <c r="F18" i="62"/>
  <c r="F19" i="62"/>
  <c r="F20" i="62"/>
  <c r="F21" i="62"/>
  <c r="F22" i="62"/>
  <c r="F23" i="62"/>
  <c r="F24" i="62"/>
  <c r="F25" i="62"/>
  <c r="F26" i="62"/>
  <c r="F27" i="62"/>
  <c r="F28" i="62"/>
  <c r="F29" i="62"/>
  <c r="F30" i="62"/>
  <c r="F31" i="62"/>
  <c r="F32" i="62"/>
  <c r="F33" i="62"/>
  <c r="F34" i="62"/>
  <c r="F35" i="62"/>
  <c r="F36" i="62"/>
  <c r="F37" i="62"/>
  <c r="F38" i="62"/>
  <c r="F39" i="62"/>
  <c r="F40" i="62"/>
  <c r="F41" i="62"/>
  <c r="F42" i="62"/>
  <c r="F43" i="62"/>
  <c r="F44" i="62"/>
  <c r="F45" i="62"/>
  <c r="F46" i="62"/>
  <c r="F47" i="62"/>
  <c r="F48" i="62"/>
  <c r="F49" i="62"/>
  <c r="F50" i="62"/>
  <c r="F51" i="62"/>
  <c r="F52" i="62"/>
  <c r="F53" i="62"/>
  <c r="F54" i="62"/>
  <c r="F55" i="62"/>
  <c r="F56" i="62"/>
  <c r="F57" i="62"/>
  <c r="F58" i="62"/>
  <c r="F59" i="62"/>
  <c r="F60" i="62"/>
  <c r="F61" i="62"/>
  <c r="F62" i="62"/>
  <c r="F63" i="62"/>
  <c r="F64" i="62"/>
  <c r="F65" i="62"/>
  <c r="F66" i="62"/>
  <c r="F67" i="62"/>
  <c r="F68" i="62"/>
  <c r="F69" i="62"/>
  <c r="F70" i="62"/>
  <c r="F71" i="62"/>
  <c r="F72" i="62"/>
  <c r="F73" i="62"/>
  <c r="F74" i="62"/>
  <c r="F75" i="62"/>
  <c r="F76" i="62"/>
  <c r="F77" i="62"/>
  <c r="F78" i="62"/>
  <c r="F79" i="62"/>
  <c r="F80" i="62"/>
  <c r="F81" i="62"/>
  <c r="F82" i="62"/>
  <c r="F83" i="62"/>
  <c r="F84" i="62"/>
  <c r="F85" i="62"/>
  <c r="F86" i="62"/>
  <c r="F87" i="62"/>
  <c r="F88" i="62"/>
  <c r="F89" i="62"/>
  <c r="F90" i="62"/>
  <c r="F91" i="62"/>
  <c r="F92" i="62"/>
  <c r="F93" i="62"/>
  <c r="F94" i="62"/>
  <c r="F95" i="62"/>
  <c r="F96" i="62"/>
  <c r="F97" i="62"/>
  <c r="F98" i="62"/>
  <c r="F99" i="62"/>
  <c r="F100" i="62"/>
  <c r="F101" i="62"/>
  <c r="F102" i="62"/>
  <c r="F103" i="62"/>
  <c r="F104" i="62"/>
  <c r="F105" i="62"/>
  <c r="F106" i="62"/>
  <c r="F107" i="62"/>
  <c r="F108" i="62"/>
  <c r="F109" i="62"/>
  <c r="F110" i="62"/>
  <c r="F111" i="62"/>
  <c r="F112" i="62"/>
  <c r="F113" i="62"/>
  <c r="F114" i="62"/>
  <c r="F115" i="62"/>
  <c r="F116" i="62"/>
  <c r="F117" i="62"/>
  <c r="F118" i="62"/>
  <c r="F119" i="62"/>
  <c r="F120" i="62"/>
  <c r="F121" i="62"/>
  <c r="F122" i="62"/>
  <c r="F123" i="62"/>
  <c r="F124" i="62"/>
  <c r="F125" i="62"/>
  <c r="F126" i="62"/>
  <c r="F127" i="62"/>
  <c r="F128" i="62"/>
  <c r="F129" i="62"/>
  <c r="F130" i="62"/>
  <c r="F131" i="62"/>
  <c r="F132" i="62"/>
  <c r="F133" i="62"/>
  <c r="F134" i="62"/>
  <c r="F135" i="62"/>
  <c r="F136" i="62"/>
  <c r="F137" i="62"/>
  <c r="F138" i="62"/>
  <c r="F139" i="62"/>
  <c r="F140" i="62"/>
  <c r="F141" i="62"/>
  <c r="F142" i="62"/>
  <c r="F143" i="62"/>
  <c r="F144" i="62"/>
  <c r="F145" i="62"/>
  <c r="F146" i="62"/>
  <c r="F147" i="62"/>
  <c r="F148" i="62"/>
  <c r="F149" i="62"/>
  <c r="F150" i="62"/>
  <c r="F151" i="62"/>
  <c r="F152" i="62"/>
  <c r="F153" i="62"/>
  <c r="F154" i="62"/>
  <c r="F155" i="62"/>
  <c r="F156" i="62"/>
  <c r="F157" i="62"/>
  <c r="F158" i="62"/>
  <c r="F159" i="62"/>
  <c r="F160" i="62"/>
  <c r="F161" i="62"/>
  <c r="F162" i="62"/>
  <c r="F163" i="62"/>
  <c r="F164" i="62"/>
  <c r="F165" i="62"/>
  <c r="F166" i="62"/>
  <c r="F167" i="62"/>
  <c r="F168" i="62"/>
  <c r="F169" i="62"/>
  <c r="F170" i="62"/>
  <c r="F171" i="62"/>
  <c r="F172" i="62"/>
  <c r="F173" i="62"/>
  <c r="F174" i="62"/>
  <c r="F175" i="62"/>
  <c r="F176" i="62"/>
  <c r="F177" i="62"/>
  <c r="F178" i="62"/>
  <c r="F179" i="62"/>
  <c r="F180" i="62"/>
  <c r="F181" i="62"/>
  <c r="F182" i="62"/>
  <c r="F183" i="62"/>
  <c r="F184" i="62"/>
  <c r="F185" i="62"/>
  <c r="F186" i="62"/>
  <c r="F187" i="62"/>
  <c r="F188" i="62"/>
  <c r="F189" i="62"/>
  <c r="F190" i="62"/>
  <c r="F191" i="62"/>
  <c r="F192" i="62"/>
  <c r="F193" i="62"/>
  <c r="F8" i="62"/>
  <c r="GM9" i="67" l="1"/>
  <c r="GM10" i="67"/>
  <c r="GM11" i="67"/>
  <c r="GM12" i="67"/>
  <c r="GM13" i="67"/>
  <c r="GM14" i="67"/>
  <c r="GM15" i="67"/>
  <c r="GM16" i="67"/>
  <c r="GM17" i="67"/>
  <c r="GM18" i="67"/>
  <c r="GM19" i="67"/>
  <c r="GM20" i="67"/>
  <c r="GM21" i="67"/>
  <c r="GM22" i="67"/>
  <c r="GM23" i="67"/>
  <c r="GM25" i="67"/>
  <c r="GM26" i="67"/>
  <c r="GM27" i="67"/>
  <c r="GM28" i="67"/>
  <c r="GM29" i="67"/>
  <c r="GM31" i="67"/>
  <c r="GM32" i="67"/>
  <c r="GM33" i="67"/>
  <c r="GM34" i="67"/>
  <c r="GM35" i="67"/>
  <c r="GM36" i="67"/>
  <c r="GM37" i="67"/>
  <c r="GM38" i="67"/>
  <c r="GM39" i="67"/>
  <c r="GM40" i="67"/>
  <c r="GM41" i="67"/>
  <c r="GM42" i="67"/>
  <c r="GM43" i="67"/>
  <c r="GM44" i="67"/>
  <c r="GM45" i="67"/>
  <c r="GM46" i="67"/>
  <c r="GM47" i="67"/>
  <c r="GM49" i="67"/>
  <c r="GM50" i="67"/>
  <c r="GM51" i="67"/>
  <c r="GM52" i="67"/>
  <c r="GM53" i="67"/>
  <c r="GM54" i="67"/>
  <c r="GM55" i="67"/>
  <c r="GM56" i="67"/>
  <c r="GM57" i="67"/>
  <c r="GM58" i="67"/>
  <c r="GM59" i="67"/>
  <c r="GM60" i="67"/>
  <c r="GM61" i="67"/>
  <c r="GM62" i="67"/>
  <c r="GM63" i="67"/>
  <c r="GM64" i="67"/>
  <c r="GM65" i="67"/>
  <c r="GM66" i="67"/>
  <c r="GM67" i="67"/>
  <c r="GM68" i="67"/>
  <c r="GM69" i="67"/>
  <c r="GM70" i="67"/>
  <c r="GM71" i="67"/>
  <c r="GM72" i="67"/>
  <c r="GM73" i="67"/>
  <c r="GM74" i="67"/>
  <c r="GM75" i="67"/>
  <c r="GM76" i="67"/>
  <c r="GM77" i="67"/>
  <c r="GM78" i="67"/>
  <c r="GM79" i="67"/>
  <c r="GM80" i="67"/>
  <c r="GM81" i="67"/>
  <c r="GM82" i="67"/>
  <c r="GM84" i="67"/>
  <c r="GM85" i="67"/>
  <c r="GM86" i="67"/>
  <c r="GM87" i="67"/>
  <c r="GM88" i="67"/>
  <c r="GM89" i="67"/>
  <c r="GM90" i="67"/>
  <c r="GM91" i="67"/>
  <c r="GM92" i="67"/>
  <c r="GM93" i="67"/>
  <c r="GM94" i="67"/>
  <c r="GM95" i="67"/>
  <c r="GM96" i="67"/>
  <c r="GM97" i="67"/>
  <c r="GM98" i="67"/>
  <c r="GM99" i="67"/>
  <c r="GM100" i="67"/>
  <c r="GM101" i="67"/>
  <c r="GM102" i="67"/>
  <c r="GM103" i="67"/>
  <c r="GM104" i="67"/>
  <c r="GM105" i="67"/>
  <c r="GM106" i="67"/>
  <c r="GM107" i="67"/>
  <c r="GM108" i="67"/>
  <c r="GM109" i="67"/>
  <c r="GM111" i="67"/>
  <c r="GM112" i="67"/>
  <c r="GM113" i="67"/>
  <c r="GM114" i="67"/>
  <c r="GM115" i="67"/>
  <c r="GM116" i="67"/>
  <c r="GM117" i="67"/>
  <c r="GM118" i="67"/>
  <c r="GM119" i="67"/>
  <c r="GM120" i="67"/>
  <c r="GM121" i="67"/>
  <c r="GM122" i="67"/>
  <c r="GM123" i="67"/>
  <c r="GM124" i="67"/>
  <c r="GM125" i="67"/>
  <c r="GM126" i="67"/>
  <c r="GM127" i="67"/>
  <c r="GM128" i="67"/>
  <c r="GM129" i="67"/>
  <c r="GM130" i="67"/>
  <c r="GM131" i="67"/>
  <c r="GM132" i="67"/>
  <c r="GM133" i="67"/>
  <c r="GM134" i="67"/>
  <c r="GM135" i="67"/>
  <c r="GM136" i="67"/>
  <c r="GM137" i="67"/>
  <c r="GM138" i="67"/>
  <c r="GM139" i="67"/>
  <c r="GM140" i="67"/>
  <c r="GM141" i="67"/>
  <c r="GM142" i="67"/>
  <c r="GM143" i="67"/>
  <c r="GM144" i="67"/>
  <c r="GM145" i="67"/>
  <c r="GM146" i="67"/>
  <c r="GM147" i="67"/>
  <c r="GM148" i="67"/>
  <c r="GM149" i="67"/>
  <c r="GM150" i="67"/>
  <c r="GM151" i="67"/>
  <c r="GM191" i="67"/>
  <c r="GM192" i="67"/>
  <c r="GM152" i="67"/>
  <c r="GM153" i="67"/>
  <c r="GM154" i="67"/>
  <c r="GM155" i="67"/>
  <c r="GM156" i="67"/>
  <c r="GM157" i="67"/>
  <c r="GM159" i="67"/>
  <c r="GM160" i="67"/>
  <c r="GM161" i="67"/>
  <c r="GM162" i="67"/>
  <c r="GM163" i="67"/>
  <c r="GM164" i="67"/>
  <c r="GM165" i="67"/>
  <c r="GM166" i="67"/>
  <c r="GM167" i="67"/>
  <c r="GM168" i="67"/>
  <c r="GM169" i="67"/>
  <c r="GM170" i="67"/>
  <c r="GM171" i="67"/>
  <c r="GM172" i="67"/>
  <c r="GM173" i="67"/>
  <c r="GM174" i="67"/>
  <c r="GM175" i="67"/>
  <c r="GM176" i="67"/>
  <c r="GM177" i="67"/>
  <c r="GM178" i="67"/>
  <c r="GM179" i="67"/>
  <c r="GM180" i="67"/>
  <c r="GM181" i="67"/>
  <c r="GM182" i="67"/>
  <c r="GM183" i="67"/>
  <c r="GM184" i="67"/>
  <c r="GM185" i="67"/>
  <c r="GM186" i="67"/>
  <c r="GM187" i="67"/>
  <c r="GM188" i="67"/>
  <c r="GM189" i="67"/>
  <c r="GM190" i="67"/>
  <c r="GM193" i="67"/>
  <c r="GM194" i="67"/>
  <c r="GM195" i="67"/>
  <c r="GM8" i="67"/>
  <c r="FW9" i="67"/>
  <c r="FW10" i="67"/>
  <c r="FW11" i="67"/>
  <c r="FW12" i="67"/>
  <c r="FW13" i="67"/>
  <c r="FW14" i="67"/>
  <c r="FW15" i="67"/>
  <c r="FW16" i="67"/>
  <c r="FW17" i="67"/>
  <c r="FW18" i="67"/>
  <c r="FW19" i="67"/>
  <c r="FW20" i="67"/>
  <c r="FW21" i="67"/>
  <c r="FW22" i="67"/>
  <c r="FW23" i="67"/>
  <c r="FW25" i="67"/>
  <c r="FW26" i="67"/>
  <c r="FW27" i="67"/>
  <c r="FW28" i="67"/>
  <c r="FW29" i="67"/>
  <c r="FW31" i="67"/>
  <c r="FW32" i="67"/>
  <c r="FW33" i="67"/>
  <c r="FW34" i="67"/>
  <c r="FW35" i="67"/>
  <c r="FW36" i="67"/>
  <c r="FW37" i="67"/>
  <c r="FW38" i="67"/>
  <c r="FW39" i="67"/>
  <c r="FW40" i="67"/>
  <c r="FW41" i="67"/>
  <c r="FW42" i="67"/>
  <c r="FW43" i="67"/>
  <c r="FW44" i="67"/>
  <c r="FW45" i="67"/>
  <c r="FW46" i="67"/>
  <c r="FW47" i="67"/>
  <c r="FW49" i="67"/>
  <c r="FW50" i="67"/>
  <c r="FW51" i="67"/>
  <c r="FW52" i="67"/>
  <c r="FW53" i="67"/>
  <c r="FW54" i="67"/>
  <c r="FW55" i="67"/>
  <c r="FW56" i="67"/>
  <c r="FW57" i="67"/>
  <c r="FW58" i="67"/>
  <c r="FW59" i="67"/>
  <c r="FW60" i="67"/>
  <c r="FW61" i="67"/>
  <c r="FW62" i="67"/>
  <c r="FW63" i="67"/>
  <c r="FW64" i="67"/>
  <c r="FW65" i="67"/>
  <c r="FW66" i="67"/>
  <c r="FW67" i="67"/>
  <c r="FW68" i="67"/>
  <c r="FW69" i="67"/>
  <c r="FW70" i="67"/>
  <c r="FW71" i="67"/>
  <c r="FW72" i="67"/>
  <c r="FW73" i="67"/>
  <c r="FW74" i="67"/>
  <c r="FW75" i="67"/>
  <c r="FW76" i="67"/>
  <c r="FW77" i="67"/>
  <c r="FW78" i="67"/>
  <c r="FW79" i="67"/>
  <c r="FW80" i="67"/>
  <c r="FW81" i="67"/>
  <c r="FW82" i="67"/>
  <c r="FW84" i="67"/>
  <c r="FW85" i="67"/>
  <c r="FW86" i="67"/>
  <c r="FW87" i="67"/>
  <c r="FW88" i="67"/>
  <c r="FW89" i="67"/>
  <c r="FW90" i="67"/>
  <c r="FW91" i="67"/>
  <c r="FW92" i="67"/>
  <c r="FW93" i="67"/>
  <c r="FW94" i="67"/>
  <c r="FW95" i="67"/>
  <c r="FW96" i="67"/>
  <c r="FW97" i="67"/>
  <c r="FW98" i="67"/>
  <c r="FW99" i="67"/>
  <c r="FW100" i="67"/>
  <c r="FW101" i="67"/>
  <c r="FW102" i="67"/>
  <c r="FW103" i="67"/>
  <c r="FW104" i="67"/>
  <c r="FW105" i="67"/>
  <c r="FW106" i="67"/>
  <c r="FW107" i="67"/>
  <c r="FW108" i="67"/>
  <c r="FW109" i="67"/>
  <c r="FW111" i="67"/>
  <c r="FW112" i="67"/>
  <c r="FW113" i="67"/>
  <c r="FW114" i="67"/>
  <c r="FW115" i="67"/>
  <c r="FW116" i="67"/>
  <c r="FW117" i="67"/>
  <c r="FW118" i="67"/>
  <c r="FW119" i="67"/>
  <c r="FW120" i="67"/>
  <c r="FW121" i="67"/>
  <c r="FW122" i="67"/>
  <c r="FW123" i="67"/>
  <c r="FW124" i="67"/>
  <c r="FW125" i="67"/>
  <c r="FW126" i="67"/>
  <c r="FW127" i="67"/>
  <c r="FW128" i="67"/>
  <c r="FW129" i="67"/>
  <c r="FW130" i="67"/>
  <c r="FW131" i="67"/>
  <c r="FW132" i="67"/>
  <c r="FW133" i="67"/>
  <c r="FW134" i="67"/>
  <c r="FW135" i="67"/>
  <c r="FW136" i="67"/>
  <c r="FW137" i="67"/>
  <c r="FW138" i="67"/>
  <c r="FW139" i="67"/>
  <c r="FW140" i="67"/>
  <c r="FW141" i="67"/>
  <c r="FW142" i="67"/>
  <c r="FW143" i="67"/>
  <c r="FW144" i="67"/>
  <c r="FW145" i="67"/>
  <c r="FW146" i="67"/>
  <c r="FW147" i="67"/>
  <c r="FW148" i="67"/>
  <c r="FW149" i="67"/>
  <c r="FW150" i="67"/>
  <c r="FW151" i="67"/>
  <c r="FW191" i="67"/>
  <c r="FW192" i="67"/>
  <c r="FW152" i="67"/>
  <c r="FW153" i="67"/>
  <c r="FW154" i="67"/>
  <c r="FW155" i="67"/>
  <c r="FW156" i="67"/>
  <c r="FW157" i="67"/>
  <c r="FW159" i="67"/>
  <c r="FW160" i="67"/>
  <c r="FW161" i="67"/>
  <c r="FW162" i="67"/>
  <c r="FW163" i="67"/>
  <c r="FW164" i="67"/>
  <c r="FW165" i="67"/>
  <c r="FW166" i="67"/>
  <c r="FW167" i="67"/>
  <c r="FW168" i="67"/>
  <c r="FW169" i="67"/>
  <c r="FW170" i="67"/>
  <c r="FW171" i="67"/>
  <c r="FW172" i="67"/>
  <c r="FW173" i="67"/>
  <c r="FW174" i="67"/>
  <c r="FW175" i="67"/>
  <c r="FW176" i="67"/>
  <c r="FW177" i="67"/>
  <c r="FW178" i="67"/>
  <c r="FW179" i="67"/>
  <c r="FW180" i="67"/>
  <c r="FW181" i="67"/>
  <c r="FW182" i="67"/>
  <c r="FW183" i="67"/>
  <c r="FW184" i="67"/>
  <c r="FW185" i="67"/>
  <c r="FW186" i="67"/>
  <c r="FW187" i="67"/>
  <c r="FW188" i="67"/>
  <c r="FW189" i="67"/>
  <c r="FW190" i="67"/>
  <c r="FW193" i="67"/>
  <c r="FW194" i="67"/>
  <c r="FW195" i="67"/>
  <c r="FW8" i="67"/>
  <c r="FG9" i="67"/>
  <c r="FG10" i="67"/>
  <c r="FG11" i="67"/>
  <c r="FG12" i="67"/>
  <c r="FG13" i="67"/>
  <c r="FG14" i="67"/>
  <c r="FG15" i="67"/>
  <c r="FG16" i="67"/>
  <c r="FG17" i="67"/>
  <c r="FG18" i="67"/>
  <c r="FG19" i="67"/>
  <c r="FG20" i="67"/>
  <c r="FG21" i="67"/>
  <c r="FG22" i="67"/>
  <c r="FG23" i="67"/>
  <c r="FG25" i="67"/>
  <c r="FG26" i="67"/>
  <c r="FG27" i="67"/>
  <c r="FG28" i="67"/>
  <c r="FG29" i="67"/>
  <c r="FG31" i="67"/>
  <c r="FG32" i="67"/>
  <c r="FG33" i="67"/>
  <c r="FG34" i="67"/>
  <c r="FG35" i="67"/>
  <c r="FG36" i="67"/>
  <c r="FG37" i="67"/>
  <c r="FG38" i="67"/>
  <c r="FG39" i="67"/>
  <c r="FG40" i="67"/>
  <c r="FG41" i="67"/>
  <c r="FG42" i="67"/>
  <c r="FG43" i="67"/>
  <c r="FG44" i="67"/>
  <c r="FG45" i="67"/>
  <c r="FG46" i="67"/>
  <c r="FG47" i="67"/>
  <c r="FG49" i="67"/>
  <c r="FG50" i="67"/>
  <c r="FG51" i="67"/>
  <c r="FG52" i="67"/>
  <c r="FG53" i="67"/>
  <c r="FG54" i="67"/>
  <c r="FG55" i="67"/>
  <c r="FG56" i="67"/>
  <c r="FG57" i="67"/>
  <c r="FG58" i="67"/>
  <c r="FG59" i="67"/>
  <c r="FG60" i="67"/>
  <c r="FG61" i="67"/>
  <c r="FG62" i="67"/>
  <c r="FG63" i="67"/>
  <c r="FG64" i="67"/>
  <c r="FG65" i="67"/>
  <c r="FG66" i="67"/>
  <c r="FG67" i="67"/>
  <c r="FG68" i="67"/>
  <c r="FG69" i="67"/>
  <c r="FG70" i="67"/>
  <c r="FG71" i="67"/>
  <c r="FG72" i="67"/>
  <c r="FG73" i="67"/>
  <c r="FG74" i="67"/>
  <c r="FG75" i="67"/>
  <c r="FG76" i="67"/>
  <c r="FG77" i="67"/>
  <c r="FG78" i="67"/>
  <c r="FG79" i="67"/>
  <c r="FG80" i="67"/>
  <c r="FG81" i="67"/>
  <c r="FG82" i="67"/>
  <c r="FG84" i="67"/>
  <c r="FG85" i="67"/>
  <c r="FG86" i="67"/>
  <c r="FG87" i="67"/>
  <c r="FG88" i="67"/>
  <c r="FG89" i="67"/>
  <c r="FG90" i="67"/>
  <c r="FG91" i="67"/>
  <c r="FG92" i="67"/>
  <c r="FG93" i="67"/>
  <c r="FG94" i="67"/>
  <c r="FG95" i="67"/>
  <c r="FG96" i="67"/>
  <c r="FG97" i="67"/>
  <c r="FG98" i="67"/>
  <c r="FG99" i="67"/>
  <c r="FG100" i="67"/>
  <c r="FG101" i="67"/>
  <c r="FG102" i="67"/>
  <c r="FG103" i="67"/>
  <c r="FG104" i="67"/>
  <c r="FG105" i="67"/>
  <c r="FG106" i="67"/>
  <c r="FG107" i="67"/>
  <c r="FG108" i="67"/>
  <c r="FG109" i="67"/>
  <c r="FG111" i="67"/>
  <c r="FG112" i="67"/>
  <c r="FG113" i="67"/>
  <c r="FG114" i="67"/>
  <c r="FG115" i="67"/>
  <c r="FG116" i="67"/>
  <c r="FG117" i="67"/>
  <c r="FG118" i="67"/>
  <c r="FG119" i="67"/>
  <c r="FG120" i="67"/>
  <c r="FG121" i="67"/>
  <c r="FG122" i="67"/>
  <c r="FG123" i="67"/>
  <c r="FG124" i="67"/>
  <c r="FG125" i="67"/>
  <c r="FG126" i="67"/>
  <c r="FG127" i="67"/>
  <c r="FG128" i="67"/>
  <c r="FG129" i="67"/>
  <c r="FG130" i="67"/>
  <c r="FG131" i="67"/>
  <c r="FG132" i="67"/>
  <c r="FG133" i="67"/>
  <c r="FG134" i="67"/>
  <c r="FG135" i="67"/>
  <c r="FG136" i="67"/>
  <c r="FG137" i="67"/>
  <c r="FG138" i="67"/>
  <c r="FG139" i="67"/>
  <c r="FG140" i="67"/>
  <c r="FG141" i="67"/>
  <c r="FG142" i="67"/>
  <c r="FG143" i="67"/>
  <c r="FG144" i="67"/>
  <c r="FG145" i="67"/>
  <c r="FG146" i="67"/>
  <c r="FG147" i="67"/>
  <c r="FG148" i="67"/>
  <c r="FG149" i="67"/>
  <c r="FG150" i="67"/>
  <c r="FG151" i="67"/>
  <c r="FG191" i="67"/>
  <c r="FG192" i="67"/>
  <c r="FG152" i="67"/>
  <c r="FG153" i="67"/>
  <c r="FG154" i="67"/>
  <c r="FG155" i="67"/>
  <c r="FG156" i="67"/>
  <c r="FG157" i="67"/>
  <c r="FG159" i="67"/>
  <c r="FG160" i="67"/>
  <c r="FG161" i="67"/>
  <c r="FG162" i="67"/>
  <c r="FG163" i="67"/>
  <c r="FG164" i="67"/>
  <c r="FG165" i="67"/>
  <c r="FG166" i="67"/>
  <c r="FG167" i="67"/>
  <c r="FG168" i="67"/>
  <c r="FG169" i="67"/>
  <c r="FG170" i="67"/>
  <c r="FG171" i="67"/>
  <c r="FG172" i="67"/>
  <c r="FG173" i="67"/>
  <c r="FG174" i="67"/>
  <c r="FG175" i="67"/>
  <c r="FG176" i="67"/>
  <c r="FG177" i="67"/>
  <c r="FG178" i="67"/>
  <c r="FG179" i="67"/>
  <c r="FG180" i="67"/>
  <c r="FG181" i="67"/>
  <c r="FG182" i="67"/>
  <c r="FG183" i="67"/>
  <c r="FG184" i="67"/>
  <c r="FG185" i="67"/>
  <c r="FG186" i="67"/>
  <c r="FG187" i="67"/>
  <c r="FG188" i="67"/>
  <c r="FG189" i="67"/>
  <c r="FG190" i="67"/>
  <c r="FG193" i="67"/>
  <c r="FG194" i="67"/>
  <c r="FG195" i="67"/>
  <c r="FG8" i="67"/>
  <c r="EQ9" i="67"/>
  <c r="EQ10" i="67"/>
  <c r="EQ11" i="67"/>
  <c r="EQ12" i="67"/>
  <c r="EQ13" i="67"/>
  <c r="EQ14" i="67"/>
  <c r="EQ15" i="67"/>
  <c r="EQ16" i="67"/>
  <c r="EQ17" i="67"/>
  <c r="EQ18" i="67"/>
  <c r="EQ19" i="67"/>
  <c r="EQ20" i="67"/>
  <c r="EQ21" i="67"/>
  <c r="EQ22" i="67"/>
  <c r="EQ23" i="67"/>
  <c r="EQ25" i="67"/>
  <c r="EQ26" i="67"/>
  <c r="EQ27" i="67"/>
  <c r="EQ28" i="67"/>
  <c r="EQ29" i="67"/>
  <c r="EQ31" i="67"/>
  <c r="EQ32" i="67"/>
  <c r="EQ33" i="67"/>
  <c r="EQ34" i="67"/>
  <c r="EQ35" i="67"/>
  <c r="EQ36" i="67"/>
  <c r="EQ37" i="67"/>
  <c r="EQ38" i="67"/>
  <c r="EQ39" i="67"/>
  <c r="EQ40" i="67"/>
  <c r="EQ41" i="67"/>
  <c r="EQ42" i="67"/>
  <c r="EQ43" i="67"/>
  <c r="EQ44" i="67"/>
  <c r="EQ45" i="67"/>
  <c r="EQ46" i="67"/>
  <c r="EQ47" i="67"/>
  <c r="EQ49" i="67"/>
  <c r="EQ50" i="67"/>
  <c r="EQ51" i="67"/>
  <c r="EQ52" i="67"/>
  <c r="EQ53" i="67"/>
  <c r="EQ54" i="67"/>
  <c r="EQ55" i="67"/>
  <c r="EQ56" i="67"/>
  <c r="EQ57" i="67"/>
  <c r="EQ58" i="67"/>
  <c r="EQ59" i="67"/>
  <c r="EQ60" i="67"/>
  <c r="EQ61" i="67"/>
  <c r="EQ62" i="67"/>
  <c r="EQ63" i="67"/>
  <c r="EQ64" i="67"/>
  <c r="EQ65" i="67"/>
  <c r="EQ66" i="67"/>
  <c r="EQ67" i="67"/>
  <c r="EQ68" i="67"/>
  <c r="EQ69" i="67"/>
  <c r="EQ70" i="67"/>
  <c r="EQ71" i="67"/>
  <c r="EQ72" i="67"/>
  <c r="EQ73" i="67"/>
  <c r="EQ74" i="67"/>
  <c r="EQ75" i="67"/>
  <c r="EQ76" i="67"/>
  <c r="EQ77" i="67"/>
  <c r="EQ78" i="67"/>
  <c r="EQ79" i="67"/>
  <c r="EQ80" i="67"/>
  <c r="EQ81" i="67"/>
  <c r="EQ82" i="67"/>
  <c r="EQ84" i="67"/>
  <c r="EQ85" i="67"/>
  <c r="EQ86" i="67"/>
  <c r="EQ87" i="67"/>
  <c r="EQ88" i="67"/>
  <c r="EQ89" i="67"/>
  <c r="EQ90" i="67"/>
  <c r="EQ91" i="67"/>
  <c r="EQ92" i="67"/>
  <c r="EQ93" i="67"/>
  <c r="EQ94" i="67"/>
  <c r="EQ95" i="67"/>
  <c r="EQ96" i="67"/>
  <c r="EQ97" i="67"/>
  <c r="EQ98" i="67"/>
  <c r="EQ99" i="67"/>
  <c r="EQ100" i="67"/>
  <c r="EQ101" i="67"/>
  <c r="EQ102" i="67"/>
  <c r="EQ103" i="67"/>
  <c r="EQ104" i="67"/>
  <c r="EQ105" i="67"/>
  <c r="EQ106" i="67"/>
  <c r="EQ107" i="67"/>
  <c r="EQ108" i="67"/>
  <c r="EQ109" i="67"/>
  <c r="EQ111" i="67"/>
  <c r="EQ112" i="67"/>
  <c r="EQ113" i="67"/>
  <c r="EQ114" i="67"/>
  <c r="EQ115" i="67"/>
  <c r="EQ116" i="67"/>
  <c r="EQ117" i="67"/>
  <c r="EQ118" i="67"/>
  <c r="EQ119" i="67"/>
  <c r="EQ120" i="67"/>
  <c r="EQ121" i="67"/>
  <c r="EQ122" i="67"/>
  <c r="EQ123" i="67"/>
  <c r="EQ124" i="67"/>
  <c r="EQ125" i="67"/>
  <c r="EQ126" i="67"/>
  <c r="EQ127" i="67"/>
  <c r="EQ128" i="67"/>
  <c r="EQ129" i="67"/>
  <c r="EQ130" i="67"/>
  <c r="EQ131" i="67"/>
  <c r="EQ132" i="67"/>
  <c r="EQ133" i="67"/>
  <c r="EQ134" i="67"/>
  <c r="EQ135" i="67"/>
  <c r="EQ136" i="67"/>
  <c r="EQ137" i="67"/>
  <c r="EQ138" i="67"/>
  <c r="EQ139" i="67"/>
  <c r="EQ140" i="67"/>
  <c r="EQ141" i="67"/>
  <c r="EQ142" i="67"/>
  <c r="EQ143" i="67"/>
  <c r="EQ144" i="67"/>
  <c r="EQ145" i="67"/>
  <c r="EQ146" i="67"/>
  <c r="EQ147" i="67"/>
  <c r="EQ148" i="67"/>
  <c r="EQ149" i="67"/>
  <c r="EQ150" i="67"/>
  <c r="EQ151" i="67"/>
  <c r="EQ191" i="67"/>
  <c r="EQ192" i="67"/>
  <c r="EQ152" i="67"/>
  <c r="EQ153" i="67"/>
  <c r="EQ154" i="67"/>
  <c r="EQ155" i="67"/>
  <c r="EQ156" i="67"/>
  <c r="EQ157" i="67"/>
  <c r="EQ159" i="67"/>
  <c r="EQ160" i="67"/>
  <c r="EQ161" i="67"/>
  <c r="EQ162" i="67"/>
  <c r="EQ163" i="67"/>
  <c r="EQ164" i="67"/>
  <c r="EQ165" i="67"/>
  <c r="EQ166" i="67"/>
  <c r="EQ167" i="67"/>
  <c r="EQ168" i="67"/>
  <c r="EQ169" i="67"/>
  <c r="EQ170" i="67"/>
  <c r="EQ171" i="67"/>
  <c r="EQ172" i="67"/>
  <c r="EQ173" i="67"/>
  <c r="EQ174" i="67"/>
  <c r="EQ175" i="67"/>
  <c r="EQ176" i="67"/>
  <c r="EQ177" i="67"/>
  <c r="EQ178" i="67"/>
  <c r="EQ179" i="67"/>
  <c r="EQ180" i="67"/>
  <c r="EQ181" i="67"/>
  <c r="EQ182" i="67"/>
  <c r="EQ183" i="67"/>
  <c r="EQ184" i="67"/>
  <c r="EQ185" i="67"/>
  <c r="EQ186" i="67"/>
  <c r="EQ187" i="67"/>
  <c r="EQ188" i="67"/>
  <c r="EQ189" i="67"/>
  <c r="EQ190" i="67"/>
  <c r="EQ193" i="67"/>
  <c r="EQ194" i="67"/>
  <c r="EQ195" i="67"/>
  <c r="EQ8" i="67"/>
  <c r="EA9" i="67"/>
  <c r="EA10" i="67"/>
  <c r="EA11" i="67"/>
  <c r="EA12" i="67"/>
  <c r="EA13" i="67"/>
  <c r="EA14" i="67"/>
  <c r="EA15" i="67"/>
  <c r="EA16" i="67"/>
  <c r="EA17" i="67"/>
  <c r="EA18" i="67"/>
  <c r="EA19" i="67"/>
  <c r="EA20" i="67"/>
  <c r="EA21" i="67"/>
  <c r="EA22" i="67"/>
  <c r="EA23" i="67"/>
  <c r="EA25" i="67"/>
  <c r="EA26" i="67"/>
  <c r="EA27" i="67"/>
  <c r="EA28" i="67"/>
  <c r="EA29" i="67"/>
  <c r="EA31" i="67"/>
  <c r="EA32" i="67"/>
  <c r="EA33" i="67"/>
  <c r="EA34" i="67"/>
  <c r="EA35" i="67"/>
  <c r="EA36" i="67"/>
  <c r="EA37" i="67"/>
  <c r="EA38" i="67"/>
  <c r="EA39" i="67"/>
  <c r="EA40" i="67"/>
  <c r="EA41" i="67"/>
  <c r="EA42" i="67"/>
  <c r="EA43" i="67"/>
  <c r="EA44" i="67"/>
  <c r="EA45" i="67"/>
  <c r="EA46" i="67"/>
  <c r="EA47" i="67"/>
  <c r="EA49" i="67"/>
  <c r="EA50" i="67"/>
  <c r="EA51" i="67"/>
  <c r="EA52" i="67"/>
  <c r="EA53" i="67"/>
  <c r="EA54" i="67"/>
  <c r="EA55" i="67"/>
  <c r="EA56" i="67"/>
  <c r="EA57" i="67"/>
  <c r="EA58" i="67"/>
  <c r="EA59" i="67"/>
  <c r="EA60" i="67"/>
  <c r="EA61" i="67"/>
  <c r="EA62" i="67"/>
  <c r="EA63" i="67"/>
  <c r="EA64" i="67"/>
  <c r="EA65" i="67"/>
  <c r="EA66" i="67"/>
  <c r="EA67" i="67"/>
  <c r="EA68" i="67"/>
  <c r="EA69" i="67"/>
  <c r="EA70" i="67"/>
  <c r="EA71" i="67"/>
  <c r="EA72" i="67"/>
  <c r="EA73" i="67"/>
  <c r="EA74" i="67"/>
  <c r="EA75" i="67"/>
  <c r="EA76" i="67"/>
  <c r="EA77" i="67"/>
  <c r="EA78" i="67"/>
  <c r="EA79" i="67"/>
  <c r="EA80" i="67"/>
  <c r="EA81" i="67"/>
  <c r="EA82" i="67"/>
  <c r="EA84" i="67"/>
  <c r="EA85" i="67"/>
  <c r="EA86" i="67"/>
  <c r="EA87" i="67"/>
  <c r="EA88" i="67"/>
  <c r="EA89" i="67"/>
  <c r="EA90" i="67"/>
  <c r="EA91" i="67"/>
  <c r="EA92" i="67"/>
  <c r="EA93" i="67"/>
  <c r="EA94" i="67"/>
  <c r="EA95" i="67"/>
  <c r="EA96" i="67"/>
  <c r="EA97" i="67"/>
  <c r="EA98" i="67"/>
  <c r="EA99" i="67"/>
  <c r="EA100" i="67"/>
  <c r="EA101" i="67"/>
  <c r="EA102" i="67"/>
  <c r="EA103" i="67"/>
  <c r="EA104" i="67"/>
  <c r="EA105" i="67"/>
  <c r="EA106" i="67"/>
  <c r="EA107" i="67"/>
  <c r="EA108" i="67"/>
  <c r="EA109" i="67"/>
  <c r="EA111" i="67"/>
  <c r="EA112" i="67"/>
  <c r="EA113" i="67"/>
  <c r="EA114" i="67"/>
  <c r="EA115" i="67"/>
  <c r="EA116" i="67"/>
  <c r="EA117" i="67"/>
  <c r="EA118" i="67"/>
  <c r="EA119" i="67"/>
  <c r="EA120" i="67"/>
  <c r="EA121" i="67"/>
  <c r="EA122" i="67"/>
  <c r="EA123" i="67"/>
  <c r="EA124" i="67"/>
  <c r="EA125" i="67"/>
  <c r="EA126" i="67"/>
  <c r="EA127" i="67"/>
  <c r="EA128" i="67"/>
  <c r="EA129" i="67"/>
  <c r="EA130" i="67"/>
  <c r="EA131" i="67"/>
  <c r="EA132" i="67"/>
  <c r="EA133" i="67"/>
  <c r="EA134" i="67"/>
  <c r="EA135" i="67"/>
  <c r="EA136" i="67"/>
  <c r="EA137" i="67"/>
  <c r="EA138" i="67"/>
  <c r="EA139" i="67"/>
  <c r="EA140" i="67"/>
  <c r="EA141" i="67"/>
  <c r="EA142" i="67"/>
  <c r="EA143" i="67"/>
  <c r="EA144" i="67"/>
  <c r="EA145" i="67"/>
  <c r="EA146" i="67"/>
  <c r="EA147" i="67"/>
  <c r="EA148" i="67"/>
  <c r="EA149" i="67"/>
  <c r="EA150" i="67"/>
  <c r="EA151" i="67"/>
  <c r="EA191" i="67"/>
  <c r="EA192" i="67"/>
  <c r="EA152" i="67"/>
  <c r="EA153" i="67"/>
  <c r="EA154" i="67"/>
  <c r="EA155" i="67"/>
  <c r="EA156" i="67"/>
  <c r="EA157" i="67"/>
  <c r="EA159" i="67"/>
  <c r="EA160" i="67"/>
  <c r="EA161" i="67"/>
  <c r="EA162" i="67"/>
  <c r="EA163" i="67"/>
  <c r="EA164" i="67"/>
  <c r="EA165" i="67"/>
  <c r="EA166" i="67"/>
  <c r="EA167" i="67"/>
  <c r="EA168" i="67"/>
  <c r="EA169" i="67"/>
  <c r="EA170" i="67"/>
  <c r="EA171" i="67"/>
  <c r="EA172" i="67"/>
  <c r="EA173" i="67"/>
  <c r="EA174" i="67"/>
  <c r="EA175" i="67"/>
  <c r="EA176" i="67"/>
  <c r="EA177" i="67"/>
  <c r="EA178" i="67"/>
  <c r="EA179" i="67"/>
  <c r="EA180" i="67"/>
  <c r="EA181" i="67"/>
  <c r="EA182" i="67"/>
  <c r="EA183" i="67"/>
  <c r="EA184" i="67"/>
  <c r="EA185" i="67"/>
  <c r="EA186" i="67"/>
  <c r="EA187" i="67"/>
  <c r="EA188" i="67"/>
  <c r="EA189" i="67"/>
  <c r="EA190" i="67"/>
  <c r="EA193" i="67"/>
  <c r="EA194" i="67"/>
  <c r="EA195" i="67"/>
  <c r="EA8" i="67"/>
  <c r="DK9" i="67"/>
  <c r="DK10" i="67"/>
  <c r="DK11" i="67"/>
  <c r="DK12" i="67"/>
  <c r="DK13" i="67"/>
  <c r="DK14" i="67"/>
  <c r="DK15" i="67"/>
  <c r="DK16" i="67"/>
  <c r="DK17" i="67"/>
  <c r="DK18" i="67"/>
  <c r="DK19" i="67"/>
  <c r="DK20" i="67"/>
  <c r="DK21" i="67"/>
  <c r="DK22" i="67"/>
  <c r="DK23" i="67"/>
  <c r="DK25" i="67"/>
  <c r="DK26" i="67"/>
  <c r="DK27" i="67"/>
  <c r="DK28" i="67"/>
  <c r="DK29" i="67"/>
  <c r="DK31" i="67"/>
  <c r="DK32" i="67"/>
  <c r="DK33" i="67"/>
  <c r="DK34" i="67"/>
  <c r="DK35" i="67"/>
  <c r="DK36" i="67"/>
  <c r="DK37" i="67"/>
  <c r="DK38" i="67"/>
  <c r="DK39" i="67"/>
  <c r="DK40" i="67"/>
  <c r="DK41" i="67"/>
  <c r="DK42" i="67"/>
  <c r="DK43" i="67"/>
  <c r="DK44" i="67"/>
  <c r="DK45" i="67"/>
  <c r="DK46" i="67"/>
  <c r="DK47" i="67"/>
  <c r="DK49" i="67"/>
  <c r="DK50" i="67"/>
  <c r="DK51" i="67"/>
  <c r="DK52" i="67"/>
  <c r="DK53" i="67"/>
  <c r="DK54" i="67"/>
  <c r="DK55" i="67"/>
  <c r="DK56" i="67"/>
  <c r="DK57" i="67"/>
  <c r="DK58" i="67"/>
  <c r="DK59" i="67"/>
  <c r="DK60" i="67"/>
  <c r="DK61" i="67"/>
  <c r="DK62" i="67"/>
  <c r="DK63" i="67"/>
  <c r="DK64" i="67"/>
  <c r="DK65" i="67"/>
  <c r="DK66" i="67"/>
  <c r="DK67" i="67"/>
  <c r="DK68" i="67"/>
  <c r="DK69" i="67"/>
  <c r="DK70" i="67"/>
  <c r="DK71" i="67"/>
  <c r="DK72" i="67"/>
  <c r="DK73" i="67"/>
  <c r="DK74" i="67"/>
  <c r="DK75" i="67"/>
  <c r="DK76" i="67"/>
  <c r="DK77" i="67"/>
  <c r="DK78" i="67"/>
  <c r="DK79" i="67"/>
  <c r="DK80" i="67"/>
  <c r="DK81" i="67"/>
  <c r="DK82" i="67"/>
  <c r="DK84" i="67"/>
  <c r="DK85" i="67"/>
  <c r="DK86" i="67"/>
  <c r="DK87" i="67"/>
  <c r="DK88" i="67"/>
  <c r="DK89" i="67"/>
  <c r="DK90" i="67"/>
  <c r="DK91" i="67"/>
  <c r="DK92" i="67"/>
  <c r="DK93" i="67"/>
  <c r="DK94" i="67"/>
  <c r="DK95" i="67"/>
  <c r="DK96" i="67"/>
  <c r="DK97" i="67"/>
  <c r="DK98" i="67"/>
  <c r="DK99" i="67"/>
  <c r="DK100" i="67"/>
  <c r="DK101" i="67"/>
  <c r="DK102" i="67"/>
  <c r="DK103" i="67"/>
  <c r="DK104" i="67"/>
  <c r="DK105" i="67"/>
  <c r="DK106" i="67"/>
  <c r="DK107" i="67"/>
  <c r="DK108" i="67"/>
  <c r="DK109" i="67"/>
  <c r="DK111" i="67"/>
  <c r="DK112" i="67"/>
  <c r="DK113" i="67"/>
  <c r="DK114" i="67"/>
  <c r="DK115" i="67"/>
  <c r="DK116" i="67"/>
  <c r="DK117" i="67"/>
  <c r="DK118" i="67"/>
  <c r="DK119" i="67"/>
  <c r="DK120" i="67"/>
  <c r="DK121" i="67"/>
  <c r="DK122" i="67"/>
  <c r="DK123" i="67"/>
  <c r="DK124" i="67"/>
  <c r="DK125" i="67"/>
  <c r="DK126" i="67"/>
  <c r="DK127" i="67"/>
  <c r="DK128" i="67"/>
  <c r="DK129" i="67"/>
  <c r="DK130" i="67"/>
  <c r="DK131" i="67"/>
  <c r="DK132" i="67"/>
  <c r="DK133" i="67"/>
  <c r="DK134" i="67"/>
  <c r="DK135" i="67"/>
  <c r="DK136" i="67"/>
  <c r="DK137" i="67"/>
  <c r="DK138" i="67"/>
  <c r="DK139" i="67"/>
  <c r="DK140" i="67"/>
  <c r="DK141" i="67"/>
  <c r="DK142" i="67"/>
  <c r="DK143" i="67"/>
  <c r="DK144" i="67"/>
  <c r="DK145" i="67"/>
  <c r="DK146" i="67"/>
  <c r="DK147" i="67"/>
  <c r="DK148" i="67"/>
  <c r="DK149" i="67"/>
  <c r="DK150" i="67"/>
  <c r="DK151" i="67"/>
  <c r="DK191" i="67"/>
  <c r="DK192" i="67"/>
  <c r="DK152" i="67"/>
  <c r="DK153" i="67"/>
  <c r="DK154" i="67"/>
  <c r="DK155" i="67"/>
  <c r="DK156" i="67"/>
  <c r="DK157" i="67"/>
  <c r="DK159" i="67"/>
  <c r="DK160" i="67"/>
  <c r="DK161" i="67"/>
  <c r="DK162" i="67"/>
  <c r="DK163" i="67"/>
  <c r="DK164" i="67"/>
  <c r="DK165" i="67"/>
  <c r="DK166" i="67"/>
  <c r="DK167" i="67"/>
  <c r="DK168" i="67"/>
  <c r="DK169" i="67"/>
  <c r="DK170" i="67"/>
  <c r="DK171" i="67"/>
  <c r="DK172" i="67"/>
  <c r="DK173" i="67"/>
  <c r="DK174" i="67"/>
  <c r="DK175" i="67"/>
  <c r="DK176" i="67"/>
  <c r="DK177" i="67"/>
  <c r="DK178" i="67"/>
  <c r="DK179" i="67"/>
  <c r="DK180" i="67"/>
  <c r="DK181" i="67"/>
  <c r="DK182" i="67"/>
  <c r="DK183" i="67"/>
  <c r="DK184" i="67"/>
  <c r="DK185" i="67"/>
  <c r="DK186" i="67"/>
  <c r="DK187" i="67"/>
  <c r="DK188" i="67"/>
  <c r="DK189" i="67"/>
  <c r="DK190" i="67"/>
  <c r="DK193" i="67"/>
  <c r="DK194" i="67"/>
  <c r="DK195" i="67"/>
  <c r="DK8" i="67"/>
  <c r="CU9" i="67"/>
  <c r="CU10" i="67"/>
  <c r="CU11" i="67"/>
  <c r="CU12" i="67"/>
  <c r="CU13" i="67"/>
  <c r="CU14" i="67"/>
  <c r="CU15" i="67"/>
  <c r="CU16" i="67"/>
  <c r="CU17" i="67"/>
  <c r="CU18" i="67"/>
  <c r="CU19" i="67"/>
  <c r="CU20" i="67"/>
  <c r="CU21" i="67"/>
  <c r="CU22" i="67"/>
  <c r="CU23" i="67"/>
  <c r="CU25" i="67"/>
  <c r="CU26" i="67"/>
  <c r="CU27" i="67"/>
  <c r="CU28" i="67"/>
  <c r="CU29" i="67"/>
  <c r="CU31" i="67"/>
  <c r="CU32" i="67"/>
  <c r="CU33" i="67"/>
  <c r="CU34" i="67"/>
  <c r="CU35" i="67"/>
  <c r="CU36" i="67"/>
  <c r="CU37" i="67"/>
  <c r="CU38" i="67"/>
  <c r="CU39" i="67"/>
  <c r="CU40" i="67"/>
  <c r="CU41" i="67"/>
  <c r="CU42" i="67"/>
  <c r="CU43" i="67"/>
  <c r="CU44" i="67"/>
  <c r="CU45" i="67"/>
  <c r="CU46" i="67"/>
  <c r="CU47" i="67"/>
  <c r="CU49" i="67"/>
  <c r="CU50" i="67"/>
  <c r="CU51" i="67"/>
  <c r="CU52" i="67"/>
  <c r="CU53" i="67"/>
  <c r="CU54" i="67"/>
  <c r="CU55" i="67"/>
  <c r="CU56" i="67"/>
  <c r="CU57" i="67"/>
  <c r="CU58" i="67"/>
  <c r="CU59" i="67"/>
  <c r="CU60" i="67"/>
  <c r="CU61" i="67"/>
  <c r="CU62" i="67"/>
  <c r="CU63" i="67"/>
  <c r="CU64" i="67"/>
  <c r="CU65" i="67"/>
  <c r="CU66" i="67"/>
  <c r="CU67" i="67"/>
  <c r="CU68" i="67"/>
  <c r="CU69" i="67"/>
  <c r="CU70" i="67"/>
  <c r="CU71" i="67"/>
  <c r="CU72" i="67"/>
  <c r="CU73" i="67"/>
  <c r="CU74" i="67"/>
  <c r="CU75" i="67"/>
  <c r="CU76" i="67"/>
  <c r="CU77" i="67"/>
  <c r="CU78" i="67"/>
  <c r="CU79" i="67"/>
  <c r="CU80" i="67"/>
  <c r="CU81" i="67"/>
  <c r="CU82" i="67"/>
  <c r="CU84" i="67"/>
  <c r="CU85" i="67"/>
  <c r="CU86" i="67"/>
  <c r="CU87" i="67"/>
  <c r="CU88" i="67"/>
  <c r="CU89" i="67"/>
  <c r="CU90" i="67"/>
  <c r="CU91" i="67"/>
  <c r="CU92" i="67"/>
  <c r="CU93" i="67"/>
  <c r="CU94" i="67"/>
  <c r="CU95" i="67"/>
  <c r="CU96" i="67"/>
  <c r="CU97" i="67"/>
  <c r="CU98" i="67"/>
  <c r="CU99" i="67"/>
  <c r="CU100" i="67"/>
  <c r="CU101" i="67"/>
  <c r="CU102" i="67"/>
  <c r="CU103" i="67"/>
  <c r="CU104" i="67"/>
  <c r="CU105" i="67"/>
  <c r="CU106" i="67"/>
  <c r="CU107" i="67"/>
  <c r="CU108" i="67"/>
  <c r="CU109" i="67"/>
  <c r="CU111" i="67"/>
  <c r="CU112" i="67"/>
  <c r="CU113" i="67"/>
  <c r="CU114" i="67"/>
  <c r="CU115" i="67"/>
  <c r="CU116" i="67"/>
  <c r="CU117" i="67"/>
  <c r="CU118" i="67"/>
  <c r="CU119" i="67"/>
  <c r="CU120" i="67"/>
  <c r="CU121" i="67"/>
  <c r="CU122" i="67"/>
  <c r="CU123" i="67"/>
  <c r="CU124" i="67"/>
  <c r="CU125" i="67"/>
  <c r="CU126" i="67"/>
  <c r="CU127" i="67"/>
  <c r="CU128" i="67"/>
  <c r="CU129" i="67"/>
  <c r="CU130" i="67"/>
  <c r="CU131" i="67"/>
  <c r="CU132" i="67"/>
  <c r="CU133" i="67"/>
  <c r="CU134" i="67"/>
  <c r="CU135" i="67"/>
  <c r="CU136" i="67"/>
  <c r="CU137" i="67"/>
  <c r="CU138" i="67"/>
  <c r="CU139" i="67"/>
  <c r="CU140" i="67"/>
  <c r="CU141" i="67"/>
  <c r="CU142" i="67"/>
  <c r="CU143" i="67"/>
  <c r="CU144" i="67"/>
  <c r="CU145" i="67"/>
  <c r="CU146" i="67"/>
  <c r="CU147" i="67"/>
  <c r="CU148" i="67"/>
  <c r="CU149" i="67"/>
  <c r="CU150" i="67"/>
  <c r="CU151" i="67"/>
  <c r="CU191" i="67"/>
  <c r="CU192" i="67"/>
  <c r="CU152" i="67"/>
  <c r="CU153" i="67"/>
  <c r="CU154" i="67"/>
  <c r="CU155" i="67"/>
  <c r="CU156" i="67"/>
  <c r="CU157" i="67"/>
  <c r="CU159" i="67"/>
  <c r="CU160" i="67"/>
  <c r="CU161" i="67"/>
  <c r="CU162" i="67"/>
  <c r="CU163" i="67"/>
  <c r="CU164" i="67"/>
  <c r="CU165" i="67"/>
  <c r="CU166" i="67"/>
  <c r="CU167" i="67"/>
  <c r="CU168" i="67"/>
  <c r="CU169" i="67"/>
  <c r="CU170" i="67"/>
  <c r="CU171" i="67"/>
  <c r="CU172" i="67"/>
  <c r="CU173" i="67"/>
  <c r="CU174" i="67"/>
  <c r="CU175" i="67"/>
  <c r="CU176" i="67"/>
  <c r="CU177" i="67"/>
  <c r="CU178" i="67"/>
  <c r="CU179" i="67"/>
  <c r="CU180" i="67"/>
  <c r="CU181" i="67"/>
  <c r="CU182" i="67"/>
  <c r="CU183" i="67"/>
  <c r="CU184" i="67"/>
  <c r="CU185" i="67"/>
  <c r="CU186" i="67"/>
  <c r="CU187" i="67"/>
  <c r="CU188" i="67"/>
  <c r="CU189" i="67"/>
  <c r="CU190" i="67"/>
  <c r="CU193" i="67"/>
  <c r="CU194" i="67"/>
  <c r="CU195" i="67"/>
  <c r="CU8" i="67"/>
  <c r="CE9" i="67"/>
  <c r="CE10" i="67"/>
  <c r="CE11" i="67"/>
  <c r="CE12" i="67"/>
  <c r="CE13" i="67"/>
  <c r="CE14" i="67"/>
  <c r="CE15" i="67"/>
  <c r="CE16" i="67"/>
  <c r="CE17" i="67"/>
  <c r="CE18" i="67"/>
  <c r="CE19" i="67"/>
  <c r="CE20" i="67"/>
  <c r="CE21" i="67"/>
  <c r="CE22" i="67"/>
  <c r="CE23" i="67"/>
  <c r="CE25" i="67"/>
  <c r="CE26" i="67"/>
  <c r="CE27" i="67"/>
  <c r="CE28" i="67"/>
  <c r="CE29" i="67"/>
  <c r="CE31" i="67"/>
  <c r="CE32" i="67"/>
  <c r="CE33" i="67"/>
  <c r="CE34" i="67"/>
  <c r="CE35" i="67"/>
  <c r="CE36" i="67"/>
  <c r="CE37" i="67"/>
  <c r="CE38" i="67"/>
  <c r="CE39" i="67"/>
  <c r="CE40" i="67"/>
  <c r="CE41" i="67"/>
  <c r="CE42" i="67"/>
  <c r="CE43" i="67"/>
  <c r="CE44" i="67"/>
  <c r="CE45" i="67"/>
  <c r="CE46" i="67"/>
  <c r="CE47" i="67"/>
  <c r="CE49" i="67"/>
  <c r="CE50" i="67"/>
  <c r="CE51" i="67"/>
  <c r="CE52" i="67"/>
  <c r="CE53" i="67"/>
  <c r="CE54" i="67"/>
  <c r="CE55" i="67"/>
  <c r="CE56" i="67"/>
  <c r="CE57" i="67"/>
  <c r="CE58" i="67"/>
  <c r="CE59" i="67"/>
  <c r="CE60" i="67"/>
  <c r="CE61" i="67"/>
  <c r="CE62" i="67"/>
  <c r="CE63" i="67"/>
  <c r="CE64" i="67"/>
  <c r="CE65" i="67"/>
  <c r="CE66" i="67"/>
  <c r="CE67" i="67"/>
  <c r="CE68" i="67"/>
  <c r="CE69" i="67"/>
  <c r="CE70" i="67"/>
  <c r="CE71" i="67"/>
  <c r="CE72" i="67"/>
  <c r="CE73" i="67"/>
  <c r="CE74" i="67"/>
  <c r="CE75" i="67"/>
  <c r="CE76" i="67"/>
  <c r="CE77" i="67"/>
  <c r="CE78" i="67"/>
  <c r="CE79" i="67"/>
  <c r="CE80" i="67"/>
  <c r="CE81" i="67"/>
  <c r="CE82" i="67"/>
  <c r="CE84" i="67"/>
  <c r="CE85" i="67"/>
  <c r="CE86" i="67"/>
  <c r="CE87" i="67"/>
  <c r="CE88" i="67"/>
  <c r="CE89" i="67"/>
  <c r="CE90" i="67"/>
  <c r="CE91" i="67"/>
  <c r="CE92" i="67"/>
  <c r="CE93" i="67"/>
  <c r="CE94" i="67"/>
  <c r="CE95" i="67"/>
  <c r="CE96" i="67"/>
  <c r="CE97" i="67"/>
  <c r="CE98" i="67"/>
  <c r="CE99" i="67"/>
  <c r="CE100" i="67"/>
  <c r="CE101" i="67"/>
  <c r="CE102" i="67"/>
  <c r="CE103" i="67"/>
  <c r="CE104" i="67"/>
  <c r="CE105" i="67"/>
  <c r="CE106" i="67"/>
  <c r="CE107" i="67"/>
  <c r="CE108" i="67"/>
  <c r="CE109" i="67"/>
  <c r="CE111" i="67"/>
  <c r="CE112" i="67"/>
  <c r="CE113" i="67"/>
  <c r="CE114" i="67"/>
  <c r="CE115" i="67"/>
  <c r="CE116" i="67"/>
  <c r="CE117" i="67"/>
  <c r="CE118" i="67"/>
  <c r="CE119" i="67"/>
  <c r="CE120" i="67"/>
  <c r="CE121" i="67"/>
  <c r="CE122" i="67"/>
  <c r="CE123" i="67"/>
  <c r="CE124" i="67"/>
  <c r="CE125" i="67"/>
  <c r="CE126" i="67"/>
  <c r="CE127" i="67"/>
  <c r="CE128" i="67"/>
  <c r="CE129" i="67"/>
  <c r="CE130" i="67"/>
  <c r="CE131" i="67"/>
  <c r="CE132" i="67"/>
  <c r="CE133" i="67"/>
  <c r="CE134" i="67"/>
  <c r="CE135" i="67"/>
  <c r="CE136" i="67"/>
  <c r="CE137" i="67"/>
  <c r="CE138" i="67"/>
  <c r="CE139" i="67"/>
  <c r="CE140" i="67"/>
  <c r="CE141" i="67"/>
  <c r="CE142" i="67"/>
  <c r="CE143" i="67"/>
  <c r="CE144" i="67"/>
  <c r="CE145" i="67"/>
  <c r="CE146" i="67"/>
  <c r="CE147" i="67"/>
  <c r="CE148" i="67"/>
  <c r="CE149" i="67"/>
  <c r="CE150" i="67"/>
  <c r="CE151" i="67"/>
  <c r="CE191" i="67"/>
  <c r="CE192" i="67"/>
  <c r="CE152" i="67"/>
  <c r="CE153" i="67"/>
  <c r="CE154" i="67"/>
  <c r="CE155" i="67"/>
  <c r="CE156" i="67"/>
  <c r="CE157" i="67"/>
  <c r="CE159" i="67"/>
  <c r="CE160" i="67"/>
  <c r="CE161" i="67"/>
  <c r="CE162" i="67"/>
  <c r="CE163" i="67"/>
  <c r="CE164" i="67"/>
  <c r="CE165" i="67"/>
  <c r="CE166" i="67"/>
  <c r="CE167" i="67"/>
  <c r="CE168" i="67"/>
  <c r="CE169" i="67"/>
  <c r="CE170" i="67"/>
  <c r="CE171" i="67"/>
  <c r="CE172" i="67"/>
  <c r="CE173" i="67"/>
  <c r="CE174" i="67"/>
  <c r="CE175" i="67"/>
  <c r="CE176" i="67"/>
  <c r="CE177" i="67"/>
  <c r="CE178" i="67"/>
  <c r="CE179" i="67"/>
  <c r="CE180" i="67"/>
  <c r="CE181" i="67"/>
  <c r="CE182" i="67"/>
  <c r="CE183" i="67"/>
  <c r="CE184" i="67"/>
  <c r="CE185" i="67"/>
  <c r="CE186" i="67"/>
  <c r="CE187" i="67"/>
  <c r="CE188" i="67"/>
  <c r="CE189" i="67"/>
  <c r="CE190" i="67"/>
  <c r="CE193" i="67"/>
  <c r="CE8" i="67"/>
  <c r="AH10" i="65"/>
  <c r="AI10" i="65"/>
  <c r="AJ10" i="65"/>
  <c r="AK10" i="65"/>
  <c r="AH11" i="65"/>
  <c r="AI11" i="65"/>
  <c r="AJ11" i="65"/>
  <c r="AK11" i="65"/>
  <c r="AH12" i="65"/>
  <c r="AI12" i="65"/>
  <c r="AJ12" i="65"/>
  <c r="AK12" i="65"/>
  <c r="AH13" i="65"/>
  <c r="AI13" i="65"/>
  <c r="AJ13" i="65"/>
  <c r="AK13" i="65"/>
  <c r="AH14" i="65"/>
  <c r="AI14" i="65"/>
  <c r="AJ14" i="65"/>
  <c r="AK14" i="65"/>
  <c r="AI9" i="65"/>
  <c r="AJ9" i="65"/>
  <c r="AK9" i="65"/>
  <c r="AH9" i="65"/>
  <c r="Z9" i="65"/>
  <c r="AA9" i="65"/>
  <c r="AB9" i="65"/>
  <c r="AC9" i="65"/>
  <c r="AD9" i="65"/>
  <c r="AE9" i="65"/>
  <c r="AF9" i="65"/>
  <c r="Z10" i="65"/>
  <c r="AA10" i="65"/>
  <c r="AB10" i="65"/>
  <c r="AC10" i="65"/>
  <c r="AD10" i="65"/>
  <c r="AE10" i="65"/>
  <c r="AF10" i="65"/>
  <c r="Z11" i="65"/>
  <c r="AA11" i="65"/>
  <c r="AB11" i="65"/>
  <c r="AC11" i="65"/>
  <c r="AD11" i="65"/>
  <c r="AE11" i="65"/>
  <c r="AF11" i="65"/>
  <c r="Z12" i="65"/>
  <c r="AA12" i="65"/>
  <c r="AB12" i="65"/>
  <c r="AC12" i="65"/>
  <c r="AD12" i="65"/>
  <c r="AE12" i="65"/>
  <c r="AF12" i="65"/>
  <c r="Z13" i="65"/>
  <c r="AA13" i="65"/>
  <c r="AB13" i="65"/>
  <c r="AC13" i="65"/>
  <c r="AD13" i="65"/>
  <c r="AE13" i="65"/>
  <c r="AF13" i="65"/>
  <c r="Z14" i="65"/>
  <c r="AA14" i="65"/>
  <c r="AB14" i="65"/>
  <c r="AC14" i="65"/>
  <c r="AD14" i="65"/>
  <c r="AE14" i="65"/>
  <c r="AF14" i="65"/>
  <c r="Y10" i="65"/>
  <c r="Y11" i="65"/>
  <c r="Y12" i="65"/>
  <c r="Y13" i="65"/>
  <c r="Y14" i="65"/>
  <c r="Y9" i="65"/>
  <c r="H195" i="62" l="1"/>
  <c r="S100" i="77" l="1"/>
  <c r="V6" i="72"/>
  <c r="V12" i="72"/>
  <c r="V14" i="72"/>
  <c r="V20" i="72"/>
  <c r="V22" i="72"/>
  <c r="V28" i="72"/>
  <c r="V30" i="72"/>
  <c r="V36" i="72"/>
  <c r="V38" i="72"/>
  <c r="V44" i="72"/>
  <c r="V46" i="72"/>
  <c r="V52" i="72"/>
  <c r="V54" i="72"/>
  <c r="V60" i="72"/>
  <c r="V62" i="72"/>
  <c r="V68" i="72"/>
  <c r="V69" i="72"/>
  <c r="V70" i="72"/>
  <c r="V76" i="72"/>
  <c r="V78" i="72"/>
  <c r="V84" i="72"/>
  <c r="V86" i="72"/>
  <c r="V92" i="72"/>
  <c r="V94" i="72"/>
  <c r="V100" i="72"/>
  <c r="V102" i="72"/>
  <c r="V108" i="72"/>
  <c r="V110" i="72"/>
  <c r="V116" i="72"/>
  <c r="V118" i="72"/>
  <c r="V124" i="72"/>
  <c r="V126" i="72"/>
  <c r="V132" i="72"/>
  <c r="V134" i="72"/>
  <c r="V140" i="72"/>
  <c r="V148" i="72"/>
  <c r="V150" i="72"/>
  <c r="V156" i="72"/>
  <c r="V164" i="72"/>
  <c r="V166" i="72"/>
  <c r="V7" i="72"/>
  <c r="V8" i="72"/>
  <c r="V9" i="72"/>
  <c r="V11" i="72"/>
  <c r="V15" i="72"/>
  <c r="V16" i="72"/>
  <c r="V17" i="72"/>
  <c r="V19" i="72"/>
  <c r="V23" i="72"/>
  <c r="V24" i="72"/>
  <c r="V25" i="72"/>
  <c r="V27" i="72"/>
  <c r="V31" i="72"/>
  <c r="V32" i="72"/>
  <c r="V33" i="72"/>
  <c r="V35" i="72"/>
  <c r="V39" i="72"/>
  <c r="V40" i="72"/>
  <c r="V41" i="72"/>
  <c r="V43" i="72"/>
  <c r="V47" i="72"/>
  <c r="V48" i="72"/>
  <c r="V49" i="72"/>
  <c r="V51" i="72"/>
  <c r="V55" i="72"/>
  <c r="V56" i="72"/>
  <c r="V57" i="72"/>
  <c r="V59" i="72"/>
  <c r="V63" i="72"/>
  <c r="V64" i="72"/>
  <c r="V65" i="72"/>
  <c r="V67" i="72"/>
  <c r="V71" i="72"/>
  <c r="V72" i="72"/>
  <c r="V73" i="72"/>
  <c r="V75" i="72"/>
  <c r="V79" i="72"/>
  <c r="V80" i="72"/>
  <c r="V81" i="72"/>
  <c r="V83" i="72"/>
  <c r="V87" i="72"/>
  <c r="V88" i="72"/>
  <c r="V89" i="72"/>
  <c r="V91" i="72"/>
  <c r="V95" i="72"/>
  <c r="V96" i="72"/>
  <c r="V97" i="72"/>
  <c r="V99" i="72"/>
  <c r="V103" i="72"/>
  <c r="V104" i="72"/>
  <c r="V105" i="72"/>
  <c r="V107" i="72"/>
  <c r="V111" i="72"/>
  <c r="V112" i="72"/>
  <c r="V113" i="72"/>
  <c r="V115" i="72"/>
  <c r="V119" i="72"/>
  <c r="V120" i="72"/>
  <c r="V121" i="72"/>
  <c r="V123" i="72"/>
  <c r="V127" i="72"/>
  <c r="V128" i="72"/>
  <c r="V129" i="72"/>
  <c r="V131" i="72"/>
  <c r="V135" i="72"/>
  <c r="V136" i="72"/>
  <c r="V137" i="72"/>
  <c r="V139" i="72"/>
  <c r="V142" i="72"/>
  <c r="V143" i="72"/>
  <c r="V144" i="72"/>
  <c r="V145" i="72"/>
  <c r="V147" i="72"/>
  <c r="V151" i="72"/>
  <c r="V152" i="72"/>
  <c r="V153" i="72"/>
  <c r="V155" i="72"/>
  <c r="V158" i="72"/>
  <c r="V159" i="72"/>
  <c r="V160" i="72"/>
  <c r="V161" i="72"/>
  <c r="V163" i="72"/>
  <c r="V167" i="72"/>
  <c r="V168" i="72"/>
  <c r="V169" i="72"/>
  <c r="V171" i="72"/>
  <c r="V174" i="72"/>
  <c r="V176" i="72"/>
  <c r="V177" i="72"/>
  <c r="V179" i="72"/>
  <c r="V182" i="72"/>
  <c r="V185" i="72"/>
  <c r="V109" i="72"/>
  <c r="V175" i="72"/>
  <c r="V5" i="72"/>
  <c r="V117" i="72" l="1"/>
  <c r="V93" i="72"/>
  <c r="V133" i="72"/>
  <c r="V191" i="72"/>
  <c r="V183" i="72"/>
  <c r="V173" i="72"/>
  <c r="V45" i="72"/>
  <c r="V125" i="72"/>
  <c r="V190" i="72"/>
  <c r="V172" i="72"/>
  <c r="V149" i="72"/>
  <c r="V85" i="72"/>
  <c r="V21" i="72"/>
  <c r="V189" i="72"/>
  <c r="V61" i="72"/>
  <c r="V141" i="72"/>
  <c r="V188" i="72"/>
  <c r="V165" i="72"/>
  <c r="V101" i="72"/>
  <c r="V37" i="72"/>
  <c r="V187" i="72"/>
  <c r="V77" i="72"/>
  <c r="V13" i="72"/>
  <c r="V184" i="72"/>
  <c r="V186" i="72"/>
  <c r="V170" i="72"/>
  <c r="V154" i="72"/>
  <c r="V138" i="72"/>
  <c r="V122" i="72"/>
  <c r="V106" i="72"/>
  <c r="V90" i="72"/>
  <c r="V74" i="72"/>
  <c r="V58" i="72"/>
  <c r="V26" i="72"/>
  <c r="V18" i="72"/>
  <c r="V10" i="72"/>
  <c r="H194" i="72"/>
  <c r="V157" i="72"/>
  <c r="V181" i="72"/>
  <c r="V53" i="72"/>
  <c r="V178" i="72"/>
  <c r="V162" i="72"/>
  <c r="V146" i="72"/>
  <c r="V130" i="72"/>
  <c r="V114" i="72"/>
  <c r="V98" i="72"/>
  <c r="V82" i="72"/>
  <c r="V66" i="72"/>
  <c r="V50" i="72"/>
  <c r="V42" i="72"/>
  <c r="V34" i="72"/>
  <c r="V180" i="72"/>
  <c r="V29" i="72"/>
  <c r="AO194" i="71"/>
  <c r="AN194" i="71"/>
  <c r="AM194" i="71"/>
  <c r="AL13" i="71"/>
  <c r="AL21" i="71"/>
  <c r="AL29" i="71"/>
  <c r="AL37" i="71"/>
  <c r="AL45" i="71"/>
  <c r="AL53" i="71"/>
  <c r="AL61" i="71"/>
  <c r="AL69" i="71"/>
  <c r="AL77" i="71"/>
  <c r="AL85" i="71"/>
  <c r="AL93" i="71"/>
  <c r="AL101" i="71"/>
  <c r="AL109" i="71"/>
  <c r="AL117" i="71"/>
  <c r="AL125" i="71"/>
  <c r="AL133" i="71"/>
  <c r="AL141" i="71"/>
  <c r="AL149" i="71"/>
  <c r="AL157" i="71"/>
  <c r="AL165" i="71"/>
  <c r="AL173" i="71"/>
  <c r="AL181" i="71"/>
  <c r="AL189" i="71"/>
  <c r="AL194" i="71"/>
  <c r="AK194" i="71"/>
  <c r="AJ194" i="71"/>
  <c r="AI194" i="71"/>
  <c r="AH194" i="71"/>
  <c r="AG194" i="71"/>
  <c r="AF194" i="71"/>
  <c r="AE194" i="71"/>
  <c r="AJ9" i="71"/>
  <c r="AO9" i="71"/>
  <c r="AL9" i="71"/>
  <c r="AI9" i="71"/>
  <c r="AJ10" i="71"/>
  <c r="AO10" i="71"/>
  <c r="AL10" i="71"/>
  <c r="AH10" i="71"/>
  <c r="AI10" i="71"/>
  <c r="AJ11" i="71"/>
  <c r="AO11" i="71"/>
  <c r="AL11" i="71"/>
  <c r="AI11" i="71"/>
  <c r="AJ12" i="71"/>
  <c r="AO12" i="71"/>
  <c r="AL12" i="71"/>
  <c r="AI12" i="71"/>
  <c r="AJ13" i="71"/>
  <c r="AO13" i="71"/>
  <c r="AI13" i="71"/>
  <c r="AJ14" i="71"/>
  <c r="AO14" i="71"/>
  <c r="AL14" i="71"/>
  <c r="AI14" i="71"/>
  <c r="AJ15" i="71"/>
  <c r="AO15" i="71"/>
  <c r="AL15" i="71"/>
  <c r="AI15" i="71"/>
  <c r="AJ16" i="71"/>
  <c r="AO16" i="71"/>
  <c r="AL16" i="71"/>
  <c r="AI16" i="71"/>
  <c r="AJ17" i="71"/>
  <c r="AO17" i="71"/>
  <c r="AL17" i="71"/>
  <c r="AI17" i="71"/>
  <c r="AJ18" i="71"/>
  <c r="AO18" i="71"/>
  <c r="AL18" i="71"/>
  <c r="AH18" i="71"/>
  <c r="AI18" i="71"/>
  <c r="AJ19" i="71"/>
  <c r="AO19" i="71"/>
  <c r="AL19" i="71"/>
  <c r="AH19" i="71"/>
  <c r="AI19" i="71"/>
  <c r="AJ20" i="71"/>
  <c r="AO20" i="71"/>
  <c r="AL20" i="71"/>
  <c r="AI20" i="71"/>
  <c r="AJ21" i="71"/>
  <c r="AO21" i="71"/>
  <c r="AI21" i="71"/>
  <c r="AJ22" i="71"/>
  <c r="AO22" i="71"/>
  <c r="AL22" i="71"/>
  <c r="AI22" i="71"/>
  <c r="AJ23" i="71"/>
  <c r="AO23" i="71"/>
  <c r="AL23" i="71"/>
  <c r="AI23" i="71"/>
  <c r="AJ24" i="71"/>
  <c r="AO24" i="71"/>
  <c r="AL24" i="71"/>
  <c r="AI24" i="71"/>
  <c r="AJ25" i="71"/>
  <c r="AO25" i="71"/>
  <c r="AL25" i="71"/>
  <c r="AI25" i="71"/>
  <c r="AJ26" i="71"/>
  <c r="AO26" i="71"/>
  <c r="AL26" i="71"/>
  <c r="AH26" i="71"/>
  <c r="AI26" i="71"/>
  <c r="AJ27" i="71"/>
  <c r="AO27" i="71"/>
  <c r="AL27" i="71"/>
  <c r="AH27" i="71"/>
  <c r="AI27" i="71"/>
  <c r="AJ28" i="71"/>
  <c r="AO28" i="71"/>
  <c r="AL28" i="71"/>
  <c r="AI28" i="71"/>
  <c r="AJ29" i="71"/>
  <c r="AO29" i="71"/>
  <c r="AI29" i="71"/>
  <c r="AJ30" i="71"/>
  <c r="AO30" i="71"/>
  <c r="AL30" i="71"/>
  <c r="AI30" i="71"/>
  <c r="AJ31" i="71"/>
  <c r="AO31" i="71"/>
  <c r="AL31" i="71"/>
  <c r="AI31" i="71"/>
  <c r="AJ32" i="71"/>
  <c r="AO32" i="71"/>
  <c r="AL32" i="71"/>
  <c r="AI32" i="71"/>
  <c r="AJ33" i="71"/>
  <c r="AO33" i="71"/>
  <c r="AL33" i="71"/>
  <c r="AI33" i="71"/>
  <c r="AJ34" i="71"/>
  <c r="AO34" i="71"/>
  <c r="AL34" i="71"/>
  <c r="AH34" i="71"/>
  <c r="AI34" i="71"/>
  <c r="AJ35" i="71"/>
  <c r="AO35" i="71"/>
  <c r="AL35" i="71"/>
  <c r="AH35" i="71"/>
  <c r="AI35" i="71"/>
  <c r="AJ36" i="71"/>
  <c r="AO36" i="71"/>
  <c r="AL36" i="71"/>
  <c r="AI36" i="71"/>
  <c r="AJ37" i="71"/>
  <c r="AO37" i="71"/>
  <c r="AI37" i="71"/>
  <c r="AJ38" i="71"/>
  <c r="AO38" i="71"/>
  <c r="AL38" i="71"/>
  <c r="AI38" i="71"/>
  <c r="AJ39" i="71"/>
  <c r="AO39" i="71"/>
  <c r="AL39" i="71"/>
  <c r="AI39" i="71"/>
  <c r="AJ40" i="71"/>
  <c r="AO40" i="71"/>
  <c r="AL40" i="71"/>
  <c r="AI40" i="71"/>
  <c r="AJ41" i="71"/>
  <c r="AO41" i="71"/>
  <c r="AL41" i="71"/>
  <c r="AI41" i="71"/>
  <c r="AJ42" i="71"/>
  <c r="AO42" i="71"/>
  <c r="AL42" i="71"/>
  <c r="AH42" i="71"/>
  <c r="AI42" i="71"/>
  <c r="AJ43" i="71"/>
  <c r="AO43" i="71"/>
  <c r="AL43" i="71"/>
  <c r="AH43" i="71"/>
  <c r="AI43" i="71"/>
  <c r="AJ44" i="71"/>
  <c r="AO44" i="71"/>
  <c r="AL44" i="71"/>
  <c r="AI44" i="71"/>
  <c r="AJ45" i="71"/>
  <c r="AO45" i="71"/>
  <c r="AI45" i="71"/>
  <c r="AJ46" i="71"/>
  <c r="AO46" i="71"/>
  <c r="AL46" i="71"/>
  <c r="AI46" i="71"/>
  <c r="AJ47" i="71"/>
  <c r="AO47" i="71"/>
  <c r="AL47" i="71"/>
  <c r="AI47" i="71"/>
  <c r="AJ48" i="71"/>
  <c r="AO48" i="71"/>
  <c r="AL48" i="71"/>
  <c r="AI48" i="71"/>
  <c r="AJ49" i="71"/>
  <c r="AO49" i="71"/>
  <c r="AL49" i="71"/>
  <c r="AI49" i="71"/>
  <c r="AJ50" i="71"/>
  <c r="AO50" i="71"/>
  <c r="AL50" i="71"/>
  <c r="AH50" i="71"/>
  <c r="AI50" i="71"/>
  <c r="AJ51" i="71"/>
  <c r="AO51" i="71"/>
  <c r="AL51" i="71"/>
  <c r="AH51" i="71"/>
  <c r="AI51" i="71"/>
  <c r="AJ52" i="71"/>
  <c r="AO52" i="71"/>
  <c r="AL52" i="71"/>
  <c r="AI52" i="71"/>
  <c r="AJ53" i="71"/>
  <c r="AO53" i="71"/>
  <c r="AI53" i="71"/>
  <c r="AJ54" i="71"/>
  <c r="AO54" i="71"/>
  <c r="AL54" i="71"/>
  <c r="AI54" i="71"/>
  <c r="AJ55" i="71"/>
  <c r="AO55" i="71"/>
  <c r="AL55" i="71"/>
  <c r="AI55" i="71"/>
  <c r="AJ56" i="71"/>
  <c r="AO56" i="71"/>
  <c r="AL56" i="71"/>
  <c r="AI56" i="71"/>
  <c r="AJ57" i="71"/>
  <c r="AO57" i="71"/>
  <c r="AL57" i="71"/>
  <c r="AI57" i="71"/>
  <c r="AJ58" i="71"/>
  <c r="AO58" i="71"/>
  <c r="AL58" i="71"/>
  <c r="AH58" i="71"/>
  <c r="AI58" i="71"/>
  <c r="AJ59" i="71"/>
  <c r="AO59" i="71"/>
  <c r="AL59" i="71"/>
  <c r="AH59" i="71"/>
  <c r="AI59" i="71"/>
  <c r="AJ60" i="71"/>
  <c r="AO60" i="71"/>
  <c r="AL60" i="71"/>
  <c r="AI60" i="71"/>
  <c r="AJ61" i="71"/>
  <c r="AO61" i="71"/>
  <c r="AI61" i="71"/>
  <c r="AJ62" i="71"/>
  <c r="AO62" i="71"/>
  <c r="AL62" i="71"/>
  <c r="AI62" i="71"/>
  <c r="AJ63" i="71"/>
  <c r="AO63" i="71"/>
  <c r="AL63" i="71"/>
  <c r="AI63" i="71"/>
  <c r="AJ64" i="71"/>
  <c r="AO64" i="71"/>
  <c r="AL64" i="71"/>
  <c r="AI64" i="71"/>
  <c r="AJ65" i="71"/>
  <c r="AO65" i="71"/>
  <c r="AL65" i="71"/>
  <c r="AI65" i="71"/>
  <c r="AJ66" i="71"/>
  <c r="AO66" i="71"/>
  <c r="AL66" i="71"/>
  <c r="AH66" i="71"/>
  <c r="AI66" i="71"/>
  <c r="AJ67" i="71"/>
  <c r="AO67" i="71"/>
  <c r="AL67" i="71"/>
  <c r="AH67" i="71"/>
  <c r="AI67" i="71"/>
  <c r="AJ68" i="71"/>
  <c r="AO68" i="71"/>
  <c r="AL68" i="71"/>
  <c r="AI68" i="71"/>
  <c r="AJ69" i="71"/>
  <c r="AO69" i="71"/>
  <c r="AI69" i="71"/>
  <c r="AJ70" i="71"/>
  <c r="AO70" i="71"/>
  <c r="AL70" i="71"/>
  <c r="AH70" i="71"/>
  <c r="AI70" i="71"/>
  <c r="AJ71" i="71"/>
  <c r="AO71" i="71"/>
  <c r="AL71" i="71"/>
  <c r="AI71" i="71"/>
  <c r="AJ72" i="71"/>
  <c r="AO72" i="71"/>
  <c r="AL72" i="71"/>
  <c r="AI72" i="71"/>
  <c r="AJ73" i="71"/>
  <c r="AO73" i="71"/>
  <c r="AL73" i="71"/>
  <c r="AI73" i="71"/>
  <c r="AJ74" i="71"/>
  <c r="AO74" i="71"/>
  <c r="AL74" i="71"/>
  <c r="AH74" i="71"/>
  <c r="AI74" i="71"/>
  <c r="AJ75" i="71"/>
  <c r="AO75" i="71"/>
  <c r="AL75" i="71"/>
  <c r="AI75" i="71"/>
  <c r="AJ76" i="71"/>
  <c r="AO76" i="71"/>
  <c r="AL76" i="71"/>
  <c r="AI76" i="71"/>
  <c r="AJ77" i="71"/>
  <c r="AO77" i="71"/>
  <c r="AI77" i="71"/>
  <c r="AJ78" i="71"/>
  <c r="AO78" i="71"/>
  <c r="AL78" i="71"/>
  <c r="AH78" i="71"/>
  <c r="AI78" i="71"/>
  <c r="AJ79" i="71"/>
  <c r="AO79" i="71"/>
  <c r="AL79" i="71"/>
  <c r="AI79" i="71"/>
  <c r="AJ80" i="71"/>
  <c r="AO80" i="71"/>
  <c r="AL80" i="71"/>
  <c r="AI80" i="71"/>
  <c r="AJ81" i="71"/>
  <c r="AO81" i="71"/>
  <c r="AL81" i="71"/>
  <c r="AI81" i="71"/>
  <c r="AJ82" i="71"/>
  <c r="AO82" i="71"/>
  <c r="AL82" i="71"/>
  <c r="AH82" i="71"/>
  <c r="AI82" i="71"/>
  <c r="AJ83" i="71"/>
  <c r="AO83" i="71"/>
  <c r="AL83" i="71"/>
  <c r="AH83" i="71"/>
  <c r="AI83" i="71"/>
  <c r="AJ84" i="71"/>
  <c r="AO84" i="71"/>
  <c r="AL84" i="71"/>
  <c r="AI84" i="71"/>
  <c r="AJ85" i="71"/>
  <c r="AO85" i="71"/>
  <c r="AI85" i="71"/>
  <c r="AJ86" i="71"/>
  <c r="AO86" i="71"/>
  <c r="AL86" i="71"/>
  <c r="AH86" i="71"/>
  <c r="AI86" i="71"/>
  <c r="AJ87" i="71"/>
  <c r="AO87" i="71"/>
  <c r="AL87" i="71"/>
  <c r="AI87" i="71"/>
  <c r="AJ88" i="71"/>
  <c r="AO88" i="71"/>
  <c r="AL88" i="71"/>
  <c r="AI88" i="71"/>
  <c r="AJ89" i="71"/>
  <c r="AO89" i="71"/>
  <c r="AL89" i="71"/>
  <c r="AI89" i="71"/>
  <c r="AJ90" i="71"/>
  <c r="AO90" i="71"/>
  <c r="AL90" i="71"/>
  <c r="AH90" i="71"/>
  <c r="AI90" i="71"/>
  <c r="AJ91" i="71"/>
  <c r="AO91" i="71"/>
  <c r="AL91" i="71"/>
  <c r="AH91" i="71"/>
  <c r="AI91" i="71"/>
  <c r="AJ92" i="71"/>
  <c r="AO92" i="71"/>
  <c r="AL92" i="71"/>
  <c r="AI92" i="71"/>
  <c r="AJ93" i="71"/>
  <c r="AO93" i="71"/>
  <c r="AI93" i="71"/>
  <c r="AJ94" i="71"/>
  <c r="AO94" i="71"/>
  <c r="AL94" i="71"/>
  <c r="AH94" i="71"/>
  <c r="AI94" i="71"/>
  <c r="AJ95" i="71"/>
  <c r="AO95" i="71"/>
  <c r="AL95" i="71"/>
  <c r="AI95" i="71"/>
  <c r="AJ96" i="71"/>
  <c r="AO96" i="71"/>
  <c r="AL96" i="71"/>
  <c r="AI96" i="71"/>
  <c r="AJ97" i="71"/>
  <c r="AO97" i="71"/>
  <c r="AL97" i="71"/>
  <c r="AI97" i="71"/>
  <c r="AJ98" i="71"/>
  <c r="AO98" i="71"/>
  <c r="AL98" i="71"/>
  <c r="AH98" i="71"/>
  <c r="AI98" i="71"/>
  <c r="AJ99" i="71"/>
  <c r="AO99" i="71"/>
  <c r="AL99" i="71"/>
  <c r="AH99" i="71"/>
  <c r="AI99" i="71"/>
  <c r="AJ100" i="71"/>
  <c r="AO100" i="71"/>
  <c r="AL100" i="71"/>
  <c r="AI100" i="71"/>
  <c r="AJ101" i="71"/>
  <c r="AO101" i="71"/>
  <c r="AI101" i="71"/>
  <c r="AJ102" i="71"/>
  <c r="AO102" i="71"/>
  <c r="AL102" i="71"/>
  <c r="AH102" i="71"/>
  <c r="AI102" i="71"/>
  <c r="AJ103" i="71"/>
  <c r="AO103" i="71"/>
  <c r="AL103" i="71"/>
  <c r="AI103" i="71"/>
  <c r="AJ104" i="71"/>
  <c r="AO104" i="71"/>
  <c r="AL104" i="71"/>
  <c r="AI104" i="71"/>
  <c r="AJ105" i="71"/>
  <c r="AO105" i="71"/>
  <c r="AL105" i="71"/>
  <c r="AI105" i="71"/>
  <c r="AJ106" i="71"/>
  <c r="AO106" i="71"/>
  <c r="AL106" i="71"/>
  <c r="AH106" i="71"/>
  <c r="AI106" i="71"/>
  <c r="AJ107" i="71"/>
  <c r="AO107" i="71"/>
  <c r="AL107" i="71"/>
  <c r="AH107" i="71"/>
  <c r="AI107" i="71"/>
  <c r="AJ108" i="71"/>
  <c r="AO108" i="71"/>
  <c r="AL108" i="71"/>
  <c r="AI108" i="71"/>
  <c r="AJ109" i="71"/>
  <c r="AO109" i="71"/>
  <c r="AI109" i="71"/>
  <c r="AJ110" i="71"/>
  <c r="AO110" i="71"/>
  <c r="AL110" i="71"/>
  <c r="AH110" i="71"/>
  <c r="AI110" i="71"/>
  <c r="AJ111" i="71"/>
  <c r="AO111" i="71"/>
  <c r="AL111" i="71"/>
  <c r="AH111" i="71"/>
  <c r="AI111" i="71"/>
  <c r="AJ112" i="71"/>
  <c r="AO112" i="71"/>
  <c r="AL112" i="71"/>
  <c r="AI112" i="71"/>
  <c r="AJ113" i="71"/>
  <c r="AO113" i="71"/>
  <c r="AL113" i="71"/>
  <c r="AI113" i="71"/>
  <c r="AJ114" i="71"/>
  <c r="AO114" i="71"/>
  <c r="AL114" i="71"/>
  <c r="AH114" i="71"/>
  <c r="AI114" i="71"/>
  <c r="AJ115" i="71"/>
  <c r="AO115" i="71"/>
  <c r="AL115" i="71"/>
  <c r="AH115" i="71"/>
  <c r="AI115" i="71"/>
  <c r="AJ116" i="71"/>
  <c r="AO116" i="71"/>
  <c r="AL116" i="71"/>
  <c r="AI116" i="71"/>
  <c r="AJ117" i="71"/>
  <c r="AO117" i="71"/>
  <c r="AI117" i="71"/>
  <c r="AJ118" i="71"/>
  <c r="AO118" i="71"/>
  <c r="AL118" i="71"/>
  <c r="AH118" i="71"/>
  <c r="AI118" i="71"/>
  <c r="AJ119" i="71"/>
  <c r="AO119" i="71"/>
  <c r="AL119" i="71"/>
  <c r="AH119" i="71"/>
  <c r="AI119" i="71"/>
  <c r="AJ120" i="71"/>
  <c r="AO120" i="71"/>
  <c r="AL120" i="71"/>
  <c r="AI120" i="71"/>
  <c r="AJ121" i="71"/>
  <c r="AO121" i="71"/>
  <c r="AL121" i="71"/>
  <c r="AI121" i="71"/>
  <c r="AJ122" i="71"/>
  <c r="AO122" i="71"/>
  <c r="AL122" i="71"/>
  <c r="AH122" i="71"/>
  <c r="AI122" i="71"/>
  <c r="AJ123" i="71"/>
  <c r="AO123" i="71"/>
  <c r="AL123" i="71"/>
  <c r="AH123" i="71"/>
  <c r="AI123" i="71"/>
  <c r="AJ124" i="71"/>
  <c r="AO124" i="71"/>
  <c r="AL124" i="71"/>
  <c r="AI124" i="71"/>
  <c r="AJ125" i="71"/>
  <c r="AO125" i="71"/>
  <c r="AI125" i="71"/>
  <c r="AJ126" i="71"/>
  <c r="AO126" i="71"/>
  <c r="AL126" i="71"/>
  <c r="AH126" i="71"/>
  <c r="AI126" i="71"/>
  <c r="AJ127" i="71"/>
  <c r="AO127" i="71"/>
  <c r="AL127" i="71"/>
  <c r="AH127" i="71"/>
  <c r="AI127" i="71"/>
  <c r="AJ128" i="71"/>
  <c r="AO128" i="71"/>
  <c r="AL128" i="71"/>
  <c r="AI128" i="71"/>
  <c r="AJ129" i="71"/>
  <c r="AO129" i="71"/>
  <c r="AL129" i="71"/>
  <c r="AI129" i="71"/>
  <c r="AJ130" i="71"/>
  <c r="AO130" i="71"/>
  <c r="AL130" i="71"/>
  <c r="AH130" i="71"/>
  <c r="AI130" i="71"/>
  <c r="AJ131" i="71"/>
  <c r="AO131" i="71"/>
  <c r="AL131" i="71"/>
  <c r="AH131" i="71"/>
  <c r="AI131" i="71"/>
  <c r="AJ132" i="71"/>
  <c r="AO132" i="71"/>
  <c r="AL132" i="71"/>
  <c r="AI132" i="71"/>
  <c r="AJ133" i="71"/>
  <c r="AO133" i="71"/>
  <c r="AI133" i="71"/>
  <c r="AJ134" i="71"/>
  <c r="AO134" i="71"/>
  <c r="AL134" i="71"/>
  <c r="AH134" i="71"/>
  <c r="AI134" i="71"/>
  <c r="AJ135" i="71"/>
  <c r="AO135" i="71"/>
  <c r="AL135" i="71"/>
  <c r="AH135" i="71"/>
  <c r="AI135" i="71"/>
  <c r="AJ136" i="71"/>
  <c r="AO136" i="71"/>
  <c r="AL136" i="71"/>
  <c r="AI136" i="71"/>
  <c r="AJ137" i="71"/>
  <c r="AO137" i="71"/>
  <c r="AL137" i="71"/>
  <c r="AI137" i="71"/>
  <c r="AJ138" i="71"/>
  <c r="AO138" i="71"/>
  <c r="AL138" i="71"/>
  <c r="AH138" i="71"/>
  <c r="AI138" i="71"/>
  <c r="AJ139" i="71"/>
  <c r="AO139" i="71"/>
  <c r="AL139" i="71"/>
  <c r="AI139" i="71"/>
  <c r="AJ140" i="71"/>
  <c r="AO140" i="71"/>
  <c r="AL140" i="71"/>
  <c r="AI140" i="71"/>
  <c r="AJ141" i="71"/>
  <c r="AO141" i="71"/>
  <c r="AI141" i="71"/>
  <c r="AJ142" i="71"/>
  <c r="AO142" i="71"/>
  <c r="AL142" i="71"/>
  <c r="AH142" i="71"/>
  <c r="AI142" i="71"/>
  <c r="AJ143" i="71"/>
  <c r="AO143" i="71"/>
  <c r="AL143" i="71"/>
  <c r="AH143" i="71"/>
  <c r="AI143" i="71"/>
  <c r="AJ144" i="71"/>
  <c r="AO144" i="71"/>
  <c r="AL144" i="71"/>
  <c r="AI144" i="71"/>
  <c r="AJ145" i="71"/>
  <c r="AO145" i="71"/>
  <c r="AL145" i="71"/>
  <c r="AI145" i="71"/>
  <c r="AJ146" i="71"/>
  <c r="AO146" i="71"/>
  <c r="AL146" i="71"/>
  <c r="AH146" i="71"/>
  <c r="AI146" i="71"/>
  <c r="AJ147" i="71"/>
  <c r="AO147" i="71"/>
  <c r="AL147" i="71"/>
  <c r="AH147" i="71"/>
  <c r="AI147" i="71"/>
  <c r="AJ148" i="71"/>
  <c r="AO148" i="71"/>
  <c r="AL148" i="71"/>
  <c r="AI148" i="71"/>
  <c r="AJ149" i="71"/>
  <c r="AO149" i="71"/>
  <c r="AI149" i="71"/>
  <c r="AJ150" i="71"/>
  <c r="AO150" i="71"/>
  <c r="AL150" i="71"/>
  <c r="AH150" i="71"/>
  <c r="AI150" i="71"/>
  <c r="AJ151" i="71"/>
  <c r="AO151" i="71"/>
  <c r="AL151" i="71"/>
  <c r="AH151" i="71"/>
  <c r="AI151" i="71"/>
  <c r="AJ152" i="71"/>
  <c r="AO152" i="71"/>
  <c r="AL152" i="71"/>
  <c r="AI152" i="71"/>
  <c r="AJ153" i="71"/>
  <c r="AO153" i="71"/>
  <c r="AL153" i="71"/>
  <c r="AI153" i="71"/>
  <c r="AJ154" i="71"/>
  <c r="AO154" i="71"/>
  <c r="AL154" i="71"/>
  <c r="AH154" i="71"/>
  <c r="AI154" i="71"/>
  <c r="AJ155" i="71"/>
  <c r="AO155" i="71"/>
  <c r="AL155" i="71"/>
  <c r="AH155" i="71"/>
  <c r="AI155" i="71"/>
  <c r="AJ156" i="71"/>
  <c r="AO156" i="71"/>
  <c r="AL156" i="71"/>
  <c r="AI156" i="71"/>
  <c r="AJ157" i="71"/>
  <c r="AO157" i="71"/>
  <c r="AI157" i="71"/>
  <c r="AJ158" i="71"/>
  <c r="AO158" i="71"/>
  <c r="AL158" i="71"/>
  <c r="AH158" i="71"/>
  <c r="AI158" i="71"/>
  <c r="AJ159" i="71"/>
  <c r="AO159" i="71"/>
  <c r="AL159" i="71"/>
  <c r="AI159" i="71"/>
  <c r="AJ160" i="71"/>
  <c r="AO160" i="71"/>
  <c r="AL160" i="71"/>
  <c r="AI160" i="71"/>
  <c r="AJ161" i="71"/>
  <c r="AO161" i="71"/>
  <c r="AL161" i="71"/>
  <c r="AI161" i="71"/>
  <c r="AJ162" i="71"/>
  <c r="AO162" i="71"/>
  <c r="AL162" i="71"/>
  <c r="AH162" i="71"/>
  <c r="AI162" i="71"/>
  <c r="AJ163" i="71"/>
  <c r="AO163" i="71"/>
  <c r="AL163" i="71"/>
  <c r="AH163" i="71"/>
  <c r="AI163" i="71"/>
  <c r="AJ164" i="71"/>
  <c r="AO164" i="71"/>
  <c r="AL164" i="71"/>
  <c r="AI164" i="71"/>
  <c r="AJ165" i="71"/>
  <c r="AO165" i="71"/>
  <c r="AI165" i="71"/>
  <c r="AJ166" i="71"/>
  <c r="AO166" i="71"/>
  <c r="AL166" i="71"/>
  <c r="AH166" i="71"/>
  <c r="AI166" i="71"/>
  <c r="AJ167" i="71"/>
  <c r="AO167" i="71"/>
  <c r="AL167" i="71"/>
  <c r="AH167" i="71"/>
  <c r="AI167" i="71"/>
  <c r="AJ168" i="71"/>
  <c r="AO168" i="71"/>
  <c r="AL168" i="71"/>
  <c r="AI168" i="71"/>
  <c r="AJ169" i="71"/>
  <c r="AO169" i="71"/>
  <c r="AL169" i="71"/>
  <c r="AI169" i="71"/>
  <c r="AJ170" i="71"/>
  <c r="AO170" i="71"/>
  <c r="AL170" i="71"/>
  <c r="AH170" i="71"/>
  <c r="AI170" i="71"/>
  <c r="AJ171" i="71"/>
  <c r="AO171" i="71"/>
  <c r="AL171" i="71"/>
  <c r="AH171" i="71"/>
  <c r="AI171" i="71"/>
  <c r="AJ172" i="71"/>
  <c r="AO172" i="71"/>
  <c r="AL172" i="71"/>
  <c r="AI172" i="71"/>
  <c r="AJ173" i="71"/>
  <c r="AO173" i="71"/>
  <c r="AI173" i="71"/>
  <c r="AJ174" i="71"/>
  <c r="AO174" i="71"/>
  <c r="AL174" i="71"/>
  <c r="AH174" i="71"/>
  <c r="AI174" i="71"/>
  <c r="AJ175" i="71"/>
  <c r="AO175" i="71"/>
  <c r="AL175" i="71"/>
  <c r="AH175" i="71"/>
  <c r="AI175" i="71"/>
  <c r="AJ176" i="71"/>
  <c r="AO176" i="71"/>
  <c r="AL176" i="71"/>
  <c r="AI176" i="71"/>
  <c r="AJ177" i="71"/>
  <c r="AO177" i="71"/>
  <c r="AL177" i="71"/>
  <c r="AI177" i="71"/>
  <c r="AJ178" i="71"/>
  <c r="AO178" i="71"/>
  <c r="AL178" i="71"/>
  <c r="AH178" i="71"/>
  <c r="AI178" i="71"/>
  <c r="AJ179" i="71"/>
  <c r="AO179" i="71"/>
  <c r="AL179" i="71"/>
  <c r="AH179" i="71"/>
  <c r="AI179" i="71"/>
  <c r="AJ180" i="71"/>
  <c r="AO180" i="71"/>
  <c r="AL180" i="71"/>
  <c r="AI180" i="71"/>
  <c r="AJ181" i="71"/>
  <c r="AO181" i="71"/>
  <c r="AI181" i="71"/>
  <c r="AJ182" i="71"/>
  <c r="AO182" i="71"/>
  <c r="AL182" i="71"/>
  <c r="AH182" i="71"/>
  <c r="AI182" i="71"/>
  <c r="AJ183" i="71"/>
  <c r="AO183" i="71"/>
  <c r="AL183" i="71"/>
  <c r="AH183" i="71"/>
  <c r="AI183" i="71"/>
  <c r="AJ184" i="71"/>
  <c r="AO184" i="71"/>
  <c r="AL184" i="71"/>
  <c r="AI184" i="71"/>
  <c r="AJ185" i="71"/>
  <c r="AO185" i="71"/>
  <c r="AL185" i="71"/>
  <c r="AI185" i="71"/>
  <c r="AJ186" i="71"/>
  <c r="AO186" i="71"/>
  <c r="AL186" i="71"/>
  <c r="AH186" i="71"/>
  <c r="AI186" i="71"/>
  <c r="AJ187" i="71"/>
  <c r="AO187" i="71"/>
  <c r="AL187" i="71"/>
  <c r="AH187" i="71"/>
  <c r="AI187" i="71"/>
  <c r="AJ188" i="71"/>
  <c r="AO188" i="71"/>
  <c r="AL188" i="71"/>
  <c r="AI188" i="71"/>
  <c r="AJ189" i="71"/>
  <c r="AO189" i="71"/>
  <c r="AI189" i="71"/>
  <c r="AJ190" i="71"/>
  <c r="AO190" i="71"/>
  <c r="AL190" i="71"/>
  <c r="AH190" i="71"/>
  <c r="AI190" i="71"/>
  <c r="AJ191" i="71"/>
  <c r="AO191" i="71"/>
  <c r="AL191" i="71"/>
  <c r="AH191" i="71"/>
  <c r="AI191" i="71"/>
  <c r="AJ192" i="71"/>
  <c r="AO192" i="71"/>
  <c r="AL192" i="71"/>
  <c r="AI192" i="71"/>
  <c r="AJ193" i="71"/>
  <c r="AO193" i="71"/>
  <c r="AL193" i="71"/>
  <c r="AI193" i="71"/>
  <c r="AO8" i="71"/>
  <c r="AL8" i="71"/>
  <c r="AH8" i="71"/>
  <c r="AI8" i="71"/>
  <c r="AJ8" i="71"/>
  <c r="BW9" i="49"/>
  <c r="BW10" i="49"/>
  <c r="BW11" i="49"/>
  <c r="AH11" i="71" s="1"/>
  <c r="BW12" i="49"/>
  <c r="BW13" i="49"/>
  <c r="BW14" i="49"/>
  <c r="BW15" i="49"/>
  <c r="BW16" i="49"/>
  <c r="BW17" i="49"/>
  <c r="BW18" i="49"/>
  <c r="BW19" i="49"/>
  <c r="BW20" i="49"/>
  <c r="BW21" i="49"/>
  <c r="BW22" i="49"/>
  <c r="BW23" i="49"/>
  <c r="BW24" i="49"/>
  <c r="BW25" i="49"/>
  <c r="BW26" i="49"/>
  <c r="BW27" i="49"/>
  <c r="BW28" i="49"/>
  <c r="BW29" i="49"/>
  <c r="BW30" i="49"/>
  <c r="BW31" i="49"/>
  <c r="AH31" i="71" s="1"/>
  <c r="BW32" i="49"/>
  <c r="BW33" i="49"/>
  <c r="BW34" i="49"/>
  <c r="BW35" i="49"/>
  <c r="BW36" i="49"/>
  <c r="BW37" i="49"/>
  <c r="BW38" i="49"/>
  <c r="BW39" i="49"/>
  <c r="BW40" i="49"/>
  <c r="BW41" i="49"/>
  <c r="BW42" i="49"/>
  <c r="BW43" i="49"/>
  <c r="BW44" i="49"/>
  <c r="BW45" i="49"/>
  <c r="BW46" i="49"/>
  <c r="BW47" i="49"/>
  <c r="BW48" i="49"/>
  <c r="BW49" i="49"/>
  <c r="BW50" i="49"/>
  <c r="BW51" i="49"/>
  <c r="BW52" i="49"/>
  <c r="AH52" i="71" s="1"/>
  <c r="BW53" i="49"/>
  <c r="BW54" i="49"/>
  <c r="BW55" i="49"/>
  <c r="BW56" i="49"/>
  <c r="BW57" i="49"/>
  <c r="BW58" i="49"/>
  <c r="BW59" i="49"/>
  <c r="BW60" i="49"/>
  <c r="BW61" i="49"/>
  <c r="BW62" i="49"/>
  <c r="BW63" i="49"/>
  <c r="BW64" i="49"/>
  <c r="BW65" i="49"/>
  <c r="BW66" i="49"/>
  <c r="BW67" i="49"/>
  <c r="BW68" i="49"/>
  <c r="BW69" i="49"/>
  <c r="BW70" i="49"/>
  <c r="BW71" i="49"/>
  <c r="BW72" i="49"/>
  <c r="BW73" i="49"/>
  <c r="BW74" i="49"/>
  <c r="BW75" i="49"/>
  <c r="AH75" i="71" s="1"/>
  <c r="BW76" i="49"/>
  <c r="BW77" i="49"/>
  <c r="BW78" i="49"/>
  <c r="BW79" i="49"/>
  <c r="BW80" i="49"/>
  <c r="BW81" i="49"/>
  <c r="BW82" i="49"/>
  <c r="BW83" i="49"/>
  <c r="BW84" i="49"/>
  <c r="BW85" i="49"/>
  <c r="BW86" i="49"/>
  <c r="BW87" i="49"/>
  <c r="BW88" i="49"/>
  <c r="BW89" i="49"/>
  <c r="BW90" i="49"/>
  <c r="BW91" i="49"/>
  <c r="BW92" i="49"/>
  <c r="BW93" i="49"/>
  <c r="BW94" i="49"/>
  <c r="BW95" i="49"/>
  <c r="AH95" i="71" s="1"/>
  <c r="BW96" i="49"/>
  <c r="BW97" i="49"/>
  <c r="BW98" i="49"/>
  <c r="BW99" i="49"/>
  <c r="BW100" i="49"/>
  <c r="BW101" i="49"/>
  <c r="BW102" i="49"/>
  <c r="BW103" i="49"/>
  <c r="BW104" i="49"/>
  <c r="BW105" i="49"/>
  <c r="BW106" i="49"/>
  <c r="BW107" i="49"/>
  <c r="BW108" i="49"/>
  <c r="BW109" i="49"/>
  <c r="BW110" i="49"/>
  <c r="BW111" i="49"/>
  <c r="BW112" i="49"/>
  <c r="BW113" i="49"/>
  <c r="BW114" i="49"/>
  <c r="BW115" i="49"/>
  <c r="BW116" i="49"/>
  <c r="AH116" i="71" s="1"/>
  <c r="BW117" i="49"/>
  <c r="BW118" i="49"/>
  <c r="BW119" i="49"/>
  <c r="BW120" i="49"/>
  <c r="BW121" i="49"/>
  <c r="BW122" i="49"/>
  <c r="BW123" i="49"/>
  <c r="BW124" i="49"/>
  <c r="BW125" i="49"/>
  <c r="BW126" i="49"/>
  <c r="BW127" i="49"/>
  <c r="BW128" i="49"/>
  <c r="BW129" i="49"/>
  <c r="BW130" i="49"/>
  <c r="BW131" i="49"/>
  <c r="BW132" i="49"/>
  <c r="BW133" i="49"/>
  <c r="BW134" i="49"/>
  <c r="BW135" i="49"/>
  <c r="BW136" i="49"/>
  <c r="BW137" i="49"/>
  <c r="BW138" i="49"/>
  <c r="BW139" i="49"/>
  <c r="AH139" i="71" s="1"/>
  <c r="BW140" i="49"/>
  <c r="BW141" i="49"/>
  <c r="BW142" i="49"/>
  <c r="BW143" i="49"/>
  <c r="BW144" i="49"/>
  <c r="BW145" i="49"/>
  <c r="BW146" i="49"/>
  <c r="BW147" i="49"/>
  <c r="BW148" i="49"/>
  <c r="BW149" i="49"/>
  <c r="BW150" i="49"/>
  <c r="BW151" i="49"/>
  <c r="BW152" i="49"/>
  <c r="BW153" i="49"/>
  <c r="BW154" i="49"/>
  <c r="BW155" i="49"/>
  <c r="BW156" i="49"/>
  <c r="BW157" i="49"/>
  <c r="BW158" i="49"/>
  <c r="BW159" i="49"/>
  <c r="AH159" i="71" s="1"/>
  <c r="BW160" i="49"/>
  <c r="BW161" i="49"/>
  <c r="BW162" i="49"/>
  <c r="BW163" i="49"/>
  <c r="BW164" i="49"/>
  <c r="BW165" i="49"/>
  <c r="BW166" i="49"/>
  <c r="BW167" i="49"/>
  <c r="BW168" i="49"/>
  <c r="BW169" i="49"/>
  <c r="BW170" i="49"/>
  <c r="BW171" i="49"/>
  <c r="BW172" i="49"/>
  <c r="BW173" i="49"/>
  <c r="BW174" i="49"/>
  <c r="BW175" i="49"/>
  <c r="BW176" i="49"/>
  <c r="BW177" i="49"/>
  <c r="BW178" i="49"/>
  <c r="BW179" i="49"/>
  <c r="BW180" i="49"/>
  <c r="AH180" i="71" s="1"/>
  <c r="BW181" i="49"/>
  <c r="BW182" i="49"/>
  <c r="BW183" i="49"/>
  <c r="BW184" i="49"/>
  <c r="BW185" i="49"/>
  <c r="BW186" i="49"/>
  <c r="BW187" i="49"/>
  <c r="BW188" i="49"/>
  <c r="BW189" i="49"/>
  <c r="BW190" i="49"/>
  <c r="BW191" i="49"/>
  <c r="BW192" i="49"/>
  <c r="BW193" i="49"/>
  <c r="BW8" i="49"/>
  <c r="GH196" i="67"/>
  <c r="GI196" i="67"/>
  <c r="GN196" i="67"/>
  <c r="GS196" i="67"/>
  <c r="GT196" i="67"/>
  <c r="GU196" i="67"/>
  <c r="FR196" i="67"/>
  <c r="FS196" i="67"/>
  <c r="FX196" i="67"/>
  <c r="GC196" i="67"/>
  <c r="GD196" i="67"/>
  <c r="GE196" i="67"/>
  <c r="FB196" i="67"/>
  <c r="FC196" i="67"/>
  <c r="FH196" i="67"/>
  <c r="FM196" i="67"/>
  <c r="FN196" i="67"/>
  <c r="FO196" i="67"/>
  <c r="EL196" i="67"/>
  <c r="EM196" i="67"/>
  <c r="ER196" i="67"/>
  <c r="EW196" i="67"/>
  <c r="EX196" i="67"/>
  <c r="EY196" i="67"/>
  <c r="DV196" i="67"/>
  <c r="DW196" i="67"/>
  <c r="EB196" i="67"/>
  <c r="EG196" i="67"/>
  <c r="EH196" i="67"/>
  <c r="EI196" i="67"/>
  <c r="DF196" i="67"/>
  <c r="DG196" i="67"/>
  <c r="DL196" i="67"/>
  <c r="DQ196" i="67"/>
  <c r="DR196" i="67"/>
  <c r="DS196" i="67"/>
  <c r="N196" i="67"/>
  <c r="Y196" i="67"/>
  <c r="Z196" i="67"/>
  <c r="AA196" i="67"/>
  <c r="AD196" i="67"/>
  <c r="AE196" i="67"/>
  <c r="AJ196" i="67"/>
  <c r="AO196" i="67"/>
  <c r="AP196" i="67"/>
  <c r="AQ196" i="67"/>
  <c r="AT196" i="67"/>
  <c r="AU196" i="67"/>
  <c r="AZ196" i="67"/>
  <c r="BE196" i="67"/>
  <c r="BF196" i="67"/>
  <c r="BG196" i="67"/>
  <c r="BJ196" i="67"/>
  <c r="BK196" i="67"/>
  <c r="BP196" i="67"/>
  <c r="BU196" i="67"/>
  <c r="BV196" i="67"/>
  <c r="BW196" i="67"/>
  <c r="BZ196" i="67"/>
  <c r="CA196" i="67"/>
  <c r="CF196" i="67"/>
  <c r="CL196" i="67"/>
  <c r="DB196" i="67"/>
  <c r="DC196" i="67"/>
  <c r="AH193" i="71" l="1"/>
  <c r="AH188" i="71"/>
  <c r="AH185" i="71"/>
  <c r="AH177" i="71"/>
  <c r="AH172" i="71"/>
  <c r="AH168" i="71"/>
  <c r="AH165" i="71"/>
  <c r="AH160" i="71"/>
  <c r="AH156" i="71"/>
  <c r="AH152" i="71"/>
  <c r="AH148" i="71"/>
  <c r="AH144" i="71"/>
  <c r="AH140" i="71"/>
  <c r="AH132" i="71"/>
  <c r="AH128" i="71"/>
  <c r="AH124" i="71"/>
  <c r="AH120" i="71"/>
  <c r="AH112" i="71"/>
  <c r="AH108" i="71"/>
  <c r="AH104" i="71"/>
  <c r="AH100" i="71"/>
  <c r="AH96" i="71"/>
  <c r="AH89" i="71"/>
  <c r="AH87" i="71"/>
  <c r="AH85" i="71"/>
  <c r="AH81" i="71"/>
  <c r="AH79" i="71"/>
  <c r="AH77" i="71"/>
  <c r="AH73" i="71"/>
  <c r="AH71" i="71"/>
  <c r="AH69" i="71"/>
  <c r="AH65" i="71"/>
  <c r="AH63" i="71"/>
  <c r="AH62" i="71"/>
  <c r="AH61" i="71"/>
  <c r="AH60" i="71"/>
  <c r="AH57" i="71"/>
  <c r="AH56" i="71"/>
  <c r="AH55" i="71"/>
  <c r="AH54" i="71"/>
  <c r="AH53" i="71"/>
  <c r="AH49" i="71"/>
  <c r="AH48" i="71"/>
  <c r="AH47" i="71"/>
  <c r="AH46" i="71"/>
  <c r="AH45" i="71"/>
  <c r="AH44" i="71"/>
  <c r="AH41" i="71"/>
  <c r="AH40" i="71"/>
  <c r="AH39" i="71"/>
  <c r="AH38" i="71"/>
  <c r="AH37" i="71"/>
  <c r="AH36" i="71"/>
  <c r="AH33" i="71"/>
  <c r="AH32" i="71"/>
  <c r="AH30" i="71"/>
  <c r="AH29" i="71"/>
  <c r="AH9" i="71"/>
  <c r="AH192" i="71"/>
  <c r="AH189" i="71"/>
  <c r="AH184" i="71"/>
  <c r="AH181" i="71"/>
  <c r="AH176" i="71"/>
  <c r="AH173" i="71"/>
  <c r="AH169" i="71"/>
  <c r="AH164" i="71"/>
  <c r="AH161" i="71"/>
  <c r="AH157" i="71"/>
  <c r="AH153" i="71"/>
  <c r="AH149" i="71"/>
  <c r="AH145" i="71"/>
  <c r="AH141" i="71"/>
  <c r="AH137" i="71"/>
  <c r="AH136" i="71"/>
  <c r="AH133" i="71"/>
  <c r="AH129" i="71"/>
  <c r="AH125" i="71"/>
  <c r="AH121" i="71"/>
  <c r="AH117" i="71"/>
  <c r="AH113" i="71"/>
  <c r="AH109" i="71"/>
  <c r="AH105" i="71"/>
  <c r="AH103" i="71"/>
  <c r="AH101" i="71"/>
  <c r="AH97" i="71"/>
  <c r="AH93" i="71"/>
  <c r="AH92" i="71"/>
  <c r="AH88" i="71"/>
  <c r="AH84" i="71"/>
  <c r="AH80" i="71"/>
  <c r="AH76" i="71"/>
  <c r="AH72" i="71"/>
  <c r="AH68" i="71"/>
  <c r="AH64" i="71"/>
  <c r="AH28" i="71"/>
  <c r="AH25" i="71"/>
  <c r="AH24" i="71"/>
  <c r="AH23" i="71"/>
  <c r="AH22" i="71"/>
  <c r="AH21" i="71"/>
  <c r="AH20" i="71"/>
  <c r="AH17" i="71"/>
  <c r="AH16" i="71"/>
  <c r="AH15" i="71"/>
  <c r="AH14" i="71"/>
  <c r="AH13" i="71"/>
  <c r="AH12" i="71"/>
  <c r="I194" i="72"/>
  <c r="BO9" i="67"/>
  <c r="BO10" i="67"/>
  <c r="BO11" i="67"/>
  <c r="BO12" i="67"/>
  <c r="BO13" i="67"/>
  <c r="BO14" i="67"/>
  <c r="BO15" i="67"/>
  <c r="BO16" i="67"/>
  <c r="BO17" i="67"/>
  <c r="BO18" i="67"/>
  <c r="BO19" i="67"/>
  <c r="BO20" i="67"/>
  <c r="BO21" i="67"/>
  <c r="BO22" i="67"/>
  <c r="BO23" i="67"/>
  <c r="BO25" i="67"/>
  <c r="BO26" i="67"/>
  <c r="BO27" i="67"/>
  <c r="BO28" i="67"/>
  <c r="BO29" i="67"/>
  <c r="BO31" i="67"/>
  <c r="BO32" i="67"/>
  <c r="BO33" i="67"/>
  <c r="BO34" i="67"/>
  <c r="BO35" i="67"/>
  <c r="BO36" i="67"/>
  <c r="BO37" i="67"/>
  <c r="BO38" i="67"/>
  <c r="BO39" i="67"/>
  <c r="BO40" i="67"/>
  <c r="BO41" i="67"/>
  <c r="BO42" i="67"/>
  <c r="BO43" i="67"/>
  <c r="BO44" i="67"/>
  <c r="BO45" i="67"/>
  <c r="BO46" i="67"/>
  <c r="BO47" i="67"/>
  <c r="BO49" i="67"/>
  <c r="BO50" i="67"/>
  <c r="BO51" i="67"/>
  <c r="BO52" i="67"/>
  <c r="BO53" i="67"/>
  <c r="BO54" i="67"/>
  <c r="BO55" i="67"/>
  <c r="BO56" i="67"/>
  <c r="BO57" i="67"/>
  <c r="BO58" i="67"/>
  <c r="BO59" i="67"/>
  <c r="BO60" i="67"/>
  <c r="BO61" i="67"/>
  <c r="BO62" i="67"/>
  <c r="BO63" i="67"/>
  <c r="BO64" i="67"/>
  <c r="BO65" i="67"/>
  <c r="BO66" i="67"/>
  <c r="BO67" i="67"/>
  <c r="BO68" i="67"/>
  <c r="BO69" i="67"/>
  <c r="BO70" i="67"/>
  <c r="BO71" i="67"/>
  <c r="BO72" i="67"/>
  <c r="BO73" i="67"/>
  <c r="BO74" i="67"/>
  <c r="BO75" i="67"/>
  <c r="BO76" i="67"/>
  <c r="BO77" i="67"/>
  <c r="BO78" i="67"/>
  <c r="BO79" i="67"/>
  <c r="BO80" i="67"/>
  <c r="BO81" i="67"/>
  <c r="BO82" i="67"/>
  <c r="BO84" i="67"/>
  <c r="BO85" i="67"/>
  <c r="BO86" i="67"/>
  <c r="BO87" i="67"/>
  <c r="BO88" i="67"/>
  <c r="BO89" i="67"/>
  <c r="BO90" i="67"/>
  <c r="BO91" i="67"/>
  <c r="BO92" i="67"/>
  <c r="BO93" i="67"/>
  <c r="BO94" i="67"/>
  <c r="BO95" i="67"/>
  <c r="BO96" i="67"/>
  <c r="BO97" i="67"/>
  <c r="BO98" i="67"/>
  <c r="BO99" i="67"/>
  <c r="BO100" i="67"/>
  <c r="BO101" i="67"/>
  <c r="BO102" i="67"/>
  <c r="BO103" i="67"/>
  <c r="BO104" i="67"/>
  <c r="BO105" i="67"/>
  <c r="BO106" i="67"/>
  <c r="BO107" i="67"/>
  <c r="BO108" i="67"/>
  <c r="BO109" i="67"/>
  <c r="BO111" i="67"/>
  <c r="BO112" i="67"/>
  <c r="BO113" i="67"/>
  <c r="BO114" i="67"/>
  <c r="BO115" i="67"/>
  <c r="BO116" i="67"/>
  <c r="BO117" i="67"/>
  <c r="BO118" i="67"/>
  <c r="BO119" i="67"/>
  <c r="BO120" i="67"/>
  <c r="BO121" i="67"/>
  <c r="BO122" i="67"/>
  <c r="BO123" i="67"/>
  <c r="BO124" i="67"/>
  <c r="BO125" i="67"/>
  <c r="BO126" i="67"/>
  <c r="BO127" i="67"/>
  <c r="BO128" i="67"/>
  <c r="BO129" i="67"/>
  <c r="BO130" i="67"/>
  <c r="BO131" i="67"/>
  <c r="BO132" i="67"/>
  <c r="BO133" i="67"/>
  <c r="BO134" i="67"/>
  <c r="BO135" i="67"/>
  <c r="BO136" i="67"/>
  <c r="BO137" i="67"/>
  <c r="BO138" i="67"/>
  <c r="BO139" i="67"/>
  <c r="BO140" i="67"/>
  <c r="BO141" i="67"/>
  <c r="BO142" i="67"/>
  <c r="BO143" i="67"/>
  <c r="BO144" i="67"/>
  <c r="BO145" i="67"/>
  <c r="BO146" i="67"/>
  <c r="BO147" i="67"/>
  <c r="BO148" i="67"/>
  <c r="BO149" i="67"/>
  <c r="BO150" i="67"/>
  <c r="BO151" i="67"/>
  <c r="BO191" i="67"/>
  <c r="BO192" i="67"/>
  <c r="BO152" i="67"/>
  <c r="BO153" i="67"/>
  <c r="BO154" i="67"/>
  <c r="BO155" i="67"/>
  <c r="BO156" i="67"/>
  <c r="BO157" i="67"/>
  <c r="BO159" i="67"/>
  <c r="BO160" i="67"/>
  <c r="BO161" i="67"/>
  <c r="BO162" i="67"/>
  <c r="BO163" i="67"/>
  <c r="BO164" i="67"/>
  <c r="BO165" i="67"/>
  <c r="BO166" i="67"/>
  <c r="BO167" i="67"/>
  <c r="BO168" i="67"/>
  <c r="BO169" i="67"/>
  <c r="BO170" i="67"/>
  <c r="BO171" i="67"/>
  <c r="BO172" i="67"/>
  <c r="BO173" i="67"/>
  <c r="BO174" i="67"/>
  <c r="BO175" i="67"/>
  <c r="BO176" i="67"/>
  <c r="BO177" i="67"/>
  <c r="BO178" i="67"/>
  <c r="BO179" i="67"/>
  <c r="BO180" i="67"/>
  <c r="BO181" i="67"/>
  <c r="BO182" i="67"/>
  <c r="BO183" i="67"/>
  <c r="BO184" i="67"/>
  <c r="BO185" i="67"/>
  <c r="BO186" i="67"/>
  <c r="BO187" i="67"/>
  <c r="BO188" i="67"/>
  <c r="BO189" i="67"/>
  <c r="BO190" i="67"/>
  <c r="BO193" i="67"/>
  <c r="BO8" i="67"/>
  <c r="AY9" i="67"/>
  <c r="AY10" i="67"/>
  <c r="AY11" i="67"/>
  <c r="AY12" i="67"/>
  <c r="AY13" i="67"/>
  <c r="AY14" i="67"/>
  <c r="AY15" i="67"/>
  <c r="AY16" i="67"/>
  <c r="AY17" i="67"/>
  <c r="AY18" i="67"/>
  <c r="AY19" i="67"/>
  <c r="AY20" i="67"/>
  <c r="AY21" i="67"/>
  <c r="AY22" i="67"/>
  <c r="AY23" i="67"/>
  <c r="AY25" i="67"/>
  <c r="AY26" i="67"/>
  <c r="AY27" i="67"/>
  <c r="AY28" i="67"/>
  <c r="AY29" i="67"/>
  <c r="AY31" i="67"/>
  <c r="AY32" i="67"/>
  <c r="AY33" i="67"/>
  <c r="AY34" i="67"/>
  <c r="AY35" i="67"/>
  <c r="AY36" i="67"/>
  <c r="AY37" i="67"/>
  <c r="AY38" i="67"/>
  <c r="AY39" i="67"/>
  <c r="AY40" i="67"/>
  <c r="AY41" i="67"/>
  <c r="AY42" i="67"/>
  <c r="AY43" i="67"/>
  <c r="AY44" i="67"/>
  <c r="AY45" i="67"/>
  <c r="AY46" i="67"/>
  <c r="AY47" i="67"/>
  <c r="AY49" i="67"/>
  <c r="AY50" i="67"/>
  <c r="AY51" i="67"/>
  <c r="AY52" i="67"/>
  <c r="AY53" i="67"/>
  <c r="AY54" i="67"/>
  <c r="AY55" i="67"/>
  <c r="AY56" i="67"/>
  <c r="AY57" i="67"/>
  <c r="AY58" i="67"/>
  <c r="AY59" i="67"/>
  <c r="AY60" i="67"/>
  <c r="AY61" i="67"/>
  <c r="AY62" i="67"/>
  <c r="AY63" i="67"/>
  <c r="AY64" i="67"/>
  <c r="AY65" i="67"/>
  <c r="AY66" i="67"/>
  <c r="AY67" i="67"/>
  <c r="AY68" i="67"/>
  <c r="AY69" i="67"/>
  <c r="AY70" i="67"/>
  <c r="AY71" i="67"/>
  <c r="AY72" i="67"/>
  <c r="AY73" i="67"/>
  <c r="AY74" i="67"/>
  <c r="AY75" i="67"/>
  <c r="AY76" i="67"/>
  <c r="AY77" i="67"/>
  <c r="AY78" i="67"/>
  <c r="AY79" i="67"/>
  <c r="AY80" i="67"/>
  <c r="AY81" i="67"/>
  <c r="AY82" i="67"/>
  <c r="AY84" i="67"/>
  <c r="AY85" i="67"/>
  <c r="AY86" i="67"/>
  <c r="AY87" i="67"/>
  <c r="AY88" i="67"/>
  <c r="AY89" i="67"/>
  <c r="AY90" i="67"/>
  <c r="AY91" i="67"/>
  <c r="AY92" i="67"/>
  <c r="AY93" i="67"/>
  <c r="AY94" i="67"/>
  <c r="AY95" i="67"/>
  <c r="AY96" i="67"/>
  <c r="AY97" i="67"/>
  <c r="AY98" i="67"/>
  <c r="AY99" i="67"/>
  <c r="AY100" i="67"/>
  <c r="AY101" i="67"/>
  <c r="AY102" i="67"/>
  <c r="AY103" i="67"/>
  <c r="AY104" i="67"/>
  <c r="AY105" i="67"/>
  <c r="AY106" i="67"/>
  <c r="AY107" i="67"/>
  <c r="AY108" i="67"/>
  <c r="AY109" i="67"/>
  <c r="AY111" i="67"/>
  <c r="AY112" i="67"/>
  <c r="AY113" i="67"/>
  <c r="AY114" i="67"/>
  <c r="AY115" i="67"/>
  <c r="AY116" i="67"/>
  <c r="AY117" i="67"/>
  <c r="AY118" i="67"/>
  <c r="AY119" i="67"/>
  <c r="AY120" i="67"/>
  <c r="AY121" i="67"/>
  <c r="AY122" i="67"/>
  <c r="AY123" i="67"/>
  <c r="AY124" i="67"/>
  <c r="AY125" i="67"/>
  <c r="AY126" i="67"/>
  <c r="AY127" i="67"/>
  <c r="AY128" i="67"/>
  <c r="AY129" i="67"/>
  <c r="AY130" i="67"/>
  <c r="AY131" i="67"/>
  <c r="AY132" i="67"/>
  <c r="AY133" i="67"/>
  <c r="AY134" i="67"/>
  <c r="AY135" i="67"/>
  <c r="AY136" i="67"/>
  <c r="AY137" i="67"/>
  <c r="AY138" i="67"/>
  <c r="AY139" i="67"/>
  <c r="AY140" i="67"/>
  <c r="AY141" i="67"/>
  <c r="AY142" i="67"/>
  <c r="AY143" i="67"/>
  <c r="AY144" i="67"/>
  <c r="AY145" i="67"/>
  <c r="AY146" i="67"/>
  <c r="AY147" i="67"/>
  <c r="AY148" i="67"/>
  <c r="AY149" i="67"/>
  <c r="AY150" i="67"/>
  <c r="AY151" i="67"/>
  <c r="AY191" i="67"/>
  <c r="AY192" i="67"/>
  <c r="AY152" i="67"/>
  <c r="AY153" i="67"/>
  <c r="AY154" i="67"/>
  <c r="AY155" i="67"/>
  <c r="AY156" i="67"/>
  <c r="AY157" i="67"/>
  <c r="AY159" i="67"/>
  <c r="AY160" i="67"/>
  <c r="AY161" i="67"/>
  <c r="AY162" i="67"/>
  <c r="AY163" i="67"/>
  <c r="AY164" i="67"/>
  <c r="AY165" i="67"/>
  <c r="AY166" i="67"/>
  <c r="AY167" i="67"/>
  <c r="AY168" i="67"/>
  <c r="AY169" i="67"/>
  <c r="AY170" i="67"/>
  <c r="AY171" i="67"/>
  <c r="AY172" i="67"/>
  <c r="AY173" i="67"/>
  <c r="AY174" i="67"/>
  <c r="AY175" i="67"/>
  <c r="AY176" i="67"/>
  <c r="AY177" i="67"/>
  <c r="AY178" i="67"/>
  <c r="AY179" i="67"/>
  <c r="AY180" i="67"/>
  <c r="AY181" i="67"/>
  <c r="AY182" i="67"/>
  <c r="AY183" i="67"/>
  <c r="AY184" i="67"/>
  <c r="AY185" i="67"/>
  <c r="AY186" i="67"/>
  <c r="AY187" i="67"/>
  <c r="AY188" i="67"/>
  <c r="AY189" i="67"/>
  <c r="AY190" i="67"/>
  <c r="AY193" i="67"/>
  <c r="AY8" i="67"/>
  <c r="AI9" i="67"/>
  <c r="AI10" i="67"/>
  <c r="AI11" i="67"/>
  <c r="AI12" i="67"/>
  <c r="AI13" i="67"/>
  <c r="AI14" i="67"/>
  <c r="AI15" i="67"/>
  <c r="AI16" i="67"/>
  <c r="AI17" i="67"/>
  <c r="AI18" i="67"/>
  <c r="AI19" i="67"/>
  <c r="AI20" i="67"/>
  <c r="AI21" i="67"/>
  <c r="AI22" i="67"/>
  <c r="AI23" i="67"/>
  <c r="AI25" i="67"/>
  <c r="AI26" i="67"/>
  <c r="AI27" i="67"/>
  <c r="AI28" i="67"/>
  <c r="AI29" i="67"/>
  <c r="AI31" i="67"/>
  <c r="AI32" i="67"/>
  <c r="AI33" i="67"/>
  <c r="AI34" i="67"/>
  <c r="AI35" i="67"/>
  <c r="AI36" i="67"/>
  <c r="AI37" i="67"/>
  <c r="AI38" i="67"/>
  <c r="AI39" i="67"/>
  <c r="AI40" i="67"/>
  <c r="AI41" i="67"/>
  <c r="AI42" i="67"/>
  <c r="AI43" i="67"/>
  <c r="AI44" i="67"/>
  <c r="AI45" i="67"/>
  <c r="AI46" i="67"/>
  <c r="AI47" i="67"/>
  <c r="AI49" i="67"/>
  <c r="AI50" i="67"/>
  <c r="AI51" i="67"/>
  <c r="AI52" i="67"/>
  <c r="AI53" i="67"/>
  <c r="AI54" i="67"/>
  <c r="AI55" i="67"/>
  <c r="AI56" i="67"/>
  <c r="AI57" i="67"/>
  <c r="AI58" i="67"/>
  <c r="AI59" i="67"/>
  <c r="AI60" i="67"/>
  <c r="AI61" i="67"/>
  <c r="AI62" i="67"/>
  <c r="AI63" i="67"/>
  <c r="AI64" i="67"/>
  <c r="AI65" i="67"/>
  <c r="AI66" i="67"/>
  <c r="AI67" i="67"/>
  <c r="AI68" i="67"/>
  <c r="AI69" i="67"/>
  <c r="AI70" i="67"/>
  <c r="AI71" i="67"/>
  <c r="AI72" i="67"/>
  <c r="AI73" i="67"/>
  <c r="AI74" i="67"/>
  <c r="AI75" i="67"/>
  <c r="AI76" i="67"/>
  <c r="AI77" i="67"/>
  <c r="AI78" i="67"/>
  <c r="AI79" i="67"/>
  <c r="AI80" i="67"/>
  <c r="AI81" i="67"/>
  <c r="AI82" i="67"/>
  <c r="AI84" i="67"/>
  <c r="AI85" i="67"/>
  <c r="AI86" i="67"/>
  <c r="AI87" i="67"/>
  <c r="AI88" i="67"/>
  <c r="AI89" i="67"/>
  <c r="AI90" i="67"/>
  <c r="AI91" i="67"/>
  <c r="AI92" i="67"/>
  <c r="AI93" i="67"/>
  <c r="AI94" i="67"/>
  <c r="AI95" i="67"/>
  <c r="AI96" i="67"/>
  <c r="AI97" i="67"/>
  <c r="AI98" i="67"/>
  <c r="AI99" i="67"/>
  <c r="AI100" i="67"/>
  <c r="AI101" i="67"/>
  <c r="AI102" i="67"/>
  <c r="AI103" i="67"/>
  <c r="AI104" i="67"/>
  <c r="AI105" i="67"/>
  <c r="AI106" i="67"/>
  <c r="AI107" i="67"/>
  <c r="AI108" i="67"/>
  <c r="AI109" i="67"/>
  <c r="AI111" i="67"/>
  <c r="AI112" i="67"/>
  <c r="AI113" i="67"/>
  <c r="AI114" i="67"/>
  <c r="AI115" i="67"/>
  <c r="AI116" i="67"/>
  <c r="AI117" i="67"/>
  <c r="AI118" i="67"/>
  <c r="AI119" i="67"/>
  <c r="AI120" i="67"/>
  <c r="AI121" i="67"/>
  <c r="AI122" i="67"/>
  <c r="AI123" i="67"/>
  <c r="AI124" i="67"/>
  <c r="AI125" i="67"/>
  <c r="AI126" i="67"/>
  <c r="AI127" i="67"/>
  <c r="AI128" i="67"/>
  <c r="AI129" i="67"/>
  <c r="AI130" i="67"/>
  <c r="AI131" i="67"/>
  <c r="AI132" i="67"/>
  <c r="AI133" i="67"/>
  <c r="AI134" i="67"/>
  <c r="AI135" i="67"/>
  <c r="AI136" i="67"/>
  <c r="AI137" i="67"/>
  <c r="AI138" i="67"/>
  <c r="AI139" i="67"/>
  <c r="AI140" i="67"/>
  <c r="AI141" i="67"/>
  <c r="AI142" i="67"/>
  <c r="AI143" i="67"/>
  <c r="AI144" i="67"/>
  <c r="AI145" i="67"/>
  <c r="AI146" i="67"/>
  <c r="AI147" i="67"/>
  <c r="AI148" i="67"/>
  <c r="AI149" i="67"/>
  <c r="AI150" i="67"/>
  <c r="AI151" i="67"/>
  <c r="AI191" i="67"/>
  <c r="AI192" i="67"/>
  <c r="AI152" i="67"/>
  <c r="AI153" i="67"/>
  <c r="AI154" i="67"/>
  <c r="AI155" i="67"/>
  <c r="AI156" i="67"/>
  <c r="AI157" i="67"/>
  <c r="AI159" i="67"/>
  <c r="AI160" i="67"/>
  <c r="AI161" i="67"/>
  <c r="AI162" i="67"/>
  <c r="AI163" i="67"/>
  <c r="AI164" i="67"/>
  <c r="AI165" i="67"/>
  <c r="AI166" i="67"/>
  <c r="AI167" i="67"/>
  <c r="AI168" i="67"/>
  <c r="AI169" i="67"/>
  <c r="AI170" i="67"/>
  <c r="AI171" i="67"/>
  <c r="AI172" i="67"/>
  <c r="AI173" i="67"/>
  <c r="AI174" i="67"/>
  <c r="AI175" i="67"/>
  <c r="AI176" i="67"/>
  <c r="AI177" i="67"/>
  <c r="AI178" i="67"/>
  <c r="AI179" i="67"/>
  <c r="AI180" i="67"/>
  <c r="AI181" i="67"/>
  <c r="AI182" i="67"/>
  <c r="AI183" i="67"/>
  <c r="AI184" i="67"/>
  <c r="AI185" i="67"/>
  <c r="AI186" i="67"/>
  <c r="AI187" i="67"/>
  <c r="AI188" i="67"/>
  <c r="AI189" i="67"/>
  <c r="AI190" i="67"/>
  <c r="AI193" i="67"/>
  <c r="AI8" i="67"/>
  <c r="S9" i="67"/>
  <c r="S10" i="67"/>
  <c r="S11" i="67"/>
  <c r="S12" i="67"/>
  <c r="S13" i="67"/>
  <c r="S14" i="67"/>
  <c r="S15" i="67"/>
  <c r="S16" i="67"/>
  <c r="S17" i="67"/>
  <c r="S18" i="67"/>
  <c r="S19" i="67"/>
  <c r="S20" i="67"/>
  <c r="S21" i="67"/>
  <c r="S22" i="67"/>
  <c r="S23" i="67"/>
  <c r="S25" i="67"/>
  <c r="S26" i="67"/>
  <c r="S27" i="67"/>
  <c r="S28" i="67"/>
  <c r="S29" i="67"/>
  <c r="S31" i="67"/>
  <c r="S32" i="67"/>
  <c r="S33" i="67"/>
  <c r="S34" i="67"/>
  <c r="S35" i="67"/>
  <c r="S36" i="67"/>
  <c r="S37" i="67"/>
  <c r="S38" i="67"/>
  <c r="S39" i="67"/>
  <c r="S40" i="67"/>
  <c r="S41" i="67"/>
  <c r="S42" i="67"/>
  <c r="S43" i="67"/>
  <c r="S44" i="67"/>
  <c r="S45" i="67"/>
  <c r="S46" i="67"/>
  <c r="S47" i="67"/>
  <c r="S49" i="67"/>
  <c r="S50" i="67"/>
  <c r="S51" i="67"/>
  <c r="S52" i="67"/>
  <c r="S53" i="67"/>
  <c r="S54" i="67"/>
  <c r="S55" i="67"/>
  <c r="S56" i="67"/>
  <c r="S57" i="67"/>
  <c r="S58" i="67"/>
  <c r="S59" i="67"/>
  <c r="S60" i="67"/>
  <c r="S61" i="67"/>
  <c r="S62" i="67"/>
  <c r="S63" i="67"/>
  <c r="S64" i="67"/>
  <c r="S65" i="67"/>
  <c r="S66" i="67"/>
  <c r="S67" i="67"/>
  <c r="S68" i="67"/>
  <c r="S69" i="67"/>
  <c r="S70" i="67"/>
  <c r="S71" i="67"/>
  <c r="S72" i="67"/>
  <c r="S73" i="67"/>
  <c r="S74" i="67"/>
  <c r="S75" i="67"/>
  <c r="S76" i="67"/>
  <c r="S77" i="67"/>
  <c r="S78" i="67"/>
  <c r="S79" i="67"/>
  <c r="S80" i="67"/>
  <c r="S81" i="67"/>
  <c r="S82" i="67"/>
  <c r="S84" i="67"/>
  <c r="S85" i="67"/>
  <c r="S86" i="67"/>
  <c r="S87" i="67"/>
  <c r="S88" i="67"/>
  <c r="S89" i="67"/>
  <c r="S90" i="67"/>
  <c r="S91" i="67"/>
  <c r="S92" i="67"/>
  <c r="S93" i="67"/>
  <c r="S94" i="67"/>
  <c r="S95" i="67"/>
  <c r="S96" i="67"/>
  <c r="S97" i="67"/>
  <c r="S98" i="67"/>
  <c r="S99" i="67"/>
  <c r="S100" i="67"/>
  <c r="S101" i="67"/>
  <c r="S102" i="67"/>
  <c r="S103" i="67"/>
  <c r="S104" i="67"/>
  <c r="S105" i="67"/>
  <c r="S106" i="67"/>
  <c r="S107" i="67"/>
  <c r="S108" i="67"/>
  <c r="S109" i="67"/>
  <c r="S111" i="67"/>
  <c r="S112" i="67"/>
  <c r="S113" i="67"/>
  <c r="S114" i="67"/>
  <c r="S115" i="67"/>
  <c r="S116" i="67"/>
  <c r="S117" i="67"/>
  <c r="S118" i="67"/>
  <c r="S119" i="67"/>
  <c r="S120" i="67"/>
  <c r="S121" i="67"/>
  <c r="S122" i="67"/>
  <c r="S123" i="67"/>
  <c r="S124" i="67"/>
  <c r="S125" i="67"/>
  <c r="S126" i="67"/>
  <c r="S127" i="67"/>
  <c r="S128" i="67"/>
  <c r="S129" i="67"/>
  <c r="S130" i="67"/>
  <c r="S131" i="67"/>
  <c r="S132" i="67"/>
  <c r="S133" i="67"/>
  <c r="S134" i="67"/>
  <c r="S135" i="67"/>
  <c r="S136" i="67"/>
  <c r="S137" i="67"/>
  <c r="S138" i="67"/>
  <c r="S139" i="67"/>
  <c r="S140" i="67"/>
  <c r="S141" i="67"/>
  <c r="S142" i="67"/>
  <c r="S143" i="67"/>
  <c r="S144" i="67"/>
  <c r="S145" i="67"/>
  <c r="S146" i="67"/>
  <c r="S147" i="67"/>
  <c r="S148" i="67"/>
  <c r="S149" i="67"/>
  <c r="S150" i="67"/>
  <c r="S151" i="67"/>
  <c r="S191" i="67"/>
  <c r="S192" i="67"/>
  <c r="S152" i="67"/>
  <c r="S153" i="67"/>
  <c r="S154" i="67"/>
  <c r="S155" i="67"/>
  <c r="S156" i="67"/>
  <c r="S157" i="67"/>
  <c r="S159" i="67"/>
  <c r="S160" i="67"/>
  <c r="S161" i="67"/>
  <c r="S162" i="67"/>
  <c r="S163" i="67"/>
  <c r="S164" i="67"/>
  <c r="S165" i="67"/>
  <c r="S166" i="67"/>
  <c r="S167" i="67"/>
  <c r="S168" i="67"/>
  <c r="S169" i="67"/>
  <c r="S170" i="67"/>
  <c r="S171" i="67"/>
  <c r="S172" i="67"/>
  <c r="S173" i="67"/>
  <c r="S174" i="67"/>
  <c r="S175" i="67"/>
  <c r="S176" i="67"/>
  <c r="S177" i="67"/>
  <c r="S178" i="67"/>
  <c r="S179" i="67"/>
  <c r="S180" i="67"/>
  <c r="S181" i="67"/>
  <c r="S182" i="67"/>
  <c r="S183" i="67"/>
  <c r="S184" i="67"/>
  <c r="S185" i="67"/>
  <c r="S186" i="67"/>
  <c r="S187" i="67"/>
  <c r="S188" i="67"/>
  <c r="S189" i="67"/>
  <c r="S190" i="67"/>
  <c r="S193" i="67"/>
  <c r="S8" i="67"/>
  <c r="AM16" i="65" l="1"/>
  <c r="AL14" i="65"/>
  <c r="AG14" i="65"/>
  <c r="AL13" i="65"/>
  <c r="AG13" i="65"/>
  <c r="AL12" i="65"/>
  <c r="AG12" i="65"/>
  <c r="AI16" i="65"/>
  <c r="AL11" i="65"/>
  <c r="AF16" i="65"/>
  <c r="AA16" i="65"/>
  <c r="Z16" i="65"/>
  <c r="Y16" i="65"/>
  <c r="AL10" i="65"/>
  <c r="AB16" i="65"/>
  <c r="AG10" i="65"/>
  <c r="AK16" i="65"/>
  <c r="AL9" i="65"/>
  <c r="AE16" i="65"/>
  <c r="AD16" i="65"/>
  <c r="AC16" i="65"/>
  <c r="FW158" i="67" l="1"/>
  <c r="EQ158" i="67"/>
  <c r="DK158" i="67"/>
  <c r="CE158" i="67"/>
  <c r="GM158" i="67"/>
  <c r="FG158" i="67"/>
  <c r="EA158" i="67"/>
  <c r="CU158" i="67"/>
  <c r="FW30" i="67"/>
  <c r="EQ30" i="67"/>
  <c r="CE30" i="67"/>
  <c r="CU30" i="67"/>
  <c r="GM30" i="67"/>
  <c r="FG30" i="67"/>
  <c r="EA30" i="67"/>
  <c r="DK30" i="67"/>
  <c r="GM83" i="67"/>
  <c r="FG83" i="67"/>
  <c r="EA83" i="67"/>
  <c r="CU83" i="67"/>
  <c r="FW83" i="67"/>
  <c r="EQ83" i="67"/>
  <c r="DK83" i="67"/>
  <c r="CE83" i="67"/>
  <c r="FW110" i="67"/>
  <c r="GM110" i="67"/>
  <c r="FG110" i="67"/>
  <c r="EA110" i="67"/>
  <c r="CU110" i="67"/>
  <c r="EQ110" i="67"/>
  <c r="DK110" i="67"/>
  <c r="CE110" i="67"/>
  <c r="AL16" i="65"/>
  <c r="AH16" i="65"/>
  <c r="AG11" i="65"/>
  <c r="AJ16" i="65"/>
  <c r="AG9" i="65"/>
  <c r="CE48" i="67" l="1"/>
  <c r="EQ48" i="67"/>
  <c r="DK48" i="67"/>
  <c r="FW48" i="67"/>
  <c r="GM48" i="67"/>
  <c r="FG48" i="67"/>
  <c r="EA48" i="67"/>
  <c r="CU48" i="67"/>
  <c r="FW24" i="67"/>
  <c r="CE24" i="67"/>
  <c r="GM24" i="67"/>
  <c r="FG24" i="67"/>
  <c r="EA24" i="67"/>
  <c r="CU24" i="67"/>
  <c r="EQ24" i="67"/>
  <c r="DK24" i="67"/>
  <c r="AG16" i="65"/>
  <c r="CV17" i="67"/>
  <c r="CQ17" i="67" s="1"/>
  <c r="CV18" i="67"/>
  <c r="CQ18" i="67" s="1"/>
  <c r="CV33" i="67"/>
  <c r="CQ33" i="67" s="1"/>
  <c r="CV39" i="67"/>
  <c r="CQ39" i="67" s="1"/>
  <c r="CV61" i="67"/>
  <c r="CQ61" i="67" s="1"/>
  <c r="CV73" i="67"/>
  <c r="CQ73" i="67" s="1"/>
  <c r="CV95" i="67"/>
  <c r="CQ95" i="67" s="1"/>
  <c r="CV97" i="67"/>
  <c r="CQ97" i="67" s="1"/>
  <c r="CV99" i="67"/>
  <c r="CQ99" i="67" s="1"/>
  <c r="CV121" i="67"/>
  <c r="CQ121" i="67" s="1"/>
  <c r="CV130" i="67"/>
  <c r="CQ130" i="67" s="1"/>
  <c r="CV137" i="67"/>
  <c r="CQ137" i="67" s="1"/>
  <c r="CV165" i="67"/>
  <c r="CQ165" i="67" s="1"/>
  <c r="CV166" i="67"/>
  <c r="CQ166" i="67" s="1"/>
  <c r="CV168" i="67"/>
  <c r="CQ168" i="67" s="1"/>
  <c r="CV169" i="67"/>
  <c r="CQ169" i="67" s="1"/>
  <c r="T17" i="67"/>
  <c r="T18" i="67"/>
  <c r="T33" i="67"/>
  <c r="T39" i="67"/>
  <c r="T61" i="67"/>
  <c r="T73" i="67"/>
  <c r="T95" i="67"/>
  <c r="T97" i="67"/>
  <c r="T99" i="67"/>
  <c r="T121" i="67"/>
  <c r="T130" i="67"/>
  <c r="T137" i="67"/>
  <c r="T165" i="67"/>
  <c r="T166" i="67"/>
  <c r="T168" i="67"/>
  <c r="T169" i="67"/>
  <c r="CV9" i="67"/>
  <c r="CV10" i="67"/>
  <c r="CV11" i="67"/>
  <c r="CV12" i="67"/>
  <c r="CV13" i="67"/>
  <c r="CV14" i="67"/>
  <c r="CV15" i="67"/>
  <c r="CV16" i="67"/>
  <c r="CV19" i="67"/>
  <c r="CV20" i="67"/>
  <c r="CV21" i="67"/>
  <c r="CV22" i="67"/>
  <c r="CV23" i="67"/>
  <c r="CV24" i="67"/>
  <c r="CV25" i="67"/>
  <c r="CV26" i="67"/>
  <c r="CV27" i="67"/>
  <c r="CV28" i="67"/>
  <c r="CV29" i="67"/>
  <c r="CV30" i="67"/>
  <c r="CV31" i="67"/>
  <c r="CV32" i="67"/>
  <c r="CV34" i="67"/>
  <c r="CV35" i="67"/>
  <c r="CV36" i="67"/>
  <c r="CV37" i="67"/>
  <c r="CV38" i="67"/>
  <c r="CV40" i="67"/>
  <c r="CV41" i="67"/>
  <c r="CV42" i="67"/>
  <c r="CV43" i="67"/>
  <c r="CV44" i="67"/>
  <c r="CV45" i="67"/>
  <c r="CV46" i="67"/>
  <c r="CV47" i="67"/>
  <c r="CV48" i="67"/>
  <c r="CV49" i="67"/>
  <c r="CV50" i="67"/>
  <c r="CV51" i="67"/>
  <c r="CV52" i="67"/>
  <c r="CV53" i="67"/>
  <c r="CV54" i="67"/>
  <c r="CV55" i="67"/>
  <c r="CV56" i="67"/>
  <c r="CV57" i="67"/>
  <c r="CV58" i="67"/>
  <c r="CV59" i="67"/>
  <c r="CV60" i="67"/>
  <c r="CV62" i="67"/>
  <c r="CV63" i="67"/>
  <c r="CV64" i="67"/>
  <c r="CV65" i="67"/>
  <c r="CV66" i="67"/>
  <c r="CV67" i="67"/>
  <c r="CV68" i="67"/>
  <c r="CV69" i="67"/>
  <c r="CV70" i="67"/>
  <c r="CV71" i="67"/>
  <c r="CV72" i="67"/>
  <c r="CV74" i="67"/>
  <c r="CV75" i="67"/>
  <c r="CV76" i="67"/>
  <c r="CV77" i="67"/>
  <c r="CV78" i="67"/>
  <c r="CV79" i="67"/>
  <c r="CV80" i="67"/>
  <c r="CV81" i="67"/>
  <c r="CV82" i="67"/>
  <c r="CV83" i="67"/>
  <c r="CV84" i="67"/>
  <c r="CV85" i="67"/>
  <c r="CV86" i="67"/>
  <c r="CV87" i="67"/>
  <c r="CV88" i="67"/>
  <c r="CV89" i="67"/>
  <c r="CV90" i="67"/>
  <c r="CV91" i="67"/>
  <c r="CV92" i="67"/>
  <c r="CV93" i="67"/>
  <c r="CV94" i="67"/>
  <c r="CV96" i="67"/>
  <c r="CV98" i="67"/>
  <c r="CV100" i="67"/>
  <c r="CV101" i="67"/>
  <c r="CV102" i="67"/>
  <c r="CV103" i="67"/>
  <c r="CV104" i="67"/>
  <c r="CV105" i="67"/>
  <c r="CV106" i="67"/>
  <c r="CV107" i="67"/>
  <c r="CV108" i="67"/>
  <c r="CV109" i="67"/>
  <c r="CV110" i="67"/>
  <c r="CV111" i="67"/>
  <c r="CV112" i="67"/>
  <c r="CV113" i="67"/>
  <c r="CV114" i="67"/>
  <c r="CV115" i="67"/>
  <c r="CV116" i="67"/>
  <c r="CV117" i="67"/>
  <c r="CV118" i="67"/>
  <c r="CV119" i="67"/>
  <c r="CV120" i="67"/>
  <c r="CV122" i="67"/>
  <c r="CV123" i="67"/>
  <c r="CV124" i="67"/>
  <c r="CV125" i="67"/>
  <c r="CV126" i="67"/>
  <c r="CV127" i="67"/>
  <c r="CV128" i="67"/>
  <c r="CV129" i="67"/>
  <c r="CV131" i="67"/>
  <c r="CV132" i="67"/>
  <c r="CV133" i="67"/>
  <c r="CV134" i="67"/>
  <c r="CV135" i="67"/>
  <c r="CV136" i="67"/>
  <c r="CV138" i="67"/>
  <c r="CV139" i="67"/>
  <c r="CV140" i="67"/>
  <c r="CV141" i="67"/>
  <c r="CV142" i="67"/>
  <c r="CV143" i="67"/>
  <c r="CV144" i="67"/>
  <c r="CV145" i="67"/>
  <c r="CV146" i="67"/>
  <c r="CV147" i="67"/>
  <c r="CV148" i="67"/>
  <c r="CV149" i="67"/>
  <c r="CV150" i="67"/>
  <c r="CV151" i="67"/>
  <c r="CV191" i="67"/>
  <c r="CV192" i="67"/>
  <c r="CV152" i="67"/>
  <c r="CV153" i="67"/>
  <c r="CV154" i="67"/>
  <c r="CV155" i="67"/>
  <c r="CV156" i="67"/>
  <c r="CV157" i="67"/>
  <c r="CV158" i="67"/>
  <c r="CV159" i="67"/>
  <c r="CV160" i="67"/>
  <c r="CV161" i="67"/>
  <c r="CV162" i="67"/>
  <c r="CV163" i="67"/>
  <c r="CV164" i="67"/>
  <c r="CV167" i="67"/>
  <c r="CV170" i="67"/>
  <c r="CV171" i="67"/>
  <c r="CV172" i="67"/>
  <c r="CV173" i="67"/>
  <c r="CV174" i="67"/>
  <c r="CV175" i="67"/>
  <c r="CV176" i="67"/>
  <c r="CV177" i="67"/>
  <c r="CV178" i="67"/>
  <c r="CV179" i="67"/>
  <c r="CV180" i="67"/>
  <c r="CV181" i="67"/>
  <c r="CV182" i="67"/>
  <c r="CV183" i="67"/>
  <c r="CV184" i="67"/>
  <c r="CV185" i="67"/>
  <c r="CV186" i="67"/>
  <c r="CV187" i="67"/>
  <c r="CV188" i="67"/>
  <c r="CV189" i="67"/>
  <c r="CV190" i="67"/>
  <c r="CV193" i="67"/>
  <c r="CV8" i="67"/>
  <c r="DK196" i="67" l="1"/>
  <c r="FW196" i="67"/>
  <c r="FG196" i="67"/>
  <c r="EQ196" i="67"/>
  <c r="GM196" i="67"/>
  <c r="EA196" i="67"/>
  <c r="AA100" i="61"/>
  <c r="AB100" i="61" s="1"/>
  <c r="CQ100" i="67" s="1"/>
  <c r="AA155" i="61"/>
  <c r="AB155" i="61" s="1"/>
  <c r="CQ153" i="67" s="1"/>
  <c r="AA152" i="61"/>
  <c r="AB152" i="61" s="1"/>
  <c r="CQ191" i="67" s="1"/>
  <c r="AA66" i="61"/>
  <c r="AB66" i="61" s="1"/>
  <c r="CQ66" i="67" s="1"/>
  <c r="AA187" i="61"/>
  <c r="AB187" i="61" s="1"/>
  <c r="CQ185" i="67" s="1"/>
  <c r="AA34" i="61"/>
  <c r="AB34" i="61" s="1"/>
  <c r="CQ34" i="67" s="1"/>
  <c r="AA15" i="61"/>
  <c r="AB15" i="61" s="1"/>
  <c r="CQ15" i="67" s="1"/>
  <c r="AA161" i="61"/>
  <c r="AB161" i="61" s="1"/>
  <c r="CQ159" i="67" s="1"/>
  <c r="AA147" i="61"/>
  <c r="AB147" i="61" s="1"/>
  <c r="CQ147" i="67" s="1"/>
  <c r="AA116" i="61"/>
  <c r="AB116" i="61" s="1"/>
  <c r="CQ116" i="67" s="1"/>
  <c r="AA31" i="61"/>
  <c r="AB31" i="61" s="1"/>
  <c r="CQ31" i="67" s="1"/>
  <c r="AA110" i="61"/>
  <c r="AB110" i="61" s="1"/>
  <c r="CQ110" i="67" s="1"/>
  <c r="AA139" i="61"/>
  <c r="AB139" i="61" s="1"/>
  <c r="CQ139" i="67" s="1"/>
  <c r="AA81" i="61"/>
  <c r="AB81" i="61" s="1"/>
  <c r="CQ81" i="67" s="1"/>
  <c r="AA59" i="61"/>
  <c r="AB59" i="61" s="1"/>
  <c r="CQ59" i="67" s="1"/>
  <c r="AA88" i="61"/>
  <c r="AB88" i="61" s="1"/>
  <c r="CQ88" i="67" s="1"/>
  <c r="AA63" i="61"/>
  <c r="AB63" i="61" s="1"/>
  <c r="CQ63" i="67" s="1"/>
  <c r="AA189" i="61"/>
  <c r="AB189" i="61" s="1"/>
  <c r="CQ187" i="67" s="1"/>
  <c r="AA183" i="61"/>
  <c r="AB183" i="61" s="1"/>
  <c r="CQ181" i="67" s="1"/>
  <c r="AA54" i="61"/>
  <c r="AB54" i="61" s="1"/>
  <c r="CQ54" i="67" s="1"/>
  <c r="AA51" i="61"/>
  <c r="AB51" i="61" s="1"/>
  <c r="CQ51" i="67" s="1"/>
  <c r="AA151" i="61"/>
  <c r="AB151" i="61" s="1"/>
  <c r="CQ151" i="67" s="1"/>
  <c r="AA135" i="61"/>
  <c r="AB135" i="61" s="1"/>
  <c r="CQ135" i="67" s="1"/>
  <c r="AA55" i="61"/>
  <c r="AB55" i="61" s="1"/>
  <c r="CQ55" i="67" s="1"/>
  <c r="AA190" i="61"/>
  <c r="AB190" i="61" s="1"/>
  <c r="CQ188" i="67" s="1"/>
  <c r="AA178" i="61"/>
  <c r="AB178" i="61" s="1"/>
  <c r="CQ176" i="67" s="1"/>
  <c r="AA153" i="61"/>
  <c r="AB153" i="61" s="1"/>
  <c r="CQ192" i="67" s="1"/>
  <c r="AA107" i="61"/>
  <c r="AB107" i="61" s="1"/>
  <c r="CQ107" i="67" s="1"/>
  <c r="W195" i="61"/>
  <c r="AA65" i="61"/>
  <c r="AB65" i="61" s="1"/>
  <c r="CQ65" i="67" s="1"/>
  <c r="Y195" i="61"/>
  <c r="AA149" i="61"/>
  <c r="AB149" i="61" s="1"/>
  <c r="CQ149" i="67" s="1"/>
  <c r="T195" i="61"/>
  <c r="AA186" i="61"/>
  <c r="AB186" i="61" s="1"/>
  <c r="CQ184" i="67" s="1"/>
  <c r="AA172" i="61"/>
  <c r="AB172" i="61" s="1"/>
  <c r="CQ170" i="67" s="1"/>
  <c r="AA169" i="61"/>
  <c r="AB169" i="61" s="1"/>
  <c r="CQ167" i="67" s="1"/>
  <c r="AA114" i="61"/>
  <c r="AB114" i="61" s="1"/>
  <c r="CQ114" i="67" s="1"/>
  <c r="AA50" i="61"/>
  <c r="AB50" i="61" s="1"/>
  <c r="CQ50" i="67" s="1"/>
  <c r="V195" i="61"/>
  <c r="AA108" i="61"/>
  <c r="AB108" i="61" s="1"/>
  <c r="CQ108" i="67" s="1"/>
  <c r="AA145" i="61"/>
  <c r="AB145" i="61" s="1"/>
  <c r="CQ145" i="67" s="1"/>
  <c r="AA76" i="61"/>
  <c r="AB76" i="61" s="1"/>
  <c r="CQ76" i="67" s="1"/>
  <c r="AA103" i="61"/>
  <c r="AB103" i="61" s="1"/>
  <c r="CQ103" i="67" s="1"/>
  <c r="AA68" i="61"/>
  <c r="AB68" i="61" s="1"/>
  <c r="CQ68" i="67" s="1"/>
  <c r="AA67" i="61"/>
  <c r="AB67" i="61" s="1"/>
  <c r="CQ67" i="67" s="1"/>
  <c r="AA27" i="61"/>
  <c r="AB27" i="61" s="1"/>
  <c r="CQ27" i="67" s="1"/>
  <c r="AA23" i="61"/>
  <c r="AB23" i="61" s="1"/>
  <c r="CQ23" i="67" s="1"/>
  <c r="Z195" i="61"/>
  <c r="AA128" i="61"/>
  <c r="AB128" i="61" s="1"/>
  <c r="CQ128" i="67" s="1"/>
  <c r="AA123" i="61"/>
  <c r="AB123" i="61" s="1"/>
  <c r="CQ123" i="67" s="1"/>
  <c r="AA113" i="61"/>
  <c r="AB113" i="61" s="1"/>
  <c r="CQ113" i="67" s="1"/>
  <c r="AA71" i="61"/>
  <c r="AB71" i="61" s="1"/>
  <c r="CQ71" i="67" s="1"/>
  <c r="AA49" i="61"/>
  <c r="AB49" i="61" s="1"/>
  <c r="CQ49" i="67" s="1"/>
  <c r="AA44" i="61"/>
  <c r="AB44" i="61" s="1"/>
  <c r="CQ44" i="67" s="1"/>
  <c r="AA41" i="61"/>
  <c r="AB41" i="61" s="1"/>
  <c r="CQ41" i="67" s="1"/>
  <c r="AA24" i="61"/>
  <c r="AB24" i="61" s="1"/>
  <c r="CQ24" i="67" s="1"/>
  <c r="U195" i="61"/>
  <c r="AA8" i="61"/>
  <c r="AA119" i="61"/>
  <c r="AB119" i="61" s="1"/>
  <c r="CQ119" i="67" s="1"/>
  <c r="X195" i="61"/>
  <c r="AA184" i="61"/>
  <c r="AB184" i="61" s="1"/>
  <c r="CQ182" i="67" s="1"/>
  <c r="AA156" i="61"/>
  <c r="AB156" i="61" s="1"/>
  <c r="CQ154" i="67" s="1"/>
  <c r="AA142" i="61"/>
  <c r="AB142" i="61" s="1"/>
  <c r="CQ142" i="67" s="1"/>
  <c r="AA115" i="61"/>
  <c r="AB115" i="61" s="1"/>
  <c r="CQ115" i="67" s="1"/>
  <c r="AA105" i="61"/>
  <c r="AB105" i="61" s="1"/>
  <c r="CQ105" i="67" s="1"/>
  <c r="AA104" i="61"/>
  <c r="AB104" i="61" s="1"/>
  <c r="CQ104" i="67" s="1"/>
  <c r="AA86" i="61"/>
  <c r="AB86" i="61" s="1"/>
  <c r="CQ86" i="67" s="1"/>
  <c r="AA14" i="61"/>
  <c r="AB14" i="61" s="1"/>
  <c r="CQ14" i="67" s="1"/>
  <c r="AA9" i="61"/>
  <c r="AB9" i="61" s="1"/>
  <c r="CQ9" i="67" s="1"/>
  <c r="AA62" i="61"/>
  <c r="AB62" i="61" s="1"/>
  <c r="CQ62" i="67" s="1"/>
  <c r="AA43" i="61"/>
  <c r="AB43" i="61" s="1"/>
  <c r="CQ43" i="67" s="1"/>
  <c r="AA26" i="61"/>
  <c r="AB26" i="61" s="1"/>
  <c r="CQ26" i="67" s="1"/>
  <c r="AA193" i="61"/>
  <c r="AB193" i="61" s="1"/>
  <c r="CQ193" i="67" s="1"/>
  <c r="AA127" i="61"/>
  <c r="AB127" i="61" s="1"/>
  <c r="CQ127" i="67" s="1"/>
  <c r="AA126" i="61"/>
  <c r="AB126" i="61" s="1"/>
  <c r="CQ126" i="67" s="1"/>
  <c r="AA120" i="61"/>
  <c r="AB120" i="61" s="1"/>
  <c r="CQ120" i="67" s="1"/>
  <c r="AA83" i="61"/>
  <c r="AB83" i="61" s="1"/>
  <c r="CQ83" i="67" s="1"/>
  <c r="AA75" i="61"/>
  <c r="AB75" i="61" s="1"/>
  <c r="CQ75" i="67" s="1"/>
  <c r="AA56" i="61"/>
  <c r="AB56" i="61" s="1"/>
  <c r="CQ56" i="67" s="1"/>
  <c r="AA182" i="61"/>
  <c r="AB182" i="61" s="1"/>
  <c r="CQ180" i="67" s="1"/>
  <c r="AA162" i="61"/>
  <c r="AB162" i="61" s="1"/>
  <c r="CQ160" i="67" s="1"/>
  <c r="AA159" i="61"/>
  <c r="AB159" i="61" s="1"/>
  <c r="CQ157" i="67" s="1"/>
  <c r="AA140" i="61"/>
  <c r="AB140" i="61" s="1"/>
  <c r="CQ140" i="67" s="1"/>
  <c r="AA101" i="61"/>
  <c r="AB101" i="61" s="1"/>
  <c r="CQ101" i="67" s="1"/>
  <c r="AA92" i="61"/>
  <c r="AB92" i="61" s="1"/>
  <c r="CQ92" i="67" s="1"/>
  <c r="AA10" i="61"/>
  <c r="AB10" i="61" s="1"/>
  <c r="CQ10" i="67" s="1"/>
  <c r="AA174" i="61"/>
  <c r="AB174" i="61" s="1"/>
  <c r="CQ172" i="67" s="1"/>
  <c r="AA60" i="61"/>
  <c r="AB60" i="61" s="1"/>
  <c r="CQ60" i="67" s="1"/>
  <c r="AA48" i="61"/>
  <c r="AB48" i="61" s="1"/>
  <c r="CQ48" i="67" s="1"/>
  <c r="AA46" i="61"/>
  <c r="AB46" i="61" s="1"/>
  <c r="CQ46" i="67" s="1"/>
  <c r="AA42" i="61"/>
  <c r="AB42" i="61" s="1"/>
  <c r="CQ42" i="67" s="1"/>
  <c r="AA40" i="61"/>
  <c r="AB40" i="61" s="1"/>
  <c r="CQ40" i="67" s="1"/>
  <c r="AA38" i="61"/>
  <c r="AB38" i="61" s="1"/>
  <c r="CQ38" i="67" s="1"/>
  <c r="AA188" i="61"/>
  <c r="AB188" i="61" s="1"/>
  <c r="CQ186" i="67" s="1"/>
  <c r="AA185" i="61"/>
  <c r="AA181" i="61"/>
  <c r="AA179" i="61"/>
  <c r="AB179" i="61" s="1"/>
  <c r="CQ177" i="67" s="1"/>
  <c r="AA177" i="61"/>
  <c r="AB177" i="61" s="1"/>
  <c r="CQ175" i="67" s="1"/>
  <c r="AA148" i="61"/>
  <c r="AB148" i="61" s="1"/>
  <c r="CQ148" i="67" s="1"/>
  <c r="AA133" i="61"/>
  <c r="AA129" i="61"/>
  <c r="AB129" i="61" s="1"/>
  <c r="CQ129" i="67" s="1"/>
  <c r="AA93" i="61"/>
  <c r="AB93" i="61" s="1"/>
  <c r="CQ93" i="67" s="1"/>
  <c r="AA91" i="61"/>
  <c r="AB91" i="61" s="1"/>
  <c r="CQ91" i="67" s="1"/>
  <c r="AA87" i="61"/>
  <c r="AB87" i="61" s="1"/>
  <c r="CQ87" i="67" s="1"/>
  <c r="AA57" i="61"/>
  <c r="AB57" i="61" s="1"/>
  <c r="CQ57" i="67" s="1"/>
  <c r="AA53" i="61"/>
  <c r="AB53" i="61" s="1"/>
  <c r="CQ53" i="67" s="1"/>
  <c r="AA20" i="61"/>
  <c r="AB20" i="61" s="1"/>
  <c r="CQ20" i="67" s="1"/>
  <c r="AA19" i="61"/>
  <c r="AA176" i="61"/>
  <c r="AA166" i="61"/>
  <c r="AB166" i="61" s="1"/>
  <c r="CQ164" i="67" s="1"/>
  <c r="AA90" i="61"/>
  <c r="AB90" i="61" s="1"/>
  <c r="CQ90" i="67" s="1"/>
  <c r="AA146" i="61"/>
  <c r="AB146" i="61" s="1"/>
  <c r="CQ146" i="67" s="1"/>
  <c r="AA144" i="61"/>
  <c r="AA138" i="61"/>
  <c r="AA136" i="61"/>
  <c r="AB136" i="61" s="1"/>
  <c r="CQ136" i="67" s="1"/>
  <c r="AA134" i="61"/>
  <c r="AB134" i="61" s="1"/>
  <c r="CQ134" i="67" s="1"/>
  <c r="AA98" i="61"/>
  <c r="AA96" i="61"/>
  <c r="AA94" i="61"/>
  <c r="AA58" i="61"/>
  <c r="AB58" i="61" s="1"/>
  <c r="CQ58" i="67" s="1"/>
  <c r="AA28" i="61"/>
  <c r="AA25" i="61"/>
  <c r="AA22" i="61"/>
  <c r="AB22" i="61" s="1"/>
  <c r="CQ22" i="67" s="1"/>
  <c r="AA192" i="61"/>
  <c r="AB192" i="61" s="1"/>
  <c r="CQ190" i="67" s="1"/>
  <c r="AA164" i="61"/>
  <c r="AB164" i="61" s="1"/>
  <c r="CQ162" i="67" s="1"/>
  <c r="AA124" i="61"/>
  <c r="AB124" i="61" s="1"/>
  <c r="CQ124" i="67" s="1"/>
  <c r="AA112" i="61"/>
  <c r="AB112" i="61" s="1"/>
  <c r="CQ112" i="67" s="1"/>
  <c r="AA106" i="61"/>
  <c r="AB106" i="61" s="1"/>
  <c r="CQ106" i="67" s="1"/>
  <c r="AA191" i="61"/>
  <c r="AB191" i="61" s="1"/>
  <c r="CQ189" i="67" s="1"/>
  <c r="AA163" i="61"/>
  <c r="AB163" i="61" s="1"/>
  <c r="CQ161" i="67" s="1"/>
  <c r="AA157" i="61"/>
  <c r="AB157" i="61" s="1"/>
  <c r="CQ155" i="67" s="1"/>
  <c r="AA117" i="61"/>
  <c r="AA84" i="61"/>
  <c r="AB84" i="61" s="1"/>
  <c r="CQ84" i="67" s="1"/>
  <c r="AA69" i="61"/>
  <c r="AB69" i="61" s="1"/>
  <c r="CQ69" i="67" s="1"/>
  <c r="AA36" i="61"/>
  <c r="AA35" i="61"/>
  <c r="AA29" i="61"/>
  <c r="AB29" i="61" s="1"/>
  <c r="CQ29" i="67" s="1"/>
  <c r="AA21" i="61"/>
  <c r="AB21" i="61" s="1"/>
  <c r="CQ21" i="67" s="1"/>
  <c r="AA154" i="61"/>
  <c r="AB154" i="61" s="1"/>
  <c r="CQ152" i="67" s="1"/>
  <c r="AA150" i="61"/>
  <c r="AB150" i="61" s="1"/>
  <c r="CQ150" i="67" s="1"/>
  <c r="AA102" i="61"/>
  <c r="AB102" i="61" s="1"/>
  <c r="CQ102" i="67" s="1"/>
  <c r="AA64" i="61"/>
  <c r="AB64" i="61" s="1"/>
  <c r="CQ64" i="67" s="1"/>
  <c r="AA160" i="61"/>
  <c r="AA158" i="61"/>
  <c r="AA132" i="61"/>
  <c r="AB132" i="61" s="1"/>
  <c r="CQ132" i="67" s="1"/>
  <c r="AA122" i="61"/>
  <c r="AA118" i="61"/>
  <c r="AA82" i="61"/>
  <c r="AB82" i="61" s="1"/>
  <c r="CQ82" i="67" s="1"/>
  <c r="AA80" i="61"/>
  <c r="AB80" i="61" s="1"/>
  <c r="CQ80" i="67" s="1"/>
  <c r="AA78" i="61"/>
  <c r="AB78" i="61" s="1"/>
  <c r="CQ78" i="67" s="1"/>
  <c r="AA74" i="61"/>
  <c r="AA72" i="61"/>
  <c r="AA70" i="61"/>
  <c r="AA32" i="61"/>
  <c r="AA30" i="61"/>
  <c r="AB30" i="61" s="1"/>
  <c r="CQ30" i="67" s="1"/>
  <c r="AA180" i="61"/>
  <c r="AB180" i="61" s="1"/>
  <c r="CQ178" i="67" s="1"/>
  <c r="AA175" i="61"/>
  <c r="AA165" i="61"/>
  <c r="AB165" i="61" s="1"/>
  <c r="CQ163" i="67" s="1"/>
  <c r="AA131" i="61"/>
  <c r="AB131" i="61" s="1"/>
  <c r="CQ131" i="67" s="1"/>
  <c r="AA125" i="61"/>
  <c r="AB125" i="61" s="1"/>
  <c r="CQ125" i="67" s="1"/>
  <c r="AA89" i="61"/>
  <c r="AA85" i="61"/>
  <c r="AB85" i="61" s="1"/>
  <c r="CQ85" i="67" s="1"/>
  <c r="AA52" i="61"/>
  <c r="AA37" i="61"/>
  <c r="AB37" i="61" s="1"/>
  <c r="CQ37" i="67" s="1"/>
  <c r="AA173" i="61"/>
  <c r="AB173" i="61" s="1"/>
  <c r="CQ171" i="67" s="1"/>
  <c r="AA143" i="61"/>
  <c r="AB143" i="61" s="1"/>
  <c r="CQ143" i="67" s="1"/>
  <c r="AA141" i="61"/>
  <c r="AB141" i="61" s="1"/>
  <c r="CQ141" i="67" s="1"/>
  <c r="AA111" i="61"/>
  <c r="AB111" i="61" s="1"/>
  <c r="CQ111" i="67" s="1"/>
  <c r="AA109" i="61"/>
  <c r="AA79" i="61"/>
  <c r="AB79" i="61" s="1"/>
  <c r="CQ79" i="67" s="1"/>
  <c r="AA77" i="61"/>
  <c r="AB77" i="61" s="1"/>
  <c r="CQ77" i="67" s="1"/>
  <c r="AA47" i="61"/>
  <c r="AB47" i="61" s="1"/>
  <c r="CQ47" i="67" s="1"/>
  <c r="AA45" i="61"/>
  <c r="AB45" i="61" s="1"/>
  <c r="CQ45" i="67" s="1"/>
  <c r="AA16" i="61"/>
  <c r="AA12" i="61"/>
  <c r="AA11" i="61"/>
  <c r="AA13" i="61"/>
  <c r="T186" i="67" l="1"/>
  <c r="T178" i="67"/>
  <c r="T170" i="67"/>
  <c r="T158" i="67"/>
  <c r="T191" i="67"/>
  <c r="T144" i="67"/>
  <c r="T135" i="67"/>
  <c r="T126" i="67"/>
  <c r="T117" i="67"/>
  <c r="T109" i="67"/>
  <c r="T101" i="67"/>
  <c r="T90" i="67"/>
  <c r="T82" i="67"/>
  <c r="T74" i="67"/>
  <c r="T65" i="67"/>
  <c r="T56" i="67"/>
  <c r="T48" i="67"/>
  <c r="T40" i="67"/>
  <c r="T30" i="67"/>
  <c r="T22" i="67"/>
  <c r="T187" i="67"/>
  <c r="T179" i="67"/>
  <c r="T171" i="67"/>
  <c r="T159" i="67"/>
  <c r="T192" i="67"/>
  <c r="T145" i="67"/>
  <c r="T136" i="67"/>
  <c r="T127" i="67"/>
  <c r="T118" i="67"/>
  <c r="T110" i="67"/>
  <c r="T102" i="67"/>
  <c r="T91" i="67"/>
  <c r="T83" i="67"/>
  <c r="T75" i="67"/>
  <c r="T66" i="67"/>
  <c r="T57" i="67"/>
  <c r="T49" i="67"/>
  <c r="T41" i="67"/>
  <c r="T15" i="67"/>
  <c r="O168" i="67"/>
  <c r="O130" i="67"/>
  <c r="O18" i="67"/>
  <c r="T16" i="67"/>
  <c r="O137" i="67"/>
  <c r="O121" i="67"/>
  <c r="O97" i="67"/>
  <c r="O73" i="67"/>
  <c r="O33" i="67"/>
  <c r="O17" i="67"/>
  <c r="O61" i="67"/>
  <c r="O166" i="67"/>
  <c r="T19" i="67"/>
  <c r="T9" i="67"/>
  <c r="O99" i="67"/>
  <c r="T10" i="67"/>
  <c r="O39" i="67"/>
  <c r="O95" i="67"/>
  <c r="T31" i="67"/>
  <c r="T23" i="67"/>
  <c r="T13" i="67"/>
  <c r="T188" i="67"/>
  <c r="T180" i="67"/>
  <c r="T172" i="67"/>
  <c r="T160" i="67"/>
  <c r="T152" i="67"/>
  <c r="T146" i="67"/>
  <c r="T138" i="67"/>
  <c r="T128" i="67"/>
  <c r="T119" i="67"/>
  <c r="T111" i="67"/>
  <c r="T103" i="67"/>
  <c r="T92" i="67"/>
  <c r="T84" i="67"/>
  <c r="T76" i="67"/>
  <c r="T67" i="67"/>
  <c r="T58" i="67"/>
  <c r="T50" i="67"/>
  <c r="T42" i="67"/>
  <c r="T32" i="67"/>
  <c r="T24" i="67"/>
  <c r="T189" i="67"/>
  <c r="T181" i="67"/>
  <c r="T173" i="67"/>
  <c r="T161" i="67"/>
  <c r="T153" i="67"/>
  <c r="T147" i="67"/>
  <c r="T139" i="67"/>
  <c r="T129" i="67"/>
  <c r="T120" i="67"/>
  <c r="T112" i="67"/>
  <c r="T104" i="67"/>
  <c r="T93" i="67"/>
  <c r="T85" i="67"/>
  <c r="T77" i="67"/>
  <c r="T68" i="67"/>
  <c r="T59" i="67"/>
  <c r="T51" i="67"/>
  <c r="T43" i="67"/>
  <c r="T34" i="67"/>
  <c r="T25" i="67"/>
  <c r="T8" i="67"/>
  <c r="T190" i="67"/>
  <c r="T182" i="67"/>
  <c r="T174" i="67"/>
  <c r="T162" i="67"/>
  <c r="T154" i="67"/>
  <c r="T148" i="67"/>
  <c r="T140" i="67"/>
  <c r="T131" i="67"/>
  <c r="T122" i="67"/>
  <c r="T113" i="67"/>
  <c r="T105" i="67"/>
  <c r="T94" i="67"/>
  <c r="T86" i="67"/>
  <c r="T78" i="67"/>
  <c r="T69" i="67"/>
  <c r="T60" i="67"/>
  <c r="T52" i="67"/>
  <c r="T44" i="67"/>
  <c r="T35" i="67"/>
  <c r="T26" i="67"/>
  <c r="T193" i="67"/>
  <c r="T183" i="67"/>
  <c r="T175" i="67"/>
  <c r="T163" i="67"/>
  <c r="T155" i="67"/>
  <c r="T149" i="67"/>
  <c r="T141" i="67"/>
  <c r="T132" i="67"/>
  <c r="T123" i="67"/>
  <c r="T114" i="67"/>
  <c r="T106" i="67"/>
  <c r="T96" i="67"/>
  <c r="T87" i="67"/>
  <c r="T79" i="67"/>
  <c r="T70" i="67"/>
  <c r="T62" i="67"/>
  <c r="T53" i="67"/>
  <c r="T45" i="67"/>
  <c r="T36" i="67"/>
  <c r="T27" i="67"/>
  <c r="T184" i="67"/>
  <c r="T176" i="67"/>
  <c r="T164" i="67"/>
  <c r="T156" i="67"/>
  <c r="T150" i="67"/>
  <c r="T142" i="67"/>
  <c r="T133" i="67"/>
  <c r="T124" i="67"/>
  <c r="T115" i="67"/>
  <c r="T107" i="67"/>
  <c r="T98" i="67"/>
  <c r="T88" i="67"/>
  <c r="T80" i="67"/>
  <c r="T71" i="67"/>
  <c r="T63" i="67"/>
  <c r="T54" i="67"/>
  <c r="T46" i="67"/>
  <c r="T37" i="67"/>
  <c r="T28" i="67"/>
  <c r="T20" i="67"/>
  <c r="T185" i="67"/>
  <c r="T177" i="67"/>
  <c r="T167" i="67"/>
  <c r="T157" i="67"/>
  <c r="T151" i="67"/>
  <c r="T143" i="67"/>
  <c r="T134" i="67"/>
  <c r="T125" i="67"/>
  <c r="T116" i="67"/>
  <c r="T108" i="67"/>
  <c r="T100" i="67"/>
  <c r="T89" i="67"/>
  <c r="T81" i="67"/>
  <c r="T72" i="67"/>
  <c r="T64" i="67"/>
  <c r="T55" i="67"/>
  <c r="T47" i="67"/>
  <c r="T38" i="67"/>
  <c r="T29" i="67"/>
  <c r="T21" i="67"/>
  <c r="T11" i="67"/>
  <c r="T12" i="67"/>
  <c r="O165" i="67"/>
  <c r="T14" i="67"/>
  <c r="O169" i="67"/>
  <c r="AB8" i="61"/>
  <c r="CQ8" i="67" s="1"/>
  <c r="AA195" i="61"/>
  <c r="AB185" i="61"/>
  <c r="CQ183" i="67" s="1"/>
  <c r="AB158" i="61"/>
  <c r="CQ156" i="67" s="1"/>
  <c r="AB25" i="61"/>
  <c r="CQ25" i="67" s="1"/>
  <c r="AB98" i="61"/>
  <c r="CQ98" i="67" s="1"/>
  <c r="AB176" i="61"/>
  <c r="CQ174" i="67" s="1"/>
  <c r="AB74" i="61"/>
  <c r="CQ74" i="67" s="1"/>
  <c r="AB89" i="61"/>
  <c r="CQ89" i="67" s="1"/>
  <c r="AB160" i="61"/>
  <c r="CQ158" i="67" s="1"/>
  <c r="AB28" i="61"/>
  <c r="CQ28" i="67" s="1"/>
  <c r="AB133" i="61"/>
  <c r="CQ133" i="67" s="1"/>
  <c r="AB32" i="61"/>
  <c r="CQ32" i="67" s="1"/>
  <c r="AB11" i="61"/>
  <c r="CQ11" i="67" s="1"/>
  <c r="AB138" i="61"/>
  <c r="CQ138" i="67" s="1"/>
  <c r="AB109" i="61"/>
  <c r="CQ109" i="67" s="1"/>
  <c r="AB12" i="61"/>
  <c r="CQ12" i="67" s="1"/>
  <c r="AB118" i="61"/>
  <c r="CQ118" i="67" s="1"/>
  <c r="AB117" i="61"/>
  <c r="CQ117" i="67" s="1"/>
  <c r="AB16" i="61"/>
  <c r="CQ16" i="67" s="1"/>
  <c r="AB175" i="61"/>
  <c r="CQ173" i="67" s="1"/>
  <c r="AB70" i="61"/>
  <c r="CQ70" i="67" s="1"/>
  <c r="AB35" i="61"/>
  <c r="CQ35" i="67" s="1"/>
  <c r="AB94" i="61"/>
  <c r="CQ94" i="67" s="1"/>
  <c r="AB144" i="61"/>
  <c r="CQ144" i="67" s="1"/>
  <c r="AB19" i="61"/>
  <c r="CQ19" i="67" s="1"/>
  <c r="AB13" i="61"/>
  <c r="CQ13" i="67" s="1"/>
  <c r="AB52" i="61"/>
  <c r="CQ52" i="67" s="1"/>
  <c r="AB72" i="61"/>
  <c r="CQ72" i="67" s="1"/>
  <c r="AB122" i="61"/>
  <c r="CQ122" i="67" s="1"/>
  <c r="AB36" i="61"/>
  <c r="CQ36" i="67" s="1"/>
  <c r="AB96" i="61"/>
  <c r="CQ96" i="67" s="1"/>
  <c r="AB181" i="61"/>
  <c r="CQ179" i="67" s="1"/>
  <c r="Q49" i="61"/>
  <c r="Q45" i="61"/>
  <c r="R45" i="61" s="1"/>
  <c r="L195" i="61"/>
  <c r="Q67" i="61"/>
  <c r="Q77" i="61"/>
  <c r="Q15" i="61"/>
  <c r="Q192" i="61"/>
  <c r="R192" i="61" s="1"/>
  <c r="Q164" i="61"/>
  <c r="R164" i="61" s="1"/>
  <c r="Q113" i="61"/>
  <c r="R113" i="61" s="1"/>
  <c r="N195" i="61"/>
  <c r="Q165" i="61"/>
  <c r="R165" i="61" s="1"/>
  <c r="Q157" i="61"/>
  <c r="R157" i="61" s="1"/>
  <c r="Q149" i="61"/>
  <c r="R149" i="61" s="1"/>
  <c r="Q50" i="61"/>
  <c r="R50" i="61" s="1"/>
  <c r="P195" i="61"/>
  <c r="Q178" i="61"/>
  <c r="Q180" i="61"/>
  <c r="R180" i="61" s="1"/>
  <c r="Q125" i="61"/>
  <c r="R125" i="61" s="1"/>
  <c r="Q90" i="61"/>
  <c r="R90" i="61" s="1"/>
  <c r="Q35" i="61"/>
  <c r="R35" i="61" s="1"/>
  <c r="M195" i="61"/>
  <c r="J195" i="61"/>
  <c r="Q29" i="61"/>
  <c r="K195" i="61"/>
  <c r="Q173" i="61"/>
  <c r="R173" i="61" s="1"/>
  <c r="Q74" i="61"/>
  <c r="R74" i="61" s="1"/>
  <c r="Q51" i="61"/>
  <c r="Q154" i="61"/>
  <c r="R154" i="61" s="1"/>
  <c r="Q131" i="61"/>
  <c r="R131" i="61" s="1"/>
  <c r="Q83" i="61"/>
  <c r="Q155" i="61"/>
  <c r="R155" i="61" s="1"/>
  <c r="Q147" i="61"/>
  <c r="R147" i="61" s="1"/>
  <c r="Q141" i="61"/>
  <c r="R141" i="61" s="1"/>
  <c r="Q93" i="61"/>
  <c r="R93" i="61" s="1"/>
  <c r="Q16" i="61"/>
  <c r="R16" i="61" s="1"/>
  <c r="O195" i="61"/>
  <c r="Q9" i="61"/>
  <c r="R9" i="61" s="1"/>
  <c r="Q10" i="61"/>
  <c r="R10" i="61" s="1"/>
  <c r="Q185" i="61"/>
  <c r="R185" i="61" s="1"/>
  <c r="Q175" i="61"/>
  <c r="R175" i="61" s="1"/>
  <c r="Q156" i="61"/>
  <c r="R156" i="61" s="1"/>
  <c r="Q145" i="61"/>
  <c r="R145" i="61" s="1"/>
  <c r="Q138" i="61"/>
  <c r="R138" i="61" s="1"/>
  <c r="Q107" i="61"/>
  <c r="Q98" i="61"/>
  <c r="R98" i="61" s="1"/>
  <c r="Q81" i="61"/>
  <c r="R81" i="61" s="1"/>
  <c r="Q26" i="61"/>
  <c r="Q8" i="61"/>
  <c r="Q188" i="61"/>
  <c r="R188" i="61" s="1"/>
  <c r="Q186" i="61"/>
  <c r="R186" i="61" s="1"/>
  <c r="Q176" i="61"/>
  <c r="R176" i="61" s="1"/>
  <c r="Q169" i="61"/>
  <c r="Q146" i="61"/>
  <c r="R146" i="61" s="1"/>
  <c r="Q60" i="61"/>
  <c r="R60" i="61" s="1"/>
  <c r="Q43" i="61"/>
  <c r="Q34" i="61"/>
  <c r="Q187" i="61"/>
  <c r="Q177" i="61"/>
  <c r="R177" i="61" s="1"/>
  <c r="Q115" i="61"/>
  <c r="Q82" i="61"/>
  <c r="R82" i="61" s="1"/>
  <c r="Q63" i="61"/>
  <c r="Q181" i="61"/>
  <c r="R181" i="61" s="1"/>
  <c r="Q161" i="61"/>
  <c r="R161" i="61" s="1"/>
  <c r="Q129" i="61"/>
  <c r="R129" i="61" s="1"/>
  <c r="Q102" i="61"/>
  <c r="Q84" i="61"/>
  <c r="R84" i="61" s="1"/>
  <c r="Q183" i="61"/>
  <c r="R183" i="61" s="1"/>
  <c r="Q163" i="61"/>
  <c r="R163" i="61" s="1"/>
  <c r="Q162" i="61"/>
  <c r="R162" i="61" s="1"/>
  <c r="Q106" i="61"/>
  <c r="R106" i="61" s="1"/>
  <c r="Q76" i="61"/>
  <c r="Q66" i="61"/>
  <c r="Q58" i="61"/>
  <c r="Q12" i="61"/>
  <c r="R12" i="61" s="1"/>
  <c r="R193" i="61"/>
  <c r="Q172" i="61"/>
  <c r="R172" i="61" s="1"/>
  <c r="Q153" i="61"/>
  <c r="R153" i="61" s="1"/>
  <c r="Q143" i="61"/>
  <c r="Q114" i="61"/>
  <c r="R114" i="61" s="1"/>
  <c r="Q109" i="61"/>
  <c r="R109" i="61" s="1"/>
  <c r="Q57" i="61"/>
  <c r="R57" i="61" s="1"/>
  <c r="Q42" i="61"/>
  <c r="R42" i="61" s="1"/>
  <c r="Q31" i="61"/>
  <c r="Q14" i="61"/>
  <c r="Q166" i="61"/>
  <c r="R166" i="61" s="1"/>
  <c r="Q124" i="61"/>
  <c r="Q151" i="61"/>
  <c r="Q122" i="61"/>
  <c r="R122" i="61" s="1"/>
  <c r="Q75" i="61"/>
  <c r="Q65" i="61"/>
  <c r="Q38" i="61"/>
  <c r="R38" i="61" s="1"/>
  <c r="Q13" i="61"/>
  <c r="R13" i="61" s="1"/>
  <c r="Q11" i="61"/>
  <c r="R11" i="61" s="1"/>
  <c r="Q133" i="61"/>
  <c r="R133" i="61" s="1"/>
  <c r="Q56" i="61"/>
  <c r="Q159" i="61"/>
  <c r="Q123" i="61"/>
  <c r="R123" i="61" s="1"/>
  <c r="Q79" i="61"/>
  <c r="Q59" i="61"/>
  <c r="R59" i="61" s="1"/>
  <c r="Q160" i="61"/>
  <c r="R160" i="61" s="1"/>
  <c r="Q132" i="61"/>
  <c r="R132" i="61" s="1"/>
  <c r="Q126" i="61"/>
  <c r="R126" i="61" s="1"/>
  <c r="Q117" i="61"/>
  <c r="R117" i="61" s="1"/>
  <c r="Q86" i="61"/>
  <c r="Q80" i="61"/>
  <c r="R80" i="61" s="1"/>
  <c r="Q68" i="61"/>
  <c r="Q62" i="61"/>
  <c r="Q53" i="61"/>
  <c r="R53" i="61" s="1"/>
  <c r="Q40" i="61"/>
  <c r="R40" i="61" s="1"/>
  <c r="Q22" i="61"/>
  <c r="R22" i="61" s="1"/>
  <c r="Q174" i="61"/>
  <c r="R174" i="61" s="1"/>
  <c r="Q158" i="61"/>
  <c r="R158" i="61" s="1"/>
  <c r="Q152" i="61"/>
  <c r="R152" i="61" s="1"/>
  <c r="Q144" i="61"/>
  <c r="R144" i="61" s="1"/>
  <c r="Q120" i="61"/>
  <c r="R120" i="61" s="1"/>
  <c r="Q69" i="61"/>
  <c r="Q32" i="61"/>
  <c r="R32" i="61" s="1"/>
  <c r="Q20" i="61"/>
  <c r="R20" i="61" s="1"/>
  <c r="Q189" i="61"/>
  <c r="R189" i="61" s="1"/>
  <c r="Q127" i="61"/>
  <c r="R127" i="61" s="1"/>
  <c r="Q191" i="61"/>
  <c r="R191" i="61" s="1"/>
  <c r="Q134" i="61"/>
  <c r="R134" i="61" s="1"/>
  <c r="Q128" i="61"/>
  <c r="R128" i="61" s="1"/>
  <c r="Q108" i="61"/>
  <c r="Q101" i="61"/>
  <c r="Q70" i="61"/>
  <c r="R70" i="61" s="1"/>
  <c r="Q64" i="61"/>
  <c r="R64" i="61" s="1"/>
  <c r="Q52" i="61"/>
  <c r="R52" i="61" s="1"/>
  <c r="Q37" i="61"/>
  <c r="R37" i="61" s="1"/>
  <c r="Q24" i="61"/>
  <c r="Q184" i="61"/>
  <c r="R184" i="61" s="1"/>
  <c r="Q139" i="61"/>
  <c r="R139" i="61" s="1"/>
  <c r="Q111" i="61"/>
  <c r="R111" i="61" s="1"/>
  <c r="Q91" i="61"/>
  <c r="Q89" i="61"/>
  <c r="R89" i="61" s="1"/>
  <c r="Q47" i="61"/>
  <c r="R47" i="61" s="1"/>
  <c r="Q27" i="61"/>
  <c r="Q25" i="61"/>
  <c r="R25" i="61" s="1"/>
  <c r="Q96" i="61"/>
  <c r="R96" i="61" s="1"/>
  <c r="Q78" i="61"/>
  <c r="R78" i="61" s="1"/>
  <c r="Q190" i="61"/>
  <c r="R190" i="61" s="1"/>
  <c r="Q105" i="61"/>
  <c r="Q41" i="61"/>
  <c r="Q116" i="61"/>
  <c r="Q110" i="61"/>
  <c r="R110" i="61" s="1"/>
  <c r="Q88" i="61"/>
  <c r="Q46" i="61"/>
  <c r="Q44" i="61"/>
  <c r="Q179" i="61"/>
  <c r="R179" i="61" s="1"/>
  <c r="Q150" i="61"/>
  <c r="R150" i="61" s="1"/>
  <c r="Q148" i="61"/>
  <c r="R148" i="61" s="1"/>
  <c r="Q142" i="61"/>
  <c r="Q140" i="61"/>
  <c r="R140" i="61" s="1"/>
  <c r="Q136" i="61"/>
  <c r="R136" i="61" s="1"/>
  <c r="R118" i="61"/>
  <c r="Q112" i="61"/>
  <c r="R112" i="61" s="1"/>
  <c r="Q100" i="61"/>
  <c r="R100" i="61" s="1"/>
  <c r="Q94" i="61"/>
  <c r="R94" i="61" s="1"/>
  <c r="Q92" i="61"/>
  <c r="R92" i="61" s="1"/>
  <c r="Q85" i="61"/>
  <c r="R85" i="61" s="1"/>
  <c r="Q72" i="61"/>
  <c r="R72" i="61" s="1"/>
  <c r="Q54" i="61"/>
  <c r="R54" i="61" s="1"/>
  <c r="Q48" i="61"/>
  <c r="Q36" i="61"/>
  <c r="R36" i="61" s="1"/>
  <c r="Q30" i="61"/>
  <c r="Q28" i="61"/>
  <c r="R28" i="61" s="1"/>
  <c r="Q21" i="61"/>
  <c r="Q182" i="61"/>
  <c r="R182" i="61" s="1"/>
  <c r="Q135" i="61"/>
  <c r="R135" i="61" s="1"/>
  <c r="Q119" i="61"/>
  <c r="R119" i="61" s="1"/>
  <c r="Q103" i="61"/>
  <c r="Q87" i="61"/>
  <c r="R87" i="61" s="1"/>
  <c r="Q71" i="61"/>
  <c r="Q55" i="61"/>
  <c r="Q23" i="61"/>
  <c r="Q19" i="61"/>
  <c r="R19" i="61" s="1"/>
  <c r="H195" i="61"/>
  <c r="AA195" i="62"/>
  <c r="AB195" i="62"/>
  <c r="AC195" i="62"/>
  <c r="AD195" i="62"/>
  <c r="AE195" i="62"/>
  <c r="AF195" i="62"/>
  <c r="AG195" i="62"/>
  <c r="P195" i="62"/>
  <c r="Q195" i="62"/>
  <c r="R195" i="62"/>
  <c r="S195" i="62"/>
  <c r="T195" i="62"/>
  <c r="U195" i="62"/>
  <c r="V195" i="62"/>
  <c r="W195" i="62"/>
  <c r="X195" i="62"/>
  <c r="Y195" i="62"/>
  <c r="Z195" i="62"/>
  <c r="O195" i="62"/>
  <c r="Q193" i="67"/>
  <c r="CS9" i="67"/>
  <c r="CC10" i="67"/>
  <c r="BM11" i="67"/>
  <c r="DI13" i="67"/>
  <c r="Q14" i="67"/>
  <c r="Q15" i="67"/>
  <c r="CS16" i="67"/>
  <c r="BM21" i="67"/>
  <c r="DY23" i="67"/>
  <c r="EO27" i="67"/>
  <c r="DI30" i="67"/>
  <c r="Q33" i="67"/>
  <c r="Q34" i="67"/>
  <c r="Q35" i="67"/>
  <c r="Q37" i="67"/>
  <c r="DI38" i="67"/>
  <c r="Q39" i="67"/>
  <c r="Q40" i="67"/>
  <c r="CS41" i="67"/>
  <c r="BM42" i="67"/>
  <c r="DI45" i="67"/>
  <c r="DY48" i="67"/>
  <c r="CC54" i="67"/>
  <c r="DY55" i="67"/>
  <c r="CC61" i="67"/>
  <c r="DI62" i="67"/>
  <c r="Q65" i="67"/>
  <c r="Q66" i="67"/>
  <c r="Q67" i="67"/>
  <c r="Q69" i="67"/>
  <c r="DI70" i="67"/>
  <c r="Q71" i="67"/>
  <c r="Q72" i="67"/>
  <c r="BM73" i="67"/>
  <c r="DI77" i="67"/>
  <c r="Q78" i="67"/>
  <c r="CS79" i="67"/>
  <c r="CS80" i="67"/>
  <c r="CC85" i="67"/>
  <c r="CS87" i="67"/>
  <c r="EO88" i="67"/>
  <c r="FE93" i="67"/>
  <c r="DI94" i="67"/>
  <c r="BM96" i="67"/>
  <c r="Q97" i="67"/>
  <c r="Q98" i="67"/>
  <c r="CC99" i="67"/>
  <c r="Q101" i="67"/>
  <c r="DI102" i="67"/>
  <c r="Q103" i="67"/>
  <c r="FU104" i="67"/>
  <c r="Q105" i="67"/>
  <c r="DI109" i="67"/>
  <c r="BM110" i="67"/>
  <c r="BM111" i="67"/>
  <c r="BM118" i="67"/>
  <c r="DI126" i="67"/>
  <c r="Q129" i="67"/>
  <c r="CC130" i="67"/>
  <c r="Q133" i="67"/>
  <c r="DI134" i="67"/>
  <c r="Q135" i="67"/>
  <c r="Q136" i="67"/>
  <c r="CC137" i="67"/>
  <c r="BM141" i="67"/>
  <c r="CS142" i="67"/>
  <c r="CS143" i="67"/>
  <c r="Q144" i="67"/>
  <c r="DY147" i="67"/>
  <c r="BM149" i="67"/>
  <c r="CS150" i="67"/>
  <c r="CC158" i="67"/>
  <c r="Q159" i="67"/>
  <c r="Q160" i="67"/>
  <c r="Q161" i="67"/>
  <c r="Q163" i="67"/>
  <c r="Q164" i="67"/>
  <c r="Q165" i="67"/>
  <c r="CC166" i="67"/>
  <c r="Q167" i="67"/>
  <c r="CS172" i="67"/>
  <c r="CS173" i="67"/>
  <c r="Q174" i="67"/>
  <c r="CS180" i="67"/>
  <c r="BM184" i="67"/>
  <c r="CS187" i="67"/>
  <c r="CC190" i="67"/>
  <c r="CS8" i="67"/>
  <c r="CD11" i="67"/>
  <c r="R12" i="67"/>
  <c r="AH15" i="67"/>
  <c r="R16" i="67"/>
  <c r="R20" i="67"/>
  <c r="R24" i="67"/>
  <c r="R28" i="67"/>
  <c r="AH31" i="67"/>
  <c r="R32" i="67"/>
  <c r="R36" i="67"/>
  <c r="AH39" i="67"/>
  <c r="R40" i="67"/>
  <c r="CD43" i="67"/>
  <c r="R44" i="67"/>
  <c r="AH47" i="67"/>
  <c r="R48" i="67"/>
  <c r="R52" i="67"/>
  <c r="R56" i="67"/>
  <c r="CT59" i="67"/>
  <c r="R60" i="67"/>
  <c r="AH63" i="67"/>
  <c r="R64" i="67"/>
  <c r="R68" i="67"/>
  <c r="AH71" i="67"/>
  <c r="R72" i="67"/>
  <c r="CD75" i="67"/>
  <c r="R76" i="67"/>
  <c r="AH79" i="67"/>
  <c r="R80" i="67"/>
  <c r="R84" i="67"/>
  <c r="AH87" i="67"/>
  <c r="R88" i="67"/>
  <c r="R92" i="67"/>
  <c r="R96" i="67"/>
  <c r="AH100" i="67"/>
  <c r="R104" i="67"/>
  <c r="CD107" i="67"/>
  <c r="R108" i="67"/>
  <c r="R112" i="67"/>
  <c r="AH116" i="67"/>
  <c r="BN119" i="67"/>
  <c r="R120" i="67"/>
  <c r="R124" i="67"/>
  <c r="R128" i="67"/>
  <c r="R132" i="67"/>
  <c r="R136" i="67"/>
  <c r="R140" i="67"/>
  <c r="R144" i="67"/>
  <c r="BN151" i="67"/>
  <c r="R191" i="67"/>
  <c r="R154" i="67"/>
  <c r="R158" i="67"/>
  <c r="R162" i="67"/>
  <c r="R166" i="67"/>
  <c r="AH167" i="67"/>
  <c r="R170" i="67"/>
  <c r="AH174" i="67"/>
  <c r="AH178" i="67"/>
  <c r="R182" i="67"/>
  <c r="CT185" i="67"/>
  <c r="R186" i="67"/>
  <c r="R190" i="67"/>
  <c r="AV9" i="67"/>
  <c r="AF13" i="67"/>
  <c r="P16" i="67"/>
  <c r="AV17" i="67"/>
  <c r="AF21" i="67"/>
  <c r="P24" i="67"/>
  <c r="AV25" i="67"/>
  <c r="AF29" i="67"/>
  <c r="P32" i="67"/>
  <c r="P40" i="67"/>
  <c r="AF45" i="67"/>
  <c r="P48" i="67"/>
  <c r="AF53" i="67"/>
  <c r="P56" i="67"/>
  <c r="CB57" i="67"/>
  <c r="AF61" i="67"/>
  <c r="P64" i="67"/>
  <c r="P72" i="67"/>
  <c r="AF77" i="67"/>
  <c r="P80" i="67"/>
  <c r="AF85" i="67"/>
  <c r="P88" i="67"/>
  <c r="CB89" i="67"/>
  <c r="AF91" i="67"/>
  <c r="AF94" i="67"/>
  <c r="P96" i="67"/>
  <c r="BL101" i="67"/>
  <c r="P104" i="67"/>
  <c r="CR105" i="67"/>
  <c r="AF107" i="67"/>
  <c r="AF110" i="67"/>
  <c r="P112" i="67"/>
  <c r="P120" i="67"/>
  <c r="CB121" i="67"/>
  <c r="AF123" i="67"/>
  <c r="AF126" i="67"/>
  <c r="P128" i="67"/>
  <c r="BL133" i="67"/>
  <c r="P136" i="67"/>
  <c r="AF139" i="67"/>
  <c r="AF142" i="67"/>
  <c r="P144" i="67"/>
  <c r="P191" i="67"/>
  <c r="AF154" i="67"/>
  <c r="AF157" i="67"/>
  <c r="P158" i="67"/>
  <c r="BL163" i="67"/>
  <c r="P166" i="67"/>
  <c r="P174" i="67"/>
  <c r="P182" i="67"/>
  <c r="AF186" i="67"/>
  <c r="AF189" i="67"/>
  <c r="P190" i="67"/>
  <c r="AI8" i="62"/>
  <c r="S9" i="71"/>
  <c r="S10" i="71"/>
  <c r="S11" i="71"/>
  <c r="S12" i="71"/>
  <c r="S13" i="71"/>
  <c r="S14" i="71"/>
  <c r="S15" i="71"/>
  <c r="S16" i="71"/>
  <c r="S17" i="71"/>
  <c r="S18" i="71"/>
  <c r="S19" i="71"/>
  <c r="S20" i="71"/>
  <c r="S21" i="71"/>
  <c r="S22" i="71"/>
  <c r="S23" i="71"/>
  <c r="S25" i="71"/>
  <c r="S26" i="71"/>
  <c r="S27" i="71"/>
  <c r="S28" i="71"/>
  <c r="S29" i="71"/>
  <c r="S31" i="71"/>
  <c r="S32" i="71"/>
  <c r="S33" i="71"/>
  <c r="S34" i="71"/>
  <c r="S35" i="71"/>
  <c r="S36" i="71"/>
  <c r="S37" i="71"/>
  <c r="S38" i="71"/>
  <c r="S39" i="71"/>
  <c r="S40" i="71"/>
  <c r="S41" i="71"/>
  <c r="S42" i="71"/>
  <c r="S43" i="71"/>
  <c r="S44" i="71"/>
  <c r="S45" i="71"/>
  <c r="S46" i="71"/>
  <c r="S47" i="71"/>
  <c r="S49" i="71"/>
  <c r="S50" i="71"/>
  <c r="S51" i="71"/>
  <c r="S52" i="71"/>
  <c r="S53" i="71"/>
  <c r="S54" i="71"/>
  <c r="S55" i="71"/>
  <c r="S56" i="71"/>
  <c r="S57" i="71"/>
  <c r="S58" i="71"/>
  <c r="S59" i="71"/>
  <c r="S60" i="71"/>
  <c r="S61" i="71"/>
  <c r="S62" i="71"/>
  <c r="S63" i="71"/>
  <c r="S64" i="71"/>
  <c r="S65" i="71"/>
  <c r="S66" i="71"/>
  <c r="S67" i="71"/>
  <c r="S68" i="71"/>
  <c r="S69" i="71"/>
  <c r="S70" i="71"/>
  <c r="S71" i="71"/>
  <c r="S72" i="71"/>
  <c r="S73" i="71"/>
  <c r="S74" i="71"/>
  <c r="S75" i="71"/>
  <c r="S76" i="71"/>
  <c r="S77" i="71"/>
  <c r="S78" i="71"/>
  <c r="S79" i="71"/>
  <c r="S80" i="71"/>
  <c r="S81" i="71"/>
  <c r="S82" i="71"/>
  <c r="S84" i="71"/>
  <c r="S85" i="71"/>
  <c r="S86" i="71"/>
  <c r="S87" i="71"/>
  <c r="S88" i="71"/>
  <c r="S89" i="71"/>
  <c r="S90" i="71"/>
  <c r="S91" i="71"/>
  <c r="S92" i="71"/>
  <c r="S93" i="71"/>
  <c r="S94" i="71"/>
  <c r="S95" i="71"/>
  <c r="S96" i="71"/>
  <c r="S97" i="71"/>
  <c r="S98" i="71"/>
  <c r="S99" i="71"/>
  <c r="S100" i="71"/>
  <c r="S101" i="71"/>
  <c r="S102" i="71"/>
  <c r="S103" i="71"/>
  <c r="S104" i="71"/>
  <c r="S105" i="71"/>
  <c r="S106" i="71"/>
  <c r="S107" i="71"/>
  <c r="S108" i="71"/>
  <c r="S109" i="71"/>
  <c r="S111" i="71"/>
  <c r="S112" i="71"/>
  <c r="S113" i="71"/>
  <c r="S114" i="71"/>
  <c r="S115" i="71"/>
  <c r="S116" i="71"/>
  <c r="S117" i="71"/>
  <c r="S118" i="71"/>
  <c r="S119" i="71"/>
  <c r="S120" i="71"/>
  <c r="S121" i="71"/>
  <c r="S122" i="71"/>
  <c r="S123" i="71"/>
  <c r="S124" i="71"/>
  <c r="S125" i="71"/>
  <c r="S126" i="71"/>
  <c r="S127" i="71"/>
  <c r="S128" i="71"/>
  <c r="S129" i="71"/>
  <c r="S130" i="71"/>
  <c r="S131" i="71"/>
  <c r="S132" i="71"/>
  <c r="S133" i="71"/>
  <c r="S134" i="71"/>
  <c r="S135" i="71"/>
  <c r="S136" i="71"/>
  <c r="S137" i="71"/>
  <c r="S138" i="71"/>
  <c r="S139" i="71"/>
  <c r="S140" i="71"/>
  <c r="S141" i="71"/>
  <c r="S142" i="71"/>
  <c r="S143" i="71"/>
  <c r="S144" i="71"/>
  <c r="S145" i="71"/>
  <c r="S146" i="71"/>
  <c r="S147" i="71"/>
  <c r="S148" i="71"/>
  <c r="S149" i="71"/>
  <c r="S150" i="71"/>
  <c r="S151" i="71"/>
  <c r="S152" i="71"/>
  <c r="S153" i="71"/>
  <c r="S154" i="71"/>
  <c r="S155" i="71"/>
  <c r="S156" i="71"/>
  <c r="S157" i="71"/>
  <c r="S158" i="71"/>
  <c r="S159" i="71"/>
  <c r="S161" i="71"/>
  <c r="S162" i="71"/>
  <c r="S163" i="71"/>
  <c r="S164" i="71"/>
  <c r="S165" i="71"/>
  <c r="S166" i="71"/>
  <c r="S167" i="71"/>
  <c r="S168" i="71"/>
  <c r="S169" i="71"/>
  <c r="S170" i="71"/>
  <c r="S171" i="71"/>
  <c r="S172" i="71"/>
  <c r="S173" i="71"/>
  <c r="S174" i="71"/>
  <c r="S175" i="71"/>
  <c r="S176" i="71"/>
  <c r="S177" i="71"/>
  <c r="S178" i="71"/>
  <c r="S179" i="71"/>
  <c r="S180" i="71"/>
  <c r="S181" i="71"/>
  <c r="S182" i="71"/>
  <c r="S183" i="71"/>
  <c r="S184" i="71"/>
  <c r="S185" i="71"/>
  <c r="S186" i="71"/>
  <c r="S187" i="71"/>
  <c r="S188" i="71"/>
  <c r="S189" i="71"/>
  <c r="S190" i="71"/>
  <c r="S191" i="71"/>
  <c r="S192" i="71"/>
  <c r="S193" i="71"/>
  <c r="S194" i="71"/>
  <c r="BO147" i="52"/>
  <c r="BU147" i="52"/>
  <c r="BX147" i="52"/>
  <c r="BY147" i="52"/>
  <c r="O193" i="67" l="1"/>
  <c r="O47" i="67"/>
  <c r="O80" i="67"/>
  <c r="O184" i="67"/>
  <c r="O155" i="67"/>
  <c r="O147" i="67"/>
  <c r="O150" i="67"/>
  <c r="O52" i="67"/>
  <c r="O122" i="67"/>
  <c r="O154" i="67"/>
  <c r="O190" i="67"/>
  <c r="O181" i="67"/>
  <c r="O42" i="67"/>
  <c r="O111" i="67"/>
  <c r="O180" i="67"/>
  <c r="O57" i="67"/>
  <c r="O127" i="67"/>
  <c r="O159" i="67"/>
  <c r="O22" i="67"/>
  <c r="O90" i="67"/>
  <c r="O126" i="67"/>
  <c r="O158" i="67"/>
  <c r="O89" i="67"/>
  <c r="O156" i="67"/>
  <c r="T196" i="67"/>
  <c r="O64" i="67"/>
  <c r="O123" i="67"/>
  <c r="DI186" i="67"/>
  <c r="GK186" i="67"/>
  <c r="FE186" i="67"/>
  <c r="DY186" i="67"/>
  <c r="CS186" i="67"/>
  <c r="CC186" i="67"/>
  <c r="BM186" i="67"/>
  <c r="DY178" i="67"/>
  <c r="FU178" i="67"/>
  <c r="EO178" i="67"/>
  <c r="DI178" i="67"/>
  <c r="CS178" i="67"/>
  <c r="CC178" i="67"/>
  <c r="BM178" i="67"/>
  <c r="GK170" i="67"/>
  <c r="FE170" i="67"/>
  <c r="DI170" i="67"/>
  <c r="FU170" i="67"/>
  <c r="EO170" i="67"/>
  <c r="CS170" i="67"/>
  <c r="DY170" i="67"/>
  <c r="CC170" i="67"/>
  <c r="BM170" i="67"/>
  <c r="FU162" i="67"/>
  <c r="EO162" i="67"/>
  <c r="DI162" i="67"/>
  <c r="DY162" i="67"/>
  <c r="GK162" i="67"/>
  <c r="FE162" i="67"/>
  <c r="CS162" i="67"/>
  <c r="CC162" i="67"/>
  <c r="DY154" i="67"/>
  <c r="DI154" i="67"/>
  <c r="FU154" i="67"/>
  <c r="EO154" i="67"/>
  <c r="FE154" i="67"/>
  <c r="CS154" i="67"/>
  <c r="GK154" i="67"/>
  <c r="CC154" i="67"/>
  <c r="GK148" i="67"/>
  <c r="FE148" i="67"/>
  <c r="DY148" i="67"/>
  <c r="EO148" i="67"/>
  <c r="CS148" i="67"/>
  <c r="FU148" i="67"/>
  <c r="CC148" i="67"/>
  <c r="FU140" i="67"/>
  <c r="EO140" i="67"/>
  <c r="DY140" i="67"/>
  <c r="GK140" i="67"/>
  <c r="FE140" i="67"/>
  <c r="CS140" i="67"/>
  <c r="DI140" i="67"/>
  <c r="CC140" i="67"/>
  <c r="GK132" i="67"/>
  <c r="FE132" i="67"/>
  <c r="DY132" i="67"/>
  <c r="FU132" i="67"/>
  <c r="EO132" i="67"/>
  <c r="DI132" i="67"/>
  <c r="BM132" i="67"/>
  <c r="CS132" i="67"/>
  <c r="CC132" i="67"/>
  <c r="DY124" i="67"/>
  <c r="GK124" i="67"/>
  <c r="FE124" i="67"/>
  <c r="DI124" i="67"/>
  <c r="BM124" i="67"/>
  <c r="CS124" i="67"/>
  <c r="EO124" i="67"/>
  <c r="CC124" i="67"/>
  <c r="FU124" i="67"/>
  <c r="FU116" i="67"/>
  <c r="EO116" i="67"/>
  <c r="DY116" i="67"/>
  <c r="DI116" i="67"/>
  <c r="CS116" i="67"/>
  <c r="BM116" i="67"/>
  <c r="FE116" i="67"/>
  <c r="GK116" i="67"/>
  <c r="CC116" i="67"/>
  <c r="GK108" i="67"/>
  <c r="FE108" i="67"/>
  <c r="DY108" i="67"/>
  <c r="FU108" i="67"/>
  <c r="EO108" i="67"/>
  <c r="DI108" i="67"/>
  <c r="CS108" i="67"/>
  <c r="BM108" i="67"/>
  <c r="CC108" i="67"/>
  <c r="FU100" i="67"/>
  <c r="EO100" i="67"/>
  <c r="DY100" i="67"/>
  <c r="GK100" i="67"/>
  <c r="FE100" i="67"/>
  <c r="DI100" i="67"/>
  <c r="CS100" i="67"/>
  <c r="BM100" i="67"/>
  <c r="DY92" i="67"/>
  <c r="FU92" i="67"/>
  <c r="EO92" i="67"/>
  <c r="GK92" i="67"/>
  <c r="DI92" i="67"/>
  <c r="CS92" i="67"/>
  <c r="BM92" i="67"/>
  <c r="EO84" i="67"/>
  <c r="GK84" i="67"/>
  <c r="FE84" i="67"/>
  <c r="DY84" i="67"/>
  <c r="FU84" i="67"/>
  <c r="DI84" i="67"/>
  <c r="CS84" i="67"/>
  <c r="BM84" i="67"/>
  <c r="FU76" i="67"/>
  <c r="DY76" i="67"/>
  <c r="EO76" i="67"/>
  <c r="GK76" i="67"/>
  <c r="FE76" i="67"/>
  <c r="DI76" i="67"/>
  <c r="CS76" i="67"/>
  <c r="BM76" i="67"/>
  <c r="GK68" i="67"/>
  <c r="FE68" i="67"/>
  <c r="EO68" i="67"/>
  <c r="DY68" i="67"/>
  <c r="FU68" i="67"/>
  <c r="DI68" i="67"/>
  <c r="CC68" i="67"/>
  <c r="CS68" i="67"/>
  <c r="BM68" i="67"/>
  <c r="DY60" i="67"/>
  <c r="GK60" i="67"/>
  <c r="FE60" i="67"/>
  <c r="EO60" i="67"/>
  <c r="DI60" i="67"/>
  <c r="CC60" i="67"/>
  <c r="CS60" i="67"/>
  <c r="FU60" i="67"/>
  <c r="BM60" i="67"/>
  <c r="EO52" i="67"/>
  <c r="FU52" i="67"/>
  <c r="DY52" i="67"/>
  <c r="DI52" i="67"/>
  <c r="CC52" i="67"/>
  <c r="FE52" i="67"/>
  <c r="GK52" i="67"/>
  <c r="CS52" i="67"/>
  <c r="BM52" i="67"/>
  <c r="GK44" i="67"/>
  <c r="FE44" i="67"/>
  <c r="DY44" i="67"/>
  <c r="EO44" i="67"/>
  <c r="FU44" i="67"/>
  <c r="DI44" i="67"/>
  <c r="CC44" i="67"/>
  <c r="CS44" i="67"/>
  <c r="BM44" i="67"/>
  <c r="FU36" i="67"/>
  <c r="EO36" i="67"/>
  <c r="DY36" i="67"/>
  <c r="GK36" i="67"/>
  <c r="FE36" i="67"/>
  <c r="DI36" i="67"/>
  <c r="CC36" i="67"/>
  <c r="CS36" i="67"/>
  <c r="DY28" i="67"/>
  <c r="FU28" i="67"/>
  <c r="EO28" i="67"/>
  <c r="DI28" i="67"/>
  <c r="CC28" i="67"/>
  <c r="CS28" i="67"/>
  <c r="FE28" i="67"/>
  <c r="GK20" i="67"/>
  <c r="FE20" i="67"/>
  <c r="EO20" i="67"/>
  <c r="DY20" i="67"/>
  <c r="DI20" i="67"/>
  <c r="CS20" i="67"/>
  <c r="CC20" i="67"/>
  <c r="FU12" i="67"/>
  <c r="DY12" i="67"/>
  <c r="GK12" i="67"/>
  <c r="FE12" i="67"/>
  <c r="DI12" i="67"/>
  <c r="EO12" i="67"/>
  <c r="CS12" i="67"/>
  <c r="CC12" i="67"/>
  <c r="Q180" i="67"/>
  <c r="Q150" i="67"/>
  <c r="Q137" i="67"/>
  <c r="Q131" i="67"/>
  <c r="Q118" i="67"/>
  <c r="Q112" i="67"/>
  <c r="Q99" i="67"/>
  <c r="Q86" i="67"/>
  <c r="Q80" i="67"/>
  <c r="Q73" i="67"/>
  <c r="Q54" i="67"/>
  <c r="Q48" i="67"/>
  <c r="Q41" i="67"/>
  <c r="Q22" i="67"/>
  <c r="Q16" i="67"/>
  <c r="Q9" i="67"/>
  <c r="BM36" i="67"/>
  <c r="BM66" i="67"/>
  <c r="BM126" i="67"/>
  <c r="BM154" i="67"/>
  <c r="CC9" i="67"/>
  <c r="CC39" i="67"/>
  <c r="CC69" i="67"/>
  <c r="CC129" i="67"/>
  <c r="CS40" i="67"/>
  <c r="CS71" i="67"/>
  <c r="CS103" i="67"/>
  <c r="CS134" i="67"/>
  <c r="CS164" i="67"/>
  <c r="DI21" i="67"/>
  <c r="DI53" i="67"/>
  <c r="DI85" i="67"/>
  <c r="DI117" i="67"/>
  <c r="DI165" i="67"/>
  <c r="DY16" i="67"/>
  <c r="FE178" i="67"/>
  <c r="FU20" i="67"/>
  <c r="BL69" i="67"/>
  <c r="AF69" i="67"/>
  <c r="AF37" i="67"/>
  <c r="BL37" i="67"/>
  <c r="BN181" i="67"/>
  <c r="AH181" i="67"/>
  <c r="BN55" i="67"/>
  <c r="AH55" i="67"/>
  <c r="BN23" i="67"/>
  <c r="AH23" i="67"/>
  <c r="CD148" i="67"/>
  <c r="AH148" i="67"/>
  <c r="GK185" i="67"/>
  <c r="FU185" i="67"/>
  <c r="FE185" i="67"/>
  <c r="EO185" i="67"/>
  <c r="DI185" i="67"/>
  <c r="DY185" i="67"/>
  <c r="CS185" i="67"/>
  <c r="CC185" i="67"/>
  <c r="BM185" i="67"/>
  <c r="GK177" i="67"/>
  <c r="FU177" i="67"/>
  <c r="FE177" i="67"/>
  <c r="EO177" i="67"/>
  <c r="DY177" i="67"/>
  <c r="DI177" i="67"/>
  <c r="CS177" i="67"/>
  <c r="CC177" i="67"/>
  <c r="GK169" i="67"/>
  <c r="FU169" i="67"/>
  <c r="FE169" i="67"/>
  <c r="EO169" i="67"/>
  <c r="DI169" i="67"/>
  <c r="CS169" i="67"/>
  <c r="DY169" i="67"/>
  <c r="CC169" i="67"/>
  <c r="GK161" i="67"/>
  <c r="FU161" i="67"/>
  <c r="FE161" i="67"/>
  <c r="EO161" i="67"/>
  <c r="DI161" i="67"/>
  <c r="DY161" i="67"/>
  <c r="CS161" i="67"/>
  <c r="CC161" i="67"/>
  <c r="GK153" i="67"/>
  <c r="FU153" i="67"/>
  <c r="FE153" i="67"/>
  <c r="EO153" i="67"/>
  <c r="DY153" i="67"/>
  <c r="DI153" i="67"/>
  <c r="CS153" i="67"/>
  <c r="CC153" i="67"/>
  <c r="GK147" i="67"/>
  <c r="FU147" i="67"/>
  <c r="FE147" i="67"/>
  <c r="EO147" i="67"/>
  <c r="DI147" i="67"/>
  <c r="BM147" i="67"/>
  <c r="CS147" i="67"/>
  <c r="CC147" i="67"/>
  <c r="GK139" i="67"/>
  <c r="FU139" i="67"/>
  <c r="FE139" i="67"/>
  <c r="EO139" i="67"/>
  <c r="DY139" i="67"/>
  <c r="DI139" i="67"/>
  <c r="BM139" i="67"/>
  <c r="CS139" i="67"/>
  <c r="CC139" i="67"/>
  <c r="GK131" i="67"/>
  <c r="FU131" i="67"/>
  <c r="FE131" i="67"/>
  <c r="EO131" i="67"/>
  <c r="DY131" i="67"/>
  <c r="DI131" i="67"/>
  <c r="BM131" i="67"/>
  <c r="CS131" i="67"/>
  <c r="CC131" i="67"/>
  <c r="GK123" i="67"/>
  <c r="FU123" i="67"/>
  <c r="FE123" i="67"/>
  <c r="EO123" i="67"/>
  <c r="DY123" i="67"/>
  <c r="DI123" i="67"/>
  <c r="BM123" i="67"/>
  <c r="CS123" i="67"/>
  <c r="CC123" i="67"/>
  <c r="GK115" i="67"/>
  <c r="FU115" i="67"/>
  <c r="FE115" i="67"/>
  <c r="EO115" i="67"/>
  <c r="DY115" i="67"/>
  <c r="DI115" i="67"/>
  <c r="CS115" i="67"/>
  <c r="BM115" i="67"/>
  <c r="GK107" i="67"/>
  <c r="FU107" i="67"/>
  <c r="FE107" i="67"/>
  <c r="EO107" i="67"/>
  <c r="DY107" i="67"/>
  <c r="DI107" i="67"/>
  <c r="CS107" i="67"/>
  <c r="BM107" i="67"/>
  <c r="GK99" i="67"/>
  <c r="FU99" i="67"/>
  <c r="FE99" i="67"/>
  <c r="EO99" i="67"/>
  <c r="DY99" i="67"/>
  <c r="DI99" i="67"/>
  <c r="CS99" i="67"/>
  <c r="BM99" i="67"/>
  <c r="GK91" i="67"/>
  <c r="FU91" i="67"/>
  <c r="FE91" i="67"/>
  <c r="DY91" i="67"/>
  <c r="EO91" i="67"/>
  <c r="DI91" i="67"/>
  <c r="CS91" i="67"/>
  <c r="BM91" i="67"/>
  <c r="GK83" i="67"/>
  <c r="FU83" i="67"/>
  <c r="FE83" i="67"/>
  <c r="EO83" i="67"/>
  <c r="DY83" i="67"/>
  <c r="CC83" i="67"/>
  <c r="DI83" i="67"/>
  <c r="CS83" i="67"/>
  <c r="BM83" i="67"/>
  <c r="GK75" i="67"/>
  <c r="FU75" i="67"/>
  <c r="FE75" i="67"/>
  <c r="DY75" i="67"/>
  <c r="EO75" i="67"/>
  <c r="DI75" i="67"/>
  <c r="CC75" i="67"/>
  <c r="CS75" i="67"/>
  <c r="BM75" i="67"/>
  <c r="GK67" i="67"/>
  <c r="FU67" i="67"/>
  <c r="FE67" i="67"/>
  <c r="EO67" i="67"/>
  <c r="DY67" i="67"/>
  <c r="DI67" i="67"/>
  <c r="CC67" i="67"/>
  <c r="CS67" i="67"/>
  <c r="BM67" i="67"/>
  <c r="GK59" i="67"/>
  <c r="FU59" i="67"/>
  <c r="FE59" i="67"/>
  <c r="DY59" i="67"/>
  <c r="EO59" i="67"/>
  <c r="DI59" i="67"/>
  <c r="CC59" i="67"/>
  <c r="CS59" i="67"/>
  <c r="BM59" i="67"/>
  <c r="GK51" i="67"/>
  <c r="FU51" i="67"/>
  <c r="FE51" i="67"/>
  <c r="EO51" i="67"/>
  <c r="DY51" i="67"/>
  <c r="DI51" i="67"/>
  <c r="CC51" i="67"/>
  <c r="CS51" i="67"/>
  <c r="GK43" i="67"/>
  <c r="FU43" i="67"/>
  <c r="FE43" i="67"/>
  <c r="DY43" i="67"/>
  <c r="EO43" i="67"/>
  <c r="DI43" i="67"/>
  <c r="CC43" i="67"/>
  <c r="CS43" i="67"/>
  <c r="GK35" i="67"/>
  <c r="FU35" i="67"/>
  <c r="FE35" i="67"/>
  <c r="EO35" i="67"/>
  <c r="DY35" i="67"/>
  <c r="DI35" i="67"/>
  <c r="CC35" i="67"/>
  <c r="CS35" i="67"/>
  <c r="GK27" i="67"/>
  <c r="FU27" i="67"/>
  <c r="FE27" i="67"/>
  <c r="DY27" i="67"/>
  <c r="DI27" i="67"/>
  <c r="CC27" i="67"/>
  <c r="CS27" i="67"/>
  <c r="GK19" i="67"/>
  <c r="FU19" i="67"/>
  <c r="FE19" i="67"/>
  <c r="EO19" i="67"/>
  <c r="DY19" i="67"/>
  <c r="BM19" i="67"/>
  <c r="DI19" i="67"/>
  <c r="CS19" i="67"/>
  <c r="CC19" i="67"/>
  <c r="GK11" i="67"/>
  <c r="FU11" i="67"/>
  <c r="FE11" i="67"/>
  <c r="EO11" i="67"/>
  <c r="DY11" i="67"/>
  <c r="DI11" i="67"/>
  <c r="CS11" i="67"/>
  <c r="CC11" i="67"/>
  <c r="Q186" i="67"/>
  <c r="Q179" i="67"/>
  <c r="Q173" i="67"/>
  <c r="Q154" i="67"/>
  <c r="Q149" i="67"/>
  <c r="Q143" i="67"/>
  <c r="Q130" i="67"/>
  <c r="Q124" i="67"/>
  <c r="Q117" i="67"/>
  <c r="Q111" i="67"/>
  <c r="Q92" i="67"/>
  <c r="Q85" i="67"/>
  <c r="Q79" i="67"/>
  <c r="Q60" i="67"/>
  <c r="Q53" i="67"/>
  <c r="Q47" i="67"/>
  <c r="Q28" i="67"/>
  <c r="Q21" i="67"/>
  <c r="BM12" i="67"/>
  <c r="BM72" i="67"/>
  <c r="BM102" i="67"/>
  <c r="BM161" i="67"/>
  <c r="BM193" i="67"/>
  <c r="CC40" i="67"/>
  <c r="CC70" i="67"/>
  <c r="CC100" i="67"/>
  <c r="CC159" i="67"/>
  <c r="CC193" i="67"/>
  <c r="CS72" i="67"/>
  <c r="CS104" i="67"/>
  <c r="CS135" i="67"/>
  <c r="CS165" i="67"/>
  <c r="DI22" i="67"/>
  <c r="DI54" i="67"/>
  <c r="DI86" i="67"/>
  <c r="DI118" i="67"/>
  <c r="DI166" i="67"/>
  <c r="DY155" i="67"/>
  <c r="EO37" i="67"/>
  <c r="FU101" i="67"/>
  <c r="O112" i="67"/>
  <c r="O146" i="67"/>
  <c r="GK184" i="67"/>
  <c r="FU184" i="67"/>
  <c r="FE184" i="67"/>
  <c r="EO184" i="67"/>
  <c r="DY184" i="67"/>
  <c r="DI184" i="67"/>
  <c r="CS184" i="67"/>
  <c r="CC184" i="67"/>
  <c r="GK176" i="67"/>
  <c r="FU176" i="67"/>
  <c r="FE176" i="67"/>
  <c r="EO176" i="67"/>
  <c r="DY176" i="67"/>
  <c r="DI176" i="67"/>
  <c r="CS176" i="67"/>
  <c r="CC176" i="67"/>
  <c r="GK168" i="67"/>
  <c r="FU168" i="67"/>
  <c r="FE168" i="67"/>
  <c r="EO168" i="67"/>
  <c r="DY168" i="67"/>
  <c r="DI168" i="67"/>
  <c r="CS168" i="67"/>
  <c r="CC168" i="67"/>
  <c r="GK160" i="67"/>
  <c r="FU160" i="67"/>
  <c r="FE160" i="67"/>
  <c r="EO160" i="67"/>
  <c r="DY160" i="67"/>
  <c r="DI160" i="67"/>
  <c r="BM160" i="67"/>
  <c r="CS160" i="67"/>
  <c r="CC160" i="67"/>
  <c r="GK152" i="67"/>
  <c r="FU152" i="67"/>
  <c r="FE152" i="67"/>
  <c r="EO152" i="67"/>
  <c r="DY152" i="67"/>
  <c r="DI152" i="67"/>
  <c r="BM152" i="67"/>
  <c r="CS152" i="67"/>
  <c r="CC152" i="67"/>
  <c r="GK146" i="67"/>
  <c r="FU146" i="67"/>
  <c r="FE146" i="67"/>
  <c r="EO146" i="67"/>
  <c r="DY146" i="67"/>
  <c r="DI146" i="67"/>
  <c r="BM146" i="67"/>
  <c r="CS146" i="67"/>
  <c r="GK138" i="67"/>
  <c r="FU138" i="67"/>
  <c r="FE138" i="67"/>
  <c r="EO138" i="67"/>
  <c r="DY138" i="67"/>
  <c r="DI138" i="67"/>
  <c r="BM138" i="67"/>
  <c r="CS138" i="67"/>
  <c r="GK130" i="67"/>
  <c r="FU130" i="67"/>
  <c r="FE130" i="67"/>
  <c r="EO130" i="67"/>
  <c r="DY130" i="67"/>
  <c r="DI130" i="67"/>
  <c r="BM130" i="67"/>
  <c r="CS130" i="67"/>
  <c r="GK122" i="67"/>
  <c r="FU122" i="67"/>
  <c r="FE122" i="67"/>
  <c r="EO122" i="67"/>
  <c r="DY122" i="67"/>
  <c r="DI122" i="67"/>
  <c r="BM122" i="67"/>
  <c r="CS122" i="67"/>
  <c r="GK114" i="67"/>
  <c r="FU114" i="67"/>
  <c r="FE114" i="67"/>
  <c r="EO114" i="67"/>
  <c r="DY114" i="67"/>
  <c r="DI114" i="67"/>
  <c r="CS114" i="67"/>
  <c r="BM114" i="67"/>
  <c r="GK106" i="67"/>
  <c r="FU106" i="67"/>
  <c r="FE106" i="67"/>
  <c r="EO106" i="67"/>
  <c r="DY106" i="67"/>
  <c r="CC106" i="67"/>
  <c r="DI106" i="67"/>
  <c r="CS106" i="67"/>
  <c r="BM106" i="67"/>
  <c r="GK98" i="67"/>
  <c r="FU98" i="67"/>
  <c r="FE98" i="67"/>
  <c r="EO98" i="67"/>
  <c r="DY98" i="67"/>
  <c r="CC98" i="67"/>
  <c r="DI98" i="67"/>
  <c r="CS98" i="67"/>
  <c r="BM98" i="67"/>
  <c r="GK90" i="67"/>
  <c r="FU90" i="67"/>
  <c r="FE90" i="67"/>
  <c r="EO90" i="67"/>
  <c r="DY90" i="67"/>
  <c r="CC90" i="67"/>
  <c r="DI90" i="67"/>
  <c r="CS90" i="67"/>
  <c r="BM90" i="67"/>
  <c r="GK82" i="67"/>
  <c r="FU82" i="67"/>
  <c r="FE82" i="67"/>
  <c r="EO82" i="67"/>
  <c r="DY82" i="67"/>
  <c r="CC82" i="67"/>
  <c r="DI82" i="67"/>
  <c r="CS82" i="67"/>
  <c r="BM82" i="67"/>
  <c r="GK74" i="67"/>
  <c r="FU74" i="67"/>
  <c r="FE74" i="67"/>
  <c r="EO74" i="67"/>
  <c r="DY74" i="67"/>
  <c r="DI74" i="67"/>
  <c r="CC74" i="67"/>
  <c r="CS74" i="67"/>
  <c r="BM74" i="67"/>
  <c r="GK66" i="67"/>
  <c r="FU66" i="67"/>
  <c r="FE66" i="67"/>
  <c r="EO66" i="67"/>
  <c r="DY66" i="67"/>
  <c r="DI66" i="67"/>
  <c r="CC66" i="67"/>
  <c r="CS66" i="67"/>
  <c r="GK58" i="67"/>
  <c r="FU58" i="67"/>
  <c r="FE58" i="67"/>
  <c r="EO58" i="67"/>
  <c r="DY58" i="67"/>
  <c r="DI58" i="67"/>
  <c r="CC58" i="67"/>
  <c r="CS58" i="67"/>
  <c r="GK50" i="67"/>
  <c r="FU50" i="67"/>
  <c r="FE50" i="67"/>
  <c r="EO50" i="67"/>
  <c r="DY50" i="67"/>
  <c r="DI50" i="67"/>
  <c r="CC50" i="67"/>
  <c r="CS50" i="67"/>
  <c r="GK42" i="67"/>
  <c r="FU42" i="67"/>
  <c r="FE42" i="67"/>
  <c r="EO42" i="67"/>
  <c r="DY42" i="67"/>
  <c r="DI42" i="67"/>
  <c r="CC42" i="67"/>
  <c r="CS42" i="67"/>
  <c r="GK34" i="67"/>
  <c r="FU34" i="67"/>
  <c r="FE34" i="67"/>
  <c r="EO34" i="67"/>
  <c r="DY34" i="67"/>
  <c r="BM34" i="67"/>
  <c r="DI34" i="67"/>
  <c r="CC34" i="67"/>
  <c r="CS34" i="67"/>
  <c r="GK26" i="67"/>
  <c r="FU26" i="67"/>
  <c r="FE26" i="67"/>
  <c r="EO26" i="67"/>
  <c r="DY26" i="67"/>
  <c r="BM26" i="67"/>
  <c r="DI26" i="67"/>
  <c r="CC26" i="67"/>
  <c r="CS26" i="67"/>
  <c r="GK18" i="67"/>
  <c r="FU18" i="67"/>
  <c r="FE18" i="67"/>
  <c r="EO18" i="67"/>
  <c r="DY18" i="67"/>
  <c r="BM18" i="67"/>
  <c r="DI18" i="67"/>
  <c r="CS18" i="67"/>
  <c r="CC18" i="67"/>
  <c r="GK10" i="67"/>
  <c r="FU10" i="67"/>
  <c r="FE10" i="67"/>
  <c r="EO10" i="67"/>
  <c r="DY10" i="67"/>
  <c r="BM10" i="67"/>
  <c r="DI10" i="67"/>
  <c r="CS10" i="67"/>
  <c r="AK8" i="62"/>
  <c r="O8" i="71" s="1"/>
  <c r="Q185" i="67"/>
  <c r="R178" i="67"/>
  <c r="Q172" i="67"/>
  <c r="Q166" i="67"/>
  <c r="Q153" i="67"/>
  <c r="R148" i="67"/>
  <c r="Q142" i="67"/>
  <c r="Q123" i="67"/>
  <c r="R116" i="67"/>
  <c r="Q110" i="67"/>
  <c r="Q104" i="67"/>
  <c r="Q91" i="67"/>
  <c r="Q59" i="67"/>
  <c r="Q46" i="67"/>
  <c r="Q27" i="67"/>
  <c r="AH132" i="67"/>
  <c r="AH151" i="67"/>
  <c r="BM13" i="67"/>
  <c r="BM43" i="67"/>
  <c r="BM103" i="67"/>
  <c r="BM133" i="67"/>
  <c r="BM162" i="67"/>
  <c r="CC16" i="67"/>
  <c r="CC46" i="67"/>
  <c r="CC76" i="67"/>
  <c r="CC107" i="67"/>
  <c r="CS48" i="67"/>
  <c r="CS110" i="67"/>
  <c r="DI29" i="67"/>
  <c r="DI61" i="67"/>
  <c r="DI93" i="67"/>
  <c r="DI125" i="67"/>
  <c r="FU8" i="67"/>
  <c r="EO8" i="67"/>
  <c r="CC8" i="67"/>
  <c r="DY8" i="67"/>
  <c r="BM8" i="67"/>
  <c r="DI8" i="67"/>
  <c r="GK183" i="67"/>
  <c r="FU183" i="67"/>
  <c r="FE183" i="67"/>
  <c r="EO183" i="67"/>
  <c r="DI183" i="67"/>
  <c r="DY183" i="67"/>
  <c r="CS183" i="67"/>
  <c r="GK175" i="67"/>
  <c r="FU175" i="67"/>
  <c r="FE175" i="67"/>
  <c r="EO175" i="67"/>
  <c r="DY175" i="67"/>
  <c r="DI175" i="67"/>
  <c r="BM175" i="67"/>
  <c r="CS175" i="67"/>
  <c r="GK167" i="67"/>
  <c r="FU167" i="67"/>
  <c r="FE167" i="67"/>
  <c r="EO167" i="67"/>
  <c r="DY167" i="67"/>
  <c r="DI167" i="67"/>
  <c r="BM167" i="67"/>
  <c r="CS167" i="67"/>
  <c r="GK159" i="67"/>
  <c r="FU159" i="67"/>
  <c r="FE159" i="67"/>
  <c r="EO159" i="67"/>
  <c r="DY159" i="67"/>
  <c r="DI159" i="67"/>
  <c r="BM159" i="67"/>
  <c r="CS159" i="67"/>
  <c r="GK192" i="67"/>
  <c r="FU192" i="67"/>
  <c r="FE192" i="67"/>
  <c r="EO192" i="67"/>
  <c r="DY192" i="67"/>
  <c r="DI192" i="67"/>
  <c r="BM192" i="67"/>
  <c r="CS192" i="67"/>
  <c r="GK145" i="67"/>
  <c r="FU145" i="67"/>
  <c r="FE145" i="67"/>
  <c r="EO145" i="67"/>
  <c r="DI145" i="67"/>
  <c r="DY145" i="67"/>
  <c r="BM145" i="67"/>
  <c r="CS145" i="67"/>
  <c r="GK137" i="67"/>
  <c r="FU137" i="67"/>
  <c r="FE137" i="67"/>
  <c r="EO137" i="67"/>
  <c r="DY137" i="67"/>
  <c r="BM137" i="67"/>
  <c r="DI137" i="67"/>
  <c r="CS137" i="67"/>
  <c r="GK129" i="67"/>
  <c r="FU129" i="67"/>
  <c r="FE129" i="67"/>
  <c r="EO129" i="67"/>
  <c r="DY129" i="67"/>
  <c r="DI129" i="67"/>
  <c r="BM129" i="67"/>
  <c r="CS129" i="67"/>
  <c r="GK121" i="67"/>
  <c r="FU121" i="67"/>
  <c r="FE121" i="67"/>
  <c r="EO121" i="67"/>
  <c r="DY121" i="67"/>
  <c r="DI121" i="67"/>
  <c r="BM121" i="67"/>
  <c r="CS121" i="67"/>
  <c r="GK113" i="67"/>
  <c r="FU113" i="67"/>
  <c r="FE113" i="67"/>
  <c r="EO113" i="67"/>
  <c r="DY113" i="67"/>
  <c r="CC113" i="67"/>
  <c r="DI113" i="67"/>
  <c r="CS113" i="67"/>
  <c r="BM113" i="67"/>
  <c r="GK105" i="67"/>
  <c r="FU105" i="67"/>
  <c r="FE105" i="67"/>
  <c r="EO105" i="67"/>
  <c r="DY105" i="67"/>
  <c r="CC105" i="67"/>
  <c r="DI105" i="67"/>
  <c r="CS105" i="67"/>
  <c r="BM105" i="67"/>
  <c r="GK97" i="67"/>
  <c r="FU97" i="67"/>
  <c r="FE97" i="67"/>
  <c r="EO97" i="67"/>
  <c r="DY97" i="67"/>
  <c r="CC97" i="67"/>
  <c r="DI97" i="67"/>
  <c r="CS97" i="67"/>
  <c r="BM97" i="67"/>
  <c r="GK89" i="67"/>
  <c r="FU89" i="67"/>
  <c r="FE89" i="67"/>
  <c r="EO89" i="67"/>
  <c r="DY89" i="67"/>
  <c r="CC89" i="67"/>
  <c r="DI89" i="67"/>
  <c r="CS89" i="67"/>
  <c r="BM89" i="67"/>
  <c r="GK81" i="67"/>
  <c r="FU81" i="67"/>
  <c r="FE81" i="67"/>
  <c r="EO81" i="67"/>
  <c r="DY81" i="67"/>
  <c r="CC81" i="67"/>
  <c r="DI81" i="67"/>
  <c r="CS81" i="67"/>
  <c r="GK73" i="67"/>
  <c r="FU73" i="67"/>
  <c r="FE73" i="67"/>
  <c r="EO73" i="67"/>
  <c r="DY73" i="67"/>
  <c r="DI73" i="67"/>
  <c r="CC73" i="67"/>
  <c r="CS73" i="67"/>
  <c r="GK65" i="67"/>
  <c r="FU65" i="67"/>
  <c r="FE65" i="67"/>
  <c r="EO65" i="67"/>
  <c r="DY65" i="67"/>
  <c r="DI65" i="67"/>
  <c r="CC65" i="67"/>
  <c r="CS65" i="67"/>
  <c r="GK57" i="67"/>
  <c r="FU57" i="67"/>
  <c r="FE57" i="67"/>
  <c r="EO57" i="67"/>
  <c r="DY57" i="67"/>
  <c r="DI57" i="67"/>
  <c r="CC57" i="67"/>
  <c r="GK49" i="67"/>
  <c r="FU49" i="67"/>
  <c r="FE49" i="67"/>
  <c r="EO49" i="67"/>
  <c r="DY49" i="67"/>
  <c r="BM49" i="67"/>
  <c r="DI49" i="67"/>
  <c r="CC49" i="67"/>
  <c r="GK41" i="67"/>
  <c r="FU41" i="67"/>
  <c r="FE41" i="67"/>
  <c r="EO41" i="67"/>
  <c r="DY41" i="67"/>
  <c r="BM41" i="67"/>
  <c r="DI41" i="67"/>
  <c r="CC41" i="67"/>
  <c r="GK33" i="67"/>
  <c r="FU33" i="67"/>
  <c r="FE33" i="67"/>
  <c r="EO33" i="67"/>
  <c r="DY33" i="67"/>
  <c r="BM33" i="67"/>
  <c r="DI33" i="67"/>
  <c r="CC33" i="67"/>
  <c r="GK25" i="67"/>
  <c r="FU25" i="67"/>
  <c r="FE25" i="67"/>
  <c r="DY25" i="67"/>
  <c r="EO25" i="67"/>
  <c r="BM25" i="67"/>
  <c r="DI25" i="67"/>
  <c r="CC25" i="67"/>
  <c r="GK17" i="67"/>
  <c r="FU17" i="67"/>
  <c r="FE17" i="67"/>
  <c r="EO17" i="67"/>
  <c r="DY17" i="67"/>
  <c r="BM17" i="67"/>
  <c r="DI17" i="67"/>
  <c r="GK9" i="67"/>
  <c r="FU9" i="67"/>
  <c r="FE9" i="67"/>
  <c r="EO9" i="67"/>
  <c r="DY9" i="67"/>
  <c r="BM9" i="67"/>
  <c r="DI9" i="67"/>
  <c r="Q184" i="67"/>
  <c r="Q178" i="67"/>
  <c r="Q171" i="67"/>
  <c r="Q152" i="67"/>
  <c r="Q148" i="67"/>
  <c r="Q141" i="67"/>
  <c r="Q122" i="67"/>
  <c r="Q116" i="67"/>
  <c r="Q109" i="67"/>
  <c r="Q90" i="67"/>
  <c r="Q84" i="67"/>
  <c r="Q77" i="67"/>
  <c r="Q58" i="67"/>
  <c r="Q52" i="67"/>
  <c r="Q45" i="67"/>
  <c r="Q26" i="67"/>
  <c r="Q20" i="67"/>
  <c r="Q13" i="67"/>
  <c r="BM20" i="67"/>
  <c r="BM50" i="67"/>
  <c r="BM80" i="67"/>
  <c r="BM140" i="67"/>
  <c r="BM168" i="67"/>
  <c r="CC17" i="67"/>
  <c r="CC47" i="67"/>
  <c r="CC77" i="67"/>
  <c r="CC138" i="67"/>
  <c r="CC167" i="67"/>
  <c r="CS17" i="67"/>
  <c r="CS49" i="67"/>
  <c r="CS111" i="67"/>
  <c r="EO101" i="67"/>
  <c r="FU186" i="67"/>
  <c r="GK8" i="67"/>
  <c r="GK190" i="67"/>
  <c r="FE190" i="67"/>
  <c r="DY190" i="67"/>
  <c r="FU190" i="67"/>
  <c r="EO190" i="67"/>
  <c r="DI190" i="67"/>
  <c r="BM190" i="67"/>
  <c r="CS190" i="67"/>
  <c r="FU182" i="67"/>
  <c r="EO182" i="67"/>
  <c r="GK182" i="67"/>
  <c r="FE182" i="67"/>
  <c r="BM182" i="67"/>
  <c r="DY182" i="67"/>
  <c r="DI182" i="67"/>
  <c r="CS182" i="67"/>
  <c r="FU174" i="67"/>
  <c r="EO174" i="67"/>
  <c r="DY174" i="67"/>
  <c r="GK174" i="67"/>
  <c r="BM174" i="67"/>
  <c r="DI174" i="67"/>
  <c r="CS174" i="67"/>
  <c r="DY166" i="67"/>
  <c r="GK166" i="67"/>
  <c r="FE166" i="67"/>
  <c r="FU166" i="67"/>
  <c r="BM166" i="67"/>
  <c r="CS166" i="67"/>
  <c r="FU158" i="67"/>
  <c r="EO158" i="67"/>
  <c r="GK158" i="67"/>
  <c r="FE158" i="67"/>
  <c r="DI158" i="67"/>
  <c r="BM158" i="67"/>
  <c r="DY158" i="67"/>
  <c r="CS158" i="67"/>
  <c r="GK191" i="67"/>
  <c r="FE191" i="67"/>
  <c r="DY191" i="67"/>
  <c r="FU191" i="67"/>
  <c r="EO191" i="67"/>
  <c r="BM191" i="67"/>
  <c r="DI191" i="67"/>
  <c r="CS191" i="67"/>
  <c r="DY144" i="67"/>
  <c r="GK144" i="67"/>
  <c r="FE144" i="67"/>
  <c r="CC144" i="67"/>
  <c r="EO144" i="67"/>
  <c r="FU144" i="67"/>
  <c r="BM144" i="67"/>
  <c r="CS144" i="67"/>
  <c r="FU136" i="67"/>
  <c r="EO136" i="67"/>
  <c r="CC136" i="67"/>
  <c r="DY136" i="67"/>
  <c r="FE136" i="67"/>
  <c r="GK136" i="67"/>
  <c r="BM136" i="67"/>
  <c r="DI136" i="67"/>
  <c r="CS136" i="67"/>
  <c r="GK128" i="67"/>
  <c r="FE128" i="67"/>
  <c r="FU128" i="67"/>
  <c r="EO128" i="67"/>
  <c r="CC128" i="67"/>
  <c r="DY128" i="67"/>
  <c r="DI128" i="67"/>
  <c r="BM128" i="67"/>
  <c r="CS128" i="67"/>
  <c r="FU120" i="67"/>
  <c r="EO120" i="67"/>
  <c r="GK120" i="67"/>
  <c r="FE120" i="67"/>
  <c r="CC120" i="67"/>
  <c r="DI120" i="67"/>
  <c r="BM120" i="67"/>
  <c r="DY120" i="67"/>
  <c r="CS120" i="67"/>
  <c r="FU112" i="67"/>
  <c r="EO112" i="67"/>
  <c r="CC112" i="67"/>
  <c r="DI112" i="67"/>
  <c r="FE112" i="67"/>
  <c r="CS112" i="67"/>
  <c r="BM112" i="67"/>
  <c r="GK104" i="67"/>
  <c r="FE104" i="67"/>
  <c r="DY104" i="67"/>
  <c r="CC104" i="67"/>
  <c r="DI104" i="67"/>
  <c r="EO104" i="67"/>
  <c r="BM104" i="67"/>
  <c r="FU96" i="67"/>
  <c r="EO96" i="67"/>
  <c r="GK96" i="67"/>
  <c r="FE96" i="67"/>
  <c r="CC96" i="67"/>
  <c r="DY96" i="67"/>
  <c r="DI96" i="67"/>
  <c r="GK88" i="67"/>
  <c r="FE88" i="67"/>
  <c r="FU88" i="67"/>
  <c r="CC88" i="67"/>
  <c r="DI88" i="67"/>
  <c r="DY88" i="67"/>
  <c r="EO80" i="67"/>
  <c r="GK80" i="67"/>
  <c r="FE80" i="67"/>
  <c r="FU80" i="67"/>
  <c r="CC80" i="67"/>
  <c r="DI80" i="67"/>
  <c r="FU72" i="67"/>
  <c r="FE72" i="67"/>
  <c r="GK72" i="67"/>
  <c r="EO72" i="67"/>
  <c r="DY72" i="67"/>
  <c r="DI72" i="67"/>
  <c r="CC72" i="67"/>
  <c r="GK64" i="67"/>
  <c r="FE64" i="67"/>
  <c r="EO64" i="67"/>
  <c r="FU64" i="67"/>
  <c r="BM64" i="67"/>
  <c r="DY64" i="67"/>
  <c r="DI64" i="67"/>
  <c r="CC64" i="67"/>
  <c r="FU56" i="67"/>
  <c r="GK56" i="67"/>
  <c r="FE56" i="67"/>
  <c r="BM56" i="67"/>
  <c r="EO56" i="67"/>
  <c r="DI56" i="67"/>
  <c r="DY56" i="67"/>
  <c r="CC56" i="67"/>
  <c r="EO48" i="67"/>
  <c r="FU48" i="67"/>
  <c r="BM48" i="67"/>
  <c r="FE48" i="67"/>
  <c r="GK48" i="67"/>
  <c r="DI48" i="67"/>
  <c r="CC48" i="67"/>
  <c r="GK40" i="67"/>
  <c r="FE40" i="67"/>
  <c r="DY40" i="67"/>
  <c r="BM40" i="67"/>
  <c r="FU40" i="67"/>
  <c r="DI40" i="67"/>
  <c r="EO40" i="67"/>
  <c r="FU32" i="67"/>
  <c r="EO32" i="67"/>
  <c r="GK32" i="67"/>
  <c r="FE32" i="67"/>
  <c r="BM32" i="67"/>
  <c r="DY32" i="67"/>
  <c r="DI32" i="67"/>
  <c r="GK24" i="67"/>
  <c r="FE24" i="67"/>
  <c r="EO24" i="67"/>
  <c r="FU24" i="67"/>
  <c r="BM24" i="67"/>
  <c r="DI24" i="67"/>
  <c r="DY24" i="67"/>
  <c r="GK16" i="67"/>
  <c r="FE16" i="67"/>
  <c r="EO16" i="67"/>
  <c r="BM16" i="67"/>
  <c r="DI16" i="67"/>
  <c r="GK193" i="67"/>
  <c r="FU193" i="67"/>
  <c r="FE193" i="67"/>
  <c r="EO193" i="67"/>
  <c r="DY193" i="67"/>
  <c r="DI193" i="67"/>
  <c r="CS193" i="67"/>
  <c r="Q190" i="67"/>
  <c r="Q183" i="67"/>
  <c r="Q177" i="67"/>
  <c r="Q158" i="67"/>
  <c r="Q192" i="67"/>
  <c r="Q147" i="67"/>
  <c r="Q134" i="67"/>
  <c r="Q128" i="67"/>
  <c r="Q121" i="67"/>
  <c r="Q115" i="67"/>
  <c r="Q102" i="67"/>
  <c r="Q96" i="67"/>
  <c r="Q89" i="67"/>
  <c r="Q83" i="67"/>
  <c r="Q70" i="67"/>
  <c r="Q64" i="67"/>
  <c r="Q57" i="67"/>
  <c r="Q51" i="67"/>
  <c r="Q38" i="67"/>
  <c r="Q32" i="67"/>
  <c r="Q25" i="67"/>
  <c r="Q19" i="67"/>
  <c r="BM51" i="67"/>
  <c r="BM81" i="67"/>
  <c r="BM169" i="67"/>
  <c r="CC24" i="67"/>
  <c r="CC84" i="67"/>
  <c r="CC114" i="67"/>
  <c r="CC145" i="67"/>
  <c r="CC174" i="67"/>
  <c r="CS24" i="67"/>
  <c r="CS56" i="67"/>
  <c r="CS118" i="67"/>
  <c r="DI37" i="67"/>
  <c r="DI69" i="67"/>
  <c r="DI101" i="67"/>
  <c r="DI133" i="67"/>
  <c r="DY80" i="67"/>
  <c r="EO166" i="67"/>
  <c r="FE8" i="67"/>
  <c r="FU187" i="67"/>
  <c r="GK28" i="67"/>
  <c r="GK189" i="67"/>
  <c r="FU189" i="67"/>
  <c r="FE189" i="67"/>
  <c r="EO189" i="67"/>
  <c r="DY189" i="67"/>
  <c r="CC189" i="67"/>
  <c r="DI189" i="67"/>
  <c r="BM189" i="67"/>
  <c r="CS189" i="67"/>
  <c r="GK181" i="67"/>
  <c r="FU181" i="67"/>
  <c r="FE181" i="67"/>
  <c r="EO181" i="67"/>
  <c r="DY181" i="67"/>
  <c r="CC181" i="67"/>
  <c r="BM181" i="67"/>
  <c r="DI181" i="67"/>
  <c r="GK173" i="67"/>
  <c r="FU173" i="67"/>
  <c r="FE173" i="67"/>
  <c r="EO173" i="67"/>
  <c r="DY173" i="67"/>
  <c r="CC173" i="67"/>
  <c r="BM173" i="67"/>
  <c r="DI173" i="67"/>
  <c r="GK165" i="67"/>
  <c r="FU165" i="67"/>
  <c r="FE165" i="67"/>
  <c r="EO165" i="67"/>
  <c r="DY165" i="67"/>
  <c r="CC165" i="67"/>
  <c r="BM165" i="67"/>
  <c r="GK157" i="67"/>
  <c r="FU157" i="67"/>
  <c r="FE157" i="67"/>
  <c r="EO157" i="67"/>
  <c r="DY157" i="67"/>
  <c r="CC157" i="67"/>
  <c r="DI157" i="67"/>
  <c r="BM157" i="67"/>
  <c r="GK151" i="67"/>
  <c r="FU151" i="67"/>
  <c r="FE151" i="67"/>
  <c r="EO151" i="67"/>
  <c r="DY151" i="67"/>
  <c r="CC151" i="67"/>
  <c r="DI151" i="67"/>
  <c r="BM151" i="67"/>
  <c r="GK143" i="67"/>
  <c r="FU143" i="67"/>
  <c r="FE143" i="67"/>
  <c r="EO143" i="67"/>
  <c r="DY143" i="67"/>
  <c r="DI143" i="67"/>
  <c r="CC143" i="67"/>
  <c r="BM143" i="67"/>
  <c r="GK135" i="67"/>
  <c r="FU135" i="67"/>
  <c r="FE135" i="67"/>
  <c r="EO135" i="67"/>
  <c r="CC135" i="67"/>
  <c r="DY135" i="67"/>
  <c r="BM135" i="67"/>
  <c r="DI135" i="67"/>
  <c r="GK127" i="67"/>
  <c r="FU127" i="67"/>
  <c r="FE127" i="67"/>
  <c r="EO127" i="67"/>
  <c r="CC127" i="67"/>
  <c r="DY127" i="67"/>
  <c r="DI127" i="67"/>
  <c r="BM127" i="67"/>
  <c r="GK119" i="67"/>
  <c r="FU119" i="67"/>
  <c r="FE119" i="67"/>
  <c r="EO119" i="67"/>
  <c r="CC119" i="67"/>
  <c r="DI119" i="67"/>
  <c r="GK111" i="67"/>
  <c r="FU111" i="67"/>
  <c r="FE111" i="67"/>
  <c r="EO111" i="67"/>
  <c r="DY111" i="67"/>
  <c r="CC111" i="67"/>
  <c r="DI111" i="67"/>
  <c r="GK103" i="67"/>
  <c r="FU103" i="67"/>
  <c r="FE103" i="67"/>
  <c r="EO103" i="67"/>
  <c r="DY103" i="67"/>
  <c r="CC103" i="67"/>
  <c r="DI103" i="67"/>
  <c r="GK95" i="67"/>
  <c r="FU95" i="67"/>
  <c r="FE95" i="67"/>
  <c r="EO95" i="67"/>
  <c r="CC95" i="67"/>
  <c r="DY95" i="67"/>
  <c r="DI95" i="67"/>
  <c r="GK87" i="67"/>
  <c r="FU87" i="67"/>
  <c r="FE87" i="67"/>
  <c r="EO87" i="67"/>
  <c r="BM87" i="67"/>
  <c r="CC87" i="67"/>
  <c r="DI87" i="67"/>
  <c r="GK79" i="67"/>
  <c r="FU79" i="67"/>
  <c r="FE79" i="67"/>
  <c r="EO79" i="67"/>
  <c r="DY79" i="67"/>
  <c r="BM79" i="67"/>
  <c r="CC79" i="67"/>
  <c r="DI79" i="67"/>
  <c r="GK71" i="67"/>
  <c r="FU71" i="67"/>
  <c r="FE71" i="67"/>
  <c r="EO71" i="67"/>
  <c r="BM71" i="67"/>
  <c r="DY71" i="67"/>
  <c r="DI71" i="67"/>
  <c r="CC71" i="67"/>
  <c r="GK63" i="67"/>
  <c r="FU63" i="67"/>
  <c r="FE63" i="67"/>
  <c r="EO63" i="67"/>
  <c r="BM63" i="67"/>
  <c r="DY63" i="67"/>
  <c r="DI63" i="67"/>
  <c r="CC63" i="67"/>
  <c r="GK55" i="67"/>
  <c r="FU55" i="67"/>
  <c r="FE55" i="67"/>
  <c r="EO55" i="67"/>
  <c r="CS55" i="67"/>
  <c r="BM55" i="67"/>
  <c r="DI55" i="67"/>
  <c r="GK47" i="67"/>
  <c r="FU47" i="67"/>
  <c r="FE47" i="67"/>
  <c r="EO47" i="67"/>
  <c r="DY47" i="67"/>
  <c r="CS47" i="67"/>
  <c r="BM47" i="67"/>
  <c r="DI47" i="67"/>
  <c r="GK39" i="67"/>
  <c r="FU39" i="67"/>
  <c r="FE39" i="67"/>
  <c r="EO39" i="67"/>
  <c r="CS39" i="67"/>
  <c r="DY39" i="67"/>
  <c r="BM39" i="67"/>
  <c r="DI39" i="67"/>
  <c r="GK31" i="67"/>
  <c r="FU31" i="67"/>
  <c r="FE31" i="67"/>
  <c r="EO31" i="67"/>
  <c r="CS31" i="67"/>
  <c r="BM31" i="67"/>
  <c r="DY31" i="67"/>
  <c r="DI31" i="67"/>
  <c r="GK23" i="67"/>
  <c r="FU23" i="67"/>
  <c r="FE23" i="67"/>
  <c r="EO23" i="67"/>
  <c r="CS23" i="67"/>
  <c r="CC23" i="67"/>
  <c r="BM23" i="67"/>
  <c r="DI23" i="67"/>
  <c r="GK15" i="67"/>
  <c r="FU15" i="67"/>
  <c r="FE15" i="67"/>
  <c r="EO15" i="67"/>
  <c r="DY15" i="67"/>
  <c r="CS15" i="67"/>
  <c r="CC15" i="67"/>
  <c r="BM15" i="67"/>
  <c r="DI15" i="67"/>
  <c r="M195" i="62"/>
  <c r="Q8" i="67"/>
  <c r="Q189" i="67"/>
  <c r="Q176" i="67"/>
  <c r="Q170" i="67"/>
  <c r="Q157" i="67"/>
  <c r="Q146" i="67"/>
  <c r="Q140" i="67"/>
  <c r="Q127" i="67"/>
  <c r="Q114" i="67"/>
  <c r="Q108" i="67"/>
  <c r="Q95" i="67"/>
  <c r="Q82" i="67"/>
  <c r="Q76" i="67"/>
  <c r="Q63" i="67"/>
  <c r="Q50" i="67"/>
  <c r="Q44" i="67"/>
  <c r="Q31" i="67"/>
  <c r="Q18" i="67"/>
  <c r="Q12" i="67"/>
  <c r="BM27" i="67"/>
  <c r="BM57" i="67"/>
  <c r="BN87" i="67"/>
  <c r="BM148" i="67"/>
  <c r="BM176" i="67"/>
  <c r="CB25" i="67"/>
  <c r="CC55" i="67"/>
  <c r="CC115" i="67"/>
  <c r="CC146" i="67"/>
  <c r="CC175" i="67"/>
  <c r="CS25" i="67"/>
  <c r="CS57" i="67"/>
  <c r="CS88" i="67"/>
  <c r="CS119" i="67"/>
  <c r="CS151" i="67"/>
  <c r="CS181" i="67"/>
  <c r="DY87" i="67"/>
  <c r="EO186" i="67"/>
  <c r="FE92" i="67"/>
  <c r="GK93" i="67"/>
  <c r="GK188" i="67"/>
  <c r="FU188" i="67"/>
  <c r="FE188" i="67"/>
  <c r="EO188" i="67"/>
  <c r="DY188" i="67"/>
  <c r="DI188" i="67"/>
  <c r="CC188" i="67"/>
  <c r="BM188" i="67"/>
  <c r="GK180" i="67"/>
  <c r="FU180" i="67"/>
  <c r="FE180" i="67"/>
  <c r="EO180" i="67"/>
  <c r="DY180" i="67"/>
  <c r="DI180" i="67"/>
  <c r="CC180" i="67"/>
  <c r="BM180" i="67"/>
  <c r="GK172" i="67"/>
  <c r="FU172" i="67"/>
  <c r="FE172" i="67"/>
  <c r="EO172" i="67"/>
  <c r="DY172" i="67"/>
  <c r="DI172" i="67"/>
  <c r="CC172" i="67"/>
  <c r="BM172" i="67"/>
  <c r="GK164" i="67"/>
  <c r="FU164" i="67"/>
  <c r="FE164" i="67"/>
  <c r="EO164" i="67"/>
  <c r="DY164" i="67"/>
  <c r="DI164" i="67"/>
  <c r="CC164" i="67"/>
  <c r="BM164" i="67"/>
  <c r="GK156" i="67"/>
  <c r="FU156" i="67"/>
  <c r="FE156" i="67"/>
  <c r="EO156" i="67"/>
  <c r="DY156" i="67"/>
  <c r="CC156" i="67"/>
  <c r="DI156" i="67"/>
  <c r="BM156" i="67"/>
  <c r="GK150" i="67"/>
  <c r="FU150" i="67"/>
  <c r="FE150" i="67"/>
  <c r="EO150" i="67"/>
  <c r="DY150" i="67"/>
  <c r="CC150" i="67"/>
  <c r="DI150" i="67"/>
  <c r="BM150" i="67"/>
  <c r="GK142" i="67"/>
  <c r="FU142" i="67"/>
  <c r="FE142" i="67"/>
  <c r="EO142" i="67"/>
  <c r="DY142" i="67"/>
  <c r="DI142" i="67"/>
  <c r="CC142" i="67"/>
  <c r="BM142" i="67"/>
  <c r="GK134" i="67"/>
  <c r="FU134" i="67"/>
  <c r="FE134" i="67"/>
  <c r="EO134" i="67"/>
  <c r="DY134" i="67"/>
  <c r="CC134" i="67"/>
  <c r="BM134" i="67"/>
  <c r="GK126" i="67"/>
  <c r="FU126" i="67"/>
  <c r="FE126" i="67"/>
  <c r="EO126" i="67"/>
  <c r="DY126" i="67"/>
  <c r="CC126" i="67"/>
  <c r="GK118" i="67"/>
  <c r="FU118" i="67"/>
  <c r="FE118" i="67"/>
  <c r="EO118" i="67"/>
  <c r="DY118" i="67"/>
  <c r="CC118" i="67"/>
  <c r="GK110" i="67"/>
  <c r="FU110" i="67"/>
  <c r="FE110" i="67"/>
  <c r="EO110" i="67"/>
  <c r="DY110" i="67"/>
  <c r="CC110" i="67"/>
  <c r="GK102" i="67"/>
  <c r="FU102" i="67"/>
  <c r="FE102" i="67"/>
  <c r="EO102" i="67"/>
  <c r="DY102" i="67"/>
  <c r="CS102" i="67"/>
  <c r="CC102" i="67"/>
  <c r="GK94" i="67"/>
  <c r="FU94" i="67"/>
  <c r="FE94" i="67"/>
  <c r="EO94" i="67"/>
  <c r="DY94" i="67"/>
  <c r="CS94" i="67"/>
  <c r="BM94" i="67"/>
  <c r="CC94" i="67"/>
  <c r="GK86" i="67"/>
  <c r="FU86" i="67"/>
  <c r="FE86" i="67"/>
  <c r="EO86" i="67"/>
  <c r="DY86" i="67"/>
  <c r="CS86" i="67"/>
  <c r="BM86" i="67"/>
  <c r="CC86" i="67"/>
  <c r="GK78" i="67"/>
  <c r="FU78" i="67"/>
  <c r="FE78" i="67"/>
  <c r="EO78" i="67"/>
  <c r="DY78" i="67"/>
  <c r="CS78" i="67"/>
  <c r="BM78" i="67"/>
  <c r="CC78" i="67"/>
  <c r="GK70" i="67"/>
  <c r="FU70" i="67"/>
  <c r="FE70" i="67"/>
  <c r="EO70" i="67"/>
  <c r="DY70" i="67"/>
  <c r="CS70" i="67"/>
  <c r="BM70" i="67"/>
  <c r="GK62" i="67"/>
  <c r="FU62" i="67"/>
  <c r="FE62" i="67"/>
  <c r="EO62" i="67"/>
  <c r="DY62" i="67"/>
  <c r="CS62" i="67"/>
  <c r="BM62" i="67"/>
  <c r="GK54" i="67"/>
  <c r="FU54" i="67"/>
  <c r="FE54" i="67"/>
  <c r="EO54" i="67"/>
  <c r="DY54" i="67"/>
  <c r="CS54" i="67"/>
  <c r="BM54" i="67"/>
  <c r="GK46" i="67"/>
  <c r="FU46" i="67"/>
  <c r="FE46" i="67"/>
  <c r="EO46" i="67"/>
  <c r="DY46" i="67"/>
  <c r="CS46" i="67"/>
  <c r="BM46" i="67"/>
  <c r="GK38" i="67"/>
  <c r="FU38" i="67"/>
  <c r="FE38" i="67"/>
  <c r="EO38" i="67"/>
  <c r="DY38" i="67"/>
  <c r="CC38" i="67"/>
  <c r="CS38" i="67"/>
  <c r="BM38" i="67"/>
  <c r="GK30" i="67"/>
  <c r="FU30" i="67"/>
  <c r="FE30" i="67"/>
  <c r="EO30" i="67"/>
  <c r="DY30" i="67"/>
  <c r="CC30" i="67"/>
  <c r="CS30" i="67"/>
  <c r="BM30" i="67"/>
  <c r="GK22" i="67"/>
  <c r="FU22" i="67"/>
  <c r="FE22" i="67"/>
  <c r="EO22" i="67"/>
  <c r="DY22" i="67"/>
  <c r="CS22" i="67"/>
  <c r="CC22" i="67"/>
  <c r="BM22" i="67"/>
  <c r="GK14" i="67"/>
  <c r="FU14" i="67"/>
  <c r="FE14" i="67"/>
  <c r="EO14" i="67"/>
  <c r="DY14" i="67"/>
  <c r="CS14" i="67"/>
  <c r="CC14" i="67"/>
  <c r="BM14" i="67"/>
  <c r="Q188" i="67"/>
  <c r="Q182" i="67"/>
  <c r="Q175" i="67"/>
  <c r="Q169" i="67"/>
  <c r="Q156" i="67"/>
  <c r="Q191" i="67"/>
  <c r="Q145" i="67"/>
  <c r="Q139" i="67"/>
  <c r="Q126" i="67"/>
  <c r="Q120" i="67"/>
  <c r="Q113" i="67"/>
  <c r="Q107" i="67"/>
  <c r="R100" i="67"/>
  <c r="Q94" i="67"/>
  <c r="Q88" i="67"/>
  <c r="Q81" i="67"/>
  <c r="Q75" i="67"/>
  <c r="Q62" i="67"/>
  <c r="Q56" i="67"/>
  <c r="Q49" i="67"/>
  <c r="Q43" i="67"/>
  <c r="Q30" i="67"/>
  <c r="Q24" i="67"/>
  <c r="Q17" i="67"/>
  <c r="Q11" i="67"/>
  <c r="BM28" i="67"/>
  <c r="BM58" i="67"/>
  <c r="BM88" i="67"/>
  <c r="BM119" i="67"/>
  <c r="BM177" i="67"/>
  <c r="CC31" i="67"/>
  <c r="CC91" i="67"/>
  <c r="CC121" i="67"/>
  <c r="CC191" i="67"/>
  <c r="CC182" i="67"/>
  <c r="CS32" i="67"/>
  <c r="CS63" i="67"/>
  <c r="CS95" i="67"/>
  <c r="CS126" i="67"/>
  <c r="CS156" i="67"/>
  <c r="DI144" i="67"/>
  <c r="DY112" i="67"/>
  <c r="GK112" i="67"/>
  <c r="DI187" i="67"/>
  <c r="GK187" i="67"/>
  <c r="FE187" i="67"/>
  <c r="DY187" i="67"/>
  <c r="CC187" i="67"/>
  <c r="BM187" i="67"/>
  <c r="EO187" i="67"/>
  <c r="DY179" i="67"/>
  <c r="FU179" i="67"/>
  <c r="EO179" i="67"/>
  <c r="DI179" i="67"/>
  <c r="GK179" i="67"/>
  <c r="FE179" i="67"/>
  <c r="CS179" i="67"/>
  <c r="CC179" i="67"/>
  <c r="BM179" i="67"/>
  <c r="GK171" i="67"/>
  <c r="FE171" i="67"/>
  <c r="DI171" i="67"/>
  <c r="FU171" i="67"/>
  <c r="EO171" i="67"/>
  <c r="DY171" i="67"/>
  <c r="CS171" i="67"/>
  <c r="CC171" i="67"/>
  <c r="BM171" i="67"/>
  <c r="DI163" i="67"/>
  <c r="DY163" i="67"/>
  <c r="GK163" i="67"/>
  <c r="FE163" i="67"/>
  <c r="EO163" i="67"/>
  <c r="CS163" i="67"/>
  <c r="FU163" i="67"/>
  <c r="CC163" i="67"/>
  <c r="BM163" i="67"/>
  <c r="DI155" i="67"/>
  <c r="FU155" i="67"/>
  <c r="EO155" i="67"/>
  <c r="FE155" i="67"/>
  <c r="CS155" i="67"/>
  <c r="GK155" i="67"/>
  <c r="CC155" i="67"/>
  <c r="BM155" i="67"/>
  <c r="GK149" i="67"/>
  <c r="FE149" i="67"/>
  <c r="DI149" i="67"/>
  <c r="DY149" i="67"/>
  <c r="FU149" i="67"/>
  <c r="EO149" i="67"/>
  <c r="CS149" i="67"/>
  <c r="CC149" i="67"/>
  <c r="FU141" i="67"/>
  <c r="EO141" i="67"/>
  <c r="DY141" i="67"/>
  <c r="DI141" i="67"/>
  <c r="GK141" i="67"/>
  <c r="FE141" i="67"/>
  <c r="CS141" i="67"/>
  <c r="CC141" i="67"/>
  <c r="DY133" i="67"/>
  <c r="FU133" i="67"/>
  <c r="EO133" i="67"/>
  <c r="CS133" i="67"/>
  <c r="FE133" i="67"/>
  <c r="CC133" i="67"/>
  <c r="GK133" i="67"/>
  <c r="DY125" i="67"/>
  <c r="GK125" i="67"/>
  <c r="FE125" i="67"/>
  <c r="CS125" i="67"/>
  <c r="EO125" i="67"/>
  <c r="CC125" i="67"/>
  <c r="FU125" i="67"/>
  <c r="FU117" i="67"/>
  <c r="EO117" i="67"/>
  <c r="DY117" i="67"/>
  <c r="GK117" i="67"/>
  <c r="FE117" i="67"/>
  <c r="CS117" i="67"/>
  <c r="BM117" i="67"/>
  <c r="CC117" i="67"/>
  <c r="GK109" i="67"/>
  <c r="FE109" i="67"/>
  <c r="DY109" i="67"/>
  <c r="FU109" i="67"/>
  <c r="EO109" i="67"/>
  <c r="CS109" i="67"/>
  <c r="BM109" i="67"/>
  <c r="CC109" i="67"/>
  <c r="DY101" i="67"/>
  <c r="GK101" i="67"/>
  <c r="FE101" i="67"/>
  <c r="BM101" i="67"/>
  <c r="CS101" i="67"/>
  <c r="CC101" i="67"/>
  <c r="DY93" i="67"/>
  <c r="FU93" i="67"/>
  <c r="EO93" i="67"/>
  <c r="CS93" i="67"/>
  <c r="BM93" i="67"/>
  <c r="CC93" i="67"/>
  <c r="GK85" i="67"/>
  <c r="FE85" i="67"/>
  <c r="DY85" i="67"/>
  <c r="FU85" i="67"/>
  <c r="EO85" i="67"/>
  <c r="CS85" i="67"/>
  <c r="BM85" i="67"/>
  <c r="FU77" i="67"/>
  <c r="DY77" i="67"/>
  <c r="EO77" i="67"/>
  <c r="GK77" i="67"/>
  <c r="FE77" i="67"/>
  <c r="CS77" i="67"/>
  <c r="BM77" i="67"/>
  <c r="DY69" i="67"/>
  <c r="FU69" i="67"/>
  <c r="FE69" i="67"/>
  <c r="CS69" i="67"/>
  <c r="GK69" i="67"/>
  <c r="EO69" i="67"/>
  <c r="BM69" i="67"/>
  <c r="DY61" i="67"/>
  <c r="GK61" i="67"/>
  <c r="FE61" i="67"/>
  <c r="EO61" i="67"/>
  <c r="CS61" i="67"/>
  <c r="FU61" i="67"/>
  <c r="BM61" i="67"/>
  <c r="FU53" i="67"/>
  <c r="DY53" i="67"/>
  <c r="GK53" i="67"/>
  <c r="FE53" i="67"/>
  <c r="CC53" i="67"/>
  <c r="CS53" i="67"/>
  <c r="EO53" i="67"/>
  <c r="BM53" i="67"/>
  <c r="GK45" i="67"/>
  <c r="FE45" i="67"/>
  <c r="DY45" i="67"/>
  <c r="EO45" i="67"/>
  <c r="FU45" i="67"/>
  <c r="CC45" i="67"/>
  <c r="CS45" i="67"/>
  <c r="BM45" i="67"/>
  <c r="DY37" i="67"/>
  <c r="GK37" i="67"/>
  <c r="FE37" i="67"/>
  <c r="CC37" i="67"/>
  <c r="CS37" i="67"/>
  <c r="BM37" i="67"/>
  <c r="FU37" i="67"/>
  <c r="DY29" i="67"/>
  <c r="FU29" i="67"/>
  <c r="EO29" i="67"/>
  <c r="CC29" i="67"/>
  <c r="CS29" i="67"/>
  <c r="FE29" i="67"/>
  <c r="GK29" i="67"/>
  <c r="BM29" i="67"/>
  <c r="GK21" i="67"/>
  <c r="FE21" i="67"/>
  <c r="EO21" i="67"/>
  <c r="DY21" i="67"/>
  <c r="FU21" i="67"/>
  <c r="CS21" i="67"/>
  <c r="CC21" i="67"/>
  <c r="FU13" i="67"/>
  <c r="DY13" i="67"/>
  <c r="GK13" i="67"/>
  <c r="FE13" i="67"/>
  <c r="EO13" i="67"/>
  <c r="CS13" i="67"/>
  <c r="CC13" i="67"/>
  <c r="Q187" i="67"/>
  <c r="Q181" i="67"/>
  <c r="R174" i="67"/>
  <c r="Q168" i="67"/>
  <c r="Q162" i="67"/>
  <c r="Q155" i="67"/>
  <c r="Q151" i="67"/>
  <c r="Q138" i="67"/>
  <c r="Q132" i="67"/>
  <c r="Q125" i="67"/>
  <c r="Q119" i="67"/>
  <c r="Q106" i="67"/>
  <c r="Q100" i="67"/>
  <c r="Q93" i="67"/>
  <c r="Q87" i="67"/>
  <c r="Q74" i="67"/>
  <c r="Q68" i="67"/>
  <c r="Q61" i="67"/>
  <c r="Q55" i="67"/>
  <c r="Q42" i="67"/>
  <c r="Q36" i="67"/>
  <c r="Q29" i="67"/>
  <c r="Q23" i="67"/>
  <c r="Q10" i="67"/>
  <c r="BM35" i="67"/>
  <c r="BM65" i="67"/>
  <c r="BM95" i="67"/>
  <c r="BM125" i="67"/>
  <c r="BM153" i="67"/>
  <c r="BM183" i="67"/>
  <c r="CC32" i="67"/>
  <c r="CC62" i="67"/>
  <c r="CC92" i="67"/>
  <c r="CC122" i="67"/>
  <c r="CC192" i="67"/>
  <c r="CC183" i="67"/>
  <c r="CS33" i="67"/>
  <c r="CS64" i="67"/>
  <c r="CS96" i="67"/>
  <c r="CS127" i="67"/>
  <c r="CS157" i="67"/>
  <c r="CS188" i="67"/>
  <c r="DI14" i="67"/>
  <c r="DI46" i="67"/>
  <c r="DI78" i="67"/>
  <c r="DI110" i="67"/>
  <c r="DI148" i="67"/>
  <c r="DY119" i="67"/>
  <c r="FE174" i="67"/>
  <c r="FU16" i="67"/>
  <c r="GK178" i="67"/>
  <c r="O81" i="67"/>
  <c r="O53" i="67"/>
  <c r="O87" i="67"/>
  <c r="O125" i="67"/>
  <c r="O20" i="67"/>
  <c r="O54" i="67"/>
  <c r="O96" i="67"/>
  <c r="O132" i="67"/>
  <c r="O163" i="67"/>
  <c r="O131" i="67"/>
  <c r="O10" i="67"/>
  <c r="O136" i="67"/>
  <c r="O60" i="67"/>
  <c r="O94" i="67"/>
  <c r="O162" i="67"/>
  <c r="O85" i="67"/>
  <c r="O120" i="67"/>
  <c r="O153" i="67"/>
  <c r="O189" i="67"/>
  <c r="O50" i="67"/>
  <c r="O84" i="67"/>
  <c r="O119" i="67"/>
  <c r="O152" i="67"/>
  <c r="O188" i="67"/>
  <c r="O9" i="67"/>
  <c r="O171" i="67"/>
  <c r="O135" i="67"/>
  <c r="O170" i="67"/>
  <c r="O100" i="67"/>
  <c r="O134" i="67"/>
  <c r="O28" i="67"/>
  <c r="O98" i="67"/>
  <c r="O133" i="67"/>
  <c r="O164" i="67"/>
  <c r="O36" i="67"/>
  <c r="O70" i="67"/>
  <c r="O106" i="67"/>
  <c r="O141" i="67"/>
  <c r="O175" i="67"/>
  <c r="O35" i="67"/>
  <c r="O161" i="67"/>
  <c r="O19" i="67"/>
  <c r="O178" i="67"/>
  <c r="O177" i="67"/>
  <c r="O140" i="67"/>
  <c r="O174" i="67"/>
  <c r="O25" i="67"/>
  <c r="O59" i="67"/>
  <c r="O93" i="67"/>
  <c r="O129" i="67"/>
  <c r="O92" i="67"/>
  <c r="O128" i="67"/>
  <c r="O160" i="67"/>
  <c r="O13" i="67"/>
  <c r="O110" i="67"/>
  <c r="O145" i="67"/>
  <c r="O179" i="67"/>
  <c r="O40" i="67"/>
  <c r="O74" i="67"/>
  <c r="O109" i="67"/>
  <c r="O144" i="67"/>
  <c r="O38" i="67"/>
  <c r="O72" i="67"/>
  <c r="O37" i="67"/>
  <c r="O45" i="67"/>
  <c r="O114" i="67"/>
  <c r="O149" i="67"/>
  <c r="O183" i="67"/>
  <c r="O12" i="67"/>
  <c r="O11" i="67"/>
  <c r="O78" i="67"/>
  <c r="O113" i="67"/>
  <c r="O148" i="67"/>
  <c r="O182" i="67"/>
  <c r="O139" i="67"/>
  <c r="O173" i="67"/>
  <c r="O32" i="67"/>
  <c r="O138" i="67"/>
  <c r="O172" i="67"/>
  <c r="O16" i="67"/>
  <c r="O118" i="67"/>
  <c r="O192" i="67"/>
  <c r="O187" i="67"/>
  <c r="O82" i="67"/>
  <c r="O117" i="67"/>
  <c r="O191" i="67"/>
  <c r="O186" i="67"/>
  <c r="R55" i="61"/>
  <c r="O55" i="67" s="1"/>
  <c r="R105" i="61"/>
  <c r="O105" i="67" s="1"/>
  <c r="R91" i="61"/>
  <c r="O91" i="67" s="1"/>
  <c r="R56" i="61"/>
  <c r="O56" i="67" s="1"/>
  <c r="R151" i="61"/>
  <c r="O151" i="67" s="1"/>
  <c r="R76" i="61"/>
  <c r="O76" i="67" s="1"/>
  <c r="R43" i="61"/>
  <c r="O43" i="67" s="1"/>
  <c r="R26" i="61"/>
  <c r="O26" i="67" s="1"/>
  <c r="R29" i="61"/>
  <c r="O29" i="67" s="1"/>
  <c r="R71" i="61"/>
  <c r="O71" i="67" s="1"/>
  <c r="R30" i="61"/>
  <c r="O30" i="67" s="1"/>
  <c r="R101" i="61"/>
  <c r="O101" i="67" s="1"/>
  <c r="R124" i="61"/>
  <c r="O124" i="67" s="1"/>
  <c r="R143" i="61"/>
  <c r="O143" i="67" s="1"/>
  <c r="R83" i="61"/>
  <c r="O83" i="67" s="1"/>
  <c r="R15" i="61"/>
  <c r="O15" i="67" s="1"/>
  <c r="R44" i="61"/>
  <c r="O44" i="67" s="1"/>
  <c r="R108" i="61"/>
  <c r="O108" i="67" s="1"/>
  <c r="R69" i="61"/>
  <c r="O69" i="67" s="1"/>
  <c r="R63" i="61"/>
  <c r="O63" i="67" s="1"/>
  <c r="R77" i="61"/>
  <c r="O77" i="67" s="1"/>
  <c r="R103" i="61"/>
  <c r="O103" i="67" s="1"/>
  <c r="R48" i="61"/>
  <c r="O48" i="67" s="1"/>
  <c r="R46" i="61"/>
  <c r="O46" i="67" s="1"/>
  <c r="R62" i="61"/>
  <c r="O62" i="67" s="1"/>
  <c r="R14" i="61"/>
  <c r="O14" i="67" s="1"/>
  <c r="R169" i="61"/>
  <c r="O167" i="67" s="1"/>
  <c r="R107" i="61"/>
  <c r="O107" i="67" s="1"/>
  <c r="R67" i="61"/>
  <c r="O67" i="67" s="1"/>
  <c r="R88" i="61"/>
  <c r="O88" i="67" s="1"/>
  <c r="R24" i="61"/>
  <c r="O24" i="67" s="1"/>
  <c r="R68" i="61"/>
  <c r="O68" i="67" s="1"/>
  <c r="R31" i="61"/>
  <c r="O31" i="67" s="1"/>
  <c r="R115" i="61"/>
  <c r="O115" i="67" s="1"/>
  <c r="R51" i="61"/>
  <c r="O51" i="67" s="1"/>
  <c r="AB195" i="61"/>
  <c r="R27" i="61"/>
  <c r="O27" i="67" s="1"/>
  <c r="R79" i="61"/>
  <c r="O79" i="67" s="1"/>
  <c r="R65" i="61"/>
  <c r="O65" i="67" s="1"/>
  <c r="R142" i="61"/>
  <c r="O142" i="67" s="1"/>
  <c r="R116" i="61"/>
  <c r="O116" i="67" s="1"/>
  <c r="R86" i="61"/>
  <c r="O86" i="67" s="1"/>
  <c r="R75" i="61"/>
  <c r="O75" i="67" s="1"/>
  <c r="R58" i="61"/>
  <c r="O58" i="67" s="1"/>
  <c r="R102" i="61"/>
  <c r="O102" i="67" s="1"/>
  <c r="R187" i="61"/>
  <c r="O185" i="67" s="1"/>
  <c r="R49" i="61"/>
  <c r="O49" i="67" s="1"/>
  <c r="R23" i="61"/>
  <c r="O23" i="67" s="1"/>
  <c r="R21" i="61"/>
  <c r="O21" i="67" s="1"/>
  <c r="R41" i="61"/>
  <c r="O41" i="67" s="1"/>
  <c r="R104" i="61"/>
  <c r="O104" i="67" s="1"/>
  <c r="R159" i="61"/>
  <c r="O157" i="67" s="1"/>
  <c r="R66" i="61"/>
  <c r="O66" i="67" s="1"/>
  <c r="R34" i="61"/>
  <c r="O34" i="67" s="1"/>
  <c r="R178" i="61"/>
  <c r="O176" i="67" s="1"/>
  <c r="R8" i="61"/>
  <c r="Q195" i="61"/>
  <c r="GJ8" i="67"/>
  <c r="FT8" i="67"/>
  <c r="FD8" i="67"/>
  <c r="EN8" i="67"/>
  <c r="DX8" i="67"/>
  <c r="CR8" i="67"/>
  <c r="DH8" i="67"/>
  <c r="CB8" i="67"/>
  <c r="BL8" i="67"/>
  <c r="AV8" i="67"/>
  <c r="P8" i="67"/>
  <c r="AF8" i="67"/>
  <c r="GJ193" i="67"/>
  <c r="FT193" i="67"/>
  <c r="FD193" i="67"/>
  <c r="EN193" i="67"/>
  <c r="DX193" i="67"/>
  <c r="DH193" i="67"/>
  <c r="CB193" i="67"/>
  <c r="CR193" i="67"/>
  <c r="BL193" i="67"/>
  <c r="AF193" i="67"/>
  <c r="P193" i="67"/>
  <c r="AV193" i="67"/>
  <c r="FD190" i="67"/>
  <c r="FT190" i="67"/>
  <c r="DX190" i="67"/>
  <c r="EN190" i="67"/>
  <c r="GJ190" i="67"/>
  <c r="CR190" i="67"/>
  <c r="DH190" i="67"/>
  <c r="CB190" i="67"/>
  <c r="AV190" i="67"/>
  <c r="BL190" i="67"/>
  <c r="AF190" i="67"/>
  <c r="GJ189" i="67"/>
  <c r="FT189" i="67"/>
  <c r="FD189" i="67"/>
  <c r="DX189" i="67"/>
  <c r="DH189" i="67"/>
  <c r="CB189" i="67"/>
  <c r="CR189" i="67"/>
  <c r="EN189" i="67"/>
  <c r="BL189" i="67"/>
  <c r="AV189" i="67"/>
  <c r="P189" i="67"/>
  <c r="GJ188" i="67"/>
  <c r="FT188" i="67"/>
  <c r="FD188" i="67"/>
  <c r="EN188" i="67"/>
  <c r="DX188" i="67"/>
  <c r="CR188" i="67"/>
  <c r="DH188" i="67"/>
  <c r="CB188" i="67"/>
  <c r="AV188" i="67"/>
  <c r="BL188" i="67"/>
  <c r="AF188" i="67"/>
  <c r="P188" i="67"/>
  <c r="GJ187" i="67"/>
  <c r="FD187" i="67"/>
  <c r="FT187" i="67"/>
  <c r="EN187" i="67"/>
  <c r="CR187" i="67"/>
  <c r="DX187" i="67"/>
  <c r="DH187" i="67"/>
  <c r="AV187" i="67"/>
  <c r="CB187" i="67"/>
  <c r="BL187" i="67"/>
  <c r="AF187" i="67"/>
  <c r="P187" i="67"/>
  <c r="GJ186" i="67"/>
  <c r="FT186" i="67"/>
  <c r="FD186" i="67"/>
  <c r="EN186" i="67"/>
  <c r="DX186" i="67"/>
  <c r="DH186" i="67"/>
  <c r="CB186" i="67"/>
  <c r="CR186" i="67"/>
  <c r="BL186" i="67"/>
  <c r="AV186" i="67"/>
  <c r="P186" i="67"/>
  <c r="FD185" i="67"/>
  <c r="FT185" i="67"/>
  <c r="GJ185" i="67"/>
  <c r="EN185" i="67"/>
  <c r="CR185" i="67"/>
  <c r="DX185" i="67"/>
  <c r="DH185" i="67"/>
  <c r="CB185" i="67"/>
  <c r="AV185" i="67"/>
  <c r="BL185" i="67"/>
  <c r="AF185" i="67"/>
  <c r="P185" i="67"/>
  <c r="GJ184" i="67"/>
  <c r="FD184" i="67"/>
  <c r="EN184" i="67"/>
  <c r="DH184" i="67"/>
  <c r="CB184" i="67"/>
  <c r="FT184" i="67"/>
  <c r="CR184" i="67"/>
  <c r="DX184" i="67"/>
  <c r="BL184" i="67"/>
  <c r="AV184" i="67"/>
  <c r="P184" i="67"/>
  <c r="AF184" i="67"/>
  <c r="GJ183" i="67"/>
  <c r="FT183" i="67"/>
  <c r="FD183" i="67"/>
  <c r="EN183" i="67"/>
  <c r="DX183" i="67"/>
  <c r="DH183" i="67"/>
  <c r="CB183" i="67"/>
  <c r="CR183" i="67"/>
  <c r="BL183" i="67"/>
  <c r="AF183" i="67"/>
  <c r="P183" i="67"/>
  <c r="AV183" i="67"/>
  <c r="FD182" i="67"/>
  <c r="GJ182" i="67"/>
  <c r="FT182" i="67"/>
  <c r="EN182" i="67"/>
  <c r="DX182" i="67"/>
  <c r="CR182" i="67"/>
  <c r="DH182" i="67"/>
  <c r="CB182" i="67"/>
  <c r="AV182" i="67"/>
  <c r="BL182" i="67"/>
  <c r="AF182" i="67"/>
  <c r="GJ181" i="67"/>
  <c r="FT181" i="67"/>
  <c r="FD181" i="67"/>
  <c r="DX181" i="67"/>
  <c r="EN181" i="67"/>
  <c r="DH181" i="67"/>
  <c r="CB181" i="67"/>
  <c r="CR181" i="67"/>
  <c r="BL181" i="67"/>
  <c r="AV181" i="67"/>
  <c r="AF181" i="67"/>
  <c r="P181" i="67"/>
  <c r="GJ180" i="67"/>
  <c r="FT180" i="67"/>
  <c r="EN180" i="67"/>
  <c r="FD180" i="67"/>
  <c r="DX180" i="67"/>
  <c r="CR180" i="67"/>
  <c r="DH180" i="67"/>
  <c r="CB180" i="67"/>
  <c r="AV180" i="67"/>
  <c r="BL180" i="67"/>
  <c r="AF180" i="67"/>
  <c r="P180" i="67"/>
  <c r="GJ179" i="67"/>
  <c r="FD179" i="67"/>
  <c r="FT179" i="67"/>
  <c r="EN179" i="67"/>
  <c r="CR179" i="67"/>
  <c r="DX179" i="67"/>
  <c r="DH179" i="67"/>
  <c r="AV179" i="67"/>
  <c r="CB179" i="67"/>
  <c r="BL179" i="67"/>
  <c r="P179" i="67"/>
  <c r="AF179" i="67"/>
  <c r="GJ178" i="67"/>
  <c r="FT178" i="67"/>
  <c r="FD178" i="67"/>
  <c r="EN178" i="67"/>
  <c r="DX178" i="67"/>
  <c r="DH178" i="67"/>
  <c r="CB178" i="67"/>
  <c r="CR178" i="67"/>
  <c r="BL178" i="67"/>
  <c r="AV178" i="67"/>
  <c r="AF178" i="67"/>
  <c r="P178" i="67"/>
  <c r="FD177" i="67"/>
  <c r="GJ177" i="67"/>
  <c r="FT177" i="67"/>
  <c r="EN177" i="67"/>
  <c r="CR177" i="67"/>
  <c r="DX177" i="67"/>
  <c r="DH177" i="67"/>
  <c r="CB177" i="67"/>
  <c r="AV177" i="67"/>
  <c r="BL177" i="67"/>
  <c r="AF177" i="67"/>
  <c r="P177" i="67"/>
  <c r="GJ176" i="67"/>
  <c r="FD176" i="67"/>
  <c r="FT176" i="67"/>
  <c r="EN176" i="67"/>
  <c r="DH176" i="67"/>
  <c r="CB176" i="67"/>
  <c r="CR176" i="67"/>
  <c r="DX176" i="67"/>
  <c r="BL176" i="67"/>
  <c r="AV176" i="67"/>
  <c r="P176" i="67"/>
  <c r="AF176" i="67"/>
  <c r="GJ175" i="67"/>
  <c r="FT175" i="67"/>
  <c r="FD175" i="67"/>
  <c r="EN175" i="67"/>
  <c r="DX175" i="67"/>
  <c r="DH175" i="67"/>
  <c r="CB175" i="67"/>
  <c r="BL175" i="67"/>
  <c r="AF175" i="67"/>
  <c r="CR175" i="67"/>
  <c r="P175" i="67"/>
  <c r="AV175" i="67"/>
  <c r="FD174" i="67"/>
  <c r="FT174" i="67"/>
  <c r="GJ174" i="67"/>
  <c r="EN174" i="67"/>
  <c r="DX174" i="67"/>
  <c r="CR174" i="67"/>
  <c r="DH174" i="67"/>
  <c r="CB174" i="67"/>
  <c r="AV174" i="67"/>
  <c r="BL174" i="67"/>
  <c r="AF174" i="67"/>
  <c r="GJ173" i="67"/>
  <c r="FT173" i="67"/>
  <c r="FD173" i="67"/>
  <c r="DX173" i="67"/>
  <c r="DH173" i="67"/>
  <c r="CB173" i="67"/>
  <c r="EN173" i="67"/>
  <c r="CR173" i="67"/>
  <c r="BL173" i="67"/>
  <c r="AV173" i="67"/>
  <c r="AF173" i="67"/>
  <c r="P173" i="67"/>
  <c r="GJ172" i="67"/>
  <c r="FT172" i="67"/>
  <c r="EN172" i="67"/>
  <c r="FD172" i="67"/>
  <c r="DX172" i="67"/>
  <c r="CR172" i="67"/>
  <c r="DH172" i="67"/>
  <c r="CB172" i="67"/>
  <c r="AV172" i="67"/>
  <c r="BL172" i="67"/>
  <c r="P172" i="67"/>
  <c r="AF172" i="67"/>
  <c r="GJ171" i="67"/>
  <c r="FD171" i="67"/>
  <c r="FT171" i="67"/>
  <c r="EN171" i="67"/>
  <c r="DX171" i="67"/>
  <c r="CR171" i="67"/>
  <c r="CB171" i="67"/>
  <c r="AV171" i="67"/>
  <c r="DH171" i="67"/>
  <c r="AF171" i="67"/>
  <c r="P171" i="67"/>
  <c r="BL171" i="67"/>
  <c r="GJ170" i="67"/>
  <c r="FT170" i="67"/>
  <c r="FD170" i="67"/>
  <c r="EN170" i="67"/>
  <c r="DH170" i="67"/>
  <c r="CB170" i="67"/>
  <c r="DX170" i="67"/>
  <c r="CR170" i="67"/>
  <c r="BL170" i="67"/>
  <c r="AV170" i="67"/>
  <c r="AF170" i="67"/>
  <c r="P170" i="67"/>
  <c r="FD169" i="67"/>
  <c r="FT169" i="67"/>
  <c r="GJ169" i="67"/>
  <c r="EN169" i="67"/>
  <c r="CR169" i="67"/>
  <c r="DX169" i="67"/>
  <c r="DH169" i="67"/>
  <c r="CB169" i="67"/>
  <c r="AV169" i="67"/>
  <c r="BL169" i="67"/>
  <c r="AF169" i="67"/>
  <c r="P169" i="67"/>
  <c r="GJ168" i="67"/>
  <c r="FD168" i="67"/>
  <c r="FT168" i="67"/>
  <c r="EN168" i="67"/>
  <c r="DX168" i="67"/>
  <c r="DH168" i="67"/>
  <c r="CR168" i="67"/>
  <c r="BL168" i="67"/>
  <c r="AV168" i="67"/>
  <c r="CB168" i="67"/>
  <c r="P168" i="67"/>
  <c r="AF168" i="67"/>
  <c r="GJ167" i="67"/>
  <c r="FT167" i="67"/>
  <c r="FD167" i="67"/>
  <c r="EN167" i="67"/>
  <c r="DX167" i="67"/>
  <c r="DH167" i="67"/>
  <c r="CB167" i="67"/>
  <c r="BL167" i="67"/>
  <c r="AF167" i="67"/>
  <c r="AV167" i="67"/>
  <c r="P167" i="67"/>
  <c r="CR167" i="67"/>
  <c r="FD166" i="67"/>
  <c r="GJ166" i="67"/>
  <c r="FT166" i="67"/>
  <c r="EN166" i="67"/>
  <c r="CR166" i="67"/>
  <c r="DX166" i="67"/>
  <c r="DH166" i="67"/>
  <c r="CB166" i="67"/>
  <c r="AV166" i="67"/>
  <c r="BL166" i="67"/>
  <c r="AF166" i="67"/>
  <c r="GJ165" i="67"/>
  <c r="FT165" i="67"/>
  <c r="FD165" i="67"/>
  <c r="DX165" i="67"/>
  <c r="DH165" i="67"/>
  <c r="EN165" i="67"/>
  <c r="CR165" i="67"/>
  <c r="BL165" i="67"/>
  <c r="CB165" i="67"/>
  <c r="AV165" i="67"/>
  <c r="AF165" i="67"/>
  <c r="P165" i="67"/>
  <c r="GJ164" i="67"/>
  <c r="FT164" i="67"/>
  <c r="EN164" i="67"/>
  <c r="DX164" i="67"/>
  <c r="CR164" i="67"/>
  <c r="FD164" i="67"/>
  <c r="DH164" i="67"/>
  <c r="CB164" i="67"/>
  <c r="AV164" i="67"/>
  <c r="BL164" i="67"/>
  <c r="AF164" i="67"/>
  <c r="P164" i="67"/>
  <c r="GJ163" i="67"/>
  <c r="FD163" i="67"/>
  <c r="FT163" i="67"/>
  <c r="EN163" i="67"/>
  <c r="DX163" i="67"/>
  <c r="CR163" i="67"/>
  <c r="CB163" i="67"/>
  <c r="AV163" i="67"/>
  <c r="DH163" i="67"/>
  <c r="AF163" i="67"/>
  <c r="P163" i="67"/>
  <c r="GJ162" i="67"/>
  <c r="FT162" i="67"/>
  <c r="FD162" i="67"/>
  <c r="EN162" i="67"/>
  <c r="DH162" i="67"/>
  <c r="DX162" i="67"/>
  <c r="CR162" i="67"/>
  <c r="BL162" i="67"/>
  <c r="CB162" i="67"/>
  <c r="AV162" i="67"/>
  <c r="P162" i="67"/>
  <c r="AF162" i="67"/>
  <c r="FD161" i="67"/>
  <c r="GJ161" i="67"/>
  <c r="FT161" i="67"/>
  <c r="EN161" i="67"/>
  <c r="CR161" i="67"/>
  <c r="DH161" i="67"/>
  <c r="CB161" i="67"/>
  <c r="AV161" i="67"/>
  <c r="DX161" i="67"/>
  <c r="BL161" i="67"/>
  <c r="AF161" i="67"/>
  <c r="P161" i="67"/>
  <c r="GJ160" i="67"/>
  <c r="FD160" i="67"/>
  <c r="FT160" i="67"/>
  <c r="EN160" i="67"/>
  <c r="DH160" i="67"/>
  <c r="DX160" i="67"/>
  <c r="CR160" i="67"/>
  <c r="CB160" i="67"/>
  <c r="BL160" i="67"/>
  <c r="AV160" i="67"/>
  <c r="AF160" i="67"/>
  <c r="P160" i="67"/>
  <c r="GJ159" i="67"/>
  <c r="FT159" i="67"/>
  <c r="FD159" i="67"/>
  <c r="EN159" i="67"/>
  <c r="DX159" i="67"/>
  <c r="DH159" i="67"/>
  <c r="CB159" i="67"/>
  <c r="CR159" i="67"/>
  <c r="BL159" i="67"/>
  <c r="AF159" i="67"/>
  <c r="P159" i="67"/>
  <c r="AV159" i="67"/>
  <c r="FD158" i="67"/>
  <c r="FT158" i="67"/>
  <c r="GJ158" i="67"/>
  <c r="EN158" i="67"/>
  <c r="CR158" i="67"/>
  <c r="DX158" i="67"/>
  <c r="DH158" i="67"/>
  <c r="CB158" i="67"/>
  <c r="AV158" i="67"/>
  <c r="BL158" i="67"/>
  <c r="AF158" i="67"/>
  <c r="GJ157" i="67"/>
  <c r="FT157" i="67"/>
  <c r="FD157" i="67"/>
  <c r="DX157" i="67"/>
  <c r="DH157" i="67"/>
  <c r="CR157" i="67"/>
  <c r="EN157" i="67"/>
  <c r="BL157" i="67"/>
  <c r="AV157" i="67"/>
  <c r="CB157" i="67"/>
  <c r="P157" i="67"/>
  <c r="GJ156" i="67"/>
  <c r="FT156" i="67"/>
  <c r="FD156" i="67"/>
  <c r="EN156" i="67"/>
  <c r="DX156" i="67"/>
  <c r="CR156" i="67"/>
  <c r="DH156" i="67"/>
  <c r="AV156" i="67"/>
  <c r="CB156" i="67"/>
  <c r="BL156" i="67"/>
  <c r="AF156" i="67"/>
  <c r="P156" i="67"/>
  <c r="GJ155" i="67"/>
  <c r="FT155" i="67"/>
  <c r="FD155" i="67"/>
  <c r="EN155" i="67"/>
  <c r="CR155" i="67"/>
  <c r="DX155" i="67"/>
  <c r="DH155" i="67"/>
  <c r="AV155" i="67"/>
  <c r="CB155" i="67"/>
  <c r="BL155" i="67"/>
  <c r="AF155" i="67"/>
  <c r="P155" i="67"/>
  <c r="GJ154" i="67"/>
  <c r="FT154" i="67"/>
  <c r="FD154" i="67"/>
  <c r="EN154" i="67"/>
  <c r="DH154" i="67"/>
  <c r="CR154" i="67"/>
  <c r="BL154" i="67"/>
  <c r="DX154" i="67"/>
  <c r="AV154" i="67"/>
  <c r="P154" i="67"/>
  <c r="CB154" i="67"/>
  <c r="FD153" i="67"/>
  <c r="FT153" i="67"/>
  <c r="GJ153" i="67"/>
  <c r="EN153" i="67"/>
  <c r="DX153" i="67"/>
  <c r="CR153" i="67"/>
  <c r="DH153" i="67"/>
  <c r="CB153" i="67"/>
  <c r="AV153" i="67"/>
  <c r="BL153" i="67"/>
  <c r="AF153" i="67"/>
  <c r="P153" i="67"/>
  <c r="GJ152" i="67"/>
  <c r="FD152" i="67"/>
  <c r="EN152" i="67"/>
  <c r="DH152" i="67"/>
  <c r="FT152" i="67"/>
  <c r="DX152" i="67"/>
  <c r="CR152" i="67"/>
  <c r="BL152" i="67"/>
  <c r="CB152" i="67"/>
  <c r="AV152" i="67"/>
  <c r="P152" i="67"/>
  <c r="AF152" i="67"/>
  <c r="GJ192" i="67"/>
  <c r="FT192" i="67"/>
  <c r="FD192" i="67"/>
  <c r="EN192" i="67"/>
  <c r="DX192" i="67"/>
  <c r="DH192" i="67"/>
  <c r="CB192" i="67"/>
  <c r="CR192" i="67"/>
  <c r="BL192" i="67"/>
  <c r="AF192" i="67"/>
  <c r="P192" i="67"/>
  <c r="AV192" i="67"/>
  <c r="FD191" i="67"/>
  <c r="GJ191" i="67"/>
  <c r="FT191" i="67"/>
  <c r="EN191" i="67"/>
  <c r="CR191" i="67"/>
  <c r="DH191" i="67"/>
  <c r="CB191" i="67"/>
  <c r="DX191" i="67"/>
  <c r="AV191" i="67"/>
  <c r="BL191" i="67"/>
  <c r="AF191" i="67"/>
  <c r="GJ151" i="67"/>
  <c r="FT151" i="67"/>
  <c r="FD151" i="67"/>
  <c r="DX151" i="67"/>
  <c r="EN151" i="67"/>
  <c r="DH151" i="67"/>
  <c r="CR151" i="67"/>
  <c r="CB151" i="67"/>
  <c r="BL151" i="67"/>
  <c r="AV151" i="67"/>
  <c r="AF151" i="67"/>
  <c r="P151" i="67"/>
  <c r="GJ150" i="67"/>
  <c r="FT150" i="67"/>
  <c r="EN150" i="67"/>
  <c r="FD150" i="67"/>
  <c r="DX150" i="67"/>
  <c r="CR150" i="67"/>
  <c r="DH150" i="67"/>
  <c r="AV150" i="67"/>
  <c r="CB150" i="67"/>
  <c r="BL150" i="67"/>
  <c r="AF150" i="67"/>
  <c r="P150" i="67"/>
  <c r="GJ149" i="67"/>
  <c r="FT149" i="67"/>
  <c r="FD149" i="67"/>
  <c r="EN149" i="67"/>
  <c r="CR149" i="67"/>
  <c r="DX149" i="67"/>
  <c r="DH149" i="67"/>
  <c r="AV149" i="67"/>
  <c r="CB149" i="67"/>
  <c r="BL149" i="67"/>
  <c r="P149" i="67"/>
  <c r="AF149" i="67"/>
  <c r="GJ148" i="67"/>
  <c r="FT148" i="67"/>
  <c r="FD148" i="67"/>
  <c r="EN148" i="67"/>
  <c r="DX148" i="67"/>
  <c r="DH148" i="67"/>
  <c r="CR148" i="67"/>
  <c r="CB148" i="67"/>
  <c r="BL148" i="67"/>
  <c r="AV148" i="67"/>
  <c r="AF148" i="67"/>
  <c r="P148" i="67"/>
  <c r="FD147" i="67"/>
  <c r="GJ147" i="67"/>
  <c r="FT147" i="67"/>
  <c r="EN147" i="67"/>
  <c r="CR147" i="67"/>
  <c r="DX147" i="67"/>
  <c r="DH147" i="67"/>
  <c r="CB147" i="67"/>
  <c r="AV147" i="67"/>
  <c r="BL147" i="67"/>
  <c r="P147" i="67"/>
  <c r="AF147" i="67"/>
  <c r="GJ146" i="67"/>
  <c r="FD146" i="67"/>
  <c r="FT146" i="67"/>
  <c r="EN146" i="67"/>
  <c r="DH146" i="67"/>
  <c r="CR146" i="67"/>
  <c r="DX146" i="67"/>
  <c r="BL146" i="67"/>
  <c r="CB146" i="67"/>
  <c r="AV146" i="67"/>
  <c r="P146" i="67"/>
  <c r="AF146" i="67"/>
  <c r="GJ145" i="67"/>
  <c r="FT145" i="67"/>
  <c r="FD145" i="67"/>
  <c r="EN145" i="67"/>
  <c r="DX145" i="67"/>
  <c r="DH145" i="67"/>
  <c r="CB145" i="67"/>
  <c r="BL145" i="67"/>
  <c r="AF145" i="67"/>
  <c r="CR145" i="67"/>
  <c r="P145" i="67"/>
  <c r="AV145" i="67"/>
  <c r="FD144" i="67"/>
  <c r="FT144" i="67"/>
  <c r="GJ144" i="67"/>
  <c r="EN144" i="67"/>
  <c r="DX144" i="67"/>
  <c r="CR144" i="67"/>
  <c r="DH144" i="67"/>
  <c r="CB144" i="67"/>
  <c r="AV144" i="67"/>
  <c r="BL144" i="67"/>
  <c r="AF144" i="67"/>
  <c r="GJ143" i="67"/>
  <c r="FT143" i="67"/>
  <c r="FD143" i="67"/>
  <c r="DX143" i="67"/>
  <c r="DH143" i="67"/>
  <c r="EN143" i="67"/>
  <c r="CR143" i="67"/>
  <c r="BL143" i="67"/>
  <c r="CB143" i="67"/>
  <c r="AV143" i="67"/>
  <c r="AF143" i="67"/>
  <c r="P143" i="67"/>
  <c r="GJ142" i="67"/>
  <c r="FT142" i="67"/>
  <c r="FD142" i="67"/>
  <c r="EN142" i="67"/>
  <c r="DX142" i="67"/>
  <c r="CR142" i="67"/>
  <c r="DH142" i="67"/>
  <c r="AV142" i="67"/>
  <c r="BL142" i="67"/>
  <c r="CB142" i="67"/>
  <c r="P142" i="67"/>
  <c r="GJ141" i="67"/>
  <c r="FT141" i="67"/>
  <c r="FD141" i="67"/>
  <c r="EN141" i="67"/>
  <c r="DX141" i="67"/>
  <c r="CR141" i="67"/>
  <c r="CB141" i="67"/>
  <c r="AV141" i="67"/>
  <c r="DH141" i="67"/>
  <c r="AF141" i="67"/>
  <c r="P141" i="67"/>
  <c r="BL141" i="67"/>
  <c r="GJ140" i="67"/>
  <c r="FT140" i="67"/>
  <c r="FD140" i="67"/>
  <c r="EN140" i="67"/>
  <c r="DH140" i="67"/>
  <c r="DX140" i="67"/>
  <c r="CR140" i="67"/>
  <c r="BL140" i="67"/>
  <c r="CB140" i="67"/>
  <c r="AV140" i="67"/>
  <c r="P140" i="67"/>
  <c r="AF140" i="67"/>
  <c r="FD139" i="67"/>
  <c r="FT139" i="67"/>
  <c r="GJ139" i="67"/>
  <c r="EN139" i="67"/>
  <c r="CR139" i="67"/>
  <c r="DH139" i="67"/>
  <c r="CB139" i="67"/>
  <c r="DX139" i="67"/>
  <c r="AV139" i="67"/>
  <c r="BL139" i="67"/>
  <c r="P139" i="67"/>
  <c r="GJ138" i="67"/>
  <c r="FD138" i="67"/>
  <c r="FT138" i="67"/>
  <c r="EN138" i="67"/>
  <c r="DH138" i="67"/>
  <c r="DX138" i="67"/>
  <c r="CR138" i="67"/>
  <c r="BL138" i="67"/>
  <c r="AV138" i="67"/>
  <c r="CB138" i="67"/>
  <c r="AF138" i="67"/>
  <c r="P138" i="67"/>
  <c r="GJ137" i="67"/>
  <c r="FT137" i="67"/>
  <c r="FD137" i="67"/>
  <c r="EN137" i="67"/>
  <c r="DX137" i="67"/>
  <c r="DH137" i="67"/>
  <c r="CB137" i="67"/>
  <c r="BL137" i="67"/>
  <c r="AF137" i="67"/>
  <c r="AV137" i="67"/>
  <c r="P137" i="67"/>
  <c r="CR137" i="67"/>
  <c r="FD136" i="67"/>
  <c r="GJ136" i="67"/>
  <c r="FT136" i="67"/>
  <c r="EN136" i="67"/>
  <c r="CR136" i="67"/>
  <c r="DX136" i="67"/>
  <c r="DH136" i="67"/>
  <c r="CB136" i="67"/>
  <c r="AV136" i="67"/>
  <c r="BL136" i="67"/>
  <c r="AF136" i="67"/>
  <c r="GJ135" i="67"/>
  <c r="FT135" i="67"/>
  <c r="FD135" i="67"/>
  <c r="DX135" i="67"/>
  <c r="DH135" i="67"/>
  <c r="EN135" i="67"/>
  <c r="CR135" i="67"/>
  <c r="BL135" i="67"/>
  <c r="CB135" i="67"/>
  <c r="AV135" i="67"/>
  <c r="AF135" i="67"/>
  <c r="P135" i="67"/>
  <c r="GJ134" i="67"/>
  <c r="FT134" i="67"/>
  <c r="EN134" i="67"/>
  <c r="FD134" i="67"/>
  <c r="DX134" i="67"/>
  <c r="CR134" i="67"/>
  <c r="DH134" i="67"/>
  <c r="CB134" i="67"/>
  <c r="AV134" i="67"/>
  <c r="BL134" i="67"/>
  <c r="AF134" i="67"/>
  <c r="P134" i="67"/>
  <c r="GJ133" i="67"/>
  <c r="FT133" i="67"/>
  <c r="FD133" i="67"/>
  <c r="EN133" i="67"/>
  <c r="CR133" i="67"/>
  <c r="DX133" i="67"/>
  <c r="CB133" i="67"/>
  <c r="AV133" i="67"/>
  <c r="DH133" i="67"/>
  <c r="P133" i="67"/>
  <c r="AF133" i="67"/>
  <c r="GJ132" i="67"/>
  <c r="FT132" i="67"/>
  <c r="FD132" i="67"/>
  <c r="EN132" i="67"/>
  <c r="DH132" i="67"/>
  <c r="CR132" i="67"/>
  <c r="DX132" i="67"/>
  <c r="BL132" i="67"/>
  <c r="CB132" i="67"/>
  <c r="AV132" i="67"/>
  <c r="AF132" i="67"/>
  <c r="P132" i="67"/>
  <c r="FD131" i="67"/>
  <c r="GJ131" i="67"/>
  <c r="FT131" i="67"/>
  <c r="EN131" i="67"/>
  <c r="CR131" i="67"/>
  <c r="DX131" i="67"/>
  <c r="DH131" i="67"/>
  <c r="CB131" i="67"/>
  <c r="AV131" i="67"/>
  <c r="BL131" i="67"/>
  <c r="P131" i="67"/>
  <c r="AF131" i="67"/>
  <c r="FD130" i="67"/>
  <c r="GJ130" i="67"/>
  <c r="FT130" i="67"/>
  <c r="EN130" i="67"/>
  <c r="DH130" i="67"/>
  <c r="CR130" i="67"/>
  <c r="DX130" i="67"/>
  <c r="CB130" i="67"/>
  <c r="BL130" i="67"/>
  <c r="AV130" i="67"/>
  <c r="P130" i="67"/>
  <c r="AF130" i="67"/>
  <c r="GJ129" i="67"/>
  <c r="FT129" i="67"/>
  <c r="FD129" i="67"/>
  <c r="EN129" i="67"/>
  <c r="DH129" i="67"/>
  <c r="CB129" i="67"/>
  <c r="CR129" i="67"/>
  <c r="BL129" i="67"/>
  <c r="AF129" i="67"/>
  <c r="DX129" i="67"/>
  <c r="P129" i="67"/>
  <c r="AV129" i="67"/>
  <c r="GJ128" i="67"/>
  <c r="FD128" i="67"/>
  <c r="FT128" i="67"/>
  <c r="EN128" i="67"/>
  <c r="DX128" i="67"/>
  <c r="CR128" i="67"/>
  <c r="DH128" i="67"/>
  <c r="CB128" i="67"/>
  <c r="AV128" i="67"/>
  <c r="BL128" i="67"/>
  <c r="AF128" i="67"/>
  <c r="GJ127" i="67"/>
  <c r="FT127" i="67"/>
  <c r="FD127" i="67"/>
  <c r="DH127" i="67"/>
  <c r="DX127" i="67"/>
  <c r="CR127" i="67"/>
  <c r="EN127" i="67"/>
  <c r="BL127" i="67"/>
  <c r="AV127" i="67"/>
  <c r="CB127" i="67"/>
  <c r="AF127" i="67"/>
  <c r="P127" i="67"/>
  <c r="GJ126" i="67"/>
  <c r="FT126" i="67"/>
  <c r="FD126" i="67"/>
  <c r="EN126" i="67"/>
  <c r="DX126" i="67"/>
  <c r="CR126" i="67"/>
  <c r="DH126" i="67"/>
  <c r="AV126" i="67"/>
  <c r="CB126" i="67"/>
  <c r="BL126" i="67"/>
  <c r="P126" i="67"/>
  <c r="GJ125" i="67"/>
  <c r="FT125" i="67"/>
  <c r="FD125" i="67"/>
  <c r="EN125" i="67"/>
  <c r="DX125" i="67"/>
  <c r="CR125" i="67"/>
  <c r="DH125" i="67"/>
  <c r="AV125" i="67"/>
  <c r="CB125" i="67"/>
  <c r="BL125" i="67"/>
  <c r="AF125" i="67"/>
  <c r="P125" i="67"/>
  <c r="GJ124" i="67"/>
  <c r="FT124" i="67"/>
  <c r="FD124" i="67"/>
  <c r="EN124" i="67"/>
  <c r="DH124" i="67"/>
  <c r="DX124" i="67"/>
  <c r="CR124" i="67"/>
  <c r="CB124" i="67"/>
  <c r="BL124" i="67"/>
  <c r="AV124" i="67"/>
  <c r="P124" i="67"/>
  <c r="AF124" i="67"/>
  <c r="GJ123" i="67"/>
  <c r="FT123" i="67"/>
  <c r="FD123" i="67"/>
  <c r="EN123" i="67"/>
  <c r="DX123" i="67"/>
  <c r="CR123" i="67"/>
  <c r="DH123" i="67"/>
  <c r="AV123" i="67"/>
  <c r="CB123" i="67"/>
  <c r="BL123" i="67"/>
  <c r="P123" i="67"/>
  <c r="FD122" i="67"/>
  <c r="GJ122" i="67"/>
  <c r="EN122" i="67"/>
  <c r="DH122" i="67"/>
  <c r="DX122" i="67"/>
  <c r="CR122" i="67"/>
  <c r="FT122" i="67"/>
  <c r="BL122" i="67"/>
  <c r="CB122" i="67"/>
  <c r="AV122" i="67"/>
  <c r="AF122" i="67"/>
  <c r="P122" i="67"/>
  <c r="GJ121" i="67"/>
  <c r="FT121" i="67"/>
  <c r="FD121" i="67"/>
  <c r="EN121" i="67"/>
  <c r="DH121" i="67"/>
  <c r="CR121" i="67"/>
  <c r="BL121" i="67"/>
  <c r="AF121" i="67"/>
  <c r="DX121" i="67"/>
  <c r="P121" i="67"/>
  <c r="AV121" i="67"/>
  <c r="FD120" i="67"/>
  <c r="FT120" i="67"/>
  <c r="EN120" i="67"/>
  <c r="GJ120" i="67"/>
  <c r="DX120" i="67"/>
  <c r="CR120" i="67"/>
  <c r="DH120" i="67"/>
  <c r="CB120" i="67"/>
  <c r="AV120" i="67"/>
  <c r="BL120" i="67"/>
  <c r="AF120" i="67"/>
  <c r="GJ119" i="67"/>
  <c r="FT119" i="67"/>
  <c r="FD119" i="67"/>
  <c r="EN119" i="67"/>
  <c r="DH119" i="67"/>
  <c r="DX119" i="67"/>
  <c r="CR119" i="67"/>
  <c r="BL119" i="67"/>
  <c r="CB119" i="67"/>
  <c r="AV119" i="67"/>
  <c r="AF119" i="67"/>
  <c r="P119" i="67"/>
  <c r="GJ118" i="67"/>
  <c r="FT118" i="67"/>
  <c r="FD118" i="67"/>
  <c r="EN118" i="67"/>
  <c r="DX118" i="67"/>
  <c r="CR118" i="67"/>
  <c r="DH118" i="67"/>
  <c r="CB118" i="67"/>
  <c r="AV118" i="67"/>
  <c r="BL118" i="67"/>
  <c r="AF118" i="67"/>
  <c r="P118" i="67"/>
  <c r="GJ117" i="67"/>
  <c r="FT117" i="67"/>
  <c r="FD117" i="67"/>
  <c r="EN117" i="67"/>
  <c r="DX117" i="67"/>
  <c r="CR117" i="67"/>
  <c r="DH117" i="67"/>
  <c r="CB117" i="67"/>
  <c r="AV117" i="67"/>
  <c r="BL117" i="67"/>
  <c r="P117" i="67"/>
  <c r="AF117" i="67"/>
  <c r="GJ116" i="67"/>
  <c r="FT116" i="67"/>
  <c r="FD116" i="67"/>
  <c r="EN116" i="67"/>
  <c r="DH116" i="67"/>
  <c r="DX116" i="67"/>
  <c r="CR116" i="67"/>
  <c r="BL116" i="67"/>
  <c r="CB116" i="67"/>
  <c r="AV116" i="67"/>
  <c r="AF116" i="67"/>
  <c r="P116" i="67"/>
  <c r="FT115" i="67"/>
  <c r="EN115" i="67"/>
  <c r="GJ115" i="67"/>
  <c r="FD115" i="67"/>
  <c r="DX115" i="67"/>
  <c r="CR115" i="67"/>
  <c r="DH115" i="67"/>
  <c r="CB115" i="67"/>
  <c r="AV115" i="67"/>
  <c r="BL115" i="67"/>
  <c r="P115" i="67"/>
  <c r="AF115" i="67"/>
  <c r="GJ114" i="67"/>
  <c r="FD114" i="67"/>
  <c r="FT114" i="67"/>
  <c r="EN114" i="67"/>
  <c r="DH114" i="67"/>
  <c r="DX114" i="67"/>
  <c r="CR114" i="67"/>
  <c r="BL114" i="67"/>
  <c r="CB114" i="67"/>
  <c r="AV114" i="67"/>
  <c r="P114" i="67"/>
  <c r="AF114" i="67"/>
  <c r="AK113" i="62"/>
  <c r="O113" i="71" s="1"/>
  <c r="GJ113" i="67"/>
  <c r="FT113" i="67"/>
  <c r="FD113" i="67"/>
  <c r="EN113" i="67"/>
  <c r="DH113" i="67"/>
  <c r="DX113" i="67"/>
  <c r="BL113" i="67"/>
  <c r="AF113" i="67"/>
  <c r="CR113" i="67"/>
  <c r="P113" i="67"/>
  <c r="CB113" i="67"/>
  <c r="AV113" i="67"/>
  <c r="FD112" i="67"/>
  <c r="GJ112" i="67"/>
  <c r="FT112" i="67"/>
  <c r="EN112" i="67"/>
  <c r="DX112" i="67"/>
  <c r="CR112" i="67"/>
  <c r="DH112" i="67"/>
  <c r="CB112" i="67"/>
  <c r="AV112" i="67"/>
  <c r="BL112" i="67"/>
  <c r="AF112" i="67"/>
  <c r="GJ111" i="67"/>
  <c r="FT111" i="67"/>
  <c r="FD111" i="67"/>
  <c r="DH111" i="67"/>
  <c r="EN111" i="67"/>
  <c r="DX111" i="67"/>
  <c r="CR111" i="67"/>
  <c r="BL111" i="67"/>
  <c r="CB111" i="67"/>
  <c r="AV111" i="67"/>
  <c r="AF111" i="67"/>
  <c r="P111" i="67"/>
  <c r="GJ110" i="67"/>
  <c r="FT110" i="67"/>
  <c r="FD110" i="67"/>
  <c r="EN110" i="67"/>
  <c r="DX110" i="67"/>
  <c r="CR110" i="67"/>
  <c r="DH110" i="67"/>
  <c r="CB110" i="67"/>
  <c r="AV110" i="67"/>
  <c r="BL110" i="67"/>
  <c r="P110" i="67"/>
  <c r="GJ109" i="67"/>
  <c r="FT109" i="67"/>
  <c r="FD109" i="67"/>
  <c r="EN109" i="67"/>
  <c r="DX109" i="67"/>
  <c r="CR109" i="67"/>
  <c r="CB109" i="67"/>
  <c r="AV109" i="67"/>
  <c r="DH109" i="67"/>
  <c r="AF109" i="67"/>
  <c r="P109" i="67"/>
  <c r="BL109" i="67"/>
  <c r="GJ108" i="67"/>
  <c r="FT108" i="67"/>
  <c r="FD108" i="67"/>
  <c r="EN108" i="67"/>
  <c r="DH108" i="67"/>
  <c r="DX108" i="67"/>
  <c r="CR108" i="67"/>
  <c r="BL108" i="67"/>
  <c r="CB108" i="67"/>
  <c r="AV108" i="67"/>
  <c r="P108" i="67"/>
  <c r="AF108" i="67"/>
  <c r="FT107" i="67"/>
  <c r="GJ107" i="67"/>
  <c r="EN107" i="67"/>
  <c r="FD107" i="67"/>
  <c r="DX107" i="67"/>
  <c r="CR107" i="67"/>
  <c r="DH107" i="67"/>
  <c r="CB107" i="67"/>
  <c r="AV107" i="67"/>
  <c r="BL107" i="67"/>
  <c r="P107" i="67"/>
  <c r="AK106" i="62"/>
  <c r="O106" i="71" s="1"/>
  <c r="GJ106" i="67"/>
  <c r="FD106" i="67"/>
  <c r="FT106" i="67"/>
  <c r="EN106" i="67"/>
  <c r="DH106" i="67"/>
  <c r="DX106" i="67"/>
  <c r="CR106" i="67"/>
  <c r="BL106" i="67"/>
  <c r="CB106" i="67"/>
  <c r="AV106" i="67"/>
  <c r="AF106" i="67"/>
  <c r="P106" i="67"/>
  <c r="AK105" i="62"/>
  <c r="O105" i="71" s="1"/>
  <c r="GJ105" i="67"/>
  <c r="FT105" i="67"/>
  <c r="EN105" i="67"/>
  <c r="FD105" i="67"/>
  <c r="DH105" i="67"/>
  <c r="DX105" i="67"/>
  <c r="BL105" i="67"/>
  <c r="AF105" i="67"/>
  <c r="AV105" i="67"/>
  <c r="P105" i="67"/>
  <c r="CB105" i="67"/>
  <c r="GJ104" i="67"/>
  <c r="FT104" i="67"/>
  <c r="EN104" i="67"/>
  <c r="DX104" i="67"/>
  <c r="CR104" i="67"/>
  <c r="FD104" i="67"/>
  <c r="DH104" i="67"/>
  <c r="CB104" i="67"/>
  <c r="AV104" i="67"/>
  <c r="BL104" i="67"/>
  <c r="AF104" i="67"/>
  <c r="GJ103" i="67"/>
  <c r="FT103" i="67"/>
  <c r="FD103" i="67"/>
  <c r="DH103" i="67"/>
  <c r="EN103" i="67"/>
  <c r="DX103" i="67"/>
  <c r="CR103" i="67"/>
  <c r="BL103" i="67"/>
  <c r="CB103" i="67"/>
  <c r="AV103" i="67"/>
  <c r="AF103" i="67"/>
  <c r="P103" i="67"/>
  <c r="GJ102" i="67"/>
  <c r="FT102" i="67"/>
  <c r="EN102" i="67"/>
  <c r="FD102" i="67"/>
  <c r="DX102" i="67"/>
  <c r="CR102" i="67"/>
  <c r="DH102" i="67"/>
  <c r="CB102" i="67"/>
  <c r="AV102" i="67"/>
  <c r="BL102" i="67"/>
  <c r="AF102" i="67"/>
  <c r="P102" i="67"/>
  <c r="GJ101" i="67"/>
  <c r="FT101" i="67"/>
  <c r="EN101" i="67"/>
  <c r="FD101" i="67"/>
  <c r="DX101" i="67"/>
  <c r="CR101" i="67"/>
  <c r="CB101" i="67"/>
  <c r="AV101" i="67"/>
  <c r="DH101" i="67"/>
  <c r="P101" i="67"/>
  <c r="AF101" i="67"/>
  <c r="GJ100" i="67"/>
  <c r="FT100" i="67"/>
  <c r="FD100" i="67"/>
  <c r="EN100" i="67"/>
  <c r="DH100" i="67"/>
  <c r="DX100" i="67"/>
  <c r="CR100" i="67"/>
  <c r="BL100" i="67"/>
  <c r="CB100" i="67"/>
  <c r="AV100" i="67"/>
  <c r="AF100" i="67"/>
  <c r="P100" i="67"/>
  <c r="GJ99" i="67"/>
  <c r="FT99" i="67"/>
  <c r="FD99" i="67"/>
  <c r="EN99" i="67"/>
  <c r="DX99" i="67"/>
  <c r="CR99" i="67"/>
  <c r="DH99" i="67"/>
  <c r="CB99" i="67"/>
  <c r="AV99" i="67"/>
  <c r="BL99" i="67"/>
  <c r="P99" i="67"/>
  <c r="AF99" i="67"/>
  <c r="AK98" i="62"/>
  <c r="O98" i="71" s="1"/>
  <c r="FD98" i="67"/>
  <c r="GJ98" i="67"/>
  <c r="FT98" i="67"/>
  <c r="EN98" i="67"/>
  <c r="DH98" i="67"/>
  <c r="DX98" i="67"/>
  <c r="CR98" i="67"/>
  <c r="BL98" i="67"/>
  <c r="CB98" i="67"/>
  <c r="AV98" i="67"/>
  <c r="P98" i="67"/>
  <c r="AF98" i="67"/>
  <c r="GJ97" i="67"/>
  <c r="FT97" i="67"/>
  <c r="FD97" i="67"/>
  <c r="EN97" i="67"/>
  <c r="DH97" i="67"/>
  <c r="CR97" i="67"/>
  <c r="BL97" i="67"/>
  <c r="AF97" i="67"/>
  <c r="DX97" i="67"/>
  <c r="P97" i="67"/>
  <c r="AV97" i="67"/>
  <c r="CB97" i="67"/>
  <c r="GJ96" i="67"/>
  <c r="FT96" i="67"/>
  <c r="FD96" i="67"/>
  <c r="EN96" i="67"/>
  <c r="DX96" i="67"/>
  <c r="CR96" i="67"/>
  <c r="DH96" i="67"/>
  <c r="CB96" i="67"/>
  <c r="AV96" i="67"/>
  <c r="BL96" i="67"/>
  <c r="AF96" i="67"/>
  <c r="GJ95" i="67"/>
  <c r="FT95" i="67"/>
  <c r="FD95" i="67"/>
  <c r="DH95" i="67"/>
  <c r="DX95" i="67"/>
  <c r="CR95" i="67"/>
  <c r="EN95" i="67"/>
  <c r="BL95" i="67"/>
  <c r="CB95" i="67"/>
  <c r="AV95" i="67"/>
  <c r="AF95" i="67"/>
  <c r="P95" i="67"/>
  <c r="GJ94" i="67"/>
  <c r="FT94" i="67"/>
  <c r="FD94" i="67"/>
  <c r="EN94" i="67"/>
  <c r="DX94" i="67"/>
  <c r="CR94" i="67"/>
  <c r="DH94" i="67"/>
  <c r="CB94" i="67"/>
  <c r="AV94" i="67"/>
  <c r="BL94" i="67"/>
  <c r="P94" i="67"/>
  <c r="GJ93" i="67"/>
  <c r="FT93" i="67"/>
  <c r="FD93" i="67"/>
  <c r="EN93" i="67"/>
  <c r="DX93" i="67"/>
  <c r="CR93" i="67"/>
  <c r="DH93" i="67"/>
  <c r="CB93" i="67"/>
  <c r="AV93" i="67"/>
  <c r="BL93" i="67"/>
  <c r="AF93" i="67"/>
  <c r="P93" i="67"/>
  <c r="GJ92" i="67"/>
  <c r="FT92" i="67"/>
  <c r="FD92" i="67"/>
  <c r="EN92" i="67"/>
  <c r="DH92" i="67"/>
  <c r="DX92" i="67"/>
  <c r="CR92" i="67"/>
  <c r="BL92" i="67"/>
  <c r="CB92" i="67"/>
  <c r="AV92" i="67"/>
  <c r="P92" i="67"/>
  <c r="AF92" i="67"/>
  <c r="GJ91" i="67"/>
  <c r="FT91" i="67"/>
  <c r="EN91" i="67"/>
  <c r="DX91" i="67"/>
  <c r="CR91" i="67"/>
  <c r="FD91" i="67"/>
  <c r="DH91" i="67"/>
  <c r="CB91" i="67"/>
  <c r="AV91" i="67"/>
  <c r="BL91" i="67"/>
  <c r="P91" i="67"/>
  <c r="AK90" i="62"/>
  <c r="O90" i="71" s="1"/>
  <c r="GJ90" i="67"/>
  <c r="FD90" i="67"/>
  <c r="EN90" i="67"/>
  <c r="DH90" i="67"/>
  <c r="DX90" i="67"/>
  <c r="CR90" i="67"/>
  <c r="BL90" i="67"/>
  <c r="FT90" i="67"/>
  <c r="CB90" i="67"/>
  <c r="AV90" i="67"/>
  <c r="AF90" i="67"/>
  <c r="P90" i="67"/>
  <c r="GJ89" i="67"/>
  <c r="FT89" i="67"/>
  <c r="EN89" i="67"/>
  <c r="FD89" i="67"/>
  <c r="DH89" i="67"/>
  <c r="CR89" i="67"/>
  <c r="BL89" i="67"/>
  <c r="DX89" i="67"/>
  <c r="P89" i="67"/>
  <c r="AV89" i="67"/>
  <c r="AF89" i="67"/>
  <c r="FT88" i="67"/>
  <c r="GJ88" i="67"/>
  <c r="FD88" i="67"/>
  <c r="EN88" i="67"/>
  <c r="DX88" i="67"/>
  <c r="CR88" i="67"/>
  <c r="DH88" i="67"/>
  <c r="CB88" i="67"/>
  <c r="AV88" i="67"/>
  <c r="BL88" i="67"/>
  <c r="AF88" i="67"/>
  <c r="GJ87" i="67"/>
  <c r="FT87" i="67"/>
  <c r="FD87" i="67"/>
  <c r="EN87" i="67"/>
  <c r="DH87" i="67"/>
  <c r="DX87" i="67"/>
  <c r="CR87" i="67"/>
  <c r="BL87" i="67"/>
  <c r="CB87" i="67"/>
  <c r="AV87" i="67"/>
  <c r="AF87" i="67"/>
  <c r="P87" i="67"/>
  <c r="GJ86" i="67"/>
  <c r="FT86" i="67"/>
  <c r="EN86" i="67"/>
  <c r="FD86" i="67"/>
  <c r="DX86" i="67"/>
  <c r="CR86" i="67"/>
  <c r="DH86" i="67"/>
  <c r="CB86" i="67"/>
  <c r="AV86" i="67"/>
  <c r="BL86" i="67"/>
  <c r="AF86" i="67"/>
  <c r="P86" i="67"/>
  <c r="GJ85" i="67"/>
  <c r="FT85" i="67"/>
  <c r="FD85" i="67"/>
  <c r="EN85" i="67"/>
  <c r="DX85" i="67"/>
  <c r="CR85" i="67"/>
  <c r="DH85" i="67"/>
  <c r="CB85" i="67"/>
  <c r="AV85" i="67"/>
  <c r="BL85" i="67"/>
  <c r="P85" i="67"/>
  <c r="GJ84" i="67"/>
  <c r="FT84" i="67"/>
  <c r="EN84" i="67"/>
  <c r="FD84" i="67"/>
  <c r="DH84" i="67"/>
  <c r="DX84" i="67"/>
  <c r="CR84" i="67"/>
  <c r="BL84" i="67"/>
  <c r="CB84" i="67"/>
  <c r="AV84" i="67"/>
  <c r="AF84" i="67"/>
  <c r="P84" i="67"/>
  <c r="FT83" i="67"/>
  <c r="EN83" i="67"/>
  <c r="GJ83" i="67"/>
  <c r="DX83" i="67"/>
  <c r="CR83" i="67"/>
  <c r="DH83" i="67"/>
  <c r="FD83" i="67"/>
  <c r="CB83" i="67"/>
  <c r="AV83" i="67"/>
  <c r="BL83" i="67"/>
  <c r="P83" i="67"/>
  <c r="AF83" i="67"/>
  <c r="AK82" i="62"/>
  <c r="O82" i="71" s="1"/>
  <c r="GJ82" i="67"/>
  <c r="FT82" i="67"/>
  <c r="FD82" i="67"/>
  <c r="EN82" i="67"/>
  <c r="DH82" i="67"/>
  <c r="DX82" i="67"/>
  <c r="CR82" i="67"/>
  <c r="BL82" i="67"/>
  <c r="CB82" i="67"/>
  <c r="AV82" i="67"/>
  <c r="AF82" i="67"/>
  <c r="P82" i="67"/>
  <c r="GJ81" i="67"/>
  <c r="FT81" i="67"/>
  <c r="EN81" i="67"/>
  <c r="FD81" i="67"/>
  <c r="DH81" i="67"/>
  <c r="DX81" i="67"/>
  <c r="BL81" i="67"/>
  <c r="CR81" i="67"/>
  <c r="P81" i="67"/>
  <c r="CB81" i="67"/>
  <c r="AF81" i="67"/>
  <c r="AV81" i="67"/>
  <c r="GJ80" i="67"/>
  <c r="FT80" i="67"/>
  <c r="FD80" i="67"/>
  <c r="EN80" i="67"/>
  <c r="DX80" i="67"/>
  <c r="CR80" i="67"/>
  <c r="DH80" i="67"/>
  <c r="CB80" i="67"/>
  <c r="AV80" i="67"/>
  <c r="BL80" i="67"/>
  <c r="AF80" i="67"/>
  <c r="GJ79" i="67"/>
  <c r="FT79" i="67"/>
  <c r="FD79" i="67"/>
  <c r="DH79" i="67"/>
  <c r="EN79" i="67"/>
  <c r="DX79" i="67"/>
  <c r="CR79" i="67"/>
  <c r="BL79" i="67"/>
  <c r="CB79" i="67"/>
  <c r="AV79" i="67"/>
  <c r="AF79" i="67"/>
  <c r="P79" i="67"/>
  <c r="GJ78" i="67"/>
  <c r="FT78" i="67"/>
  <c r="EN78" i="67"/>
  <c r="FD78" i="67"/>
  <c r="DX78" i="67"/>
  <c r="CR78" i="67"/>
  <c r="DH78" i="67"/>
  <c r="CB78" i="67"/>
  <c r="AV78" i="67"/>
  <c r="BL78" i="67"/>
  <c r="AF78" i="67"/>
  <c r="P78" i="67"/>
  <c r="GJ77" i="67"/>
  <c r="FT77" i="67"/>
  <c r="FD77" i="67"/>
  <c r="EN77" i="67"/>
  <c r="DX77" i="67"/>
  <c r="CR77" i="67"/>
  <c r="CB77" i="67"/>
  <c r="AV77" i="67"/>
  <c r="DH77" i="67"/>
  <c r="P77" i="67"/>
  <c r="BL77" i="67"/>
  <c r="GJ76" i="67"/>
  <c r="FT76" i="67"/>
  <c r="EN76" i="67"/>
  <c r="FD76" i="67"/>
  <c r="DH76" i="67"/>
  <c r="DX76" i="67"/>
  <c r="CR76" i="67"/>
  <c r="BL76" i="67"/>
  <c r="CB76" i="67"/>
  <c r="AV76" i="67"/>
  <c r="AF76" i="67"/>
  <c r="P76" i="67"/>
  <c r="FT75" i="67"/>
  <c r="GJ75" i="67"/>
  <c r="EN75" i="67"/>
  <c r="FD75" i="67"/>
  <c r="DX75" i="67"/>
  <c r="CR75" i="67"/>
  <c r="DH75" i="67"/>
  <c r="CB75" i="67"/>
  <c r="AV75" i="67"/>
  <c r="BL75" i="67"/>
  <c r="P75" i="67"/>
  <c r="AF75" i="67"/>
  <c r="AK74" i="62"/>
  <c r="O74" i="71" s="1"/>
  <c r="GJ74" i="67"/>
  <c r="FD74" i="67"/>
  <c r="FT74" i="67"/>
  <c r="EN74" i="67"/>
  <c r="DH74" i="67"/>
  <c r="DX74" i="67"/>
  <c r="CR74" i="67"/>
  <c r="BL74" i="67"/>
  <c r="CB74" i="67"/>
  <c r="AV74" i="67"/>
  <c r="AF74" i="67"/>
  <c r="P74" i="67"/>
  <c r="AK73" i="62"/>
  <c r="O73" i="71" s="1"/>
  <c r="GJ73" i="67"/>
  <c r="FT73" i="67"/>
  <c r="EN73" i="67"/>
  <c r="FD73" i="67"/>
  <c r="DH73" i="67"/>
  <c r="DX73" i="67"/>
  <c r="BL73" i="67"/>
  <c r="AV73" i="67"/>
  <c r="P73" i="67"/>
  <c r="CR73" i="67"/>
  <c r="CB73" i="67"/>
  <c r="AF73" i="67"/>
  <c r="GJ72" i="67"/>
  <c r="FT72" i="67"/>
  <c r="FD72" i="67"/>
  <c r="EN72" i="67"/>
  <c r="DX72" i="67"/>
  <c r="CR72" i="67"/>
  <c r="DH72" i="67"/>
  <c r="CB72" i="67"/>
  <c r="AV72" i="67"/>
  <c r="BL72" i="67"/>
  <c r="AF72" i="67"/>
  <c r="GJ71" i="67"/>
  <c r="FT71" i="67"/>
  <c r="FD71" i="67"/>
  <c r="DH71" i="67"/>
  <c r="EN71" i="67"/>
  <c r="DX71" i="67"/>
  <c r="CR71" i="67"/>
  <c r="BL71" i="67"/>
  <c r="CB71" i="67"/>
  <c r="AV71" i="67"/>
  <c r="AF71" i="67"/>
  <c r="P71" i="67"/>
  <c r="GJ70" i="67"/>
  <c r="FT70" i="67"/>
  <c r="EN70" i="67"/>
  <c r="FD70" i="67"/>
  <c r="DX70" i="67"/>
  <c r="CR70" i="67"/>
  <c r="DH70" i="67"/>
  <c r="CB70" i="67"/>
  <c r="AV70" i="67"/>
  <c r="BL70" i="67"/>
  <c r="AF70" i="67"/>
  <c r="P70" i="67"/>
  <c r="GJ69" i="67"/>
  <c r="FT69" i="67"/>
  <c r="FD69" i="67"/>
  <c r="EN69" i="67"/>
  <c r="DX69" i="67"/>
  <c r="CR69" i="67"/>
  <c r="CB69" i="67"/>
  <c r="AV69" i="67"/>
  <c r="DH69" i="67"/>
  <c r="P69" i="67"/>
  <c r="GJ68" i="67"/>
  <c r="FT68" i="67"/>
  <c r="EN68" i="67"/>
  <c r="FD68" i="67"/>
  <c r="DH68" i="67"/>
  <c r="DX68" i="67"/>
  <c r="CR68" i="67"/>
  <c r="BL68" i="67"/>
  <c r="CB68" i="67"/>
  <c r="AV68" i="67"/>
  <c r="AF68" i="67"/>
  <c r="P68" i="67"/>
  <c r="GJ67" i="67"/>
  <c r="FT67" i="67"/>
  <c r="EN67" i="67"/>
  <c r="DX67" i="67"/>
  <c r="CR67" i="67"/>
  <c r="FD67" i="67"/>
  <c r="DH67" i="67"/>
  <c r="CB67" i="67"/>
  <c r="AV67" i="67"/>
  <c r="BL67" i="67"/>
  <c r="P67" i="67"/>
  <c r="AF67" i="67"/>
  <c r="AK66" i="62"/>
  <c r="O66" i="71" s="1"/>
  <c r="GJ66" i="67"/>
  <c r="FD66" i="67"/>
  <c r="FT66" i="67"/>
  <c r="EN66" i="67"/>
  <c r="DH66" i="67"/>
  <c r="DX66" i="67"/>
  <c r="CR66" i="67"/>
  <c r="BL66" i="67"/>
  <c r="CB66" i="67"/>
  <c r="AV66" i="67"/>
  <c r="AF66" i="67"/>
  <c r="P66" i="67"/>
  <c r="AK65" i="62"/>
  <c r="O65" i="71" s="1"/>
  <c r="GJ65" i="67"/>
  <c r="FT65" i="67"/>
  <c r="EN65" i="67"/>
  <c r="FD65" i="67"/>
  <c r="DH65" i="67"/>
  <c r="CR65" i="67"/>
  <c r="BL65" i="67"/>
  <c r="DX65" i="67"/>
  <c r="P65" i="67"/>
  <c r="AV65" i="67"/>
  <c r="AF65" i="67"/>
  <c r="CB65" i="67"/>
  <c r="GJ64" i="67"/>
  <c r="FT64" i="67"/>
  <c r="FD64" i="67"/>
  <c r="EN64" i="67"/>
  <c r="DX64" i="67"/>
  <c r="CR64" i="67"/>
  <c r="DH64" i="67"/>
  <c r="CB64" i="67"/>
  <c r="AV64" i="67"/>
  <c r="BL64" i="67"/>
  <c r="AF64" i="67"/>
  <c r="GJ63" i="67"/>
  <c r="FT63" i="67"/>
  <c r="FD63" i="67"/>
  <c r="DH63" i="67"/>
  <c r="DX63" i="67"/>
  <c r="CR63" i="67"/>
  <c r="EN63" i="67"/>
  <c r="BL63" i="67"/>
  <c r="CB63" i="67"/>
  <c r="AV63" i="67"/>
  <c r="AF63" i="67"/>
  <c r="P63" i="67"/>
  <c r="GJ62" i="67"/>
  <c r="FT62" i="67"/>
  <c r="EN62" i="67"/>
  <c r="FD62" i="67"/>
  <c r="DX62" i="67"/>
  <c r="CR62" i="67"/>
  <c r="DH62" i="67"/>
  <c r="CB62" i="67"/>
  <c r="AV62" i="67"/>
  <c r="BL62" i="67"/>
  <c r="AF62" i="67"/>
  <c r="P62" i="67"/>
  <c r="GJ61" i="67"/>
  <c r="FT61" i="67"/>
  <c r="FD61" i="67"/>
  <c r="EN61" i="67"/>
  <c r="DX61" i="67"/>
  <c r="CR61" i="67"/>
  <c r="DH61" i="67"/>
  <c r="CB61" i="67"/>
  <c r="AV61" i="67"/>
  <c r="BL61" i="67"/>
  <c r="P61" i="67"/>
  <c r="GJ60" i="67"/>
  <c r="FT60" i="67"/>
  <c r="EN60" i="67"/>
  <c r="FD60" i="67"/>
  <c r="DH60" i="67"/>
  <c r="DX60" i="67"/>
  <c r="CR60" i="67"/>
  <c r="BL60" i="67"/>
  <c r="CB60" i="67"/>
  <c r="AV60" i="67"/>
  <c r="AF60" i="67"/>
  <c r="P60" i="67"/>
  <c r="GJ59" i="67"/>
  <c r="FT59" i="67"/>
  <c r="EN59" i="67"/>
  <c r="DX59" i="67"/>
  <c r="CR59" i="67"/>
  <c r="FD59" i="67"/>
  <c r="DH59" i="67"/>
  <c r="CB59" i="67"/>
  <c r="AV59" i="67"/>
  <c r="BL59" i="67"/>
  <c r="P59" i="67"/>
  <c r="AF59" i="67"/>
  <c r="AK58" i="62"/>
  <c r="O58" i="71" s="1"/>
  <c r="GJ58" i="67"/>
  <c r="FD58" i="67"/>
  <c r="EN58" i="67"/>
  <c r="DH58" i="67"/>
  <c r="FT58" i="67"/>
  <c r="DX58" i="67"/>
  <c r="CR58" i="67"/>
  <c r="BL58" i="67"/>
  <c r="CB58" i="67"/>
  <c r="AV58" i="67"/>
  <c r="AF58" i="67"/>
  <c r="P58" i="67"/>
  <c r="AK57" i="62"/>
  <c r="O57" i="71" s="1"/>
  <c r="GJ57" i="67"/>
  <c r="FT57" i="67"/>
  <c r="EN57" i="67"/>
  <c r="FD57" i="67"/>
  <c r="DH57" i="67"/>
  <c r="CR57" i="67"/>
  <c r="BL57" i="67"/>
  <c r="DX57" i="67"/>
  <c r="P57" i="67"/>
  <c r="AF57" i="67"/>
  <c r="AV57" i="67"/>
  <c r="FT56" i="67"/>
  <c r="FD56" i="67"/>
  <c r="GJ56" i="67"/>
  <c r="EN56" i="67"/>
  <c r="DX56" i="67"/>
  <c r="CR56" i="67"/>
  <c r="DH56" i="67"/>
  <c r="CB56" i="67"/>
  <c r="AV56" i="67"/>
  <c r="BL56" i="67"/>
  <c r="AF56" i="67"/>
  <c r="GJ55" i="67"/>
  <c r="FT55" i="67"/>
  <c r="FD55" i="67"/>
  <c r="EN55" i="67"/>
  <c r="DH55" i="67"/>
  <c r="DX55" i="67"/>
  <c r="CR55" i="67"/>
  <c r="BL55" i="67"/>
  <c r="CB55" i="67"/>
  <c r="AV55" i="67"/>
  <c r="AF55" i="67"/>
  <c r="P55" i="67"/>
  <c r="GJ54" i="67"/>
  <c r="FT54" i="67"/>
  <c r="EN54" i="67"/>
  <c r="FD54" i="67"/>
  <c r="DX54" i="67"/>
  <c r="CR54" i="67"/>
  <c r="DH54" i="67"/>
  <c r="CB54" i="67"/>
  <c r="AV54" i="67"/>
  <c r="BL54" i="67"/>
  <c r="AF54" i="67"/>
  <c r="P54" i="67"/>
  <c r="GJ53" i="67"/>
  <c r="FT53" i="67"/>
  <c r="FD53" i="67"/>
  <c r="EN53" i="67"/>
  <c r="DX53" i="67"/>
  <c r="CR53" i="67"/>
  <c r="DH53" i="67"/>
  <c r="CB53" i="67"/>
  <c r="AV53" i="67"/>
  <c r="BL53" i="67"/>
  <c r="P53" i="67"/>
  <c r="GJ52" i="67"/>
  <c r="FT52" i="67"/>
  <c r="EN52" i="67"/>
  <c r="FD52" i="67"/>
  <c r="DH52" i="67"/>
  <c r="DX52" i="67"/>
  <c r="CR52" i="67"/>
  <c r="BL52" i="67"/>
  <c r="CB52" i="67"/>
  <c r="AV52" i="67"/>
  <c r="AF52" i="67"/>
  <c r="P52" i="67"/>
  <c r="FT51" i="67"/>
  <c r="GJ51" i="67"/>
  <c r="EN51" i="67"/>
  <c r="DX51" i="67"/>
  <c r="CR51" i="67"/>
  <c r="DH51" i="67"/>
  <c r="FD51" i="67"/>
  <c r="CB51" i="67"/>
  <c r="AV51" i="67"/>
  <c r="BL51" i="67"/>
  <c r="P51" i="67"/>
  <c r="AF51" i="67"/>
  <c r="AK50" i="62"/>
  <c r="O50" i="71" s="1"/>
  <c r="GJ50" i="67"/>
  <c r="FT50" i="67"/>
  <c r="FD50" i="67"/>
  <c r="EN50" i="67"/>
  <c r="DH50" i="67"/>
  <c r="DX50" i="67"/>
  <c r="CR50" i="67"/>
  <c r="BL50" i="67"/>
  <c r="CB50" i="67"/>
  <c r="AV50" i="67"/>
  <c r="AF50" i="67"/>
  <c r="P50" i="67"/>
  <c r="AK49" i="62"/>
  <c r="O49" i="71" s="1"/>
  <c r="GJ49" i="67"/>
  <c r="FT49" i="67"/>
  <c r="EN49" i="67"/>
  <c r="FD49" i="67"/>
  <c r="DH49" i="67"/>
  <c r="DX49" i="67"/>
  <c r="BL49" i="67"/>
  <c r="CR49" i="67"/>
  <c r="P49" i="67"/>
  <c r="CB49" i="67"/>
  <c r="AF49" i="67"/>
  <c r="AV49" i="67"/>
  <c r="GJ48" i="67"/>
  <c r="FT48" i="67"/>
  <c r="FD48" i="67"/>
  <c r="EN48" i="67"/>
  <c r="DX48" i="67"/>
  <c r="CR48" i="67"/>
  <c r="DH48" i="67"/>
  <c r="CB48" i="67"/>
  <c r="AV48" i="67"/>
  <c r="BL48" i="67"/>
  <c r="AF48" i="67"/>
  <c r="GJ47" i="67"/>
  <c r="FT47" i="67"/>
  <c r="FD47" i="67"/>
  <c r="DH47" i="67"/>
  <c r="EN47" i="67"/>
  <c r="DX47" i="67"/>
  <c r="CR47" i="67"/>
  <c r="BL47" i="67"/>
  <c r="CB47" i="67"/>
  <c r="AV47" i="67"/>
  <c r="AF47" i="67"/>
  <c r="P47" i="67"/>
  <c r="GJ46" i="67"/>
  <c r="FT46" i="67"/>
  <c r="EN46" i="67"/>
  <c r="FD46" i="67"/>
  <c r="DX46" i="67"/>
  <c r="CR46" i="67"/>
  <c r="DH46" i="67"/>
  <c r="CB46" i="67"/>
  <c r="AV46" i="67"/>
  <c r="BL46" i="67"/>
  <c r="AF46" i="67"/>
  <c r="P46" i="67"/>
  <c r="GJ45" i="67"/>
  <c r="FT45" i="67"/>
  <c r="FD45" i="67"/>
  <c r="EN45" i="67"/>
  <c r="DX45" i="67"/>
  <c r="CR45" i="67"/>
  <c r="CB45" i="67"/>
  <c r="AV45" i="67"/>
  <c r="DH45" i="67"/>
  <c r="P45" i="67"/>
  <c r="BL45" i="67"/>
  <c r="GJ44" i="67"/>
  <c r="FT44" i="67"/>
  <c r="EN44" i="67"/>
  <c r="FD44" i="67"/>
  <c r="DH44" i="67"/>
  <c r="DX44" i="67"/>
  <c r="CR44" i="67"/>
  <c r="BL44" i="67"/>
  <c r="CB44" i="67"/>
  <c r="AV44" i="67"/>
  <c r="AF44" i="67"/>
  <c r="P44" i="67"/>
  <c r="FT43" i="67"/>
  <c r="GJ43" i="67"/>
  <c r="EN43" i="67"/>
  <c r="FD43" i="67"/>
  <c r="DX43" i="67"/>
  <c r="CR43" i="67"/>
  <c r="DH43" i="67"/>
  <c r="CB43" i="67"/>
  <c r="AV43" i="67"/>
  <c r="BL43" i="67"/>
  <c r="P43" i="67"/>
  <c r="AF43" i="67"/>
  <c r="AK42" i="62"/>
  <c r="O42" i="71" s="1"/>
  <c r="GJ42" i="67"/>
  <c r="FD42" i="67"/>
  <c r="FT42" i="67"/>
  <c r="EN42" i="67"/>
  <c r="DH42" i="67"/>
  <c r="DX42" i="67"/>
  <c r="CR42" i="67"/>
  <c r="BL42" i="67"/>
  <c r="CB42" i="67"/>
  <c r="AV42" i="67"/>
  <c r="AF42" i="67"/>
  <c r="P42" i="67"/>
  <c r="AK41" i="62"/>
  <c r="O41" i="71" s="1"/>
  <c r="GJ41" i="67"/>
  <c r="FT41" i="67"/>
  <c r="EN41" i="67"/>
  <c r="FD41" i="67"/>
  <c r="DH41" i="67"/>
  <c r="DX41" i="67"/>
  <c r="BL41" i="67"/>
  <c r="AV41" i="67"/>
  <c r="P41" i="67"/>
  <c r="CR41" i="67"/>
  <c r="CB41" i="67"/>
  <c r="AF41" i="67"/>
  <c r="GJ40" i="67"/>
  <c r="FT40" i="67"/>
  <c r="FD40" i="67"/>
  <c r="EN40" i="67"/>
  <c r="DX40" i="67"/>
  <c r="CR40" i="67"/>
  <c r="DH40" i="67"/>
  <c r="CB40" i="67"/>
  <c r="AV40" i="67"/>
  <c r="BL40" i="67"/>
  <c r="AF40" i="67"/>
  <c r="GJ39" i="67"/>
  <c r="FT39" i="67"/>
  <c r="FD39" i="67"/>
  <c r="DH39" i="67"/>
  <c r="EN39" i="67"/>
  <c r="DX39" i="67"/>
  <c r="CR39" i="67"/>
  <c r="BL39" i="67"/>
  <c r="CB39" i="67"/>
  <c r="AV39" i="67"/>
  <c r="AF39" i="67"/>
  <c r="P39" i="67"/>
  <c r="GJ38" i="67"/>
  <c r="FT38" i="67"/>
  <c r="EN38" i="67"/>
  <c r="FD38" i="67"/>
  <c r="DX38" i="67"/>
  <c r="CR38" i="67"/>
  <c r="DH38" i="67"/>
  <c r="CB38" i="67"/>
  <c r="AV38" i="67"/>
  <c r="BL38" i="67"/>
  <c r="AF38" i="67"/>
  <c r="P38" i="67"/>
  <c r="GJ37" i="67"/>
  <c r="FT37" i="67"/>
  <c r="FD37" i="67"/>
  <c r="EN37" i="67"/>
  <c r="DX37" i="67"/>
  <c r="CR37" i="67"/>
  <c r="CB37" i="67"/>
  <c r="AV37" i="67"/>
  <c r="DH37" i="67"/>
  <c r="P37" i="67"/>
  <c r="GJ36" i="67"/>
  <c r="FT36" i="67"/>
  <c r="EN36" i="67"/>
  <c r="FD36" i="67"/>
  <c r="DH36" i="67"/>
  <c r="DX36" i="67"/>
  <c r="CR36" i="67"/>
  <c r="BL36" i="67"/>
  <c r="CB36" i="67"/>
  <c r="AV36" i="67"/>
  <c r="AF36" i="67"/>
  <c r="P36" i="67"/>
  <c r="GJ35" i="67"/>
  <c r="FT35" i="67"/>
  <c r="EN35" i="67"/>
  <c r="DX35" i="67"/>
  <c r="CR35" i="67"/>
  <c r="FD35" i="67"/>
  <c r="DH35" i="67"/>
  <c r="CB35" i="67"/>
  <c r="AV35" i="67"/>
  <c r="BL35" i="67"/>
  <c r="P35" i="67"/>
  <c r="AF35" i="67"/>
  <c r="AK34" i="62"/>
  <c r="O34" i="71" s="1"/>
  <c r="GJ34" i="67"/>
  <c r="FD34" i="67"/>
  <c r="FT34" i="67"/>
  <c r="EN34" i="67"/>
  <c r="DH34" i="67"/>
  <c r="DX34" i="67"/>
  <c r="CR34" i="67"/>
  <c r="BL34" i="67"/>
  <c r="CB34" i="67"/>
  <c r="AV34" i="67"/>
  <c r="AF34" i="67"/>
  <c r="P34" i="67"/>
  <c r="AK33" i="62"/>
  <c r="O33" i="71" s="1"/>
  <c r="GJ33" i="67"/>
  <c r="FT33" i="67"/>
  <c r="EN33" i="67"/>
  <c r="FD33" i="67"/>
  <c r="DH33" i="67"/>
  <c r="CR33" i="67"/>
  <c r="BL33" i="67"/>
  <c r="DX33" i="67"/>
  <c r="P33" i="67"/>
  <c r="AV33" i="67"/>
  <c r="AF33" i="67"/>
  <c r="CB33" i="67"/>
  <c r="GJ32" i="67"/>
  <c r="FT32" i="67"/>
  <c r="FD32" i="67"/>
  <c r="EN32" i="67"/>
  <c r="DX32" i="67"/>
  <c r="CR32" i="67"/>
  <c r="DH32" i="67"/>
  <c r="CB32" i="67"/>
  <c r="BL32" i="67"/>
  <c r="AV32" i="67"/>
  <c r="AF32" i="67"/>
  <c r="GJ31" i="67"/>
  <c r="FT31" i="67"/>
  <c r="FD31" i="67"/>
  <c r="DH31" i="67"/>
  <c r="DX31" i="67"/>
  <c r="CR31" i="67"/>
  <c r="EN31" i="67"/>
  <c r="BL31" i="67"/>
  <c r="CB31" i="67"/>
  <c r="AV31" i="67"/>
  <c r="AF31" i="67"/>
  <c r="P31" i="67"/>
  <c r="GJ30" i="67"/>
  <c r="FT30" i="67"/>
  <c r="EN30" i="67"/>
  <c r="FD30" i="67"/>
  <c r="DX30" i="67"/>
  <c r="CR30" i="67"/>
  <c r="DH30" i="67"/>
  <c r="CB30" i="67"/>
  <c r="AV30" i="67"/>
  <c r="BL30" i="67"/>
  <c r="AF30" i="67"/>
  <c r="P30" i="67"/>
  <c r="GJ29" i="67"/>
  <c r="FT29" i="67"/>
  <c r="FD29" i="67"/>
  <c r="EN29" i="67"/>
  <c r="DX29" i="67"/>
  <c r="CR29" i="67"/>
  <c r="DH29" i="67"/>
  <c r="CB29" i="67"/>
  <c r="AV29" i="67"/>
  <c r="BL29" i="67"/>
  <c r="P29" i="67"/>
  <c r="GJ28" i="67"/>
  <c r="FT28" i="67"/>
  <c r="EN28" i="67"/>
  <c r="FD28" i="67"/>
  <c r="DH28" i="67"/>
  <c r="DX28" i="67"/>
  <c r="CR28" i="67"/>
  <c r="BL28" i="67"/>
  <c r="CB28" i="67"/>
  <c r="AV28" i="67"/>
  <c r="AF28" i="67"/>
  <c r="P28" i="67"/>
  <c r="GJ27" i="67"/>
  <c r="FT27" i="67"/>
  <c r="EN27" i="67"/>
  <c r="DX27" i="67"/>
  <c r="CR27" i="67"/>
  <c r="FD27" i="67"/>
  <c r="DH27" i="67"/>
  <c r="CB27" i="67"/>
  <c r="AV27" i="67"/>
  <c r="BL27" i="67"/>
  <c r="P27" i="67"/>
  <c r="AF27" i="67"/>
  <c r="AK26" i="62"/>
  <c r="O26" i="71" s="1"/>
  <c r="GJ26" i="67"/>
  <c r="FD26" i="67"/>
  <c r="EN26" i="67"/>
  <c r="DH26" i="67"/>
  <c r="FT26" i="67"/>
  <c r="DX26" i="67"/>
  <c r="CR26" i="67"/>
  <c r="BL26" i="67"/>
  <c r="CB26" i="67"/>
  <c r="AV26" i="67"/>
  <c r="AF26" i="67"/>
  <c r="P26" i="67"/>
  <c r="AK25" i="62"/>
  <c r="O25" i="71" s="1"/>
  <c r="GJ25" i="67"/>
  <c r="FT25" i="67"/>
  <c r="EN25" i="67"/>
  <c r="FD25" i="67"/>
  <c r="DH25" i="67"/>
  <c r="CR25" i="67"/>
  <c r="BL25" i="67"/>
  <c r="DX25" i="67"/>
  <c r="P25" i="67"/>
  <c r="AF25" i="67"/>
  <c r="FT24" i="67"/>
  <c r="FD24" i="67"/>
  <c r="GJ24" i="67"/>
  <c r="EN24" i="67"/>
  <c r="DX24" i="67"/>
  <c r="CR24" i="67"/>
  <c r="DH24" i="67"/>
  <c r="CB24" i="67"/>
  <c r="BL24" i="67"/>
  <c r="AV24" i="67"/>
  <c r="AF24" i="67"/>
  <c r="GJ23" i="67"/>
  <c r="FT23" i="67"/>
  <c r="FD23" i="67"/>
  <c r="EN23" i="67"/>
  <c r="DH23" i="67"/>
  <c r="DX23" i="67"/>
  <c r="CR23" i="67"/>
  <c r="BL23" i="67"/>
  <c r="CB23" i="67"/>
  <c r="AV23" i="67"/>
  <c r="AF23" i="67"/>
  <c r="P23" i="67"/>
  <c r="GJ22" i="67"/>
  <c r="FT22" i="67"/>
  <c r="EN22" i="67"/>
  <c r="FD22" i="67"/>
  <c r="DX22" i="67"/>
  <c r="CR22" i="67"/>
  <c r="DH22" i="67"/>
  <c r="CB22" i="67"/>
  <c r="BL22" i="67"/>
  <c r="AF22" i="67"/>
  <c r="AV22" i="67"/>
  <c r="P22" i="67"/>
  <c r="GJ21" i="67"/>
  <c r="FT21" i="67"/>
  <c r="FD21" i="67"/>
  <c r="EN21" i="67"/>
  <c r="DX21" i="67"/>
  <c r="CR21" i="67"/>
  <c r="DH21" i="67"/>
  <c r="CB21" i="67"/>
  <c r="AV21" i="67"/>
  <c r="BL21" i="67"/>
  <c r="P21" i="67"/>
  <c r="GJ20" i="67"/>
  <c r="FT20" i="67"/>
  <c r="EN20" i="67"/>
  <c r="FD20" i="67"/>
  <c r="DH20" i="67"/>
  <c r="DX20" i="67"/>
  <c r="CR20" i="67"/>
  <c r="BL20" i="67"/>
  <c r="CB20" i="67"/>
  <c r="AV20" i="67"/>
  <c r="AF20" i="67"/>
  <c r="P20" i="67"/>
  <c r="GJ19" i="67"/>
  <c r="FT19" i="67"/>
  <c r="EN19" i="67"/>
  <c r="DX19" i="67"/>
  <c r="CR19" i="67"/>
  <c r="DH19" i="67"/>
  <c r="FD19" i="67"/>
  <c r="CB19" i="67"/>
  <c r="BL19" i="67"/>
  <c r="P19" i="67"/>
  <c r="AV19" i="67"/>
  <c r="AF19" i="67"/>
  <c r="AK18" i="62"/>
  <c r="O18" i="71" s="1"/>
  <c r="GJ18" i="67"/>
  <c r="FT18" i="67"/>
  <c r="FD18" i="67"/>
  <c r="EN18" i="67"/>
  <c r="DH18" i="67"/>
  <c r="DX18" i="67"/>
  <c r="CR18" i="67"/>
  <c r="BL18" i="67"/>
  <c r="CB18" i="67"/>
  <c r="AV18" i="67"/>
  <c r="AF18" i="67"/>
  <c r="P18" i="67"/>
  <c r="AK17" i="62"/>
  <c r="O17" i="71" s="1"/>
  <c r="FT17" i="67"/>
  <c r="GJ17" i="67"/>
  <c r="EN17" i="67"/>
  <c r="FD17" i="67"/>
  <c r="DH17" i="67"/>
  <c r="DX17" i="67"/>
  <c r="BL17" i="67"/>
  <c r="CR17" i="67"/>
  <c r="P17" i="67"/>
  <c r="CB17" i="67"/>
  <c r="AF17" i="67"/>
  <c r="GJ16" i="67"/>
  <c r="FT16" i="67"/>
  <c r="FD16" i="67"/>
  <c r="EN16" i="67"/>
  <c r="DX16" i="67"/>
  <c r="CR16" i="67"/>
  <c r="DH16" i="67"/>
  <c r="CB16" i="67"/>
  <c r="BL16" i="67"/>
  <c r="AV16" i="67"/>
  <c r="AF16" i="67"/>
  <c r="FT15" i="67"/>
  <c r="GJ15" i="67"/>
  <c r="FD15" i="67"/>
  <c r="DH15" i="67"/>
  <c r="EN15" i="67"/>
  <c r="DX15" i="67"/>
  <c r="CR15" i="67"/>
  <c r="BL15" i="67"/>
  <c r="CB15" i="67"/>
  <c r="AV15" i="67"/>
  <c r="AF15" i="67"/>
  <c r="P15" i="67"/>
  <c r="FT14" i="67"/>
  <c r="GJ14" i="67"/>
  <c r="EN14" i="67"/>
  <c r="FD14" i="67"/>
  <c r="DX14" i="67"/>
  <c r="CR14" i="67"/>
  <c r="DH14" i="67"/>
  <c r="CB14" i="67"/>
  <c r="BL14" i="67"/>
  <c r="AF14" i="67"/>
  <c r="AV14" i="67"/>
  <c r="P14" i="67"/>
  <c r="GJ13" i="67"/>
  <c r="FT13" i="67"/>
  <c r="FD13" i="67"/>
  <c r="EN13" i="67"/>
  <c r="DX13" i="67"/>
  <c r="CR13" i="67"/>
  <c r="CB13" i="67"/>
  <c r="AV13" i="67"/>
  <c r="DH13" i="67"/>
  <c r="P13" i="67"/>
  <c r="BL13" i="67"/>
  <c r="FT12" i="67"/>
  <c r="GJ12" i="67"/>
  <c r="EN12" i="67"/>
  <c r="FD12" i="67"/>
  <c r="DH12" i="67"/>
  <c r="DX12" i="67"/>
  <c r="CR12" i="67"/>
  <c r="BL12" i="67"/>
  <c r="CB12" i="67"/>
  <c r="AV12" i="67"/>
  <c r="AF12" i="67"/>
  <c r="P12" i="67"/>
  <c r="GJ11" i="67"/>
  <c r="FT11" i="67"/>
  <c r="EN11" i="67"/>
  <c r="FD11" i="67"/>
  <c r="DX11" i="67"/>
  <c r="CR11" i="67"/>
  <c r="DH11" i="67"/>
  <c r="CB11" i="67"/>
  <c r="BL11" i="67"/>
  <c r="P11" i="67"/>
  <c r="AV11" i="67"/>
  <c r="AF11" i="67"/>
  <c r="AK10" i="62"/>
  <c r="O10" i="71" s="1"/>
  <c r="GJ10" i="67"/>
  <c r="FD10" i="67"/>
  <c r="FT10" i="67"/>
  <c r="EN10" i="67"/>
  <c r="DH10" i="67"/>
  <c r="DX10" i="67"/>
  <c r="CR10" i="67"/>
  <c r="BL10" i="67"/>
  <c r="CB10" i="67"/>
  <c r="AV10" i="67"/>
  <c r="AF10" i="67"/>
  <c r="P10" i="67"/>
  <c r="AK9" i="62"/>
  <c r="O9" i="71" s="1"/>
  <c r="FT9" i="67"/>
  <c r="GJ9" i="67"/>
  <c r="EN9" i="67"/>
  <c r="FD9" i="67"/>
  <c r="DH9" i="67"/>
  <c r="DX9" i="67"/>
  <c r="BL9" i="67"/>
  <c r="P9" i="67"/>
  <c r="CB9" i="67"/>
  <c r="AF9" i="67"/>
  <c r="CR9" i="67"/>
  <c r="AL8" i="62"/>
  <c r="FV8" i="67"/>
  <c r="EP8" i="67"/>
  <c r="GL8" i="67"/>
  <c r="FF8" i="67"/>
  <c r="DZ8" i="67"/>
  <c r="CT8" i="67"/>
  <c r="DJ8" i="67"/>
  <c r="CD8" i="67"/>
  <c r="BN8" i="67"/>
  <c r="AX8" i="67"/>
  <c r="AH8" i="67"/>
  <c r="R8" i="67"/>
  <c r="AL193" i="62"/>
  <c r="P193" i="71" s="1"/>
  <c r="GL193" i="67"/>
  <c r="FV193" i="67"/>
  <c r="FF193" i="67"/>
  <c r="DZ193" i="67"/>
  <c r="DJ193" i="67"/>
  <c r="CD193" i="67"/>
  <c r="EP193" i="67"/>
  <c r="CT193" i="67"/>
  <c r="BN193" i="67"/>
  <c r="AX193" i="67"/>
  <c r="AH193" i="67"/>
  <c r="R193" i="67"/>
  <c r="AL192" i="62"/>
  <c r="P192" i="71" s="1"/>
  <c r="GL190" i="67"/>
  <c r="FV190" i="67"/>
  <c r="EP190" i="67"/>
  <c r="FF190" i="67"/>
  <c r="DZ190" i="67"/>
  <c r="CT190" i="67"/>
  <c r="DJ190" i="67"/>
  <c r="CD190" i="67"/>
  <c r="AX190" i="67"/>
  <c r="BN190" i="67"/>
  <c r="AH190" i="67"/>
  <c r="AL191" i="62"/>
  <c r="P191" i="71" s="1"/>
  <c r="GL189" i="67"/>
  <c r="FF189" i="67"/>
  <c r="FV189" i="67"/>
  <c r="DZ189" i="67"/>
  <c r="EP189" i="67"/>
  <c r="CT189" i="67"/>
  <c r="CD189" i="67"/>
  <c r="AX189" i="67"/>
  <c r="DJ189" i="67"/>
  <c r="BN189" i="67"/>
  <c r="AH189" i="67"/>
  <c r="R189" i="67"/>
  <c r="AL190" i="62"/>
  <c r="P190" i="71" s="1"/>
  <c r="GL188" i="67"/>
  <c r="FV188" i="67"/>
  <c r="FF188" i="67"/>
  <c r="EP188" i="67"/>
  <c r="DZ188" i="67"/>
  <c r="DJ188" i="67"/>
  <c r="CD188" i="67"/>
  <c r="CT188" i="67"/>
  <c r="BN188" i="67"/>
  <c r="AX188" i="67"/>
  <c r="AH188" i="67"/>
  <c r="R188" i="67"/>
  <c r="AL189" i="62"/>
  <c r="P189" i="71" s="1"/>
  <c r="FF187" i="67"/>
  <c r="GL187" i="67"/>
  <c r="FV187" i="67"/>
  <c r="EP187" i="67"/>
  <c r="CT187" i="67"/>
  <c r="DZ187" i="67"/>
  <c r="DJ187" i="67"/>
  <c r="CD187" i="67"/>
  <c r="AX187" i="67"/>
  <c r="BN187" i="67"/>
  <c r="AH187" i="67"/>
  <c r="R187" i="67"/>
  <c r="AL188" i="62"/>
  <c r="P188" i="71" s="1"/>
  <c r="GL186" i="67"/>
  <c r="FF186" i="67"/>
  <c r="FV186" i="67"/>
  <c r="EP186" i="67"/>
  <c r="DZ186" i="67"/>
  <c r="DJ186" i="67"/>
  <c r="CD186" i="67"/>
  <c r="CT186" i="67"/>
  <c r="BN186" i="67"/>
  <c r="AX186" i="67"/>
  <c r="AH186" i="67"/>
  <c r="AL187" i="62"/>
  <c r="P187" i="71" s="1"/>
  <c r="GL185" i="67"/>
  <c r="FV185" i="67"/>
  <c r="FF185" i="67"/>
  <c r="EP185" i="67"/>
  <c r="DZ185" i="67"/>
  <c r="DJ185" i="67"/>
  <c r="CD185" i="67"/>
  <c r="BN185" i="67"/>
  <c r="AH185" i="67"/>
  <c r="AX185" i="67"/>
  <c r="R185" i="67"/>
  <c r="AL186" i="62"/>
  <c r="P186" i="71" s="1"/>
  <c r="FF184" i="67"/>
  <c r="FV184" i="67"/>
  <c r="DZ184" i="67"/>
  <c r="GL184" i="67"/>
  <c r="EP184" i="67"/>
  <c r="CT184" i="67"/>
  <c r="DJ184" i="67"/>
  <c r="CD184" i="67"/>
  <c r="AX184" i="67"/>
  <c r="BN184" i="67"/>
  <c r="AH184" i="67"/>
  <c r="R184" i="67"/>
  <c r="AL185" i="62"/>
  <c r="P185" i="71" s="1"/>
  <c r="GL183" i="67"/>
  <c r="FV183" i="67"/>
  <c r="FF183" i="67"/>
  <c r="DZ183" i="67"/>
  <c r="DJ183" i="67"/>
  <c r="CD183" i="67"/>
  <c r="EP183" i="67"/>
  <c r="CT183" i="67"/>
  <c r="BN183" i="67"/>
  <c r="AX183" i="67"/>
  <c r="R183" i="67"/>
  <c r="AH183" i="67"/>
  <c r="AL184" i="62"/>
  <c r="P184" i="71" s="1"/>
  <c r="GL182" i="67"/>
  <c r="FV182" i="67"/>
  <c r="EP182" i="67"/>
  <c r="DZ182" i="67"/>
  <c r="CT182" i="67"/>
  <c r="DJ182" i="67"/>
  <c r="CD182" i="67"/>
  <c r="FF182" i="67"/>
  <c r="AX182" i="67"/>
  <c r="BN182" i="67"/>
  <c r="AH182" i="67"/>
  <c r="AL183" i="62"/>
  <c r="P183" i="71" s="1"/>
  <c r="GL181" i="67"/>
  <c r="FF181" i="67"/>
  <c r="FV181" i="67"/>
  <c r="EP181" i="67"/>
  <c r="DZ181" i="67"/>
  <c r="CT181" i="67"/>
  <c r="CD181" i="67"/>
  <c r="AX181" i="67"/>
  <c r="DJ181" i="67"/>
  <c r="R181" i="67"/>
  <c r="AL182" i="62"/>
  <c r="P182" i="71" s="1"/>
  <c r="GL180" i="67"/>
  <c r="FV180" i="67"/>
  <c r="FF180" i="67"/>
  <c r="EP180" i="67"/>
  <c r="DZ180" i="67"/>
  <c r="DJ180" i="67"/>
  <c r="CD180" i="67"/>
  <c r="CT180" i="67"/>
  <c r="BN180" i="67"/>
  <c r="AX180" i="67"/>
  <c r="AH180" i="67"/>
  <c r="R180" i="67"/>
  <c r="AL181" i="62"/>
  <c r="P181" i="71" s="1"/>
  <c r="FF179" i="67"/>
  <c r="FV179" i="67"/>
  <c r="GL179" i="67"/>
  <c r="EP179" i="67"/>
  <c r="CT179" i="67"/>
  <c r="DZ179" i="67"/>
  <c r="DJ179" i="67"/>
  <c r="CD179" i="67"/>
  <c r="AX179" i="67"/>
  <c r="BN179" i="67"/>
  <c r="AH179" i="67"/>
  <c r="R179" i="67"/>
  <c r="AL180" i="62"/>
  <c r="P180" i="71" s="1"/>
  <c r="GL178" i="67"/>
  <c r="FF178" i="67"/>
  <c r="FV178" i="67"/>
  <c r="EP178" i="67"/>
  <c r="DJ178" i="67"/>
  <c r="CD178" i="67"/>
  <c r="CT178" i="67"/>
  <c r="BN178" i="67"/>
  <c r="DZ178" i="67"/>
  <c r="AX178" i="67"/>
  <c r="AL179" i="62"/>
  <c r="P179" i="71" s="1"/>
  <c r="GL177" i="67"/>
  <c r="FV177" i="67"/>
  <c r="FF177" i="67"/>
  <c r="EP177" i="67"/>
  <c r="DZ177" i="67"/>
  <c r="DJ177" i="67"/>
  <c r="CD177" i="67"/>
  <c r="CT177" i="67"/>
  <c r="BN177" i="67"/>
  <c r="AH177" i="67"/>
  <c r="AX177" i="67"/>
  <c r="R177" i="67"/>
  <c r="AL178" i="62"/>
  <c r="P178" i="71" s="1"/>
  <c r="FF176" i="67"/>
  <c r="GL176" i="67"/>
  <c r="FV176" i="67"/>
  <c r="EP176" i="67"/>
  <c r="CT176" i="67"/>
  <c r="DZ176" i="67"/>
  <c r="DJ176" i="67"/>
  <c r="CD176" i="67"/>
  <c r="AX176" i="67"/>
  <c r="BN176" i="67"/>
  <c r="AH176" i="67"/>
  <c r="R176" i="67"/>
  <c r="AL177" i="62"/>
  <c r="P177" i="71" s="1"/>
  <c r="GL175" i="67"/>
  <c r="FV175" i="67"/>
  <c r="FF175" i="67"/>
  <c r="DZ175" i="67"/>
  <c r="DJ175" i="67"/>
  <c r="CD175" i="67"/>
  <c r="CT175" i="67"/>
  <c r="EP175" i="67"/>
  <c r="BN175" i="67"/>
  <c r="AX175" i="67"/>
  <c r="R175" i="67"/>
  <c r="AH175" i="67"/>
  <c r="AL176" i="62"/>
  <c r="P176" i="71" s="1"/>
  <c r="GL174" i="67"/>
  <c r="FV174" i="67"/>
  <c r="FF174" i="67"/>
  <c r="EP174" i="67"/>
  <c r="DZ174" i="67"/>
  <c r="CT174" i="67"/>
  <c r="DJ174" i="67"/>
  <c r="CD174" i="67"/>
  <c r="AX174" i="67"/>
  <c r="BN174" i="67"/>
  <c r="AL175" i="62"/>
  <c r="P175" i="71" s="1"/>
  <c r="GL173" i="67"/>
  <c r="FF173" i="67"/>
  <c r="FV173" i="67"/>
  <c r="EP173" i="67"/>
  <c r="DZ173" i="67"/>
  <c r="CT173" i="67"/>
  <c r="DJ173" i="67"/>
  <c r="AX173" i="67"/>
  <c r="CD173" i="67"/>
  <c r="BN173" i="67"/>
  <c r="AH173" i="67"/>
  <c r="R173" i="67"/>
  <c r="AL174" i="62"/>
  <c r="P174" i="71" s="1"/>
  <c r="GL172" i="67"/>
  <c r="FV172" i="67"/>
  <c r="FF172" i="67"/>
  <c r="EP172" i="67"/>
  <c r="DJ172" i="67"/>
  <c r="CD172" i="67"/>
  <c r="DZ172" i="67"/>
  <c r="CT172" i="67"/>
  <c r="BN172" i="67"/>
  <c r="AX172" i="67"/>
  <c r="R172" i="67"/>
  <c r="AH172" i="67"/>
  <c r="AL173" i="62"/>
  <c r="P173" i="71" s="1"/>
  <c r="FF171" i="67"/>
  <c r="GL171" i="67"/>
  <c r="FV171" i="67"/>
  <c r="EP171" i="67"/>
  <c r="CT171" i="67"/>
  <c r="DJ171" i="67"/>
  <c r="CD171" i="67"/>
  <c r="DZ171" i="67"/>
  <c r="AX171" i="67"/>
  <c r="BN171" i="67"/>
  <c r="AH171" i="67"/>
  <c r="R171" i="67"/>
  <c r="AL172" i="62"/>
  <c r="P172" i="71" s="1"/>
  <c r="GL170" i="67"/>
  <c r="FF170" i="67"/>
  <c r="EP170" i="67"/>
  <c r="DJ170" i="67"/>
  <c r="DZ170" i="67"/>
  <c r="CT170" i="67"/>
  <c r="BN170" i="67"/>
  <c r="CD170" i="67"/>
  <c r="AX170" i="67"/>
  <c r="FV170" i="67"/>
  <c r="AH170" i="67"/>
  <c r="AL171" i="62"/>
  <c r="P171" i="71" s="1"/>
  <c r="GL169" i="67"/>
  <c r="FV169" i="67"/>
  <c r="FF169" i="67"/>
  <c r="EP169" i="67"/>
  <c r="DZ169" i="67"/>
  <c r="DJ169" i="67"/>
  <c r="CD169" i="67"/>
  <c r="CT169" i="67"/>
  <c r="BN169" i="67"/>
  <c r="AH169" i="67"/>
  <c r="AX169" i="67"/>
  <c r="R169" i="67"/>
  <c r="AL170" i="62"/>
  <c r="P170" i="71" s="1"/>
  <c r="FF168" i="67"/>
  <c r="FV168" i="67"/>
  <c r="EP168" i="67"/>
  <c r="GL168" i="67"/>
  <c r="CT168" i="67"/>
  <c r="DZ168" i="67"/>
  <c r="DJ168" i="67"/>
  <c r="CD168" i="67"/>
  <c r="AX168" i="67"/>
  <c r="BN168" i="67"/>
  <c r="AH168" i="67"/>
  <c r="R168" i="67"/>
  <c r="AL169" i="62"/>
  <c r="P169" i="71" s="1"/>
  <c r="GL167" i="67"/>
  <c r="FV167" i="67"/>
  <c r="FF167" i="67"/>
  <c r="DZ167" i="67"/>
  <c r="EP167" i="67"/>
  <c r="DJ167" i="67"/>
  <c r="CT167" i="67"/>
  <c r="BN167" i="67"/>
  <c r="AX167" i="67"/>
  <c r="R167" i="67"/>
  <c r="CD167" i="67"/>
  <c r="AL168" i="62"/>
  <c r="P168" i="71" s="1"/>
  <c r="GL166" i="67"/>
  <c r="FV166" i="67"/>
  <c r="EP166" i="67"/>
  <c r="FF166" i="67"/>
  <c r="DZ166" i="67"/>
  <c r="CT166" i="67"/>
  <c r="DJ166" i="67"/>
  <c r="AX166" i="67"/>
  <c r="CD166" i="67"/>
  <c r="BN166" i="67"/>
  <c r="AH166" i="67"/>
  <c r="AL167" i="62"/>
  <c r="P167" i="71" s="1"/>
  <c r="GL165" i="67"/>
  <c r="FF165" i="67"/>
  <c r="FV165" i="67"/>
  <c r="EP165" i="67"/>
  <c r="CT165" i="67"/>
  <c r="DZ165" i="67"/>
  <c r="DJ165" i="67"/>
  <c r="CD165" i="67"/>
  <c r="AX165" i="67"/>
  <c r="BN165" i="67"/>
  <c r="AH165" i="67"/>
  <c r="R165" i="67"/>
  <c r="AL166" i="62"/>
  <c r="P166" i="71" s="1"/>
  <c r="GL164" i="67"/>
  <c r="FV164" i="67"/>
  <c r="FF164" i="67"/>
  <c r="EP164" i="67"/>
  <c r="DJ164" i="67"/>
  <c r="DZ164" i="67"/>
  <c r="CT164" i="67"/>
  <c r="BN164" i="67"/>
  <c r="CD164" i="67"/>
  <c r="AX164" i="67"/>
  <c r="R164" i="67"/>
  <c r="AH164" i="67"/>
  <c r="AL165" i="62"/>
  <c r="P165" i="71" s="1"/>
  <c r="FF163" i="67"/>
  <c r="FV163" i="67"/>
  <c r="GL163" i="67"/>
  <c r="EP163" i="67"/>
  <c r="DZ163" i="67"/>
  <c r="CT163" i="67"/>
  <c r="DJ163" i="67"/>
  <c r="CD163" i="67"/>
  <c r="AX163" i="67"/>
  <c r="BN163" i="67"/>
  <c r="AH163" i="67"/>
  <c r="R163" i="67"/>
  <c r="AL164" i="62"/>
  <c r="P164" i="71" s="1"/>
  <c r="GL162" i="67"/>
  <c r="FF162" i="67"/>
  <c r="FV162" i="67"/>
  <c r="EP162" i="67"/>
  <c r="DJ162" i="67"/>
  <c r="DZ162" i="67"/>
  <c r="CT162" i="67"/>
  <c r="BN162" i="67"/>
  <c r="CD162" i="67"/>
  <c r="AX162" i="67"/>
  <c r="AH162" i="67"/>
  <c r="AL163" i="62"/>
  <c r="P163" i="71" s="1"/>
  <c r="GL161" i="67"/>
  <c r="FV161" i="67"/>
  <c r="FF161" i="67"/>
  <c r="EP161" i="67"/>
  <c r="DZ161" i="67"/>
  <c r="DJ161" i="67"/>
  <c r="CD161" i="67"/>
  <c r="BN161" i="67"/>
  <c r="AH161" i="67"/>
  <c r="CT161" i="67"/>
  <c r="R161" i="67"/>
  <c r="AX161" i="67"/>
  <c r="AL162" i="62"/>
  <c r="P162" i="71" s="1"/>
  <c r="FF160" i="67"/>
  <c r="GL160" i="67"/>
  <c r="FV160" i="67"/>
  <c r="EP160" i="67"/>
  <c r="DZ160" i="67"/>
  <c r="CT160" i="67"/>
  <c r="DJ160" i="67"/>
  <c r="CD160" i="67"/>
  <c r="AX160" i="67"/>
  <c r="BN160" i="67"/>
  <c r="AH160" i="67"/>
  <c r="R160" i="67"/>
  <c r="AL161" i="62"/>
  <c r="P161" i="71" s="1"/>
  <c r="GL159" i="67"/>
  <c r="FV159" i="67"/>
  <c r="FF159" i="67"/>
  <c r="DZ159" i="67"/>
  <c r="DJ159" i="67"/>
  <c r="EP159" i="67"/>
  <c r="CT159" i="67"/>
  <c r="CD159" i="67"/>
  <c r="BN159" i="67"/>
  <c r="AX159" i="67"/>
  <c r="AH159" i="67"/>
  <c r="R159" i="67"/>
  <c r="AL160" i="62"/>
  <c r="P160" i="71" s="1"/>
  <c r="GL158" i="67"/>
  <c r="FV158" i="67"/>
  <c r="EP158" i="67"/>
  <c r="FF158" i="67"/>
  <c r="DZ158" i="67"/>
  <c r="CT158" i="67"/>
  <c r="DJ158" i="67"/>
  <c r="AX158" i="67"/>
  <c r="CD158" i="67"/>
  <c r="BN158" i="67"/>
  <c r="AH158" i="67"/>
  <c r="AL159" i="62"/>
  <c r="P159" i="71" s="1"/>
  <c r="GL157" i="67"/>
  <c r="FV157" i="67"/>
  <c r="EP157" i="67"/>
  <c r="FF157" i="67"/>
  <c r="CT157" i="67"/>
  <c r="DZ157" i="67"/>
  <c r="AX157" i="67"/>
  <c r="DJ157" i="67"/>
  <c r="CD157" i="67"/>
  <c r="BN157" i="67"/>
  <c r="AH157" i="67"/>
  <c r="R157" i="67"/>
  <c r="AL158" i="62"/>
  <c r="P158" i="71" s="1"/>
  <c r="GL156" i="67"/>
  <c r="FV156" i="67"/>
  <c r="FF156" i="67"/>
  <c r="EP156" i="67"/>
  <c r="DZ156" i="67"/>
  <c r="DJ156" i="67"/>
  <c r="CT156" i="67"/>
  <c r="CD156" i="67"/>
  <c r="BN156" i="67"/>
  <c r="AX156" i="67"/>
  <c r="AH156" i="67"/>
  <c r="R156" i="67"/>
  <c r="AL157" i="62"/>
  <c r="P157" i="71" s="1"/>
  <c r="FF155" i="67"/>
  <c r="GL155" i="67"/>
  <c r="FV155" i="67"/>
  <c r="EP155" i="67"/>
  <c r="CT155" i="67"/>
  <c r="DZ155" i="67"/>
  <c r="DJ155" i="67"/>
  <c r="CD155" i="67"/>
  <c r="AX155" i="67"/>
  <c r="BN155" i="67"/>
  <c r="AH155" i="67"/>
  <c r="R155" i="67"/>
  <c r="AL156" i="62"/>
  <c r="P156" i="71" s="1"/>
  <c r="GL154" i="67"/>
  <c r="FF154" i="67"/>
  <c r="FV154" i="67"/>
  <c r="EP154" i="67"/>
  <c r="DJ154" i="67"/>
  <c r="CT154" i="67"/>
  <c r="DZ154" i="67"/>
  <c r="BN154" i="67"/>
  <c r="AX154" i="67"/>
  <c r="CD154" i="67"/>
  <c r="AH154" i="67"/>
  <c r="AL155" i="62"/>
  <c r="P155" i="71" s="1"/>
  <c r="GL153" i="67"/>
  <c r="FV153" i="67"/>
  <c r="FF153" i="67"/>
  <c r="EP153" i="67"/>
  <c r="DZ153" i="67"/>
  <c r="DJ153" i="67"/>
  <c r="CD153" i="67"/>
  <c r="BN153" i="67"/>
  <c r="AH153" i="67"/>
  <c r="AX153" i="67"/>
  <c r="CT153" i="67"/>
  <c r="R153" i="67"/>
  <c r="AL154" i="62"/>
  <c r="P154" i="71" s="1"/>
  <c r="FF152" i="67"/>
  <c r="FV152" i="67"/>
  <c r="GL152" i="67"/>
  <c r="EP152" i="67"/>
  <c r="DZ152" i="67"/>
  <c r="CT152" i="67"/>
  <c r="DJ152" i="67"/>
  <c r="CD152" i="67"/>
  <c r="AX152" i="67"/>
  <c r="BN152" i="67"/>
  <c r="AH152" i="67"/>
  <c r="R152" i="67"/>
  <c r="AL153" i="62"/>
  <c r="P153" i="71" s="1"/>
  <c r="GL192" i="67"/>
  <c r="FV192" i="67"/>
  <c r="FF192" i="67"/>
  <c r="DZ192" i="67"/>
  <c r="DJ192" i="67"/>
  <c r="EP192" i="67"/>
  <c r="CT192" i="67"/>
  <c r="BN192" i="67"/>
  <c r="CD192" i="67"/>
  <c r="AX192" i="67"/>
  <c r="R192" i="67"/>
  <c r="AH192" i="67"/>
  <c r="AL152" i="62"/>
  <c r="P152" i="71" s="1"/>
  <c r="GL191" i="67"/>
  <c r="FV191" i="67"/>
  <c r="FF191" i="67"/>
  <c r="EP191" i="67"/>
  <c r="DZ191" i="67"/>
  <c r="CT191" i="67"/>
  <c r="DJ191" i="67"/>
  <c r="AX191" i="67"/>
  <c r="BN191" i="67"/>
  <c r="CD191" i="67"/>
  <c r="AH191" i="67"/>
  <c r="AL151" i="62"/>
  <c r="P151" i="71" s="1"/>
  <c r="GL151" i="67"/>
  <c r="FV151" i="67"/>
  <c r="FF151" i="67"/>
  <c r="EP151" i="67"/>
  <c r="DZ151" i="67"/>
  <c r="CT151" i="67"/>
  <c r="AX151" i="67"/>
  <c r="DJ151" i="67"/>
  <c r="CD151" i="67"/>
  <c r="R151" i="67"/>
  <c r="AL150" i="62"/>
  <c r="P150" i="71" s="1"/>
  <c r="GL150" i="67"/>
  <c r="FV150" i="67"/>
  <c r="FF150" i="67"/>
  <c r="EP150" i="67"/>
  <c r="DZ150" i="67"/>
  <c r="DJ150" i="67"/>
  <c r="CT150" i="67"/>
  <c r="CD150" i="67"/>
  <c r="BN150" i="67"/>
  <c r="AX150" i="67"/>
  <c r="AH150" i="67"/>
  <c r="R150" i="67"/>
  <c r="AL149" i="62"/>
  <c r="P149" i="71" s="1"/>
  <c r="FF149" i="67"/>
  <c r="FV149" i="67"/>
  <c r="GL149" i="67"/>
  <c r="EP149" i="67"/>
  <c r="CT149" i="67"/>
  <c r="DZ149" i="67"/>
  <c r="DJ149" i="67"/>
  <c r="CD149" i="67"/>
  <c r="AX149" i="67"/>
  <c r="BN149" i="67"/>
  <c r="AH149" i="67"/>
  <c r="R149" i="67"/>
  <c r="AL148" i="62"/>
  <c r="P148" i="71" s="1"/>
  <c r="GL148" i="67"/>
  <c r="FF148" i="67"/>
  <c r="FV148" i="67"/>
  <c r="EP148" i="67"/>
  <c r="DJ148" i="67"/>
  <c r="CT148" i="67"/>
  <c r="BN148" i="67"/>
  <c r="AX148" i="67"/>
  <c r="DZ148" i="67"/>
  <c r="AL147" i="62"/>
  <c r="P147" i="71" s="1"/>
  <c r="GL147" i="67"/>
  <c r="FV147" i="67"/>
  <c r="FF147" i="67"/>
  <c r="EP147" i="67"/>
  <c r="DZ147" i="67"/>
  <c r="DJ147" i="67"/>
  <c r="CD147" i="67"/>
  <c r="CT147" i="67"/>
  <c r="BN147" i="67"/>
  <c r="AH147" i="67"/>
  <c r="AX147" i="67"/>
  <c r="R147" i="67"/>
  <c r="AL146" i="62"/>
  <c r="P146" i="71" s="1"/>
  <c r="FF146" i="67"/>
  <c r="GL146" i="67"/>
  <c r="FV146" i="67"/>
  <c r="EP146" i="67"/>
  <c r="CT146" i="67"/>
  <c r="DZ146" i="67"/>
  <c r="DJ146" i="67"/>
  <c r="CD146" i="67"/>
  <c r="AX146" i="67"/>
  <c r="BN146" i="67"/>
  <c r="AH146" i="67"/>
  <c r="R146" i="67"/>
  <c r="AL145" i="62"/>
  <c r="P145" i="71" s="1"/>
  <c r="GL145" i="67"/>
  <c r="FV145" i="67"/>
  <c r="FF145" i="67"/>
  <c r="DZ145" i="67"/>
  <c r="DJ145" i="67"/>
  <c r="CT145" i="67"/>
  <c r="EP145" i="67"/>
  <c r="BN145" i="67"/>
  <c r="CD145" i="67"/>
  <c r="AX145" i="67"/>
  <c r="R145" i="67"/>
  <c r="AH145" i="67"/>
  <c r="AL144" i="62"/>
  <c r="P144" i="71" s="1"/>
  <c r="GL144" i="67"/>
  <c r="FV144" i="67"/>
  <c r="EP144" i="67"/>
  <c r="FF144" i="67"/>
  <c r="DZ144" i="67"/>
  <c r="CT144" i="67"/>
  <c r="DJ144" i="67"/>
  <c r="AX144" i="67"/>
  <c r="BN144" i="67"/>
  <c r="AH144" i="67"/>
  <c r="CD144" i="67"/>
  <c r="AL143" i="62"/>
  <c r="P143" i="71" s="1"/>
  <c r="GL143" i="67"/>
  <c r="FV143" i="67"/>
  <c r="EP143" i="67"/>
  <c r="FF143" i="67"/>
  <c r="DZ143" i="67"/>
  <c r="CT143" i="67"/>
  <c r="DJ143" i="67"/>
  <c r="CD143" i="67"/>
  <c r="AX143" i="67"/>
  <c r="BN143" i="67"/>
  <c r="AH143" i="67"/>
  <c r="R143" i="67"/>
  <c r="AL142" i="62"/>
  <c r="P142" i="71" s="1"/>
  <c r="GL142" i="67"/>
  <c r="FV142" i="67"/>
  <c r="FF142" i="67"/>
  <c r="EP142" i="67"/>
  <c r="DJ142" i="67"/>
  <c r="DZ142" i="67"/>
  <c r="CT142" i="67"/>
  <c r="BN142" i="67"/>
  <c r="CD142" i="67"/>
  <c r="AX142" i="67"/>
  <c r="R142" i="67"/>
  <c r="AH142" i="67"/>
  <c r="AL141" i="62"/>
  <c r="P141" i="71" s="1"/>
  <c r="FF141" i="67"/>
  <c r="GL141" i="67"/>
  <c r="FV141" i="67"/>
  <c r="EP141" i="67"/>
  <c r="CT141" i="67"/>
  <c r="DJ141" i="67"/>
  <c r="CD141" i="67"/>
  <c r="DZ141" i="67"/>
  <c r="AX141" i="67"/>
  <c r="BN141" i="67"/>
  <c r="AH141" i="67"/>
  <c r="R141" i="67"/>
  <c r="AL140" i="62"/>
  <c r="P140" i="71" s="1"/>
  <c r="GL140" i="67"/>
  <c r="FF140" i="67"/>
  <c r="EP140" i="67"/>
  <c r="DJ140" i="67"/>
  <c r="FV140" i="67"/>
  <c r="DZ140" i="67"/>
  <c r="CT140" i="67"/>
  <c r="BN140" i="67"/>
  <c r="CD140" i="67"/>
  <c r="AX140" i="67"/>
  <c r="AH140" i="67"/>
  <c r="AL139" i="62"/>
  <c r="P139" i="71" s="1"/>
  <c r="GL139" i="67"/>
  <c r="FV139" i="67"/>
  <c r="FF139" i="67"/>
  <c r="EP139" i="67"/>
  <c r="DJ139" i="67"/>
  <c r="CD139" i="67"/>
  <c r="DZ139" i="67"/>
  <c r="CT139" i="67"/>
  <c r="BN139" i="67"/>
  <c r="AH139" i="67"/>
  <c r="AX139" i="67"/>
  <c r="R139" i="67"/>
  <c r="AL138" i="62"/>
  <c r="P138" i="71" s="1"/>
  <c r="FF138" i="67"/>
  <c r="FV138" i="67"/>
  <c r="GL138" i="67"/>
  <c r="EP138" i="67"/>
  <c r="CT138" i="67"/>
  <c r="DJ138" i="67"/>
  <c r="CD138" i="67"/>
  <c r="DZ138" i="67"/>
  <c r="AX138" i="67"/>
  <c r="BN138" i="67"/>
  <c r="AH138" i="67"/>
  <c r="R138" i="67"/>
  <c r="AL137" i="62"/>
  <c r="P137" i="71" s="1"/>
  <c r="GL137" i="67"/>
  <c r="FV137" i="67"/>
  <c r="FF137" i="67"/>
  <c r="DZ137" i="67"/>
  <c r="EP137" i="67"/>
  <c r="DJ137" i="67"/>
  <c r="CT137" i="67"/>
  <c r="BN137" i="67"/>
  <c r="AX137" i="67"/>
  <c r="R137" i="67"/>
  <c r="AH137" i="67"/>
  <c r="CD137" i="67"/>
  <c r="AL136" i="62"/>
  <c r="P136" i="71" s="1"/>
  <c r="GL136" i="67"/>
  <c r="FV136" i="67"/>
  <c r="FF136" i="67"/>
  <c r="EP136" i="67"/>
  <c r="DZ136" i="67"/>
  <c r="CT136" i="67"/>
  <c r="DJ136" i="67"/>
  <c r="AX136" i="67"/>
  <c r="CD136" i="67"/>
  <c r="BN136" i="67"/>
  <c r="AH136" i="67"/>
  <c r="AL135" i="62"/>
  <c r="P135" i="71" s="1"/>
  <c r="GL135" i="67"/>
  <c r="FV135" i="67"/>
  <c r="FF135" i="67"/>
  <c r="EP135" i="67"/>
  <c r="CT135" i="67"/>
  <c r="DZ135" i="67"/>
  <c r="DJ135" i="67"/>
  <c r="CD135" i="67"/>
  <c r="AX135" i="67"/>
  <c r="BN135" i="67"/>
  <c r="R135" i="67"/>
  <c r="AH135" i="67"/>
  <c r="AL134" i="62"/>
  <c r="P134" i="71" s="1"/>
  <c r="GL134" i="67"/>
  <c r="FV134" i="67"/>
  <c r="FF134" i="67"/>
  <c r="EP134" i="67"/>
  <c r="DZ134" i="67"/>
  <c r="DJ134" i="67"/>
  <c r="CT134" i="67"/>
  <c r="BN134" i="67"/>
  <c r="CD134" i="67"/>
  <c r="AX134" i="67"/>
  <c r="AH134" i="67"/>
  <c r="R134" i="67"/>
  <c r="AL133" i="62"/>
  <c r="P133" i="71" s="1"/>
  <c r="FF133" i="67"/>
  <c r="FV133" i="67"/>
  <c r="GL133" i="67"/>
  <c r="EP133" i="67"/>
  <c r="CT133" i="67"/>
  <c r="DZ133" i="67"/>
  <c r="DJ133" i="67"/>
  <c r="CD133" i="67"/>
  <c r="AX133" i="67"/>
  <c r="BN133" i="67"/>
  <c r="R133" i="67"/>
  <c r="AH133" i="67"/>
  <c r="AL132" i="62"/>
  <c r="P132" i="71" s="1"/>
  <c r="GL132" i="67"/>
  <c r="FF132" i="67"/>
  <c r="FV132" i="67"/>
  <c r="EP132" i="67"/>
  <c r="DJ132" i="67"/>
  <c r="CT132" i="67"/>
  <c r="DZ132" i="67"/>
  <c r="BN132" i="67"/>
  <c r="CD132" i="67"/>
  <c r="AX132" i="67"/>
  <c r="AL131" i="62"/>
  <c r="P131" i="71" s="1"/>
  <c r="GL131" i="67"/>
  <c r="FV131" i="67"/>
  <c r="FF131" i="67"/>
  <c r="EP131" i="67"/>
  <c r="DZ131" i="67"/>
  <c r="DJ131" i="67"/>
  <c r="CD131" i="67"/>
  <c r="BN131" i="67"/>
  <c r="AH131" i="67"/>
  <c r="CT131" i="67"/>
  <c r="R131" i="67"/>
  <c r="AX131" i="67"/>
  <c r="AL130" i="62"/>
  <c r="P130" i="71" s="1"/>
  <c r="FF130" i="67"/>
  <c r="GL130" i="67"/>
  <c r="FV130" i="67"/>
  <c r="EP130" i="67"/>
  <c r="CT130" i="67"/>
  <c r="DZ130" i="67"/>
  <c r="DJ130" i="67"/>
  <c r="CD130" i="67"/>
  <c r="AX130" i="67"/>
  <c r="BN130" i="67"/>
  <c r="AH130" i="67"/>
  <c r="R130" i="67"/>
  <c r="AL129" i="62"/>
  <c r="P129" i="71" s="1"/>
  <c r="GL129" i="67"/>
  <c r="FV129" i="67"/>
  <c r="FF129" i="67"/>
  <c r="DZ129" i="67"/>
  <c r="DJ129" i="67"/>
  <c r="EP129" i="67"/>
  <c r="CT129" i="67"/>
  <c r="CD129" i="67"/>
  <c r="BN129" i="67"/>
  <c r="AX129" i="67"/>
  <c r="R129" i="67"/>
  <c r="AH129" i="67"/>
  <c r="AL128" i="62"/>
  <c r="P128" i="71" s="1"/>
  <c r="GL128" i="67"/>
  <c r="FV128" i="67"/>
  <c r="EP128" i="67"/>
  <c r="FF128" i="67"/>
  <c r="DZ128" i="67"/>
  <c r="CT128" i="67"/>
  <c r="DJ128" i="67"/>
  <c r="AX128" i="67"/>
  <c r="CD128" i="67"/>
  <c r="BN128" i="67"/>
  <c r="AH128" i="67"/>
  <c r="AL127" i="62"/>
  <c r="P127" i="71" s="1"/>
  <c r="GL127" i="67"/>
  <c r="FV127" i="67"/>
  <c r="EP127" i="67"/>
  <c r="FF127" i="67"/>
  <c r="DZ127" i="67"/>
  <c r="CT127" i="67"/>
  <c r="AX127" i="67"/>
  <c r="DJ127" i="67"/>
  <c r="CD127" i="67"/>
  <c r="AH127" i="67"/>
  <c r="BN127" i="67"/>
  <c r="R127" i="67"/>
  <c r="AL126" i="62"/>
  <c r="P126" i="71" s="1"/>
  <c r="GL126" i="67"/>
  <c r="FV126" i="67"/>
  <c r="FF126" i="67"/>
  <c r="EP126" i="67"/>
  <c r="DJ126" i="67"/>
  <c r="DZ126" i="67"/>
  <c r="CT126" i="67"/>
  <c r="CD126" i="67"/>
  <c r="BN126" i="67"/>
  <c r="AX126" i="67"/>
  <c r="R126" i="67"/>
  <c r="AH126" i="67"/>
  <c r="AL125" i="62"/>
  <c r="P125" i="71" s="1"/>
  <c r="GL125" i="67"/>
  <c r="FV125" i="67"/>
  <c r="FF125" i="67"/>
  <c r="EP125" i="67"/>
  <c r="DZ125" i="67"/>
  <c r="CT125" i="67"/>
  <c r="DJ125" i="67"/>
  <c r="AX125" i="67"/>
  <c r="CD125" i="67"/>
  <c r="BN125" i="67"/>
  <c r="AH125" i="67"/>
  <c r="R125" i="67"/>
  <c r="AL124" i="62"/>
  <c r="P124" i="71" s="1"/>
  <c r="FF124" i="67"/>
  <c r="GL124" i="67"/>
  <c r="FV124" i="67"/>
  <c r="EP124" i="67"/>
  <c r="DJ124" i="67"/>
  <c r="DZ124" i="67"/>
  <c r="CT124" i="67"/>
  <c r="BN124" i="67"/>
  <c r="AX124" i="67"/>
  <c r="CD124" i="67"/>
  <c r="AH124" i="67"/>
  <c r="AL123" i="62"/>
  <c r="P123" i="71" s="1"/>
  <c r="GL123" i="67"/>
  <c r="FV123" i="67"/>
  <c r="FF123" i="67"/>
  <c r="EP123" i="67"/>
  <c r="DJ123" i="67"/>
  <c r="CD123" i="67"/>
  <c r="DZ123" i="67"/>
  <c r="BN123" i="67"/>
  <c r="AH123" i="67"/>
  <c r="AX123" i="67"/>
  <c r="CT123" i="67"/>
  <c r="R123" i="67"/>
  <c r="AL122" i="62"/>
  <c r="P122" i="71" s="1"/>
  <c r="FF122" i="67"/>
  <c r="GL122" i="67"/>
  <c r="FV122" i="67"/>
  <c r="EP122" i="67"/>
  <c r="DZ122" i="67"/>
  <c r="CT122" i="67"/>
  <c r="DJ122" i="67"/>
  <c r="CD122" i="67"/>
  <c r="AX122" i="67"/>
  <c r="BN122" i="67"/>
  <c r="AH122" i="67"/>
  <c r="R122" i="67"/>
  <c r="AL121" i="62"/>
  <c r="P121" i="71" s="1"/>
  <c r="GL121" i="67"/>
  <c r="FV121" i="67"/>
  <c r="FF121" i="67"/>
  <c r="DJ121" i="67"/>
  <c r="EP121" i="67"/>
  <c r="DZ121" i="67"/>
  <c r="CT121" i="67"/>
  <c r="BN121" i="67"/>
  <c r="CD121" i="67"/>
  <c r="AX121" i="67"/>
  <c r="R121" i="67"/>
  <c r="AH121" i="67"/>
  <c r="AL120" i="62"/>
  <c r="P120" i="71" s="1"/>
  <c r="GL120" i="67"/>
  <c r="FV120" i="67"/>
  <c r="EP120" i="67"/>
  <c r="FF120" i="67"/>
  <c r="DZ120" i="67"/>
  <c r="CT120" i="67"/>
  <c r="DJ120" i="67"/>
  <c r="CD120" i="67"/>
  <c r="AX120" i="67"/>
  <c r="BN120" i="67"/>
  <c r="AH120" i="67"/>
  <c r="AL119" i="62"/>
  <c r="P119" i="71" s="1"/>
  <c r="GL119" i="67"/>
  <c r="FV119" i="67"/>
  <c r="FF119" i="67"/>
  <c r="EP119" i="67"/>
  <c r="DZ119" i="67"/>
  <c r="CT119" i="67"/>
  <c r="CD119" i="67"/>
  <c r="AX119" i="67"/>
  <c r="DJ119" i="67"/>
  <c r="R119" i="67"/>
  <c r="AH119" i="67"/>
  <c r="AL118" i="62"/>
  <c r="P118" i="71" s="1"/>
  <c r="GL118" i="67"/>
  <c r="FV118" i="67"/>
  <c r="FF118" i="67"/>
  <c r="EP118" i="67"/>
  <c r="DJ118" i="67"/>
  <c r="DZ118" i="67"/>
  <c r="CT118" i="67"/>
  <c r="BN118" i="67"/>
  <c r="CD118" i="67"/>
  <c r="AX118" i="67"/>
  <c r="AH118" i="67"/>
  <c r="R118" i="67"/>
  <c r="AL117" i="62"/>
  <c r="P117" i="71" s="1"/>
  <c r="GL117" i="67"/>
  <c r="FV117" i="67"/>
  <c r="FF117" i="67"/>
  <c r="EP117" i="67"/>
  <c r="DZ117" i="67"/>
  <c r="CT117" i="67"/>
  <c r="DJ117" i="67"/>
  <c r="CD117" i="67"/>
  <c r="AX117" i="67"/>
  <c r="BN117" i="67"/>
  <c r="R117" i="67"/>
  <c r="AH117" i="67"/>
  <c r="AL116" i="62"/>
  <c r="P116" i="71" s="1"/>
  <c r="FF116" i="67"/>
  <c r="GL116" i="67"/>
  <c r="FV116" i="67"/>
  <c r="EP116" i="67"/>
  <c r="DJ116" i="67"/>
  <c r="DZ116" i="67"/>
  <c r="CT116" i="67"/>
  <c r="BN116" i="67"/>
  <c r="CD116" i="67"/>
  <c r="AX116" i="67"/>
  <c r="AL115" i="62"/>
  <c r="P115" i="71" s="1"/>
  <c r="GL115" i="67"/>
  <c r="FV115" i="67"/>
  <c r="FF115" i="67"/>
  <c r="EP115" i="67"/>
  <c r="DJ115" i="67"/>
  <c r="CT115" i="67"/>
  <c r="BN115" i="67"/>
  <c r="AH115" i="67"/>
  <c r="DZ115" i="67"/>
  <c r="AX115" i="67"/>
  <c r="CD115" i="67"/>
  <c r="R115" i="67"/>
  <c r="AL114" i="62"/>
  <c r="P114" i="71" s="1"/>
  <c r="GL114" i="67"/>
  <c r="FF114" i="67"/>
  <c r="FV114" i="67"/>
  <c r="EP114" i="67"/>
  <c r="DZ114" i="67"/>
  <c r="CT114" i="67"/>
  <c r="DJ114" i="67"/>
  <c r="CD114" i="67"/>
  <c r="AX114" i="67"/>
  <c r="BN114" i="67"/>
  <c r="AH114" i="67"/>
  <c r="R114" i="67"/>
  <c r="AL113" i="62"/>
  <c r="P113" i="71" s="1"/>
  <c r="GL113" i="67"/>
  <c r="FV113" i="67"/>
  <c r="FF113" i="67"/>
  <c r="DJ113" i="67"/>
  <c r="DZ113" i="67"/>
  <c r="CT113" i="67"/>
  <c r="EP113" i="67"/>
  <c r="BN113" i="67"/>
  <c r="CD113" i="67"/>
  <c r="AX113" i="67"/>
  <c r="R113" i="67"/>
  <c r="AH113" i="67"/>
  <c r="AL112" i="62"/>
  <c r="P112" i="71" s="1"/>
  <c r="GL112" i="67"/>
  <c r="FV112" i="67"/>
  <c r="FF112" i="67"/>
  <c r="EP112" i="67"/>
  <c r="DZ112" i="67"/>
  <c r="CT112" i="67"/>
  <c r="DJ112" i="67"/>
  <c r="CD112" i="67"/>
  <c r="AX112" i="67"/>
  <c r="BN112" i="67"/>
  <c r="AH112" i="67"/>
  <c r="AL111" i="62"/>
  <c r="P111" i="71" s="1"/>
  <c r="GL111" i="67"/>
  <c r="FV111" i="67"/>
  <c r="FF111" i="67"/>
  <c r="EP111" i="67"/>
  <c r="DZ111" i="67"/>
  <c r="CT111" i="67"/>
  <c r="DJ111" i="67"/>
  <c r="CD111" i="67"/>
  <c r="AX111" i="67"/>
  <c r="BN111" i="67"/>
  <c r="AH111" i="67"/>
  <c r="R111" i="67"/>
  <c r="AL110" i="62"/>
  <c r="P110" i="71" s="1"/>
  <c r="GL110" i="67"/>
  <c r="FV110" i="67"/>
  <c r="FF110" i="67"/>
  <c r="EP110" i="67"/>
  <c r="DJ110" i="67"/>
  <c r="DZ110" i="67"/>
  <c r="CT110" i="67"/>
  <c r="BN110" i="67"/>
  <c r="CD110" i="67"/>
  <c r="AX110" i="67"/>
  <c r="R110" i="67"/>
  <c r="AH110" i="67"/>
  <c r="AL109" i="62"/>
  <c r="P109" i="71" s="1"/>
  <c r="GL109" i="67"/>
  <c r="FV109" i="67"/>
  <c r="FF109" i="67"/>
  <c r="EP109" i="67"/>
  <c r="DZ109" i="67"/>
  <c r="CT109" i="67"/>
  <c r="DJ109" i="67"/>
  <c r="CD109" i="67"/>
  <c r="AX109" i="67"/>
  <c r="BN109" i="67"/>
  <c r="AH109" i="67"/>
  <c r="R109" i="67"/>
  <c r="AL108" i="62"/>
  <c r="P108" i="71" s="1"/>
  <c r="GL108" i="67"/>
  <c r="FF108" i="67"/>
  <c r="EP108" i="67"/>
  <c r="DJ108" i="67"/>
  <c r="FV108" i="67"/>
  <c r="DZ108" i="67"/>
  <c r="CT108" i="67"/>
  <c r="BN108" i="67"/>
  <c r="CD108" i="67"/>
  <c r="AX108" i="67"/>
  <c r="AH108" i="67"/>
  <c r="AL107" i="62"/>
  <c r="P107" i="71" s="1"/>
  <c r="GL107" i="67"/>
  <c r="FV107" i="67"/>
  <c r="EP107" i="67"/>
  <c r="FF107" i="67"/>
  <c r="DJ107" i="67"/>
  <c r="CT107" i="67"/>
  <c r="BN107" i="67"/>
  <c r="AH107" i="67"/>
  <c r="DZ107" i="67"/>
  <c r="AX107" i="67"/>
  <c r="R107" i="67"/>
  <c r="AL106" i="62"/>
  <c r="P106" i="71" s="1"/>
  <c r="FV106" i="67"/>
  <c r="GL106" i="67"/>
  <c r="FF106" i="67"/>
  <c r="EP106" i="67"/>
  <c r="DZ106" i="67"/>
  <c r="CT106" i="67"/>
  <c r="DJ106" i="67"/>
  <c r="CD106" i="67"/>
  <c r="AX106" i="67"/>
  <c r="BN106" i="67"/>
  <c r="AH106" i="67"/>
  <c r="R106" i="67"/>
  <c r="AL105" i="62"/>
  <c r="P105" i="71" s="1"/>
  <c r="GL105" i="67"/>
  <c r="FV105" i="67"/>
  <c r="FF105" i="67"/>
  <c r="EP105" i="67"/>
  <c r="DJ105" i="67"/>
  <c r="DZ105" i="67"/>
  <c r="CT105" i="67"/>
  <c r="BN105" i="67"/>
  <c r="CD105" i="67"/>
  <c r="AX105" i="67"/>
  <c r="R105" i="67"/>
  <c r="AH105" i="67"/>
  <c r="AL104" i="62"/>
  <c r="P104" i="71" s="1"/>
  <c r="GL104" i="67"/>
  <c r="FV104" i="67"/>
  <c r="EP104" i="67"/>
  <c r="FF104" i="67"/>
  <c r="DZ104" i="67"/>
  <c r="CT104" i="67"/>
  <c r="DJ104" i="67"/>
  <c r="CD104" i="67"/>
  <c r="AX104" i="67"/>
  <c r="BN104" i="67"/>
  <c r="AH104" i="67"/>
  <c r="AL103" i="62"/>
  <c r="P103" i="71" s="1"/>
  <c r="GL103" i="67"/>
  <c r="FV103" i="67"/>
  <c r="FF103" i="67"/>
  <c r="EP103" i="67"/>
  <c r="DZ103" i="67"/>
  <c r="CT103" i="67"/>
  <c r="DJ103" i="67"/>
  <c r="CD103" i="67"/>
  <c r="AX103" i="67"/>
  <c r="BN103" i="67"/>
  <c r="R103" i="67"/>
  <c r="AH103" i="67"/>
  <c r="AL102" i="62"/>
  <c r="P102" i="71" s="1"/>
  <c r="GL102" i="67"/>
  <c r="FV102" i="67"/>
  <c r="FF102" i="67"/>
  <c r="EP102" i="67"/>
  <c r="DJ102" i="67"/>
  <c r="DZ102" i="67"/>
  <c r="CT102" i="67"/>
  <c r="BN102" i="67"/>
  <c r="CD102" i="67"/>
  <c r="AX102" i="67"/>
  <c r="AH102" i="67"/>
  <c r="R102" i="67"/>
  <c r="AL101" i="62"/>
  <c r="P101" i="71" s="1"/>
  <c r="FV101" i="67"/>
  <c r="GL101" i="67"/>
  <c r="EP101" i="67"/>
  <c r="FF101" i="67"/>
  <c r="DZ101" i="67"/>
  <c r="CT101" i="67"/>
  <c r="DJ101" i="67"/>
  <c r="CD101" i="67"/>
  <c r="AX101" i="67"/>
  <c r="BN101" i="67"/>
  <c r="R101" i="67"/>
  <c r="AH101" i="67"/>
  <c r="AL100" i="62"/>
  <c r="P100" i="71" s="1"/>
  <c r="GL100" i="67"/>
  <c r="FF100" i="67"/>
  <c r="FV100" i="67"/>
  <c r="EP100" i="67"/>
  <c r="DJ100" i="67"/>
  <c r="DZ100" i="67"/>
  <c r="CT100" i="67"/>
  <c r="BN100" i="67"/>
  <c r="CD100" i="67"/>
  <c r="AX100" i="67"/>
  <c r="AL99" i="62"/>
  <c r="P99" i="71" s="1"/>
  <c r="GL99" i="67"/>
  <c r="FV99" i="67"/>
  <c r="FF99" i="67"/>
  <c r="EP99" i="67"/>
  <c r="DJ99" i="67"/>
  <c r="DZ99" i="67"/>
  <c r="BN99" i="67"/>
  <c r="AH99" i="67"/>
  <c r="CT99" i="67"/>
  <c r="CD99" i="67"/>
  <c r="R99" i="67"/>
  <c r="AX99" i="67"/>
  <c r="AL98" i="62"/>
  <c r="P98" i="71" s="1"/>
  <c r="GL98" i="67"/>
  <c r="FV98" i="67"/>
  <c r="FF98" i="67"/>
  <c r="EP98" i="67"/>
  <c r="DZ98" i="67"/>
  <c r="CT98" i="67"/>
  <c r="DJ98" i="67"/>
  <c r="CD98" i="67"/>
  <c r="AX98" i="67"/>
  <c r="BN98" i="67"/>
  <c r="AH98" i="67"/>
  <c r="R98" i="67"/>
  <c r="AL97" i="62"/>
  <c r="P97" i="71" s="1"/>
  <c r="GL97" i="67"/>
  <c r="FV97" i="67"/>
  <c r="FF97" i="67"/>
  <c r="DJ97" i="67"/>
  <c r="EP97" i="67"/>
  <c r="DZ97" i="67"/>
  <c r="CT97" i="67"/>
  <c r="BN97" i="67"/>
  <c r="CD97" i="67"/>
  <c r="AX97" i="67"/>
  <c r="R97" i="67"/>
  <c r="AH97" i="67"/>
  <c r="AL96" i="62"/>
  <c r="P96" i="71" s="1"/>
  <c r="GL96" i="67"/>
  <c r="FV96" i="67"/>
  <c r="FF96" i="67"/>
  <c r="EP96" i="67"/>
  <c r="DZ96" i="67"/>
  <c r="CT96" i="67"/>
  <c r="DJ96" i="67"/>
  <c r="CD96" i="67"/>
  <c r="AX96" i="67"/>
  <c r="BN96" i="67"/>
  <c r="AH96" i="67"/>
  <c r="AL95" i="62"/>
  <c r="P95" i="71" s="1"/>
  <c r="GL95" i="67"/>
  <c r="FV95" i="67"/>
  <c r="FF95" i="67"/>
  <c r="EP95" i="67"/>
  <c r="DZ95" i="67"/>
  <c r="CT95" i="67"/>
  <c r="CD95" i="67"/>
  <c r="AX95" i="67"/>
  <c r="DJ95" i="67"/>
  <c r="AH95" i="67"/>
  <c r="BN95" i="67"/>
  <c r="R95" i="67"/>
  <c r="AL94" i="62"/>
  <c r="P94" i="71" s="1"/>
  <c r="GL94" i="67"/>
  <c r="FV94" i="67"/>
  <c r="FF94" i="67"/>
  <c r="EP94" i="67"/>
  <c r="DJ94" i="67"/>
  <c r="DZ94" i="67"/>
  <c r="CT94" i="67"/>
  <c r="BN94" i="67"/>
  <c r="CD94" i="67"/>
  <c r="AX94" i="67"/>
  <c r="R94" i="67"/>
  <c r="AH94" i="67"/>
  <c r="AL93" i="62"/>
  <c r="P93" i="71" s="1"/>
  <c r="GL93" i="67"/>
  <c r="FV93" i="67"/>
  <c r="FF93" i="67"/>
  <c r="EP93" i="67"/>
  <c r="DZ93" i="67"/>
  <c r="CT93" i="67"/>
  <c r="DJ93" i="67"/>
  <c r="CD93" i="67"/>
  <c r="AX93" i="67"/>
  <c r="BN93" i="67"/>
  <c r="AH93" i="67"/>
  <c r="R93" i="67"/>
  <c r="AL92" i="62"/>
  <c r="P92" i="71" s="1"/>
  <c r="FF92" i="67"/>
  <c r="GL92" i="67"/>
  <c r="FV92" i="67"/>
  <c r="EP92" i="67"/>
  <c r="DJ92" i="67"/>
  <c r="DZ92" i="67"/>
  <c r="CT92" i="67"/>
  <c r="BN92" i="67"/>
  <c r="CD92" i="67"/>
  <c r="AX92" i="67"/>
  <c r="AH92" i="67"/>
  <c r="AL91" i="62"/>
  <c r="P91" i="71" s="1"/>
  <c r="GL91" i="67"/>
  <c r="FV91" i="67"/>
  <c r="EP91" i="67"/>
  <c r="FF91" i="67"/>
  <c r="DJ91" i="67"/>
  <c r="DZ91" i="67"/>
  <c r="BN91" i="67"/>
  <c r="AH91" i="67"/>
  <c r="AX91" i="67"/>
  <c r="CD91" i="67"/>
  <c r="CT91" i="67"/>
  <c r="R91" i="67"/>
  <c r="AL90" i="62"/>
  <c r="P90" i="71" s="1"/>
  <c r="GL90" i="67"/>
  <c r="FV90" i="67"/>
  <c r="FF90" i="67"/>
  <c r="EP90" i="67"/>
  <c r="DZ90" i="67"/>
  <c r="CT90" i="67"/>
  <c r="DJ90" i="67"/>
  <c r="CD90" i="67"/>
  <c r="AX90" i="67"/>
  <c r="BN90" i="67"/>
  <c r="AH90" i="67"/>
  <c r="R90" i="67"/>
  <c r="AL89" i="62"/>
  <c r="P89" i="71" s="1"/>
  <c r="GL89" i="67"/>
  <c r="FV89" i="67"/>
  <c r="FF89" i="67"/>
  <c r="DJ89" i="67"/>
  <c r="EP89" i="67"/>
  <c r="DZ89" i="67"/>
  <c r="CT89" i="67"/>
  <c r="BN89" i="67"/>
  <c r="CD89" i="67"/>
  <c r="AX89" i="67"/>
  <c r="R89" i="67"/>
  <c r="AH89" i="67"/>
  <c r="AL88" i="62"/>
  <c r="P88" i="71" s="1"/>
  <c r="GL88" i="67"/>
  <c r="FV88" i="67"/>
  <c r="EP88" i="67"/>
  <c r="FF88" i="67"/>
  <c r="DZ88" i="67"/>
  <c r="CT88" i="67"/>
  <c r="DJ88" i="67"/>
  <c r="CD88" i="67"/>
  <c r="AX88" i="67"/>
  <c r="BN88" i="67"/>
  <c r="AH88" i="67"/>
  <c r="AL87" i="62"/>
  <c r="P87" i="71" s="1"/>
  <c r="GL87" i="67"/>
  <c r="FV87" i="67"/>
  <c r="FF87" i="67"/>
  <c r="EP87" i="67"/>
  <c r="DZ87" i="67"/>
  <c r="CT87" i="67"/>
  <c r="CD87" i="67"/>
  <c r="AX87" i="67"/>
  <c r="DJ87" i="67"/>
  <c r="R87" i="67"/>
  <c r="AL86" i="62"/>
  <c r="P86" i="71" s="1"/>
  <c r="GL86" i="67"/>
  <c r="FV86" i="67"/>
  <c r="EP86" i="67"/>
  <c r="FF86" i="67"/>
  <c r="DJ86" i="67"/>
  <c r="DZ86" i="67"/>
  <c r="CT86" i="67"/>
  <c r="BN86" i="67"/>
  <c r="CD86" i="67"/>
  <c r="AX86" i="67"/>
  <c r="AH86" i="67"/>
  <c r="R86" i="67"/>
  <c r="AL85" i="62"/>
  <c r="P85" i="71" s="1"/>
  <c r="GL85" i="67"/>
  <c r="FV85" i="67"/>
  <c r="EP85" i="67"/>
  <c r="DZ85" i="67"/>
  <c r="CT85" i="67"/>
  <c r="FF85" i="67"/>
  <c r="DJ85" i="67"/>
  <c r="CD85" i="67"/>
  <c r="AX85" i="67"/>
  <c r="BN85" i="67"/>
  <c r="R85" i="67"/>
  <c r="AH85" i="67"/>
  <c r="AL84" i="62"/>
  <c r="P84" i="71" s="1"/>
  <c r="GL84" i="67"/>
  <c r="FF84" i="67"/>
  <c r="FV84" i="67"/>
  <c r="EP84" i="67"/>
  <c r="DJ84" i="67"/>
  <c r="DZ84" i="67"/>
  <c r="CT84" i="67"/>
  <c r="BN84" i="67"/>
  <c r="CD84" i="67"/>
  <c r="AX84" i="67"/>
  <c r="AH84" i="67"/>
  <c r="AL83" i="62"/>
  <c r="P83" i="71" s="1"/>
  <c r="GL83" i="67"/>
  <c r="FV83" i="67"/>
  <c r="EP83" i="67"/>
  <c r="FF83" i="67"/>
  <c r="DJ83" i="67"/>
  <c r="CT83" i="67"/>
  <c r="BN83" i="67"/>
  <c r="DZ83" i="67"/>
  <c r="AX83" i="67"/>
  <c r="AH83" i="67"/>
  <c r="CD83" i="67"/>
  <c r="R83" i="67"/>
  <c r="AL82" i="62"/>
  <c r="P82" i="71" s="1"/>
  <c r="GL82" i="67"/>
  <c r="FV82" i="67"/>
  <c r="FF82" i="67"/>
  <c r="EP82" i="67"/>
  <c r="DZ82" i="67"/>
  <c r="CT82" i="67"/>
  <c r="DJ82" i="67"/>
  <c r="CD82" i="67"/>
  <c r="AX82" i="67"/>
  <c r="BN82" i="67"/>
  <c r="R82" i="67"/>
  <c r="AH82" i="67"/>
  <c r="AL81" i="62"/>
  <c r="P81" i="71" s="1"/>
  <c r="GL81" i="67"/>
  <c r="FV81" i="67"/>
  <c r="FF81" i="67"/>
  <c r="DJ81" i="67"/>
  <c r="DZ81" i="67"/>
  <c r="CT81" i="67"/>
  <c r="EP81" i="67"/>
  <c r="BN81" i="67"/>
  <c r="CD81" i="67"/>
  <c r="AX81" i="67"/>
  <c r="AH81" i="67"/>
  <c r="R81" i="67"/>
  <c r="AL80" i="62"/>
  <c r="P80" i="71" s="1"/>
  <c r="GL80" i="67"/>
  <c r="FV80" i="67"/>
  <c r="EP80" i="67"/>
  <c r="FF80" i="67"/>
  <c r="DZ80" i="67"/>
  <c r="CT80" i="67"/>
  <c r="DJ80" i="67"/>
  <c r="CD80" i="67"/>
  <c r="AX80" i="67"/>
  <c r="BN80" i="67"/>
  <c r="AH80" i="67"/>
  <c r="AL79" i="62"/>
  <c r="P79" i="71" s="1"/>
  <c r="GL79" i="67"/>
  <c r="FV79" i="67"/>
  <c r="FF79" i="67"/>
  <c r="EP79" i="67"/>
  <c r="DZ79" i="67"/>
  <c r="CT79" i="67"/>
  <c r="DJ79" i="67"/>
  <c r="CD79" i="67"/>
  <c r="AX79" i="67"/>
  <c r="BN79" i="67"/>
  <c r="R79" i="67"/>
  <c r="AL78" i="62"/>
  <c r="P78" i="71" s="1"/>
  <c r="GL78" i="67"/>
  <c r="FV78" i="67"/>
  <c r="EP78" i="67"/>
  <c r="FF78" i="67"/>
  <c r="DJ78" i="67"/>
  <c r="DZ78" i="67"/>
  <c r="CT78" i="67"/>
  <c r="BN78" i="67"/>
  <c r="CD78" i="67"/>
  <c r="AX78" i="67"/>
  <c r="AH78" i="67"/>
  <c r="R78" i="67"/>
  <c r="AL77" i="62"/>
  <c r="P77" i="71" s="1"/>
  <c r="GL77" i="67"/>
  <c r="FV77" i="67"/>
  <c r="EP77" i="67"/>
  <c r="DZ77" i="67"/>
  <c r="CT77" i="67"/>
  <c r="FF77" i="67"/>
  <c r="DJ77" i="67"/>
  <c r="CD77" i="67"/>
  <c r="AX77" i="67"/>
  <c r="BN77" i="67"/>
  <c r="R77" i="67"/>
  <c r="AH77" i="67"/>
  <c r="AL76" i="62"/>
  <c r="P76" i="71" s="1"/>
  <c r="GL76" i="67"/>
  <c r="FF76" i="67"/>
  <c r="EP76" i="67"/>
  <c r="DJ76" i="67"/>
  <c r="DZ76" i="67"/>
  <c r="CT76" i="67"/>
  <c r="FV76" i="67"/>
  <c r="BN76" i="67"/>
  <c r="CD76" i="67"/>
  <c r="AX76" i="67"/>
  <c r="AH76" i="67"/>
  <c r="AL75" i="62"/>
  <c r="P75" i="71" s="1"/>
  <c r="GL75" i="67"/>
  <c r="FV75" i="67"/>
  <c r="EP75" i="67"/>
  <c r="FF75" i="67"/>
  <c r="DJ75" i="67"/>
  <c r="CT75" i="67"/>
  <c r="BN75" i="67"/>
  <c r="DZ75" i="67"/>
  <c r="AH75" i="67"/>
  <c r="AX75" i="67"/>
  <c r="R75" i="67"/>
  <c r="AL74" i="62"/>
  <c r="P74" i="71" s="1"/>
  <c r="FV74" i="67"/>
  <c r="GL74" i="67"/>
  <c r="FF74" i="67"/>
  <c r="EP74" i="67"/>
  <c r="DZ74" i="67"/>
  <c r="CT74" i="67"/>
  <c r="DJ74" i="67"/>
  <c r="CD74" i="67"/>
  <c r="AX74" i="67"/>
  <c r="BN74" i="67"/>
  <c r="R74" i="67"/>
  <c r="AH74" i="67"/>
  <c r="AL73" i="62"/>
  <c r="P73" i="71" s="1"/>
  <c r="GL73" i="67"/>
  <c r="FV73" i="67"/>
  <c r="FF73" i="67"/>
  <c r="EP73" i="67"/>
  <c r="DJ73" i="67"/>
  <c r="DZ73" i="67"/>
  <c r="CT73" i="67"/>
  <c r="BN73" i="67"/>
  <c r="CD73" i="67"/>
  <c r="AX73" i="67"/>
  <c r="AH73" i="67"/>
  <c r="R73" i="67"/>
  <c r="AL72" i="62"/>
  <c r="P72" i="71" s="1"/>
  <c r="GL72" i="67"/>
  <c r="FV72" i="67"/>
  <c r="EP72" i="67"/>
  <c r="FF72" i="67"/>
  <c r="DZ72" i="67"/>
  <c r="CT72" i="67"/>
  <c r="DJ72" i="67"/>
  <c r="CD72" i="67"/>
  <c r="AX72" i="67"/>
  <c r="BN72" i="67"/>
  <c r="AH72" i="67"/>
  <c r="AL71" i="62"/>
  <c r="P71" i="71" s="1"/>
  <c r="GL71" i="67"/>
  <c r="FV71" i="67"/>
  <c r="FF71" i="67"/>
  <c r="EP71" i="67"/>
  <c r="DZ71" i="67"/>
  <c r="CT71" i="67"/>
  <c r="DJ71" i="67"/>
  <c r="CD71" i="67"/>
  <c r="AX71" i="67"/>
  <c r="BN71" i="67"/>
  <c r="R71" i="67"/>
  <c r="AL70" i="62"/>
  <c r="P70" i="71" s="1"/>
  <c r="GL70" i="67"/>
  <c r="FV70" i="67"/>
  <c r="EP70" i="67"/>
  <c r="FF70" i="67"/>
  <c r="DJ70" i="67"/>
  <c r="DZ70" i="67"/>
  <c r="CT70" i="67"/>
  <c r="BN70" i="67"/>
  <c r="CD70" i="67"/>
  <c r="AX70" i="67"/>
  <c r="AH70" i="67"/>
  <c r="R70" i="67"/>
  <c r="AL69" i="62"/>
  <c r="P69" i="71" s="1"/>
  <c r="FV69" i="67"/>
  <c r="GL69" i="67"/>
  <c r="EP69" i="67"/>
  <c r="DZ69" i="67"/>
  <c r="CT69" i="67"/>
  <c r="DJ69" i="67"/>
  <c r="FF69" i="67"/>
  <c r="CD69" i="67"/>
  <c r="AX69" i="67"/>
  <c r="BN69" i="67"/>
  <c r="R69" i="67"/>
  <c r="AH69" i="67"/>
  <c r="AL68" i="62"/>
  <c r="P68" i="71" s="1"/>
  <c r="GL68" i="67"/>
  <c r="FV68" i="67"/>
  <c r="FF68" i="67"/>
  <c r="EP68" i="67"/>
  <c r="DJ68" i="67"/>
  <c r="DZ68" i="67"/>
  <c r="CT68" i="67"/>
  <c r="BN68" i="67"/>
  <c r="CD68" i="67"/>
  <c r="AX68" i="67"/>
  <c r="AH68" i="67"/>
  <c r="AL67" i="62"/>
  <c r="P67" i="71" s="1"/>
  <c r="GL67" i="67"/>
  <c r="FV67" i="67"/>
  <c r="EP67" i="67"/>
  <c r="FF67" i="67"/>
  <c r="DJ67" i="67"/>
  <c r="DZ67" i="67"/>
  <c r="BN67" i="67"/>
  <c r="CT67" i="67"/>
  <c r="CD67" i="67"/>
  <c r="AH67" i="67"/>
  <c r="R67" i="67"/>
  <c r="AX67" i="67"/>
  <c r="AL66" i="62"/>
  <c r="P66" i="71" s="1"/>
  <c r="GL66" i="67"/>
  <c r="FV66" i="67"/>
  <c r="FF66" i="67"/>
  <c r="EP66" i="67"/>
  <c r="DZ66" i="67"/>
  <c r="CT66" i="67"/>
  <c r="DJ66" i="67"/>
  <c r="CD66" i="67"/>
  <c r="AX66" i="67"/>
  <c r="BN66" i="67"/>
  <c r="R66" i="67"/>
  <c r="AH66" i="67"/>
  <c r="AL65" i="62"/>
  <c r="P65" i="71" s="1"/>
  <c r="GL65" i="67"/>
  <c r="FV65" i="67"/>
  <c r="FF65" i="67"/>
  <c r="DJ65" i="67"/>
  <c r="EP65" i="67"/>
  <c r="DZ65" i="67"/>
  <c r="CT65" i="67"/>
  <c r="BN65" i="67"/>
  <c r="CD65" i="67"/>
  <c r="AX65" i="67"/>
  <c r="AH65" i="67"/>
  <c r="R65" i="67"/>
  <c r="AL64" i="62"/>
  <c r="P64" i="71" s="1"/>
  <c r="GL64" i="67"/>
  <c r="FV64" i="67"/>
  <c r="EP64" i="67"/>
  <c r="FF64" i="67"/>
  <c r="DZ64" i="67"/>
  <c r="CT64" i="67"/>
  <c r="DJ64" i="67"/>
  <c r="CD64" i="67"/>
  <c r="AX64" i="67"/>
  <c r="BN64" i="67"/>
  <c r="AH64" i="67"/>
  <c r="AL63" i="62"/>
  <c r="P63" i="71" s="1"/>
  <c r="GL63" i="67"/>
  <c r="FV63" i="67"/>
  <c r="FF63" i="67"/>
  <c r="EP63" i="67"/>
  <c r="DZ63" i="67"/>
  <c r="CT63" i="67"/>
  <c r="CD63" i="67"/>
  <c r="AX63" i="67"/>
  <c r="DJ63" i="67"/>
  <c r="BN63" i="67"/>
  <c r="R63" i="67"/>
  <c r="AL62" i="62"/>
  <c r="P62" i="71" s="1"/>
  <c r="GL62" i="67"/>
  <c r="FV62" i="67"/>
  <c r="EP62" i="67"/>
  <c r="FF62" i="67"/>
  <c r="DJ62" i="67"/>
  <c r="DZ62" i="67"/>
  <c r="CT62" i="67"/>
  <c r="BN62" i="67"/>
  <c r="CD62" i="67"/>
  <c r="AX62" i="67"/>
  <c r="AH62" i="67"/>
  <c r="R62" i="67"/>
  <c r="AL61" i="62"/>
  <c r="P61" i="71" s="1"/>
  <c r="GL61" i="67"/>
  <c r="FV61" i="67"/>
  <c r="EP61" i="67"/>
  <c r="FF61" i="67"/>
  <c r="DZ61" i="67"/>
  <c r="CT61" i="67"/>
  <c r="DJ61" i="67"/>
  <c r="CD61" i="67"/>
  <c r="AX61" i="67"/>
  <c r="BN61" i="67"/>
  <c r="R61" i="67"/>
  <c r="AH61" i="67"/>
  <c r="AL60" i="62"/>
  <c r="P60" i="71" s="1"/>
  <c r="GL60" i="67"/>
  <c r="FF60" i="67"/>
  <c r="FV60" i="67"/>
  <c r="EP60" i="67"/>
  <c r="DJ60" i="67"/>
  <c r="DZ60" i="67"/>
  <c r="CT60" i="67"/>
  <c r="BN60" i="67"/>
  <c r="CD60" i="67"/>
  <c r="AX60" i="67"/>
  <c r="AH60" i="67"/>
  <c r="AL59" i="62"/>
  <c r="P59" i="71" s="1"/>
  <c r="GL59" i="67"/>
  <c r="FV59" i="67"/>
  <c r="EP59" i="67"/>
  <c r="FF59" i="67"/>
  <c r="DJ59" i="67"/>
  <c r="DZ59" i="67"/>
  <c r="BN59" i="67"/>
  <c r="AX59" i="67"/>
  <c r="CD59" i="67"/>
  <c r="AH59" i="67"/>
  <c r="R59" i="67"/>
  <c r="AL58" i="62"/>
  <c r="P58" i="71" s="1"/>
  <c r="GL58" i="67"/>
  <c r="FV58" i="67"/>
  <c r="FF58" i="67"/>
  <c r="EP58" i="67"/>
  <c r="DZ58" i="67"/>
  <c r="CT58" i="67"/>
  <c r="DJ58" i="67"/>
  <c r="CD58" i="67"/>
  <c r="AX58" i="67"/>
  <c r="BN58" i="67"/>
  <c r="R58" i="67"/>
  <c r="AH58" i="67"/>
  <c r="AL57" i="62"/>
  <c r="P57" i="71" s="1"/>
  <c r="GL57" i="67"/>
  <c r="FV57" i="67"/>
  <c r="FF57" i="67"/>
  <c r="DJ57" i="67"/>
  <c r="EP57" i="67"/>
  <c r="DZ57" i="67"/>
  <c r="CT57" i="67"/>
  <c r="BN57" i="67"/>
  <c r="CD57" i="67"/>
  <c r="AX57" i="67"/>
  <c r="AH57" i="67"/>
  <c r="R57" i="67"/>
  <c r="AL56" i="62"/>
  <c r="P56" i="71" s="1"/>
  <c r="GL56" i="67"/>
  <c r="FV56" i="67"/>
  <c r="EP56" i="67"/>
  <c r="FF56" i="67"/>
  <c r="DZ56" i="67"/>
  <c r="CT56" i="67"/>
  <c r="DJ56" i="67"/>
  <c r="CD56" i="67"/>
  <c r="AX56" i="67"/>
  <c r="BN56" i="67"/>
  <c r="AH56" i="67"/>
  <c r="AL55" i="62"/>
  <c r="P55" i="71" s="1"/>
  <c r="GL55" i="67"/>
  <c r="FV55" i="67"/>
  <c r="FF55" i="67"/>
  <c r="EP55" i="67"/>
  <c r="DZ55" i="67"/>
  <c r="CT55" i="67"/>
  <c r="CD55" i="67"/>
  <c r="AX55" i="67"/>
  <c r="DJ55" i="67"/>
  <c r="R55" i="67"/>
  <c r="AL54" i="62"/>
  <c r="P54" i="71" s="1"/>
  <c r="GL54" i="67"/>
  <c r="FV54" i="67"/>
  <c r="EP54" i="67"/>
  <c r="FF54" i="67"/>
  <c r="DJ54" i="67"/>
  <c r="DZ54" i="67"/>
  <c r="CT54" i="67"/>
  <c r="BN54" i="67"/>
  <c r="CD54" i="67"/>
  <c r="AX54" i="67"/>
  <c r="AH54" i="67"/>
  <c r="R54" i="67"/>
  <c r="AL53" i="62"/>
  <c r="P53" i="71" s="1"/>
  <c r="GL53" i="67"/>
  <c r="FV53" i="67"/>
  <c r="EP53" i="67"/>
  <c r="DZ53" i="67"/>
  <c r="CT53" i="67"/>
  <c r="FF53" i="67"/>
  <c r="DJ53" i="67"/>
  <c r="CD53" i="67"/>
  <c r="AX53" i="67"/>
  <c r="BN53" i="67"/>
  <c r="R53" i="67"/>
  <c r="AH53" i="67"/>
  <c r="AL52" i="62"/>
  <c r="P52" i="71" s="1"/>
  <c r="GL52" i="67"/>
  <c r="FF52" i="67"/>
  <c r="FV52" i="67"/>
  <c r="EP52" i="67"/>
  <c r="DJ52" i="67"/>
  <c r="DZ52" i="67"/>
  <c r="CT52" i="67"/>
  <c r="BN52" i="67"/>
  <c r="CD52" i="67"/>
  <c r="AX52" i="67"/>
  <c r="AH52" i="67"/>
  <c r="AL51" i="62"/>
  <c r="P51" i="71" s="1"/>
  <c r="GL51" i="67"/>
  <c r="FV51" i="67"/>
  <c r="EP51" i="67"/>
  <c r="FF51" i="67"/>
  <c r="DJ51" i="67"/>
  <c r="CT51" i="67"/>
  <c r="BN51" i="67"/>
  <c r="DZ51" i="67"/>
  <c r="AX51" i="67"/>
  <c r="AH51" i="67"/>
  <c r="CD51" i="67"/>
  <c r="R51" i="67"/>
  <c r="AL50" i="62"/>
  <c r="P50" i="71" s="1"/>
  <c r="GL50" i="67"/>
  <c r="FV50" i="67"/>
  <c r="FF50" i="67"/>
  <c r="EP50" i="67"/>
  <c r="DZ50" i="67"/>
  <c r="CT50" i="67"/>
  <c r="DJ50" i="67"/>
  <c r="CD50" i="67"/>
  <c r="AX50" i="67"/>
  <c r="BN50" i="67"/>
  <c r="R50" i="67"/>
  <c r="AH50" i="67"/>
  <c r="AL49" i="62"/>
  <c r="P49" i="71" s="1"/>
  <c r="GL49" i="67"/>
  <c r="FV49" i="67"/>
  <c r="FF49" i="67"/>
  <c r="DJ49" i="67"/>
  <c r="DZ49" i="67"/>
  <c r="CT49" i="67"/>
  <c r="EP49" i="67"/>
  <c r="BN49" i="67"/>
  <c r="CD49" i="67"/>
  <c r="AX49" i="67"/>
  <c r="AH49" i="67"/>
  <c r="R49" i="67"/>
  <c r="AL48" i="62"/>
  <c r="P48" i="71" s="1"/>
  <c r="GL48" i="67"/>
  <c r="FV48" i="67"/>
  <c r="EP48" i="67"/>
  <c r="FF48" i="67"/>
  <c r="DZ48" i="67"/>
  <c r="CT48" i="67"/>
  <c r="DJ48" i="67"/>
  <c r="CD48" i="67"/>
  <c r="AX48" i="67"/>
  <c r="BN48" i="67"/>
  <c r="AH48" i="67"/>
  <c r="AL47" i="62"/>
  <c r="P47" i="71" s="1"/>
  <c r="GL47" i="67"/>
  <c r="FV47" i="67"/>
  <c r="FF47" i="67"/>
  <c r="EP47" i="67"/>
  <c r="DZ47" i="67"/>
  <c r="CT47" i="67"/>
  <c r="DJ47" i="67"/>
  <c r="CD47" i="67"/>
  <c r="AX47" i="67"/>
  <c r="BN47" i="67"/>
  <c r="R47" i="67"/>
  <c r="AL46" i="62"/>
  <c r="P46" i="71" s="1"/>
  <c r="GL46" i="67"/>
  <c r="FV46" i="67"/>
  <c r="EP46" i="67"/>
  <c r="FF46" i="67"/>
  <c r="DJ46" i="67"/>
  <c r="DZ46" i="67"/>
  <c r="CT46" i="67"/>
  <c r="BN46" i="67"/>
  <c r="CD46" i="67"/>
  <c r="AX46" i="67"/>
  <c r="AH46" i="67"/>
  <c r="R46" i="67"/>
  <c r="AL45" i="62"/>
  <c r="P45" i="71" s="1"/>
  <c r="GL45" i="67"/>
  <c r="FV45" i="67"/>
  <c r="EP45" i="67"/>
  <c r="DZ45" i="67"/>
  <c r="CT45" i="67"/>
  <c r="FF45" i="67"/>
  <c r="DJ45" i="67"/>
  <c r="CD45" i="67"/>
  <c r="AX45" i="67"/>
  <c r="BN45" i="67"/>
  <c r="R45" i="67"/>
  <c r="AH45" i="67"/>
  <c r="AL44" i="62"/>
  <c r="P44" i="71" s="1"/>
  <c r="GL44" i="67"/>
  <c r="FF44" i="67"/>
  <c r="EP44" i="67"/>
  <c r="DJ44" i="67"/>
  <c r="DZ44" i="67"/>
  <c r="CT44" i="67"/>
  <c r="BN44" i="67"/>
  <c r="CD44" i="67"/>
  <c r="AX44" i="67"/>
  <c r="AH44" i="67"/>
  <c r="FV44" i="67"/>
  <c r="AL43" i="62"/>
  <c r="P43" i="71" s="1"/>
  <c r="GL43" i="67"/>
  <c r="FV43" i="67"/>
  <c r="EP43" i="67"/>
  <c r="FF43" i="67"/>
  <c r="DJ43" i="67"/>
  <c r="CT43" i="67"/>
  <c r="BN43" i="67"/>
  <c r="DZ43" i="67"/>
  <c r="AH43" i="67"/>
  <c r="AX43" i="67"/>
  <c r="R43" i="67"/>
  <c r="AL42" i="62"/>
  <c r="P42" i="71" s="1"/>
  <c r="FV42" i="67"/>
  <c r="GL42" i="67"/>
  <c r="FF42" i="67"/>
  <c r="EP42" i="67"/>
  <c r="DZ42" i="67"/>
  <c r="CT42" i="67"/>
  <c r="DJ42" i="67"/>
  <c r="CD42" i="67"/>
  <c r="AX42" i="67"/>
  <c r="BN42" i="67"/>
  <c r="R42" i="67"/>
  <c r="AH42" i="67"/>
  <c r="AL41" i="62"/>
  <c r="P41" i="71" s="1"/>
  <c r="GL41" i="67"/>
  <c r="FV41" i="67"/>
  <c r="FF41" i="67"/>
  <c r="EP41" i="67"/>
  <c r="DJ41" i="67"/>
  <c r="DZ41" i="67"/>
  <c r="CT41" i="67"/>
  <c r="BN41" i="67"/>
  <c r="CD41" i="67"/>
  <c r="AX41" i="67"/>
  <c r="AH41" i="67"/>
  <c r="R41" i="67"/>
  <c r="AL40" i="62"/>
  <c r="P40" i="71" s="1"/>
  <c r="GL40" i="67"/>
  <c r="FV40" i="67"/>
  <c r="EP40" i="67"/>
  <c r="FF40" i="67"/>
  <c r="DZ40" i="67"/>
  <c r="CT40" i="67"/>
  <c r="DJ40" i="67"/>
  <c r="CD40" i="67"/>
  <c r="AX40" i="67"/>
  <c r="BN40" i="67"/>
  <c r="AH40" i="67"/>
  <c r="AL39" i="62"/>
  <c r="P39" i="71" s="1"/>
  <c r="GL39" i="67"/>
  <c r="FV39" i="67"/>
  <c r="FF39" i="67"/>
  <c r="EP39" i="67"/>
  <c r="DZ39" i="67"/>
  <c r="CT39" i="67"/>
  <c r="DJ39" i="67"/>
  <c r="CD39" i="67"/>
  <c r="AX39" i="67"/>
  <c r="BN39" i="67"/>
  <c r="R39" i="67"/>
  <c r="AL38" i="62"/>
  <c r="P38" i="71" s="1"/>
  <c r="GL38" i="67"/>
  <c r="FV38" i="67"/>
  <c r="EP38" i="67"/>
  <c r="FF38" i="67"/>
  <c r="DJ38" i="67"/>
  <c r="DZ38" i="67"/>
  <c r="CT38" i="67"/>
  <c r="BN38" i="67"/>
  <c r="CD38" i="67"/>
  <c r="AX38" i="67"/>
  <c r="AH38" i="67"/>
  <c r="R38" i="67"/>
  <c r="AL37" i="62"/>
  <c r="P37" i="71" s="1"/>
  <c r="FV37" i="67"/>
  <c r="GL37" i="67"/>
  <c r="EP37" i="67"/>
  <c r="DZ37" i="67"/>
  <c r="CT37" i="67"/>
  <c r="DJ37" i="67"/>
  <c r="FF37" i="67"/>
  <c r="CD37" i="67"/>
  <c r="AX37" i="67"/>
  <c r="BN37" i="67"/>
  <c r="R37" i="67"/>
  <c r="AH37" i="67"/>
  <c r="AL36" i="62"/>
  <c r="P36" i="71" s="1"/>
  <c r="GL36" i="67"/>
  <c r="FV36" i="67"/>
  <c r="FF36" i="67"/>
  <c r="EP36" i="67"/>
  <c r="DJ36" i="67"/>
  <c r="DZ36" i="67"/>
  <c r="CT36" i="67"/>
  <c r="BN36" i="67"/>
  <c r="CD36" i="67"/>
  <c r="AX36" i="67"/>
  <c r="AH36" i="67"/>
  <c r="AL35" i="62"/>
  <c r="P35" i="71" s="1"/>
  <c r="GL35" i="67"/>
  <c r="FV35" i="67"/>
  <c r="EP35" i="67"/>
  <c r="FF35" i="67"/>
  <c r="DJ35" i="67"/>
  <c r="DZ35" i="67"/>
  <c r="BN35" i="67"/>
  <c r="CT35" i="67"/>
  <c r="CD35" i="67"/>
  <c r="AH35" i="67"/>
  <c r="R35" i="67"/>
  <c r="AX35" i="67"/>
  <c r="AL34" i="62"/>
  <c r="P34" i="71" s="1"/>
  <c r="GL34" i="67"/>
  <c r="FV34" i="67"/>
  <c r="FF34" i="67"/>
  <c r="EP34" i="67"/>
  <c r="DZ34" i="67"/>
  <c r="CT34" i="67"/>
  <c r="DJ34" i="67"/>
  <c r="CD34" i="67"/>
  <c r="BN34" i="67"/>
  <c r="AX34" i="67"/>
  <c r="R34" i="67"/>
  <c r="AH34" i="67"/>
  <c r="AL33" i="62"/>
  <c r="P33" i="71" s="1"/>
  <c r="GL33" i="67"/>
  <c r="FV33" i="67"/>
  <c r="FF33" i="67"/>
  <c r="DJ33" i="67"/>
  <c r="EP33" i="67"/>
  <c r="DZ33" i="67"/>
  <c r="CT33" i="67"/>
  <c r="BN33" i="67"/>
  <c r="CD33" i="67"/>
  <c r="AX33" i="67"/>
  <c r="AH33" i="67"/>
  <c r="R33" i="67"/>
  <c r="AL32" i="62"/>
  <c r="P32" i="71" s="1"/>
  <c r="GL32" i="67"/>
  <c r="FV32" i="67"/>
  <c r="EP32" i="67"/>
  <c r="FF32" i="67"/>
  <c r="DZ32" i="67"/>
  <c r="CT32" i="67"/>
  <c r="DJ32" i="67"/>
  <c r="CD32" i="67"/>
  <c r="AX32" i="67"/>
  <c r="BN32" i="67"/>
  <c r="AH32" i="67"/>
  <c r="AL31" i="62"/>
  <c r="P31" i="71" s="1"/>
  <c r="GL31" i="67"/>
  <c r="FV31" i="67"/>
  <c r="FF31" i="67"/>
  <c r="EP31" i="67"/>
  <c r="DZ31" i="67"/>
  <c r="CT31" i="67"/>
  <c r="CD31" i="67"/>
  <c r="AX31" i="67"/>
  <c r="DJ31" i="67"/>
  <c r="BN31" i="67"/>
  <c r="R31" i="67"/>
  <c r="AL30" i="62"/>
  <c r="P30" i="71" s="1"/>
  <c r="GL30" i="67"/>
  <c r="FV30" i="67"/>
  <c r="EP30" i="67"/>
  <c r="FF30" i="67"/>
  <c r="DJ30" i="67"/>
  <c r="DZ30" i="67"/>
  <c r="CT30" i="67"/>
  <c r="BN30" i="67"/>
  <c r="CD30" i="67"/>
  <c r="AX30" i="67"/>
  <c r="AH30" i="67"/>
  <c r="R30" i="67"/>
  <c r="AL29" i="62"/>
  <c r="P29" i="71" s="1"/>
  <c r="GL29" i="67"/>
  <c r="FV29" i="67"/>
  <c r="EP29" i="67"/>
  <c r="FF29" i="67"/>
  <c r="DZ29" i="67"/>
  <c r="CT29" i="67"/>
  <c r="DJ29" i="67"/>
  <c r="CD29" i="67"/>
  <c r="AX29" i="67"/>
  <c r="BN29" i="67"/>
  <c r="R29" i="67"/>
  <c r="AH29" i="67"/>
  <c r="AL28" i="62"/>
  <c r="P28" i="71" s="1"/>
  <c r="GL28" i="67"/>
  <c r="FF28" i="67"/>
  <c r="FV28" i="67"/>
  <c r="EP28" i="67"/>
  <c r="DJ28" i="67"/>
  <c r="DZ28" i="67"/>
  <c r="CT28" i="67"/>
  <c r="BN28" i="67"/>
  <c r="CD28" i="67"/>
  <c r="AX28" i="67"/>
  <c r="AH28" i="67"/>
  <c r="AL27" i="62"/>
  <c r="P27" i="71" s="1"/>
  <c r="GL27" i="67"/>
  <c r="FV27" i="67"/>
  <c r="EP27" i="67"/>
  <c r="FF27" i="67"/>
  <c r="DJ27" i="67"/>
  <c r="DZ27" i="67"/>
  <c r="BN27" i="67"/>
  <c r="CT27" i="67"/>
  <c r="AX27" i="67"/>
  <c r="CD27" i="67"/>
  <c r="AH27" i="67"/>
  <c r="R27" i="67"/>
  <c r="AL26" i="62"/>
  <c r="P26" i="71" s="1"/>
  <c r="GL26" i="67"/>
  <c r="FV26" i="67"/>
  <c r="FF26" i="67"/>
  <c r="EP26" i="67"/>
  <c r="DZ26" i="67"/>
  <c r="CT26" i="67"/>
  <c r="DJ26" i="67"/>
  <c r="CD26" i="67"/>
  <c r="BN26" i="67"/>
  <c r="R26" i="67"/>
  <c r="AX26" i="67"/>
  <c r="AH26" i="67"/>
  <c r="AL25" i="62"/>
  <c r="P25" i="71" s="1"/>
  <c r="GL25" i="67"/>
  <c r="FV25" i="67"/>
  <c r="FF25" i="67"/>
  <c r="DJ25" i="67"/>
  <c r="EP25" i="67"/>
  <c r="DZ25" i="67"/>
  <c r="CT25" i="67"/>
  <c r="BN25" i="67"/>
  <c r="CD25" i="67"/>
  <c r="AX25" i="67"/>
  <c r="AH25" i="67"/>
  <c r="R25" i="67"/>
  <c r="AL24" i="62"/>
  <c r="P24" i="71" s="1"/>
  <c r="GL24" i="67"/>
  <c r="FV24" i="67"/>
  <c r="EP24" i="67"/>
  <c r="FF24" i="67"/>
  <c r="DZ24" i="67"/>
  <c r="CT24" i="67"/>
  <c r="DJ24" i="67"/>
  <c r="CD24" i="67"/>
  <c r="BN24" i="67"/>
  <c r="AX24" i="67"/>
  <c r="AH24" i="67"/>
  <c r="AL23" i="62"/>
  <c r="P23" i="71" s="1"/>
  <c r="GL23" i="67"/>
  <c r="FV23" i="67"/>
  <c r="FF23" i="67"/>
  <c r="EP23" i="67"/>
  <c r="DZ23" i="67"/>
  <c r="CT23" i="67"/>
  <c r="CD23" i="67"/>
  <c r="AX23" i="67"/>
  <c r="DJ23" i="67"/>
  <c r="R23" i="67"/>
  <c r="AL22" i="62"/>
  <c r="P22" i="71" s="1"/>
  <c r="GL22" i="67"/>
  <c r="FV22" i="67"/>
  <c r="EP22" i="67"/>
  <c r="FF22" i="67"/>
  <c r="DJ22" i="67"/>
  <c r="DZ22" i="67"/>
  <c r="CT22" i="67"/>
  <c r="BN22" i="67"/>
  <c r="CD22" i="67"/>
  <c r="AX22" i="67"/>
  <c r="AH22" i="67"/>
  <c r="R22" i="67"/>
  <c r="AL21" i="62"/>
  <c r="P21" i="71" s="1"/>
  <c r="GL21" i="67"/>
  <c r="FV21" i="67"/>
  <c r="EP21" i="67"/>
  <c r="DZ21" i="67"/>
  <c r="CT21" i="67"/>
  <c r="FF21" i="67"/>
  <c r="DJ21" i="67"/>
  <c r="CD21" i="67"/>
  <c r="BN21" i="67"/>
  <c r="R21" i="67"/>
  <c r="AH21" i="67"/>
  <c r="AX21" i="67"/>
  <c r="AL20" i="62"/>
  <c r="P20" i="71" s="1"/>
  <c r="GL20" i="67"/>
  <c r="FF20" i="67"/>
  <c r="FV20" i="67"/>
  <c r="EP20" i="67"/>
  <c r="DJ20" i="67"/>
  <c r="DZ20" i="67"/>
  <c r="CT20" i="67"/>
  <c r="BN20" i="67"/>
  <c r="CD20" i="67"/>
  <c r="AX20" i="67"/>
  <c r="AH20" i="67"/>
  <c r="AL19" i="62"/>
  <c r="P19" i="71" s="1"/>
  <c r="FV19" i="67"/>
  <c r="GL19" i="67"/>
  <c r="EP19" i="67"/>
  <c r="FF19" i="67"/>
  <c r="DJ19" i="67"/>
  <c r="CT19" i="67"/>
  <c r="BN19" i="67"/>
  <c r="DZ19" i="67"/>
  <c r="AX19" i="67"/>
  <c r="AH19" i="67"/>
  <c r="CD19" i="67"/>
  <c r="R19" i="67"/>
  <c r="AL18" i="62"/>
  <c r="P18" i="71" s="1"/>
  <c r="GL18" i="67"/>
  <c r="FV18" i="67"/>
  <c r="FF18" i="67"/>
  <c r="EP18" i="67"/>
  <c r="DZ18" i="67"/>
  <c r="CT18" i="67"/>
  <c r="DJ18" i="67"/>
  <c r="CD18" i="67"/>
  <c r="BN18" i="67"/>
  <c r="R18" i="67"/>
  <c r="AX18" i="67"/>
  <c r="AH18" i="67"/>
  <c r="AL17" i="62"/>
  <c r="P17" i="71" s="1"/>
  <c r="FV17" i="67"/>
  <c r="GL17" i="67"/>
  <c r="FF17" i="67"/>
  <c r="DJ17" i="67"/>
  <c r="DZ17" i="67"/>
  <c r="CT17" i="67"/>
  <c r="EP17" i="67"/>
  <c r="BN17" i="67"/>
  <c r="CD17" i="67"/>
  <c r="AX17" i="67"/>
  <c r="AH17" i="67"/>
  <c r="R17" i="67"/>
  <c r="AL16" i="62"/>
  <c r="P16" i="71" s="1"/>
  <c r="FV16" i="67"/>
  <c r="EP16" i="67"/>
  <c r="GL16" i="67"/>
  <c r="FF16" i="67"/>
  <c r="DZ16" i="67"/>
  <c r="CT16" i="67"/>
  <c r="DJ16" i="67"/>
  <c r="CD16" i="67"/>
  <c r="BN16" i="67"/>
  <c r="AX16" i="67"/>
  <c r="AH16" i="67"/>
  <c r="AL15" i="62"/>
  <c r="P15" i="71" s="1"/>
  <c r="GL15" i="67"/>
  <c r="FV15" i="67"/>
  <c r="FF15" i="67"/>
  <c r="EP15" i="67"/>
  <c r="DZ15" i="67"/>
  <c r="CT15" i="67"/>
  <c r="DJ15" i="67"/>
  <c r="CD15" i="67"/>
  <c r="AX15" i="67"/>
  <c r="BN15" i="67"/>
  <c r="R15" i="67"/>
  <c r="AL14" i="62"/>
  <c r="P14" i="71" s="1"/>
  <c r="FV14" i="67"/>
  <c r="GL14" i="67"/>
  <c r="EP14" i="67"/>
  <c r="FF14" i="67"/>
  <c r="DJ14" i="67"/>
  <c r="DZ14" i="67"/>
  <c r="CT14" i="67"/>
  <c r="BN14" i="67"/>
  <c r="CD14" i="67"/>
  <c r="AX14" i="67"/>
  <c r="AH14" i="67"/>
  <c r="R14" i="67"/>
  <c r="AL13" i="62"/>
  <c r="P13" i="71" s="1"/>
  <c r="GL13" i="67"/>
  <c r="FV13" i="67"/>
  <c r="EP13" i="67"/>
  <c r="DZ13" i="67"/>
  <c r="CT13" i="67"/>
  <c r="FF13" i="67"/>
  <c r="DJ13" i="67"/>
  <c r="CD13" i="67"/>
  <c r="BN13" i="67"/>
  <c r="R13" i="67"/>
  <c r="AH13" i="67"/>
  <c r="AX13" i="67"/>
  <c r="AL12" i="62"/>
  <c r="P12" i="71" s="1"/>
  <c r="GL12" i="67"/>
  <c r="FF12" i="67"/>
  <c r="EP12" i="67"/>
  <c r="DJ12" i="67"/>
  <c r="FV12" i="67"/>
  <c r="DZ12" i="67"/>
  <c r="CT12" i="67"/>
  <c r="BN12" i="67"/>
  <c r="CD12" i="67"/>
  <c r="AX12" i="67"/>
  <c r="AH12" i="67"/>
  <c r="AL11" i="62"/>
  <c r="P11" i="71" s="1"/>
  <c r="FV11" i="67"/>
  <c r="GL11" i="67"/>
  <c r="EP11" i="67"/>
  <c r="FF11" i="67"/>
  <c r="DJ11" i="67"/>
  <c r="CT11" i="67"/>
  <c r="BN11" i="67"/>
  <c r="DZ11" i="67"/>
  <c r="AX11" i="67"/>
  <c r="AH11" i="67"/>
  <c r="R11" i="67"/>
  <c r="AL10" i="62"/>
  <c r="P10" i="71" s="1"/>
  <c r="GL10" i="67"/>
  <c r="FV10" i="67"/>
  <c r="FF10" i="67"/>
  <c r="EP10" i="67"/>
  <c r="DZ10" i="67"/>
  <c r="CT10" i="67"/>
  <c r="DJ10" i="67"/>
  <c r="CD10" i="67"/>
  <c r="BN10" i="67"/>
  <c r="R10" i="67"/>
  <c r="AX10" i="67"/>
  <c r="AH10" i="67"/>
  <c r="AL9" i="62"/>
  <c r="P9" i="71" s="1"/>
  <c r="FV9" i="67"/>
  <c r="GL9" i="67"/>
  <c r="FF9" i="67"/>
  <c r="EP9" i="67"/>
  <c r="DJ9" i="67"/>
  <c r="DZ9" i="67"/>
  <c r="CT9" i="67"/>
  <c r="BN9" i="67"/>
  <c r="CD9" i="67"/>
  <c r="AX9" i="67"/>
  <c r="AH9" i="67"/>
  <c r="R9" i="67"/>
  <c r="AM8" i="62"/>
  <c r="Q8" i="71" s="1"/>
  <c r="AK8" i="67"/>
  <c r="BA8" i="67" s="1"/>
  <c r="AM193" i="62"/>
  <c r="Q193" i="71" s="1"/>
  <c r="AK193" i="67"/>
  <c r="BA193" i="67" s="1"/>
  <c r="AM192" i="62"/>
  <c r="Q192" i="71" s="1"/>
  <c r="AK190" i="67"/>
  <c r="BA190" i="67" s="1"/>
  <c r="AM191" i="62"/>
  <c r="Q191" i="71" s="1"/>
  <c r="AK189" i="67"/>
  <c r="BA189" i="67" s="1"/>
  <c r="AM190" i="62"/>
  <c r="Q190" i="71" s="1"/>
  <c r="AK188" i="67"/>
  <c r="BA188" i="67" s="1"/>
  <c r="AM189" i="62"/>
  <c r="Q189" i="71" s="1"/>
  <c r="AK187" i="67"/>
  <c r="BA187" i="67" s="1"/>
  <c r="AM188" i="62"/>
  <c r="Q188" i="71" s="1"/>
  <c r="AK186" i="67"/>
  <c r="BA186" i="67" s="1"/>
  <c r="AM187" i="62"/>
  <c r="Q187" i="71" s="1"/>
  <c r="AK185" i="67"/>
  <c r="BA185" i="67" s="1"/>
  <c r="AM186" i="62"/>
  <c r="Q186" i="71" s="1"/>
  <c r="AK184" i="67"/>
  <c r="BA184" i="67" s="1"/>
  <c r="AM185" i="62"/>
  <c r="Q185" i="71" s="1"/>
  <c r="AK183" i="67"/>
  <c r="BA183" i="67" s="1"/>
  <c r="AM184" i="62"/>
  <c r="Q184" i="71" s="1"/>
  <c r="AK182" i="67"/>
  <c r="BA182" i="67" s="1"/>
  <c r="AM183" i="62"/>
  <c r="Q183" i="71" s="1"/>
  <c r="AK181" i="67"/>
  <c r="BA181" i="67" s="1"/>
  <c r="AM182" i="62"/>
  <c r="Q182" i="71" s="1"/>
  <c r="AK180" i="67"/>
  <c r="BA180" i="67" s="1"/>
  <c r="AM181" i="62"/>
  <c r="Q181" i="71" s="1"/>
  <c r="AK179" i="67"/>
  <c r="BA179" i="67" s="1"/>
  <c r="AM180" i="62"/>
  <c r="Q180" i="71" s="1"/>
  <c r="AM179" i="62"/>
  <c r="Q179" i="71" s="1"/>
  <c r="AM178" i="62"/>
  <c r="Q178" i="71" s="1"/>
  <c r="AK176" i="67"/>
  <c r="BA176" i="67" s="1"/>
  <c r="AM177" i="62"/>
  <c r="Q177" i="71" s="1"/>
  <c r="AK175" i="67"/>
  <c r="BA175" i="67" s="1"/>
  <c r="AM176" i="62"/>
  <c r="Q176" i="71" s="1"/>
  <c r="AK174" i="67"/>
  <c r="BA174" i="67" s="1"/>
  <c r="AM175" i="62"/>
  <c r="Q175" i="71" s="1"/>
  <c r="AM174" i="62"/>
  <c r="Q174" i="71" s="1"/>
  <c r="AK172" i="67"/>
  <c r="BA172" i="67" s="1"/>
  <c r="AM173" i="62"/>
  <c r="Q173" i="71" s="1"/>
  <c r="AK171" i="67"/>
  <c r="BA171" i="67" s="1"/>
  <c r="AM172" i="62"/>
  <c r="Q172" i="71" s="1"/>
  <c r="AK170" i="67"/>
  <c r="BA170" i="67" s="1"/>
  <c r="AM171" i="62"/>
  <c r="Q171" i="71" s="1"/>
  <c r="AK169" i="67"/>
  <c r="BA169" i="67" s="1"/>
  <c r="AM170" i="62"/>
  <c r="Q170" i="71" s="1"/>
  <c r="AK168" i="67"/>
  <c r="BA168" i="67" s="1"/>
  <c r="AM169" i="62"/>
  <c r="Q169" i="71" s="1"/>
  <c r="AK167" i="67"/>
  <c r="BA167" i="67" s="1"/>
  <c r="AM168" i="62"/>
  <c r="Q168" i="71" s="1"/>
  <c r="AK166" i="67"/>
  <c r="BA166" i="67" s="1"/>
  <c r="AM167" i="62"/>
  <c r="Q167" i="71" s="1"/>
  <c r="AK165" i="67"/>
  <c r="BA165" i="67" s="1"/>
  <c r="AM166" i="62"/>
  <c r="Q166" i="71" s="1"/>
  <c r="AK164" i="67"/>
  <c r="BA164" i="67" s="1"/>
  <c r="AM165" i="62"/>
  <c r="Q165" i="71" s="1"/>
  <c r="AK163" i="67"/>
  <c r="BA163" i="67" s="1"/>
  <c r="AM164" i="62"/>
  <c r="Q164" i="71" s="1"/>
  <c r="AK162" i="67"/>
  <c r="BA162" i="67" s="1"/>
  <c r="AM163" i="62"/>
  <c r="Q163" i="71" s="1"/>
  <c r="AK161" i="67"/>
  <c r="BA161" i="67" s="1"/>
  <c r="AM162" i="62"/>
  <c r="Q162" i="71" s="1"/>
  <c r="AK160" i="67"/>
  <c r="BA160" i="67" s="1"/>
  <c r="AM161" i="62"/>
  <c r="Q161" i="71" s="1"/>
  <c r="AK159" i="67"/>
  <c r="BA159" i="67" s="1"/>
  <c r="AM160" i="62"/>
  <c r="Q160" i="71" s="1"/>
  <c r="AK158" i="67"/>
  <c r="BA158" i="67" s="1"/>
  <c r="AM159" i="62"/>
  <c r="Q159" i="71" s="1"/>
  <c r="AK157" i="67"/>
  <c r="BA157" i="67" s="1"/>
  <c r="AM158" i="62"/>
  <c r="Q158" i="71" s="1"/>
  <c r="AK156" i="67"/>
  <c r="BA156" i="67" s="1"/>
  <c r="AM157" i="62"/>
  <c r="Q157" i="71" s="1"/>
  <c r="AK155" i="67"/>
  <c r="BA155" i="67" s="1"/>
  <c r="AM156" i="62"/>
  <c r="Q156" i="71" s="1"/>
  <c r="AK154" i="67"/>
  <c r="BA154" i="67" s="1"/>
  <c r="AM155" i="62"/>
  <c r="Q155" i="71" s="1"/>
  <c r="AK153" i="67"/>
  <c r="BA153" i="67" s="1"/>
  <c r="AM154" i="62"/>
  <c r="Q154" i="71" s="1"/>
  <c r="AK152" i="67"/>
  <c r="BA152" i="67" s="1"/>
  <c r="AM153" i="62"/>
  <c r="Q153" i="71" s="1"/>
  <c r="AK192" i="67"/>
  <c r="BA192" i="67" s="1"/>
  <c r="AM152" i="62"/>
  <c r="Q152" i="71" s="1"/>
  <c r="AK191" i="67"/>
  <c r="BA191" i="67" s="1"/>
  <c r="AM151" i="62"/>
  <c r="Q151" i="71" s="1"/>
  <c r="AK151" i="67"/>
  <c r="BA151" i="67" s="1"/>
  <c r="AM150" i="62"/>
  <c r="Q150" i="71" s="1"/>
  <c r="AK150" i="67"/>
  <c r="BA150" i="67" s="1"/>
  <c r="AM149" i="62"/>
  <c r="Q149" i="71" s="1"/>
  <c r="AK149" i="67"/>
  <c r="BA149" i="67" s="1"/>
  <c r="AM148" i="62"/>
  <c r="Q148" i="71" s="1"/>
  <c r="AK148" i="67"/>
  <c r="BA148" i="67" s="1"/>
  <c r="AM147" i="62"/>
  <c r="Q147" i="71" s="1"/>
  <c r="AK147" i="67"/>
  <c r="BA147" i="67" s="1"/>
  <c r="AM146" i="62"/>
  <c r="Q146" i="71" s="1"/>
  <c r="AK146" i="67"/>
  <c r="BA146" i="67" s="1"/>
  <c r="AM145" i="62"/>
  <c r="Q145" i="71" s="1"/>
  <c r="AK145" i="67"/>
  <c r="BA145" i="67" s="1"/>
  <c r="AM144" i="62"/>
  <c r="Q144" i="71" s="1"/>
  <c r="AK144" i="67"/>
  <c r="BA144" i="67" s="1"/>
  <c r="AM143" i="62"/>
  <c r="Q143" i="71" s="1"/>
  <c r="AK143" i="67"/>
  <c r="BA143" i="67" s="1"/>
  <c r="AM142" i="62"/>
  <c r="Q142" i="71" s="1"/>
  <c r="AK142" i="67"/>
  <c r="BA142" i="67" s="1"/>
  <c r="AM141" i="62"/>
  <c r="Q141" i="71" s="1"/>
  <c r="AK141" i="67"/>
  <c r="BA141" i="67" s="1"/>
  <c r="AM140" i="62"/>
  <c r="Q140" i="71" s="1"/>
  <c r="AK140" i="67"/>
  <c r="BA140" i="67" s="1"/>
  <c r="AM139" i="62"/>
  <c r="Q139" i="71" s="1"/>
  <c r="AK139" i="67"/>
  <c r="BA139" i="67" s="1"/>
  <c r="AM138" i="62"/>
  <c r="Q138" i="71" s="1"/>
  <c r="AK138" i="67"/>
  <c r="BA138" i="67" s="1"/>
  <c r="AM137" i="62"/>
  <c r="Q137" i="71" s="1"/>
  <c r="AK137" i="67"/>
  <c r="BA137" i="67" s="1"/>
  <c r="AM136" i="62"/>
  <c r="Q136" i="71" s="1"/>
  <c r="AK136" i="67"/>
  <c r="BA136" i="67" s="1"/>
  <c r="AM135" i="62"/>
  <c r="Q135" i="71" s="1"/>
  <c r="AK135" i="67"/>
  <c r="BA135" i="67" s="1"/>
  <c r="AM134" i="62"/>
  <c r="Q134" i="71" s="1"/>
  <c r="AK134" i="67"/>
  <c r="BA134" i="67" s="1"/>
  <c r="AM133" i="62"/>
  <c r="Q133" i="71" s="1"/>
  <c r="AK133" i="67"/>
  <c r="BA133" i="67" s="1"/>
  <c r="AM132" i="62"/>
  <c r="Q132" i="71" s="1"/>
  <c r="AK132" i="67"/>
  <c r="BA132" i="67" s="1"/>
  <c r="AM131" i="62"/>
  <c r="Q131" i="71" s="1"/>
  <c r="AK131" i="67"/>
  <c r="BA131" i="67" s="1"/>
  <c r="AM130" i="62"/>
  <c r="Q130" i="71" s="1"/>
  <c r="AK130" i="67"/>
  <c r="BA130" i="67" s="1"/>
  <c r="AM129" i="62"/>
  <c r="Q129" i="71" s="1"/>
  <c r="AM128" i="62"/>
  <c r="Q128" i="71" s="1"/>
  <c r="AM127" i="62"/>
  <c r="Q127" i="71" s="1"/>
  <c r="AK127" i="67"/>
  <c r="BA127" i="67" s="1"/>
  <c r="AM126" i="62"/>
  <c r="Q126" i="71" s="1"/>
  <c r="AK126" i="67"/>
  <c r="BA126" i="67" s="1"/>
  <c r="AM125" i="62"/>
  <c r="Q125" i="71" s="1"/>
  <c r="AK125" i="67"/>
  <c r="BA125" i="67" s="1"/>
  <c r="AM124" i="62"/>
  <c r="Q124" i="71" s="1"/>
  <c r="AK124" i="67"/>
  <c r="BA124" i="67" s="1"/>
  <c r="AM123" i="62"/>
  <c r="Q123" i="71" s="1"/>
  <c r="AK123" i="67"/>
  <c r="BA123" i="67" s="1"/>
  <c r="AM122" i="62"/>
  <c r="Q122" i="71" s="1"/>
  <c r="AK122" i="67"/>
  <c r="BA122" i="67" s="1"/>
  <c r="AM121" i="62"/>
  <c r="Q121" i="71" s="1"/>
  <c r="AK121" i="67"/>
  <c r="BA121" i="67" s="1"/>
  <c r="AM120" i="62"/>
  <c r="Q120" i="71" s="1"/>
  <c r="AK120" i="67"/>
  <c r="BA120" i="67" s="1"/>
  <c r="AM119" i="62"/>
  <c r="Q119" i="71" s="1"/>
  <c r="AK119" i="67"/>
  <c r="BA119" i="67" s="1"/>
  <c r="AM118" i="62"/>
  <c r="Q118" i="71" s="1"/>
  <c r="AK118" i="67"/>
  <c r="BA118" i="67" s="1"/>
  <c r="AM117" i="62"/>
  <c r="Q117" i="71" s="1"/>
  <c r="AK117" i="67"/>
  <c r="BA117" i="67" s="1"/>
  <c r="AM116" i="62"/>
  <c r="Q116" i="71" s="1"/>
  <c r="AK116" i="67"/>
  <c r="BA116" i="67" s="1"/>
  <c r="AM115" i="62"/>
  <c r="Q115" i="71" s="1"/>
  <c r="AK115" i="67"/>
  <c r="BA115" i="67" s="1"/>
  <c r="AM114" i="62"/>
  <c r="Q114" i="71" s="1"/>
  <c r="AK114" i="67"/>
  <c r="BA114" i="67" s="1"/>
  <c r="AM113" i="62"/>
  <c r="Q113" i="71" s="1"/>
  <c r="AK113" i="67"/>
  <c r="BA113" i="67" s="1"/>
  <c r="AM112" i="62"/>
  <c r="Q112" i="71" s="1"/>
  <c r="AK112" i="67"/>
  <c r="BA112" i="67" s="1"/>
  <c r="AM111" i="62"/>
  <c r="Q111" i="71" s="1"/>
  <c r="AK111" i="67"/>
  <c r="BA111" i="67" s="1"/>
  <c r="AM110" i="62"/>
  <c r="Q110" i="71" s="1"/>
  <c r="AK110" i="67"/>
  <c r="BA110" i="67" s="1"/>
  <c r="AM109" i="62"/>
  <c r="Q109" i="71" s="1"/>
  <c r="AK109" i="67"/>
  <c r="BA109" i="67" s="1"/>
  <c r="AM108" i="62"/>
  <c r="Q108" i="71" s="1"/>
  <c r="AK108" i="67"/>
  <c r="BA108" i="67" s="1"/>
  <c r="AM107" i="62"/>
  <c r="Q107" i="71" s="1"/>
  <c r="AK107" i="67"/>
  <c r="BA107" i="67" s="1"/>
  <c r="AM106" i="62"/>
  <c r="Q106" i="71" s="1"/>
  <c r="AK106" i="67"/>
  <c r="BA106" i="67" s="1"/>
  <c r="AM105" i="62"/>
  <c r="Q105" i="71" s="1"/>
  <c r="AK105" i="67"/>
  <c r="BA105" i="67" s="1"/>
  <c r="AM104" i="62"/>
  <c r="Q104" i="71" s="1"/>
  <c r="AK104" i="67"/>
  <c r="BA104" i="67" s="1"/>
  <c r="AM103" i="62"/>
  <c r="Q103" i="71" s="1"/>
  <c r="AK103" i="67"/>
  <c r="BA103" i="67" s="1"/>
  <c r="AM102" i="62"/>
  <c r="Q102" i="71" s="1"/>
  <c r="AK102" i="67"/>
  <c r="BA102" i="67" s="1"/>
  <c r="AM101" i="62"/>
  <c r="Q101" i="71" s="1"/>
  <c r="AK101" i="67"/>
  <c r="BA101" i="67" s="1"/>
  <c r="AM100" i="62"/>
  <c r="Q100" i="71" s="1"/>
  <c r="AK100" i="67"/>
  <c r="BA100" i="67" s="1"/>
  <c r="AM99" i="62"/>
  <c r="Q99" i="71" s="1"/>
  <c r="AK99" i="67"/>
  <c r="BA99" i="67" s="1"/>
  <c r="AM98" i="62"/>
  <c r="Q98" i="71" s="1"/>
  <c r="AK98" i="67"/>
  <c r="BA98" i="67" s="1"/>
  <c r="AM96" i="62"/>
  <c r="Q96" i="71" s="1"/>
  <c r="AK96" i="67"/>
  <c r="BA96" i="67" s="1"/>
  <c r="AM95" i="62"/>
  <c r="Q95" i="71" s="1"/>
  <c r="AK95" i="67"/>
  <c r="BA95" i="67" s="1"/>
  <c r="AM94" i="62"/>
  <c r="Q94" i="71" s="1"/>
  <c r="AK94" i="67"/>
  <c r="BA94" i="67" s="1"/>
  <c r="AM93" i="62"/>
  <c r="Q93" i="71" s="1"/>
  <c r="AK93" i="67"/>
  <c r="BA93" i="67" s="1"/>
  <c r="AM92" i="62"/>
  <c r="Q92" i="71" s="1"/>
  <c r="AK92" i="67"/>
  <c r="BA92" i="67" s="1"/>
  <c r="AM91" i="62"/>
  <c r="Q91" i="71" s="1"/>
  <c r="AK91" i="67"/>
  <c r="BA91" i="67" s="1"/>
  <c r="AM90" i="62"/>
  <c r="Q90" i="71" s="1"/>
  <c r="AK90" i="67"/>
  <c r="BA90" i="67" s="1"/>
  <c r="AM89" i="62"/>
  <c r="Q89" i="71" s="1"/>
  <c r="AK89" i="67"/>
  <c r="BA89" i="67" s="1"/>
  <c r="AM88" i="62"/>
  <c r="Q88" i="71" s="1"/>
  <c r="AK88" i="67"/>
  <c r="BA88" i="67" s="1"/>
  <c r="AM87" i="62"/>
  <c r="Q87" i="71" s="1"/>
  <c r="AK87" i="67"/>
  <c r="BA87" i="67" s="1"/>
  <c r="AM86" i="62"/>
  <c r="Q86" i="71" s="1"/>
  <c r="AK86" i="67"/>
  <c r="BA86" i="67" s="1"/>
  <c r="AM85" i="62"/>
  <c r="Q85" i="71" s="1"/>
  <c r="AK85" i="67"/>
  <c r="BA85" i="67" s="1"/>
  <c r="AM84" i="62"/>
  <c r="Q84" i="71" s="1"/>
  <c r="AK84" i="67"/>
  <c r="BA84" i="67" s="1"/>
  <c r="AM83" i="62"/>
  <c r="Q83" i="71" s="1"/>
  <c r="AK83" i="67"/>
  <c r="BA83" i="67" s="1"/>
  <c r="AM82" i="62"/>
  <c r="Q82" i="71" s="1"/>
  <c r="AK82" i="67"/>
  <c r="BA82" i="67" s="1"/>
  <c r="AM81" i="62"/>
  <c r="Q81" i="71" s="1"/>
  <c r="AK81" i="67"/>
  <c r="BA81" i="67" s="1"/>
  <c r="AM80" i="62"/>
  <c r="Q80" i="71" s="1"/>
  <c r="AK80" i="67"/>
  <c r="BA80" i="67" s="1"/>
  <c r="AM79" i="62"/>
  <c r="Q79" i="71" s="1"/>
  <c r="AK79" i="67"/>
  <c r="BA79" i="67" s="1"/>
  <c r="AM78" i="62"/>
  <c r="Q78" i="71" s="1"/>
  <c r="AK78" i="67"/>
  <c r="BA78" i="67" s="1"/>
  <c r="AM77" i="62"/>
  <c r="Q77" i="71" s="1"/>
  <c r="AK77" i="67"/>
  <c r="BA77" i="67" s="1"/>
  <c r="AM76" i="62"/>
  <c r="Q76" i="71" s="1"/>
  <c r="AK76" i="67"/>
  <c r="BA76" i="67" s="1"/>
  <c r="AM75" i="62"/>
  <c r="Q75" i="71" s="1"/>
  <c r="AK75" i="67"/>
  <c r="BA75" i="67" s="1"/>
  <c r="AM74" i="62"/>
  <c r="Q74" i="71" s="1"/>
  <c r="AK74" i="67"/>
  <c r="BA74" i="67" s="1"/>
  <c r="AM73" i="62"/>
  <c r="Q73" i="71" s="1"/>
  <c r="AK73" i="67"/>
  <c r="BA73" i="67" s="1"/>
  <c r="AM72" i="62"/>
  <c r="Q72" i="71" s="1"/>
  <c r="AK72" i="67"/>
  <c r="BA72" i="67" s="1"/>
  <c r="AM71" i="62"/>
  <c r="Q71" i="71" s="1"/>
  <c r="AK71" i="67"/>
  <c r="BA71" i="67" s="1"/>
  <c r="AM70" i="62"/>
  <c r="Q70" i="71" s="1"/>
  <c r="AK70" i="67"/>
  <c r="BA70" i="67" s="1"/>
  <c r="AM69" i="62"/>
  <c r="Q69" i="71" s="1"/>
  <c r="AK69" i="67"/>
  <c r="BA69" i="67" s="1"/>
  <c r="AM68" i="62"/>
  <c r="Q68" i="71" s="1"/>
  <c r="AK68" i="67"/>
  <c r="BA68" i="67" s="1"/>
  <c r="AM67" i="62"/>
  <c r="Q67" i="71" s="1"/>
  <c r="AK67" i="67"/>
  <c r="BA67" i="67" s="1"/>
  <c r="AM66" i="62"/>
  <c r="Q66" i="71" s="1"/>
  <c r="AK66" i="67"/>
  <c r="BA66" i="67" s="1"/>
  <c r="AM65" i="62"/>
  <c r="Q65" i="71" s="1"/>
  <c r="AK65" i="67"/>
  <c r="BA65" i="67" s="1"/>
  <c r="AM64" i="62"/>
  <c r="Q64" i="71" s="1"/>
  <c r="AK64" i="67"/>
  <c r="BA64" i="67" s="1"/>
  <c r="AM63" i="62"/>
  <c r="Q63" i="71" s="1"/>
  <c r="AK63" i="67"/>
  <c r="BA63" i="67" s="1"/>
  <c r="AM62" i="62"/>
  <c r="Q62" i="71" s="1"/>
  <c r="AK62" i="67"/>
  <c r="BA62" i="67" s="1"/>
  <c r="AM61" i="62"/>
  <c r="Q61" i="71" s="1"/>
  <c r="AK61" i="67"/>
  <c r="BA61" i="67" s="1"/>
  <c r="AM60" i="62"/>
  <c r="Q60" i="71" s="1"/>
  <c r="AK60" i="67"/>
  <c r="BA60" i="67" s="1"/>
  <c r="AM59" i="62"/>
  <c r="Q59" i="71" s="1"/>
  <c r="AK59" i="67"/>
  <c r="BA59" i="67" s="1"/>
  <c r="AM58" i="62"/>
  <c r="Q58" i="71" s="1"/>
  <c r="AK58" i="67"/>
  <c r="BA58" i="67" s="1"/>
  <c r="AM57" i="62"/>
  <c r="Q57" i="71" s="1"/>
  <c r="AM56" i="62"/>
  <c r="Q56" i="71" s="1"/>
  <c r="AK56" i="67"/>
  <c r="BA56" i="67" s="1"/>
  <c r="AM55" i="62"/>
  <c r="Q55" i="71" s="1"/>
  <c r="AK55" i="67"/>
  <c r="BA55" i="67" s="1"/>
  <c r="AM54" i="62"/>
  <c r="Q54" i="71" s="1"/>
  <c r="AM53" i="62"/>
  <c r="Q53" i="71" s="1"/>
  <c r="AK53" i="67"/>
  <c r="BA53" i="67" s="1"/>
  <c r="AM52" i="62"/>
  <c r="Q52" i="71" s="1"/>
  <c r="AK52" i="67"/>
  <c r="BA52" i="67" s="1"/>
  <c r="AM51" i="62"/>
  <c r="Q51" i="71" s="1"/>
  <c r="AK51" i="67"/>
  <c r="BA51" i="67" s="1"/>
  <c r="AM50" i="62"/>
  <c r="Q50" i="71" s="1"/>
  <c r="AK50" i="67"/>
  <c r="BA50" i="67" s="1"/>
  <c r="AM49" i="62"/>
  <c r="Q49" i="71" s="1"/>
  <c r="AK49" i="67"/>
  <c r="BA49" i="67" s="1"/>
  <c r="AM48" i="62"/>
  <c r="Q48" i="71" s="1"/>
  <c r="AK48" i="67"/>
  <c r="BA48" i="67" s="1"/>
  <c r="AM47" i="62"/>
  <c r="Q47" i="71" s="1"/>
  <c r="AK47" i="67"/>
  <c r="BA47" i="67" s="1"/>
  <c r="AM46" i="62"/>
  <c r="Q46" i="71" s="1"/>
  <c r="AK46" i="67"/>
  <c r="BA46" i="67" s="1"/>
  <c r="AM45" i="62"/>
  <c r="Q45" i="71" s="1"/>
  <c r="AK45" i="67"/>
  <c r="BA45" i="67" s="1"/>
  <c r="AM44" i="62"/>
  <c r="Q44" i="71" s="1"/>
  <c r="AK44" i="67"/>
  <c r="BA44" i="67" s="1"/>
  <c r="AM43" i="62"/>
  <c r="Q43" i="71" s="1"/>
  <c r="AK43" i="67"/>
  <c r="BA43" i="67" s="1"/>
  <c r="AM42" i="62"/>
  <c r="Q42" i="71" s="1"/>
  <c r="AK42" i="67"/>
  <c r="BA42" i="67" s="1"/>
  <c r="AM41" i="62"/>
  <c r="Q41" i="71" s="1"/>
  <c r="AK41" i="67"/>
  <c r="BA41" i="67" s="1"/>
  <c r="AM40" i="62"/>
  <c r="Q40" i="71" s="1"/>
  <c r="AK40" i="67"/>
  <c r="BA40" i="67" s="1"/>
  <c r="AM39" i="62"/>
  <c r="Q39" i="71" s="1"/>
  <c r="AK39" i="67"/>
  <c r="BA39" i="67" s="1"/>
  <c r="AM38" i="62"/>
  <c r="Q38" i="71" s="1"/>
  <c r="AK38" i="67"/>
  <c r="BA38" i="67" s="1"/>
  <c r="AM37" i="62"/>
  <c r="Q37" i="71" s="1"/>
  <c r="AK37" i="67"/>
  <c r="BA37" i="67" s="1"/>
  <c r="AM36" i="62"/>
  <c r="Q36" i="71" s="1"/>
  <c r="AK36" i="67"/>
  <c r="BA36" i="67" s="1"/>
  <c r="AM35" i="62"/>
  <c r="Q35" i="71" s="1"/>
  <c r="AK35" i="67"/>
  <c r="BA35" i="67" s="1"/>
  <c r="AM34" i="62"/>
  <c r="Q34" i="71" s="1"/>
  <c r="AM33" i="62"/>
  <c r="Q33" i="71" s="1"/>
  <c r="AK33" i="67"/>
  <c r="BA33" i="67" s="1"/>
  <c r="AM32" i="62"/>
  <c r="Q32" i="71" s="1"/>
  <c r="AK32" i="67"/>
  <c r="BA32" i="67" s="1"/>
  <c r="AM31" i="62"/>
  <c r="Q31" i="71" s="1"/>
  <c r="AK31" i="67"/>
  <c r="BA31" i="67" s="1"/>
  <c r="AM30" i="62"/>
  <c r="Q30" i="71" s="1"/>
  <c r="AK30" i="67"/>
  <c r="BA30" i="67" s="1"/>
  <c r="AM29" i="62"/>
  <c r="Q29" i="71" s="1"/>
  <c r="AK29" i="67"/>
  <c r="BA29" i="67" s="1"/>
  <c r="AM28" i="62"/>
  <c r="Q28" i="71" s="1"/>
  <c r="AK28" i="67"/>
  <c r="BA28" i="67" s="1"/>
  <c r="AM27" i="62"/>
  <c r="Q27" i="71" s="1"/>
  <c r="AK27" i="67"/>
  <c r="BA27" i="67" s="1"/>
  <c r="AM26" i="62"/>
  <c r="Q26" i="71" s="1"/>
  <c r="AM25" i="62"/>
  <c r="Q25" i="71" s="1"/>
  <c r="AK25" i="67"/>
  <c r="BA25" i="67" s="1"/>
  <c r="AM24" i="62"/>
  <c r="Q24" i="71" s="1"/>
  <c r="AK24" i="67"/>
  <c r="BA24" i="67" s="1"/>
  <c r="AM23" i="62"/>
  <c r="Q23" i="71" s="1"/>
  <c r="AK23" i="67"/>
  <c r="BA23" i="67" s="1"/>
  <c r="AM22" i="62"/>
  <c r="Q22" i="71" s="1"/>
  <c r="AK22" i="67"/>
  <c r="BA22" i="67" s="1"/>
  <c r="AM21" i="62"/>
  <c r="Q21" i="71" s="1"/>
  <c r="AK21" i="67"/>
  <c r="BA21" i="67" s="1"/>
  <c r="AM20" i="62"/>
  <c r="Q20" i="71" s="1"/>
  <c r="AK20" i="67"/>
  <c r="BA20" i="67" s="1"/>
  <c r="AM19" i="62"/>
  <c r="Q19" i="71" s="1"/>
  <c r="AK19" i="67"/>
  <c r="BA19" i="67" s="1"/>
  <c r="AM18" i="62"/>
  <c r="Q18" i="71" s="1"/>
  <c r="AK18" i="67"/>
  <c r="BA18" i="67" s="1"/>
  <c r="AM16" i="62"/>
  <c r="Q16" i="71" s="1"/>
  <c r="AK16" i="67"/>
  <c r="BA16" i="67" s="1"/>
  <c r="AM15" i="62"/>
  <c r="Q15" i="71" s="1"/>
  <c r="AK15" i="67"/>
  <c r="BA15" i="67" s="1"/>
  <c r="AM14" i="62"/>
  <c r="Q14" i="71" s="1"/>
  <c r="AK14" i="67"/>
  <c r="BA14" i="67" s="1"/>
  <c r="AM13" i="62"/>
  <c r="Q13" i="71" s="1"/>
  <c r="AK13" i="67"/>
  <c r="BA13" i="67" s="1"/>
  <c r="AM12" i="62"/>
  <c r="Q12" i="71" s="1"/>
  <c r="AK12" i="67"/>
  <c r="BA12" i="67" s="1"/>
  <c r="AM11" i="62"/>
  <c r="Q11" i="71" s="1"/>
  <c r="AK11" i="67"/>
  <c r="BA11" i="67" s="1"/>
  <c r="AM10" i="62"/>
  <c r="Q10" i="71" s="1"/>
  <c r="AK10" i="67"/>
  <c r="BA10" i="67" s="1"/>
  <c r="AM9" i="62"/>
  <c r="Q9" i="71" s="1"/>
  <c r="AK9" i="67"/>
  <c r="BA9" i="67" s="1"/>
  <c r="AI184" i="62"/>
  <c r="AK184" i="62"/>
  <c r="AI168" i="62"/>
  <c r="AK168" i="62"/>
  <c r="AI152" i="62"/>
  <c r="AK152" i="62"/>
  <c r="AI136" i="62"/>
  <c r="AK136" i="62"/>
  <c r="AI120" i="62"/>
  <c r="AK120" i="62"/>
  <c r="AK104" i="62"/>
  <c r="O104" i="71" s="1"/>
  <c r="AI104" i="62"/>
  <c r="AK88" i="62"/>
  <c r="O88" i="71" s="1"/>
  <c r="AI88" i="62"/>
  <c r="AK72" i="62"/>
  <c r="O72" i="71" s="1"/>
  <c r="AI72" i="62"/>
  <c r="AK56" i="62"/>
  <c r="O56" i="71" s="1"/>
  <c r="AI56" i="62"/>
  <c r="AK183" i="62"/>
  <c r="O183" i="71" s="1"/>
  <c r="AI183" i="62"/>
  <c r="AK167" i="62"/>
  <c r="O167" i="71" s="1"/>
  <c r="AI167" i="62"/>
  <c r="AK151" i="62"/>
  <c r="O151" i="71" s="1"/>
  <c r="AI151" i="62"/>
  <c r="AK135" i="62"/>
  <c r="O135" i="71" s="1"/>
  <c r="AI135" i="62"/>
  <c r="AK119" i="62"/>
  <c r="O119" i="71" s="1"/>
  <c r="AI119" i="62"/>
  <c r="AK103" i="62"/>
  <c r="O103" i="71" s="1"/>
  <c r="AI103" i="62"/>
  <c r="AK87" i="62"/>
  <c r="O87" i="71" s="1"/>
  <c r="AI87" i="62"/>
  <c r="AK71" i="62"/>
  <c r="AI71" i="62"/>
  <c r="AK63" i="62"/>
  <c r="O63" i="71" s="1"/>
  <c r="AI63" i="62"/>
  <c r="AK39" i="62"/>
  <c r="O39" i="71" s="1"/>
  <c r="AI39" i="62"/>
  <c r="AK31" i="62"/>
  <c r="O31" i="71" s="1"/>
  <c r="AI31" i="62"/>
  <c r="AK15" i="62"/>
  <c r="AI15" i="62"/>
  <c r="AK190" i="62"/>
  <c r="O190" i="71" s="1"/>
  <c r="AI190" i="62"/>
  <c r="AK182" i="62"/>
  <c r="O182" i="71" s="1"/>
  <c r="AI182" i="62"/>
  <c r="AK174" i="62"/>
  <c r="O174" i="71" s="1"/>
  <c r="AI174" i="62"/>
  <c r="AK166" i="62"/>
  <c r="AI166" i="62"/>
  <c r="AK158" i="62"/>
  <c r="O158" i="71" s="1"/>
  <c r="AI158" i="62"/>
  <c r="AK150" i="62"/>
  <c r="O150" i="71" s="1"/>
  <c r="AI150" i="62"/>
  <c r="AK142" i="62"/>
  <c r="O142" i="71" s="1"/>
  <c r="AI142" i="62"/>
  <c r="AK134" i="62"/>
  <c r="AI134" i="62"/>
  <c r="AK126" i="62"/>
  <c r="AI126" i="62"/>
  <c r="AK118" i="62"/>
  <c r="O118" i="71" s="1"/>
  <c r="AI118" i="62"/>
  <c r="AK110" i="62"/>
  <c r="O110" i="71" s="1"/>
  <c r="AI110" i="62"/>
  <c r="AK102" i="62"/>
  <c r="AI102" i="62"/>
  <c r="AK94" i="62"/>
  <c r="AI94" i="62"/>
  <c r="AK86" i="62"/>
  <c r="AI86" i="62"/>
  <c r="AK78" i="62"/>
  <c r="O78" i="71" s="1"/>
  <c r="AI78" i="62"/>
  <c r="AK70" i="62"/>
  <c r="AI70" i="62"/>
  <c r="AK62" i="62"/>
  <c r="AI62" i="62"/>
  <c r="AK54" i="62"/>
  <c r="AI54" i="62"/>
  <c r="AK46" i="62"/>
  <c r="O46" i="71" s="1"/>
  <c r="AI46" i="62"/>
  <c r="AK38" i="62"/>
  <c r="AI38" i="62"/>
  <c r="AK30" i="62"/>
  <c r="AI30" i="62"/>
  <c r="AK22" i="62"/>
  <c r="AI22" i="62"/>
  <c r="AK14" i="62"/>
  <c r="O14" i="71" s="1"/>
  <c r="AI14" i="62"/>
  <c r="AK189" i="62"/>
  <c r="O189" i="71" s="1"/>
  <c r="AI189" i="62"/>
  <c r="AK181" i="62"/>
  <c r="O181" i="71" s="1"/>
  <c r="AI181" i="62"/>
  <c r="AK173" i="62"/>
  <c r="AI173" i="62"/>
  <c r="AK165" i="62"/>
  <c r="AI165" i="62"/>
  <c r="AK157" i="62"/>
  <c r="O157" i="71" s="1"/>
  <c r="AI157" i="62"/>
  <c r="AK149" i="62"/>
  <c r="O149" i="71" s="1"/>
  <c r="AI149" i="62"/>
  <c r="AK141" i="62"/>
  <c r="AI141" i="62"/>
  <c r="AK133" i="62"/>
  <c r="AI133" i="62"/>
  <c r="AK125" i="62"/>
  <c r="O125" i="71" s="1"/>
  <c r="AI125" i="62"/>
  <c r="AK117" i="62"/>
  <c r="O117" i="71" s="1"/>
  <c r="AI117" i="62"/>
  <c r="AK109" i="62"/>
  <c r="AI109" i="62"/>
  <c r="AK101" i="62"/>
  <c r="AI101" i="62"/>
  <c r="AK93" i="62"/>
  <c r="O93" i="71" s="1"/>
  <c r="AI93" i="62"/>
  <c r="AK85" i="62"/>
  <c r="O85" i="71" s="1"/>
  <c r="AI85" i="62"/>
  <c r="AK77" i="62"/>
  <c r="AI77" i="62"/>
  <c r="AK69" i="62"/>
  <c r="AI69" i="62"/>
  <c r="AK61" i="62"/>
  <c r="AI61" i="62"/>
  <c r="AK53" i="62"/>
  <c r="O53" i="71" s="1"/>
  <c r="AI53" i="62"/>
  <c r="AK45" i="62"/>
  <c r="AI45" i="62"/>
  <c r="AK37" i="62"/>
  <c r="AI37" i="62"/>
  <c r="AK29" i="62"/>
  <c r="AI29" i="62"/>
  <c r="AK21" i="62"/>
  <c r="O21" i="71" s="1"/>
  <c r="AI21" i="62"/>
  <c r="AK13" i="62"/>
  <c r="AI13" i="62"/>
  <c r="AI192" i="62"/>
  <c r="AK192" i="62"/>
  <c r="O192" i="71" s="1"/>
  <c r="AI176" i="62"/>
  <c r="AK176" i="62"/>
  <c r="O176" i="71" s="1"/>
  <c r="AI160" i="62"/>
  <c r="AK160" i="62"/>
  <c r="AI144" i="62"/>
  <c r="AK144" i="62"/>
  <c r="O144" i="71" s="1"/>
  <c r="AI128" i="62"/>
  <c r="AK128" i="62"/>
  <c r="O128" i="71" s="1"/>
  <c r="AK112" i="62"/>
  <c r="AI112" i="62"/>
  <c r="AK96" i="62"/>
  <c r="O96" i="71" s="1"/>
  <c r="AI96" i="62"/>
  <c r="AK80" i="62"/>
  <c r="AI80" i="62"/>
  <c r="AK64" i="62"/>
  <c r="AI64" i="62"/>
  <c r="AK48" i="62"/>
  <c r="AI48" i="62"/>
  <c r="AK40" i="62"/>
  <c r="AI40" i="62"/>
  <c r="AK32" i="62"/>
  <c r="AI32" i="62"/>
  <c r="AK24" i="62"/>
  <c r="AI24" i="62"/>
  <c r="AK16" i="62"/>
  <c r="AI16" i="62"/>
  <c r="AK191" i="62"/>
  <c r="AI191" i="62"/>
  <c r="AK175" i="62"/>
  <c r="AI175" i="62"/>
  <c r="AK159" i="62"/>
  <c r="AI159" i="62"/>
  <c r="AK143" i="62"/>
  <c r="AI143" i="62"/>
  <c r="AK127" i="62"/>
  <c r="AI127" i="62"/>
  <c r="AK111" i="62"/>
  <c r="AI111" i="62"/>
  <c r="AK95" i="62"/>
  <c r="AI95" i="62"/>
  <c r="AK79" i="62"/>
  <c r="AI79" i="62"/>
  <c r="AK55" i="62"/>
  <c r="AI55" i="62"/>
  <c r="AK47" i="62"/>
  <c r="AI47" i="62"/>
  <c r="AK23" i="62"/>
  <c r="AI23" i="62"/>
  <c r="AI188" i="62"/>
  <c r="AK188" i="62"/>
  <c r="O188" i="71" s="1"/>
  <c r="AI180" i="62"/>
  <c r="AK180" i="62"/>
  <c r="O180" i="71" s="1"/>
  <c r="AI172" i="62"/>
  <c r="AK172" i="62"/>
  <c r="O172" i="71" s="1"/>
  <c r="AK164" i="62"/>
  <c r="AI164" i="62"/>
  <c r="AK156" i="62"/>
  <c r="AI156" i="62"/>
  <c r="AK148" i="62"/>
  <c r="AI148" i="62"/>
  <c r="AK140" i="62"/>
  <c r="AI140" i="62"/>
  <c r="AK132" i="62"/>
  <c r="AI132" i="62"/>
  <c r="AK124" i="62"/>
  <c r="AI124" i="62"/>
  <c r="AI116" i="62"/>
  <c r="AK116" i="62"/>
  <c r="O116" i="71" s="1"/>
  <c r="AK108" i="62"/>
  <c r="AI108" i="62"/>
  <c r="AK100" i="62"/>
  <c r="AI100" i="62"/>
  <c r="AK92" i="62"/>
  <c r="AI92" i="62"/>
  <c r="AK84" i="62"/>
  <c r="AI84" i="62"/>
  <c r="AK76" i="62"/>
  <c r="AI76" i="62"/>
  <c r="AK68" i="62"/>
  <c r="AI68" i="62"/>
  <c r="AK60" i="62"/>
  <c r="AI60" i="62"/>
  <c r="AI52" i="62"/>
  <c r="AK52" i="62"/>
  <c r="O52" i="71" s="1"/>
  <c r="AK44" i="62"/>
  <c r="AI44" i="62"/>
  <c r="AK36" i="62"/>
  <c r="AI36" i="62"/>
  <c r="AK28" i="62"/>
  <c r="AI28" i="62"/>
  <c r="AI20" i="62"/>
  <c r="AK20" i="62"/>
  <c r="O20" i="71" s="1"/>
  <c r="AK12" i="62"/>
  <c r="AI12" i="62"/>
  <c r="AK187" i="62"/>
  <c r="AI187" i="62"/>
  <c r="AK179" i="62"/>
  <c r="AI179" i="62"/>
  <c r="AK171" i="62"/>
  <c r="AI171" i="62"/>
  <c r="AK163" i="62"/>
  <c r="AI163" i="62"/>
  <c r="AK155" i="62"/>
  <c r="AI155" i="62"/>
  <c r="AK147" i="62"/>
  <c r="AI147" i="62"/>
  <c r="AK139" i="62"/>
  <c r="AI139" i="62"/>
  <c r="AK131" i="62"/>
  <c r="AI131" i="62"/>
  <c r="AK123" i="62"/>
  <c r="AI123" i="62"/>
  <c r="AK115" i="62"/>
  <c r="AI115" i="62"/>
  <c r="AK107" i="62"/>
  <c r="AI107" i="62"/>
  <c r="AK99" i="62"/>
  <c r="AI99" i="62"/>
  <c r="AK91" i="62"/>
  <c r="AI91" i="62"/>
  <c r="AK83" i="62"/>
  <c r="AI83" i="62"/>
  <c r="AK75" i="62"/>
  <c r="AI75" i="62"/>
  <c r="AK67" i="62"/>
  <c r="AI67" i="62"/>
  <c r="AK59" i="62"/>
  <c r="AI59" i="62"/>
  <c r="AK51" i="62"/>
  <c r="AI51" i="62"/>
  <c r="AK43" i="62"/>
  <c r="AI43" i="62"/>
  <c r="AK35" i="62"/>
  <c r="AI35" i="62"/>
  <c r="AK27" i="62"/>
  <c r="AI27" i="62"/>
  <c r="AK19" i="62"/>
  <c r="AI19" i="62"/>
  <c r="AK11" i="62"/>
  <c r="AI11" i="62"/>
  <c r="AI186" i="62"/>
  <c r="AK186" i="62"/>
  <c r="O186" i="71" s="1"/>
  <c r="AI178" i="62"/>
  <c r="AK178" i="62"/>
  <c r="O178" i="71" s="1"/>
  <c r="AK170" i="62"/>
  <c r="AI170" i="62"/>
  <c r="AI162" i="62"/>
  <c r="AK162" i="62"/>
  <c r="O162" i="71" s="1"/>
  <c r="AI154" i="62"/>
  <c r="AK154" i="62"/>
  <c r="O154" i="71" s="1"/>
  <c r="AI146" i="62"/>
  <c r="AK146" i="62"/>
  <c r="O146" i="71" s="1"/>
  <c r="AI138" i="62"/>
  <c r="AK138" i="62"/>
  <c r="O138" i="71" s="1"/>
  <c r="AK130" i="62"/>
  <c r="AI130" i="62"/>
  <c r="AK114" i="62"/>
  <c r="AI114" i="62"/>
  <c r="AK122" i="62"/>
  <c r="AI122" i="62"/>
  <c r="AI193" i="62"/>
  <c r="AI185" i="62"/>
  <c r="AI177" i="62"/>
  <c r="AI169" i="62"/>
  <c r="AI161" i="62"/>
  <c r="AI153" i="62"/>
  <c r="AI145" i="62"/>
  <c r="AI137" i="62"/>
  <c r="AI129" i="62"/>
  <c r="AI121" i="62"/>
  <c r="AI89" i="62"/>
  <c r="AI81" i="62"/>
  <c r="AK97" i="62"/>
  <c r="O97" i="71" s="1"/>
  <c r="AK121" i="62"/>
  <c r="AK89" i="62"/>
  <c r="AK169" i="62"/>
  <c r="AK129" i="62"/>
  <c r="O129" i="71" s="1"/>
  <c r="AK81" i="62"/>
  <c r="AK193" i="62"/>
  <c r="O193" i="71" s="1"/>
  <c r="AK185" i="62"/>
  <c r="AK177" i="62"/>
  <c r="O177" i="71" s="1"/>
  <c r="AK137" i="62"/>
  <c r="AK145" i="62"/>
  <c r="O145" i="71" s="1"/>
  <c r="AI106" i="62"/>
  <c r="AI98" i="62"/>
  <c r="AI90" i="62"/>
  <c r="AI82" i="62"/>
  <c r="AI74" i="62"/>
  <c r="AI66" i="62"/>
  <c r="AI58" i="62"/>
  <c r="AI50" i="62"/>
  <c r="AI42" i="62"/>
  <c r="AI34" i="62"/>
  <c r="AI26" i="62"/>
  <c r="AI18" i="62"/>
  <c r="AI10" i="62"/>
  <c r="AK161" i="62"/>
  <c r="O161" i="71" s="1"/>
  <c r="AK153" i="62"/>
  <c r="AI113" i="62"/>
  <c r="AI105" i="62"/>
  <c r="AI73" i="62"/>
  <c r="AI65" i="62"/>
  <c r="AI57" i="62"/>
  <c r="AI49" i="62"/>
  <c r="AI41" i="62"/>
  <c r="AI33" i="62"/>
  <c r="AI25" i="62"/>
  <c r="AI9" i="62"/>
  <c r="L195" i="62"/>
  <c r="I195" i="62"/>
  <c r="FI23" i="67" l="1"/>
  <c r="GO23" i="67"/>
  <c r="EC23" i="67"/>
  <c r="FY23" i="67"/>
  <c r="ES23" i="67"/>
  <c r="CG23" i="67"/>
  <c r="DM23" i="67"/>
  <c r="CW23" i="67"/>
  <c r="BQ23" i="67"/>
  <c r="GO43" i="67"/>
  <c r="FI43" i="67"/>
  <c r="FY43" i="67"/>
  <c r="ES43" i="67"/>
  <c r="DM43" i="67"/>
  <c r="CW43" i="67"/>
  <c r="CG43" i="67"/>
  <c r="BQ43" i="67"/>
  <c r="EC43" i="67"/>
  <c r="FI71" i="67"/>
  <c r="GO71" i="67"/>
  <c r="EC71" i="67"/>
  <c r="FY71" i="67"/>
  <c r="ES71" i="67"/>
  <c r="CG71" i="67"/>
  <c r="DM71" i="67"/>
  <c r="CW71" i="67"/>
  <c r="BQ71" i="67"/>
  <c r="GO91" i="67"/>
  <c r="FI91" i="67"/>
  <c r="FY91" i="67"/>
  <c r="ES91" i="67"/>
  <c r="DM91" i="67"/>
  <c r="CW91" i="67"/>
  <c r="EC91" i="67"/>
  <c r="CG91" i="67"/>
  <c r="BQ91" i="67"/>
  <c r="GO112" i="67"/>
  <c r="EC112" i="67"/>
  <c r="FI112" i="67"/>
  <c r="ES112" i="67"/>
  <c r="FY112" i="67"/>
  <c r="DM112" i="67"/>
  <c r="CW112" i="67"/>
  <c r="CG112" i="67"/>
  <c r="BQ112" i="67"/>
  <c r="FY132" i="67"/>
  <c r="FI132" i="67"/>
  <c r="GO132" i="67"/>
  <c r="DM132" i="67"/>
  <c r="CW132" i="67"/>
  <c r="ES132" i="67"/>
  <c r="EC132" i="67"/>
  <c r="CG132" i="67"/>
  <c r="BQ132" i="67"/>
  <c r="FI191" i="67"/>
  <c r="GO191" i="67"/>
  <c r="FY191" i="67"/>
  <c r="EC191" i="67"/>
  <c r="ES191" i="67"/>
  <c r="DM191" i="67"/>
  <c r="CG191" i="67"/>
  <c r="CW191" i="67"/>
  <c r="BQ191" i="67"/>
  <c r="FI166" i="67"/>
  <c r="EC166" i="67"/>
  <c r="FY166" i="67"/>
  <c r="ES166" i="67"/>
  <c r="GO166" i="67"/>
  <c r="CW166" i="67"/>
  <c r="DM166" i="67"/>
  <c r="CG166" i="67"/>
  <c r="BQ166" i="67"/>
  <c r="FI182" i="67"/>
  <c r="ES182" i="67"/>
  <c r="EC182" i="67"/>
  <c r="FY182" i="67"/>
  <c r="GO182" i="67"/>
  <c r="CW182" i="67"/>
  <c r="CG182" i="67"/>
  <c r="DM182" i="67"/>
  <c r="BQ182" i="67"/>
  <c r="GO10" i="67"/>
  <c r="FY10" i="67"/>
  <c r="ES10" i="67"/>
  <c r="DM10" i="67"/>
  <c r="EC10" i="67"/>
  <c r="CW10" i="67"/>
  <c r="CG10" i="67"/>
  <c r="FI10" i="67"/>
  <c r="BQ10" i="67"/>
  <c r="FI31" i="67"/>
  <c r="GO31" i="67"/>
  <c r="FY31" i="67"/>
  <c r="EC31" i="67"/>
  <c r="ES31" i="67"/>
  <c r="CG31" i="67"/>
  <c r="DM31" i="67"/>
  <c r="CW31" i="67"/>
  <c r="BQ31" i="67"/>
  <c r="GO35" i="67"/>
  <c r="FI35" i="67"/>
  <c r="ES35" i="67"/>
  <c r="EC35" i="67"/>
  <c r="DM35" i="67"/>
  <c r="CW35" i="67"/>
  <c r="CG35" i="67"/>
  <c r="FY35" i="67"/>
  <c r="BQ35" i="67"/>
  <c r="FI63" i="67"/>
  <c r="GO63" i="67"/>
  <c r="FY63" i="67"/>
  <c r="EC63" i="67"/>
  <c r="ES63" i="67"/>
  <c r="CG63" i="67"/>
  <c r="DM63" i="67"/>
  <c r="CW63" i="67"/>
  <c r="BQ63" i="67"/>
  <c r="GO83" i="67"/>
  <c r="FI83" i="67"/>
  <c r="ES83" i="67"/>
  <c r="DM83" i="67"/>
  <c r="CW83" i="67"/>
  <c r="FY83" i="67"/>
  <c r="CG83" i="67"/>
  <c r="EC83" i="67"/>
  <c r="BQ83" i="67"/>
  <c r="FY108" i="67"/>
  <c r="FI108" i="67"/>
  <c r="ES108" i="67"/>
  <c r="GO108" i="67"/>
  <c r="DM108" i="67"/>
  <c r="CW108" i="67"/>
  <c r="CG108" i="67"/>
  <c r="EC108" i="67"/>
  <c r="BQ108" i="67"/>
  <c r="GO128" i="67"/>
  <c r="EC128" i="67"/>
  <c r="ES128" i="67"/>
  <c r="FI128" i="67"/>
  <c r="FY128" i="67"/>
  <c r="DM128" i="67"/>
  <c r="CW128" i="67"/>
  <c r="BQ128" i="67"/>
  <c r="CG128" i="67"/>
  <c r="GO144" i="67"/>
  <c r="EC144" i="67"/>
  <c r="FI144" i="67"/>
  <c r="ES144" i="67"/>
  <c r="FY144" i="67"/>
  <c r="DM144" i="67"/>
  <c r="CG144" i="67"/>
  <c r="CW144" i="67"/>
  <c r="BQ144" i="67"/>
  <c r="GO154" i="67"/>
  <c r="FY154" i="67"/>
  <c r="DM154" i="67"/>
  <c r="FI154" i="67"/>
  <c r="ES154" i="67"/>
  <c r="CW154" i="67"/>
  <c r="EC154" i="67"/>
  <c r="CG154" i="67"/>
  <c r="BQ154" i="67"/>
  <c r="FI174" i="67"/>
  <c r="FY174" i="67"/>
  <c r="EC174" i="67"/>
  <c r="GO174" i="67"/>
  <c r="ES174" i="67"/>
  <c r="CW174" i="67"/>
  <c r="DM174" i="67"/>
  <c r="CG174" i="67"/>
  <c r="BQ174" i="67"/>
  <c r="GO11" i="67"/>
  <c r="FI11" i="67"/>
  <c r="FY11" i="67"/>
  <c r="ES11" i="67"/>
  <c r="DM11" i="67"/>
  <c r="EC11" i="67"/>
  <c r="CW11" i="67"/>
  <c r="CG11" i="67"/>
  <c r="BQ11" i="67"/>
  <c r="FI15" i="67"/>
  <c r="GO15" i="67"/>
  <c r="FY15" i="67"/>
  <c r="EC15" i="67"/>
  <c r="ES15" i="67"/>
  <c r="CG15" i="67"/>
  <c r="DM15" i="67"/>
  <c r="CW15" i="67"/>
  <c r="BQ15" i="67"/>
  <c r="FY20" i="67"/>
  <c r="GO20" i="67"/>
  <c r="ES20" i="67"/>
  <c r="FI20" i="67"/>
  <c r="DM20" i="67"/>
  <c r="CW20" i="67"/>
  <c r="CG20" i="67"/>
  <c r="BQ20" i="67"/>
  <c r="EC20" i="67"/>
  <c r="GO24" i="67"/>
  <c r="EC24" i="67"/>
  <c r="FY24" i="67"/>
  <c r="FI24" i="67"/>
  <c r="ES24" i="67"/>
  <c r="DM24" i="67"/>
  <c r="CW24" i="67"/>
  <c r="CG24" i="67"/>
  <c r="BQ24" i="67"/>
  <c r="FY28" i="67"/>
  <c r="FI28" i="67"/>
  <c r="ES28" i="67"/>
  <c r="GO28" i="67"/>
  <c r="DM28" i="67"/>
  <c r="CW28" i="67"/>
  <c r="EC28" i="67"/>
  <c r="CG28" i="67"/>
  <c r="BQ28" i="67"/>
  <c r="GO32" i="67"/>
  <c r="EC32" i="67"/>
  <c r="FY32" i="67"/>
  <c r="FI32" i="67"/>
  <c r="DM32" i="67"/>
  <c r="ES32" i="67"/>
  <c r="CW32" i="67"/>
  <c r="CG32" i="67"/>
  <c r="BQ32" i="67"/>
  <c r="FY36" i="67"/>
  <c r="GO36" i="67"/>
  <c r="ES36" i="67"/>
  <c r="FI36" i="67"/>
  <c r="EC36" i="67"/>
  <c r="DM36" i="67"/>
  <c r="CW36" i="67"/>
  <c r="CG36" i="67"/>
  <c r="BQ36" i="67"/>
  <c r="GO40" i="67"/>
  <c r="FI40" i="67"/>
  <c r="EC40" i="67"/>
  <c r="FY40" i="67"/>
  <c r="DM40" i="67"/>
  <c r="ES40" i="67"/>
  <c r="CG40" i="67"/>
  <c r="CW40" i="67"/>
  <c r="BQ40" i="67"/>
  <c r="FY44" i="67"/>
  <c r="ES44" i="67"/>
  <c r="GO44" i="67"/>
  <c r="FI44" i="67"/>
  <c r="DM44" i="67"/>
  <c r="CW44" i="67"/>
  <c r="CG44" i="67"/>
  <c r="EC44" i="67"/>
  <c r="BQ44" i="67"/>
  <c r="GO48" i="67"/>
  <c r="EC48" i="67"/>
  <c r="FI48" i="67"/>
  <c r="FY48" i="67"/>
  <c r="DM48" i="67"/>
  <c r="ES48" i="67"/>
  <c r="CG48" i="67"/>
  <c r="BQ48" i="67"/>
  <c r="CW48" i="67"/>
  <c r="FY52" i="67"/>
  <c r="GO52" i="67"/>
  <c r="ES52" i="67"/>
  <c r="FI52" i="67"/>
  <c r="DM52" i="67"/>
  <c r="EC52" i="67"/>
  <c r="CW52" i="67"/>
  <c r="CG52" i="67"/>
  <c r="BQ52" i="67"/>
  <c r="GO56" i="67"/>
  <c r="EC56" i="67"/>
  <c r="FY56" i="67"/>
  <c r="FI56" i="67"/>
  <c r="ES56" i="67"/>
  <c r="DM56" i="67"/>
  <c r="CG56" i="67"/>
  <c r="CW56" i="67"/>
  <c r="BQ56" i="67"/>
  <c r="FY60" i="67"/>
  <c r="FI60" i="67"/>
  <c r="ES60" i="67"/>
  <c r="GO60" i="67"/>
  <c r="DM60" i="67"/>
  <c r="CW60" i="67"/>
  <c r="CG60" i="67"/>
  <c r="EC60" i="67"/>
  <c r="BQ60" i="67"/>
  <c r="GO64" i="67"/>
  <c r="EC64" i="67"/>
  <c r="FY64" i="67"/>
  <c r="FI64" i="67"/>
  <c r="ES64" i="67"/>
  <c r="DM64" i="67"/>
  <c r="CG64" i="67"/>
  <c r="CW64" i="67"/>
  <c r="BQ64" i="67"/>
  <c r="FY68" i="67"/>
  <c r="GO68" i="67"/>
  <c r="ES68" i="67"/>
  <c r="FI68" i="67"/>
  <c r="DM68" i="67"/>
  <c r="CW68" i="67"/>
  <c r="EC68" i="67"/>
  <c r="CG68" i="67"/>
  <c r="BQ68" i="67"/>
  <c r="GO72" i="67"/>
  <c r="EC72" i="67"/>
  <c r="FI72" i="67"/>
  <c r="FY72" i="67"/>
  <c r="ES72" i="67"/>
  <c r="DM72" i="67"/>
  <c r="CW72" i="67"/>
  <c r="CG72" i="67"/>
  <c r="BQ72" i="67"/>
  <c r="FY76" i="67"/>
  <c r="FI76" i="67"/>
  <c r="ES76" i="67"/>
  <c r="GO76" i="67"/>
  <c r="DM76" i="67"/>
  <c r="EC76" i="67"/>
  <c r="CW76" i="67"/>
  <c r="CG76" i="67"/>
  <c r="BQ76" i="67"/>
  <c r="GO80" i="67"/>
  <c r="EC80" i="67"/>
  <c r="FI80" i="67"/>
  <c r="FY80" i="67"/>
  <c r="ES80" i="67"/>
  <c r="DM80" i="67"/>
  <c r="CG80" i="67"/>
  <c r="CW80" i="67"/>
  <c r="BQ80" i="67"/>
  <c r="FY84" i="67"/>
  <c r="FI84" i="67"/>
  <c r="GO84" i="67"/>
  <c r="ES84" i="67"/>
  <c r="DM84" i="67"/>
  <c r="CW84" i="67"/>
  <c r="CG84" i="67"/>
  <c r="BQ84" i="67"/>
  <c r="EC84" i="67"/>
  <c r="GO88" i="67"/>
  <c r="ES88" i="67"/>
  <c r="EC88" i="67"/>
  <c r="FI88" i="67"/>
  <c r="FY88" i="67"/>
  <c r="DM88" i="67"/>
  <c r="CW88" i="67"/>
  <c r="CG88" i="67"/>
  <c r="BQ88" i="67"/>
  <c r="FY92" i="67"/>
  <c r="FI92" i="67"/>
  <c r="ES92" i="67"/>
  <c r="GO92" i="67"/>
  <c r="DM92" i="67"/>
  <c r="CW92" i="67"/>
  <c r="EC92" i="67"/>
  <c r="CG92" i="67"/>
  <c r="BQ92" i="67"/>
  <c r="GO96" i="67"/>
  <c r="EC96" i="67"/>
  <c r="ES96" i="67"/>
  <c r="FI96" i="67"/>
  <c r="FY96" i="67"/>
  <c r="DM96" i="67"/>
  <c r="CW96" i="67"/>
  <c r="CG96" i="67"/>
  <c r="BQ96" i="67"/>
  <c r="FY101" i="67"/>
  <c r="ES101" i="67"/>
  <c r="GO101" i="67"/>
  <c r="FI101" i="67"/>
  <c r="EC101" i="67"/>
  <c r="CW101" i="67"/>
  <c r="CG101" i="67"/>
  <c r="DM101" i="67"/>
  <c r="BQ101" i="67"/>
  <c r="ES105" i="67"/>
  <c r="FY105" i="67"/>
  <c r="FI105" i="67"/>
  <c r="EC105" i="67"/>
  <c r="DM105" i="67"/>
  <c r="CW105" i="67"/>
  <c r="GO105" i="67"/>
  <c r="CG105" i="67"/>
  <c r="BQ105" i="67"/>
  <c r="FY109" i="67"/>
  <c r="ES109" i="67"/>
  <c r="EC109" i="67"/>
  <c r="GO109" i="67"/>
  <c r="CW109" i="67"/>
  <c r="CG109" i="67"/>
  <c r="DM109" i="67"/>
  <c r="BQ109" i="67"/>
  <c r="FI109" i="67"/>
  <c r="ES113" i="67"/>
  <c r="FY113" i="67"/>
  <c r="GO113" i="67"/>
  <c r="FI113" i="67"/>
  <c r="EC113" i="67"/>
  <c r="DM113" i="67"/>
  <c r="CW113" i="67"/>
  <c r="CG113" i="67"/>
  <c r="BQ113" i="67"/>
  <c r="FY117" i="67"/>
  <c r="ES117" i="67"/>
  <c r="GO117" i="67"/>
  <c r="FI117" i="67"/>
  <c r="EC117" i="67"/>
  <c r="CW117" i="67"/>
  <c r="CG117" i="67"/>
  <c r="DM117" i="67"/>
  <c r="BQ117" i="67"/>
  <c r="ES121" i="67"/>
  <c r="FY121" i="67"/>
  <c r="FI121" i="67"/>
  <c r="EC121" i="67"/>
  <c r="DM121" i="67"/>
  <c r="CW121" i="67"/>
  <c r="CG121" i="67"/>
  <c r="GO121" i="67"/>
  <c r="BQ121" i="67"/>
  <c r="FY125" i="67"/>
  <c r="ES125" i="67"/>
  <c r="EC125" i="67"/>
  <c r="GO125" i="67"/>
  <c r="CW125" i="67"/>
  <c r="CG125" i="67"/>
  <c r="FI125" i="67"/>
  <c r="DM125" i="67"/>
  <c r="BQ125" i="67"/>
  <c r="ES129" i="67"/>
  <c r="FY129" i="67"/>
  <c r="GO129" i="67"/>
  <c r="FI129" i="67"/>
  <c r="EC129" i="67"/>
  <c r="DM129" i="67"/>
  <c r="CW129" i="67"/>
  <c r="CG129" i="67"/>
  <c r="BQ129" i="67"/>
  <c r="FY133" i="67"/>
  <c r="ES133" i="67"/>
  <c r="GO133" i="67"/>
  <c r="FI133" i="67"/>
  <c r="EC133" i="67"/>
  <c r="CW133" i="67"/>
  <c r="CG133" i="67"/>
  <c r="DM133" i="67"/>
  <c r="BQ133" i="67"/>
  <c r="ES137" i="67"/>
  <c r="FY137" i="67"/>
  <c r="FI137" i="67"/>
  <c r="EC137" i="67"/>
  <c r="DM137" i="67"/>
  <c r="GO137" i="67"/>
  <c r="CW137" i="67"/>
  <c r="CG137" i="67"/>
  <c r="BQ137" i="67"/>
  <c r="FY141" i="67"/>
  <c r="ES141" i="67"/>
  <c r="EC141" i="67"/>
  <c r="GO141" i="67"/>
  <c r="CW141" i="67"/>
  <c r="CG141" i="67"/>
  <c r="FI141" i="67"/>
  <c r="DM141" i="67"/>
  <c r="BQ141" i="67"/>
  <c r="ES145" i="67"/>
  <c r="FY145" i="67"/>
  <c r="GO145" i="67"/>
  <c r="FI145" i="67"/>
  <c r="EC145" i="67"/>
  <c r="DM145" i="67"/>
  <c r="CW145" i="67"/>
  <c r="CG145" i="67"/>
  <c r="BQ145" i="67"/>
  <c r="FY149" i="67"/>
  <c r="ES149" i="67"/>
  <c r="GO149" i="67"/>
  <c r="FI149" i="67"/>
  <c r="EC149" i="67"/>
  <c r="CW149" i="67"/>
  <c r="CG149" i="67"/>
  <c r="DM149" i="67"/>
  <c r="BQ149" i="67"/>
  <c r="GO192" i="67"/>
  <c r="EC192" i="67"/>
  <c r="ES192" i="67"/>
  <c r="DM192" i="67"/>
  <c r="FI192" i="67"/>
  <c r="FY192" i="67"/>
  <c r="CG192" i="67"/>
  <c r="CW192" i="67"/>
  <c r="BQ192" i="67"/>
  <c r="GO155" i="67"/>
  <c r="FI155" i="67"/>
  <c r="FY155" i="67"/>
  <c r="ES155" i="67"/>
  <c r="EC155" i="67"/>
  <c r="DM155" i="67"/>
  <c r="CW155" i="67"/>
  <c r="CG155" i="67"/>
  <c r="BQ155" i="67"/>
  <c r="FI159" i="67"/>
  <c r="GO159" i="67"/>
  <c r="FY159" i="67"/>
  <c r="EC159" i="67"/>
  <c r="ES159" i="67"/>
  <c r="DM159" i="67"/>
  <c r="CG159" i="67"/>
  <c r="CW159" i="67"/>
  <c r="BQ159" i="67"/>
  <c r="GO163" i="67"/>
  <c r="FI163" i="67"/>
  <c r="EC163" i="67"/>
  <c r="ES163" i="67"/>
  <c r="DM163" i="67"/>
  <c r="CW163" i="67"/>
  <c r="CG163" i="67"/>
  <c r="FY163" i="67"/>
  <c r="BQ163" i="67"/>
  <c r="FI167" i="67"/>
  <c r="GO167" i="67"/>
  <c r="EC167" i="67"/>
  <c r="DM167" i="67"/>
  <c r="FY167" i="67"/>
  <c r="ES167" i="67"/>
  <c r="CG167" i="67"/>
  <c r="CW167" i="67"/>
  <c r="BQ167" i="67"/>
  <c r="GO171" i="67"/>
  <c r="FI171" i="67"/>
  <c r="ES171" i="67"/>
  <c r="FY171" i="67"/>
  <c r="EC171" i="67"/>
  <c r="DM171" i="67"/>
  <c r="CW171" i="67"/>
  <c r="CG171" i="67"/>
  <c r="BQ171" i="67"/>
  <c r="FI175" i="67"/>
  <c r="GO175" i="67"/>
  <c r="FY175" i="67"/>
  <c r="EC175" i="67"/>
  <c r="DM175" i="67"/>
  <c r="ES175" i="67"/>
  <c r="CG175" i="67"/>
  <c r="CW175" i="67"/>
  <c r="BQ175" i="67"/>
  <c r="GO179" i="67"/>
  <c r="FI179" i="67"/>
  <c r="ES179" i="67"/>
  <c r="EC179" i="67"/>
  <c r="DM179" i="67"/>
  <c r="CW179" i="67"/>
  <c r="CG179" i="67"/>
  <c r="BQ179" i="67"/>
  <c r="FY179" i="67"/>
  <c r="FI183" i="67"/>
  <c r="GO183" i="67"/>
  <c r="ES183" i="67"/>
  <c r="EC183" i="67"/>
  <c r="DM183" i="67"/>
  <c r="FY183" i="67"/>
  <c r="CG183" i="67"/>
  <c r="CW183" i="67"/>
  <c r="BQ183" i="67"/>
  <c r="GO187" i="67"/>
  <c r="FI187" i="67"/>
  <c r="FY187" i="67"/>
  <c r="ES187" i="67"/>
  <c r="EC187" i="67"/>
  <c r="DM187" i="67"/>
  <c r="CW187" i="67"/>
  <c r="CG187" i="67"/>
  <c r="BQ187" i="67"/>
  <c r="ES193" i="67"/>
  <c r="FY193" i="67"/>
  <c r="DM193" i="67"/>
  <c r="GO193" i="67"/>
  <c r="FI193" i="67"/>
  <c r="EC193" i="67"/>
  <c r="BQ193" i="67"/>
  <c r="CW193" i="67"/>
  <c r="CG193" i="67"/>
  <c r="GO27" i="67"/>
  <c r="FI27" i="67"/>
  <c r="FY27" i="67"/>
  <c r="ES27" i="67"/>
  <c r="DM27" i="67"/>
  <c r="CW27" i="67"/>
  <c r="EC27" i="67"/>
  <c r="CG27" i="67"/>
  <c r="BQ27" i="67"/>
  <c r="GO51" i="67"/>
  <c r="FI51" i="67"/>
  <c r="ES51" i="67"/>
  <c r="DM51" i="67"/>
  <c r="EC51" i="67"/>
  <c r="CW51" i="67"/>
  <c r="CG51" i="67"/>
  <c r="FY51" i="67"/>
  <c r="BQ51" i="67"/>
  <c r="GO67" i="67"/>
  <c r="FI67" i="67"/>
  <c r="ES67" i="67"/>
  <c r="DM67" i="67"/>
  <c r="CW67" i="67"/>
  <c r="FY67" i="67"/>
  <c r="EC67" i="67"/>
  <c r="CG67" i="67"/>
  <c r="BQ67" i="67"/>
  <c r="GO75" i="67"/>
  <c r="FI75" i="67"/>
  <c r="FY75" i="67"/>
  <c r="ES75" i="67"/>
  <c r="DM75" i="67"/>
  <c r="EC75" i="67"/>
  <c r="CW75" i="67"/>
  <c r="CG75" i="67"/>
  <c r="BQ75" i="67"/>
  <c r="FY100" i="67"/>
  <c r="FI100" i="67"/>
  <c r="GO100" i="67"/>
  <c r="EC100" i="67"/>
  <c r="DM100" i="67"/>
  <c r="CW100" i="67"/>
  <c r="CG100" i="67"/>
  <c r="ES100" i="67"/>
  <c r="BQ100" i="67"/>
  <c r="GO120" i="67"/>
  <c r="EC120" i="67"/>
  <c r="FI120" i="67"/>
  <c r="FY120" i="67"/>
  <c r="ES120" i="67"/>
  <c r="DM120" i="67"/>
  <c r="CG120" i="67"/>
  <c r="CW120" i="67"/>
  <c r="BQ120" i="67"/>
  <c r="FY148" i="67"/>
  <c r="FI148" i="67"/>
  <c r="GO148" i="67"/>
  <c r="ES148" i="67"/>
  <c r="EC148" i="67"/>
  <c r="DM148" i="67"/>
  <c r="CW148" i="67"/>
  <c r="CG148" i="67"/>
  <c r="BQ148" i="67"/>
  <c r="GO170" i="67"/>
  <c r="FY170" i="67"/>
  <c r="DM170" i="67"/>
  <c r="ES170" i="67"/>
  <c r="FI170" i="67"/>
  <c r="CW170" i="67"/>
  <c r="EC170" i="67"/>
  <c r="BQ170" i="67"/>
  <c r="CG170" i="67"/>
  <c r="FI190" i="67"/>
  <c r="FY190" i="67"/>
  <c r="EC190" i="67"/>
  <c r="GO190" i="67"/>
  <c r="ES190" i="67"/>
  <c r="CW190" i="67"/>
  <c r="CG190" i="67"/>
  <c r="DM190" i="67"/>
  <c r="BQ190" i="67"/>
  <c r="ES14" i="67"/>
  <c r="FY14" i="67"/>
  <c r="EC14" i="67"/>
  <c r="GO14" i="67"/>
  <c r="FI14" i="67"/>
  <c r="CW14" i="67"/>
  <c r="CG14" i="67"/>
  <c r="BQ14" i="67"/>
  <c r="DM14" i="67"/>
  <c r="FI39" i="67"/>
  <c r="GO39" i="67"/>
  <c r="EC39" i="67"/>
  <c r="FY39" i="67"/>
  <c r="ES39" i="67"/>
  <c r="CG39" i="67"/>
  <c r="DM39" i="67"/>
  <c r="CW39" i="67"/>
  <c r="BQ39" i="67"/>
  <c r="FI55" i="67"/>
  <c r="GO55" i="67"/>
  <c r="EC55" i="67"/>
  <c r="FY55" i="67"/>
  <c r="ES55" i="67"/>
  <c r="CG55" i="67"/>
  <c r="DM55" i="67"/>
  <c r="CW55" i="67"/>
  <c r="BQ55" i="67"/>
  <c r="FI87" i="67"/>
  <c r="GO87" i="67"/>
  <c r="ES87" i="67"/>
  <c r="EC87" i="67"/>
  <c r="FY87" i="67"/>
  <c r="CG87" i="67"/>
  <c r="DM87" i="67"/>
  <c r="CW87" i="67"/>
  <c r="BQ87" i="67"/>
  <c r="GO104" i="67"/>
  <c r="EC104" i="67"/>
  <c r="FI104" i="67"/>
  <c r="FY104" i="67"/>
  <c r="ES104" i="67"/>
  <c r="DM104" i="67"/>
  <c r="CW104" i="67"/>
  <c r="CG104" i="67"/>
  <c r="BQ104" i="67"/>
  <c r="FY124" i="67"/>
  <c r="FI124" i="67"/>
  <c r="ES124" i="67"/>
  <c r="GO124" i="67"/>
  <c r="DM124" i="67"/>
  <c r="CW124" i="67"/>
  <c r="CG124" i="67"/>
  <c r="EC124" i="67"/>
  <c r="BQ124" i="67"/>
  <c r="FY140" i="67"/>
  <c r="FI140" i="67"/>
  <c r="ES140" i="67"/>
  <c r="GO140" i="67"/>
  <c r="DM140" i="67"/>
  <c r="EC140" i="67"/>
  <c r="CW140" i="67"/>
  <c r="CG140" i="67"/>
  <c r="BQ140" i="67"/>
  <c r="FI158" i="67"/>
  <c r="FY158" i="67"/>
  <c r="EC158" i="67"/>
  <c r="GO158" i="67"/>
  <c r="ES158" i="67"/>
  <c r="CW158" i="67"/>
  <c r="DM158" i="67"/>
  <c r="BQ158" i="67"/>
  <c r="CG158" i="67"/>
  <c r="GO178" i="67"/>
  <c r="FY178" i="67"/>
  <c r="DM178" i="67"/>
  <c r="FI178" i="67"/>
  <c r="ES178" i="67"/>
  <c r="EC178" i="67"/>
  <c r="CW178" i="67"/>
  <c r="BQ178" i="67"/>
  <c r="CG178" i="67"/>
  <c r="FY12" i="67"/>
  <c r="ES12" i="67"/>
  <c r="GO12" i="67"/>
  <c r="FI12" i="67"/>
  <c r="DM12" i="67"/>
  <c r="EC12" i="67"/>
  <c r="CW12" i="67"/>
  <c r="CG12" i="67"/>
  <c r="BQ12" i="67"/>
  <c r="GO16" i="67"/>
  <c r="EC16" i="67"/>
  <c r="FI16" i="67"/>
  <c r="FY16" i="67"/>
  <c r="ES16" i="67"/>
  <c r="DM16" i="67"/>
  <c r="CG16" i="67"/>
  <c r="CW16" i="67"/>
  <c r="BQ16" i="67"/>
  <c r="FY21" i="67"/>
  <c r="GO21" i="67"/>
  <c r="ES21" i="67"/>
  <c r="EC21" i="67"/>
  <c r="CW21" i="67"/>
  <c r="FI21" i="67"/>
  <c r="DM21" i="67"/>
  <c r="BQ21" i="67"/>
  <c r="CG21" i="67"/>
  <c r="FY25" i="67"/>
  <c r="FI25" i="67"/>
  <c r="ES25" i="67"/>
  <c r="EC25" i="67"/>
  <c r="DM25" i="67"/>
  <c r="GO25" i="67"/>
  <c r="CW25" i="67"/>
  <c r="CG25" i="67"/>
  <c r="BQ25" i="67"/>
  <c r="FY29" i="67"/>
  <c r="FI29" i="67"/>
  <c r="ES29" i="67"/>
  <c r="EC29" i="67"/>
  <c r="GO29" i="67"/>
  <c r="CW29" i="67"/>
  <c r="DM29" i="67"/>
  <c r="CG29" i="67"/>
  <c r="BQ29" i="67"/>
  <c r="FY33" i="67"/>
  <c r="GO33" i="67"/>
  <c r="FI33" i="67"/>
  <c r="ES33" i="67"/>
  <c r="EC33" i="67"/>
  <c r="DM33" i="67"/>
  <c r="CW33" i="67"/>
  <c r="CG33" i="67"/>
  <c r="BQ33" i="67"/>
  <c r="FY37" i="67"/>
  <c r="GO37" i="67"/>
  <c r="ES37" i="67"/>
  <c r="FI37" i="67"/>
  <c r="EC37" i="67"/>
  <c r="CW37" i="67"/>
  <c r="DM37" i="67"/>
  <c r="BQ37" i="67"/>
  <c r="CG37" i="67"/>
  <c r="FY41" i="67"/>
  <c r="ES41" i="67"/>
  <c r="FI41" i="67"/>
  <c r="EC41" i="67"/>
  <c r="GO41" i="67"/>
  <c r="DM41" i="67"/>
  <c r="CW41" i="67"/>
  <c r="CG41" i="67"/>
  <c r="BQ41" i="67"/>
  <c r="FY45" i="67"/>
  <c r="ES45" i="67"/>
  <c r="EC45" i="67"/>
  <c r="GO45" i="67"/>
  <c r="FI45" i="67"/>
  <c r="CW45" i="67"/>
  <c r="DM45" i="67"/>
  <c r="CG45" i="67"/>
  <c r="BQ45" i="67"/>
  <c r="FY49" i="67"/>
  <c r="FI49" i="67"/>
  <c r="GO49" i="67"/>
  <c r="ES49" i="67"/>
  <c r="EC49" i="67"/>
  <c r="DM49" i="67"/>
  <c r="CW49" i="67"/>
  <c r="CG49" i="67"/>
  <c r="BQ49" i="67"/>
  <c r="FY53" i="67"/>
  <c r="GO53" i="67"/>
  <c r="ES53" i="67"/>
  <c r="EC53" i="67"/>
  <c r="CW53" i="67"/>
  <c r="FI53" i="67"/>
  <c r="DM53" i="67"/>
  <c r="BQ53" i="67"/>
  <c r="CG53" i="67"/>
  <c r="FY57" i="67"/>
  <c r="FI57" i="67"/>
  <c r="ES57" i="67"/>
  <c r="EC57" i="67"/>
  <c r="GO57" i="67"/>
  <c r="DM57" i="67"/>
  <c r="CW57" i="67"/>
  <c r="CG57" i="67"/>
  <c r="BQ57" i="67"/>
  <c r="FY61" i="67"/>
  <c r="FI61" i="67"/>
  <c r="ES61" i="67"/>
  <c r="EC61" i="67"/>
  <c r="GO61" i="67"/>
  <c r="CW61" i="67"/>
  <c r="DM61" i="67"/>
  <c r="CG61" i="67"/>
  <c r="BQ61" i="67"/>
  <c r="FY65" i="67"/>
  <c r="GO65" i="67"/>
  <c r="FI65" i="67"/>
  <c r="ES65" i="67"/>
  <c r="EC65" i="67"/>
  <c r="DM65" i="67"/>
  <c r="CW65" i="67"/>
  <c r="CG65" i="67"/>
  <c r="BQ65" i="67"/>
  <c r="FY69" i="67"/>
  <c r="GO69" i="67"/>
  <c r="ES69" i="67"/>
  <c r="FI69" i="67"/>
  <c r="EC69" i="67"/>
  <c r="CW69" i="67"/>
  <c r="CG69" i="67"/>
  <c r="DM69" i="67"/>
  <c r="BQ69" i="67"/>
  <c r="FY73" i="67"/>
  <c r="FI73" i="67"/>
  <c r="ES73" i="67"/>
  <c r="EC73" i="67"/>
  <c r="GO73" i="67"/>
  <c r="DM73" i="67"/>
  <c r="CW73" i="67"/>
  <c r="CG73" i="67"/>
  <c r="BQ73" i="67"/>
  <c r="FY77" i="67"/>
  <c r="ES77" i="67"/>
  <c r="EC77" i="67"/>
  <c r="GO77" i="67"/>
  <c r="FI77" i="67"/>
  <c r="CW77" i="67"/>
  <c r="CG77" i="67"/>
  <c r="DM77" i="67"/>
  <c r="BQ77" i="67"/>
  <c r="FY81" i="67"/>
  <c r="GO81" i="67"/>
  <c r="FI81" i="67"/>
  <c r="EC81" i="67"/>
  <c r="ES81" i="67"/>
  <c r="DM81" i="67"/>
  <c r="CW81" i="67"/>
  <c r="CG81" i="67"/>
  <c r="BQ81" i="67"/>
  <c r="FY85" i="67"/>
  <c r="ES85" i="67"/>
  <c r="GO85" i="67"/>
  <c r="FI85" i="67"/>
  <c r="EC85" i="67"/>
  <c r="CW85" i="67"/>
  <c r="CG85" i="67"/>
  <c r="DM85" i="67"/>
  <c r="BQ85" i="67"/>
  <c r="FY89" i="67"/>
  <c r="FI89" i="67"/>
  <c r="ES89" i="67"/>
  <c r="EC89" i="67"/>
  <c r="GO89" i="67"/>
  <c r="DM89" i="67"/>
  <c r="CW89" i="67"/>
  <c r="CG89" i="67"/>
  <c r="BQ89" i="67"/>
  <c r="FY93" i="67"/>
  <c r="ES93" i="67"/>
  <c r="EC93" i="67"/>
  <c r="GO93" i="67"/>
  <c r="CW93" i="67"/>
  <c r="CG93" i="67"/>
  <c r="FI93" i="67"/>
  <c r="DM93" i="67"/>
  <c r="BQ93" i="67"/>
  <c r="GO98" i="67"/>
  <c r="FY98" i="67"/>
  <c r="ES98" i="67"/>
  <c r="FI98" i="67"/>
  <c r="EC98" i="67"/>
  <c r="DM98" i="67"/>
  <c r="CW98" i="67"/>
  <c r="CG98" i="67"/>
  <c r="BQ98" i="67"/>
  <c r="FI102" i="67"/>
  <c r="EC102" i="67"/>
  <c r="FY102" i="67"/>
  <c r="ES102" i="67"/>
  <c r="GO102" i="67"/>
  <c r="CW102" i="67"/>
  <c r="DM102" i="67"/>
  <c r="CG102" i="67"/>
  <c r="BQ102" i="67"/>
  <c r="GO106" i="67"/>
  <c r="FY106" i="67"/>
  <c r="ES106" i="67"/>
  <c r="FI106" i="67"/>
  <c r="DM106" i="67"/>
  <c r="CW106" i="67"/>
  <c r="EC106" i="67"/>
  <c r="CG106" i="67"/>
  <c r="BQ106" i="67"/>
  <c r="FI110" i="67"/>
  <c r="FY110" i="67"/>
  <c r="EC110" i="67"/>
  <c r="GO110" i="67"/>
  <c r="ES110" i="67"/>
  <c r="CW110" i="67"/>
  <c r="BQ110" i="67"/>
  <c r="CG110" i="67"/>
  <c r="DM110" i="67"/>
  <c r="GO114" i="67"/>
  <c r="FY114" i="67"/>
  <c r="FI114" i="67"/>
  <c r="ES114" i="67"/>
  <c r="DM114" i="67"/>
  <c r="EC114" i="67"/>
  <c r="CW114" i="67"/>
  <c r="CG114" i="67"/>
  <c r="BQ114" i="67"/>
  <c r="FI118" i="67"/>
  <c r="ES118" i="67"/>
  <c r="EC118" i="67"/>
  <c r="FY118" i="67"/>
  <c r="GO118" i="67"/>
  <c r="CW118" i="67"/>
  <c r="BQ118" i="67"/>
  <c r="CG118" i="67"/>
  <c r="DM118" i="67"/>
  <c r="GO122" i="67"/>
  <c r="FY122" i="67"/>
  <c r="FI122" i="67"/>
  <c r="EC122" i="67"/>
  <c r="DM122" i="67"/>
  <c r="CW122" i="67"/>
  <c r="ES122" i="67"/>
  <c r="CG122" i="67"/>
  <c r="BQ122" i="67"/>
  <c r="FI126" i="67"/>
  <c r="FY126" i="67"/>
  <c r="EC126" i="67"/>
  <c r="GO126" i="67"/>
  <c r="ES126" i="67"/>
  <c r="CW126" i="67"/>
  <c r="BQ126" i="67"/>
  <c r="DM126" i="67"/>
  <c r="CG126" i="67"/>
  <c r="GO130" i="67"/>
  <c r="FY130" i="67"/>
  <c r="ES130" i="67"/>
  <c r="FI130" i="67"/>
  <c r="DM130" i="67"/>
  <c r="CW130" i="67"/>
  <c r="EC130" i="67"/>
  <c r="CG130" i="67"/>
  <c r="BQ130" i="67"/>
  <c r="FI134" i="67"/>
  <c r="EC134" i="67"/>
  <c r="FY134" i="67"/>
  <c r="ES134" i="67"/>
  <c r="GO134" i="67"/>
  <c r="CW134" i="67"/>
  <c r="BQ134" i="67"/>
  <c r="DM134" i="67"/>
  <c r="CG134" i="67"/>
  <c r="GO138" i="67"/>
  <c r="FY138" i="67"/>
  <c r="ES138" i="67"/>
  <c r="FI138" i="67"/>
  <c r="DM138" i="67"/>
  <c r="EC138" i="67"/>
  <c r="CW138" i="67"/>
  <c r="CG138" i="67"/>
  <c r="BQ138" i="67"/>
  <c r="FI142" i="67"/>
  <c r="FY142" i="67"/>
  <c r="EC142" i="67"/>
  <c r="GO142" i="67"/>
  <c r="ES142" i="67"/>
  <c r="CW142" i="67"/>
  <c r="CG142" i="67"/>
  <c r="BQ142" i="67"/>
  <c r="DM142" i="67"/>
  <c r="GO146" i="67"/>
  <c r="FY146" i="67"/>
  <c r="FI146" i="67"/>
  <c r="ES146" i="67"/>
  <c r="EC146" i="67"/>
  <c r="DM146" i="67"/>
  <c r="CW146" i="67"/>
  <c r="BQ146" i="67"/>
  <c r="CG146" i="67"/>
  <c r="FI150" i="67"/>
  <c r="ES150" i="67"/>
  <c r="EC150" i="67"/>
  <c r="FY150" i="67"/>
  <c r="GO150" i="67"/>
  <c r="CW150" i="67"/>
  <c r="BQ150" i="67"/>
  <c r="DM150" i="67"/>
  <c r="CG150" i="67"/>
  <c r="GO152" i="67"/>
  <c r="EC152" i="67"/>
  <c r="FI152" i="67"/>
  <c r="FY152" i="67"/>
  <c r="ES152" i="67"/>
  <c r="DM152" i="67"/>
  <c r="CW152" i="67"/>
  <c r="CG152" i="67"/>
  <c r="BQ152" i="67"/>
  <c r="FY156" i="67"/>
  <c r="FI156" i="67"/>
  <c r="ES156" i="67"/>
  <c r="EC156" i="67"/>
  <c r="GO156" i="67"/>
  <c r="CW156" i="67"/>
  <c r="DM156" i="67"/>
  <c r="CG156" i="67"/>
  <c r="BQ156" i="67"/>
  <c r="GO160" i="67"/>
  <c r="EC160" i="67"/>
  <c r="ES160" i="67"/>
  <c r="DM160" i="67"/>
  <c r="FI160" i="67"/>
  <c r="FY160" i="67"/>
  <c r="CW160" i="67"/>
  <c r="CG160" i="67"/>
  <c r="BQ160" i="67"/>
  <c r="FY164" i="67"/>
  <c r="FI164" i="67"/>
  <c r="GO164" i="67"/>
  <c r="EC164" i="67"/>
  <c r="ES164" i="67"/>
  <c r="CW164" i="67"/>
  <c r="CG164" i="67"/>
  <c r="DM164" i="67"/>
  <c r="BQ164" i="67"/>
  <c r="GO168" i="67"/>
  <c r="EC168" i="67"/>
  <c r="FI168" i="67"/>
  <c r="DM168" i="67"/>
  <c r="FY168" i="67"/>
  <c r="ES168" i="67"/>
  <c r="BQ168" i="67"/>
  <c r="CW168" i="67"/>
  <c r="CG168" i="67"/>
  <c r="FY172" i="67"/>
  <c r="FI172" i="67"/>
  <c r="ES172" i="67"/>
  <c r="EC172" i="67"/>
  <c r="GO172" i="67"/>
  <c r="CW172" i="67"/>
  <c r="DM172" i="67"/>
  <c r="CG172" i="67"/>
  <c r="BQ172" i="67"/>
  <c r="GO176" i="67"/>
  <c r="EC176" i="67"/>
  <c r="DM176" i="67"/>
  <c r="FI176" i="67"/>
  <c r="ES176" i="67"/>
  <c r="FY176" i="67"/>
  <c r="CG176" i="67"/>
  <c r="CW176" i="67"/>
  <c r="BQ176" i="67"/>
  <c r="FY180" i="67"/>
  <c r="FI180" i="67"/>
  <c r="GO180" i="67"/>
  <c r="ES180" i="67"/>
  <c r="EC180" i="67"/>
  <c r="DM180" i="67"/>
  <c r="CW180" i="67"/>
  <c r="CG180" i="67"/>
  <c r="BQ180" i="67"/>
  <c r="GO184" i="67"/>
  <c r="EC184" i="67"/>
  <c r="FI184" i="67"/>
  <c r="DM184" i="67"/>
  <c r="FY184" i="67"/>
  <c r="ES184" i="67"/>
  <c r="CG184" i="67"/>
  <c r="CW184" i="67"/>
  <c r="BQ184" i="67"/>
  <c r="FY188" i="67"/>
  <c r="FI188" i="67"/>
  <c r="ES188" i="67"/>
  <c r="EC188" i="67"/>
  <c r="GO188" i="67"/>
  <c r="CW188" i="67"/>
  <c r="CG188" i="67"/>
  <c r="DM188" i="67"/>
  <c r="BQ188" i="67"/>
  <c r="GO8" i="67"/>
  <c r="FI8" i="67"/>
  <c r="EC8" i="67"/>
  <c r="FY8" i="67"/>
  <c r="ES8" i="67"/>
  <c r="DM8" i="67"/>
  <c r="CG8" i="67"/>
  <c r="CW8" i="67"/>
  <c r="BQ8" i="67"/>
  <c r="FY9" i="67"/>
  <c r="ES9" i="67"/>
  <c r="FI9" i="67"/>
  <c r="EC9" i="67"/>
  <c r="DM9" i="67"/>
  <c r="GO9" i="67"/>
  <c r="CW9" i="67"/>
  <c r="BQ9" i="67"/>
  <c r="CG9" i="67"/>
  <c r="FY13" i="67"/>
  <c r="ES13" i="67"/>
  <c r="EC13" i="67"/>
  <c r="GO13" i="67"/>
  <c r="FI13" i="67"/>
  <c r="CW13" i="67"/>
  <c r="DM13" i="67"/>
  <c r="CG13" i="67"/>
  <c r="BQ13" i="67"/>
  <c r="GO18" i="67"/>
  <c r="FY18" i="67"/>
  <c r="FI18" i="67"/>
  <c r="ES18" i="67"/>
  <c r="EC18" i="67"/>
  <c r="DM18" i="67"/>
  <c r="CW18" i="67"/>
  <c r="BQ18" i="67"/>
  <c r="CG18" i="67"/>
  <c r="ES22" i="67"/>
  <c r="EC22" i="67"/>
  <c r="FY22" i="67"/>
  <c r="FI22" i="67"/>
  <c r="GO22" i="67"/>
  <c r="CW22" i="67"/>
  <c r="BQ22" i="67"/>
  <c r="DM22" i="67"/>
  <c r="CG22" i="67"/>
  <c r="GO26" i="67"/>
  <c r="FY26" i="67"/>
  <c r="FI26" i="67"/>
  <c r="ES26" i="67"/>
  <c r="DM26" i="67"/>
  <c r="CW26" i="67"/>
  <c r="EC26" i="67"/>
  <c r="CG26" i="67"/>
  <c r="BQ26" i="67"/>
  <c r="ES30" i="67"/>
  <c r="FY30" i="67"/>
  <c r="EC30" i="67"/>
  <c r="GO30" i="67"/>
  <c r="FI30" i="67"/>
  <c r="CW30" i="67"/>
  <c r="DM30" i="67"/>
  <c r="BQ30" i="67"/>
  <c r="CG30" i="67"/>
  <c r="GO34" i="67"/>
  <c r="FY34" i="67"/>
  <c r="FI34" i="67"/>
  <c r="ES34" i="67"/>
  <c r="EC34" i="67"/>
  <c r="DM34" i="67"/>
  <c r="CW34" i="67"/>
  <c r="CG34" i="67"/>
  <c r="BQ34" i="67"/>
  <c r="ES38" i="67"/>
  <c r="FI38" i="67"/>
  <c r="EC38" i="67"/>
  <c r="FY38" i="67"/>
  <c r="GO38" i="67"/>
  <c r="CW38" i="67"/>
  <c r="DM38" i="67"/>
  <c r="BQ38" i="67"/>
  <c r="CG38" i="67"/>
  <c r="GO42" i="67"/>
  <c r="FY42" i="67"/>
  <c r="ES42" i="67"/>
  <c r="DM42" i="67"/>
  <c r="FI42" i="67"/>
  <c r="CW42" i="67"/>
  <c r="EC42" i="67"/>
  <c r="CG42" i="67"/>
  <c r="BQ42" i="67"/>
  <c r="ES46" i="67"/>
  <c r="FY46" i="67"/>
  <c r="EC46" i="67"/>
  <c r="GO46" i="67"/>
  <c r="FI46" i="67"/>
  <c r="CW46" i="67"/>
  <c r="BQ46" i="67"/>
  <c r="DM46" i="67"/>
  <c r="CG46" i="67"/>
  <c r="GO50" i="67"/>
  <c r="FY50" i="67"/>
  <c r="FI50" i="67"/>
  <c r="ES50" i="67"/>
  <c r="DM50" i="67"/>
  <c r="EC50" i="67"/>
  <c r="CW50" i="67"/>
  <c r="CG50" i="67"/>
  <c r="BQ50" i="67"/>
  <c r="ES54" i="67"/>
  <c r="EC54" i="67"/>
  <c r="FY54" i="67"/>
  <c r="FI54" i="67"/>
  <c r="GO54" i="67"/>
  <c r="CW54" i="67"/>
  <c r="BQ54" i="67"/>
  <c r="DM54" i="67"/>
  <c r="CG54" i="67"/>
  <c r="GO58" i="67"/>
  <c r="FY58" i="67"/>
  <c r="FI58" i="67"/>
  <c r="ES58" i="67"/>
  <c r="EC58" i="67"/>
  <c r="DM58" i="67"/>
  <c r="CW58" i="67"/>
  <c r="CG58" i="67"/>
  <c r="BQ58" i="67"/>
  <c r="ES62" i="67"/>
  <c r="FY62" i="67"/>
  <c r="EC62" i="67"/>
  <c r="GO62" i="67"/>
  <c r="FI62" i="67"/>
  <c r="CW62" i="67"/>
  <c r="BQ62" i="67"/>
  <c r="DM62" i="67"/>
  <c r="CG62" i="67"/>
  <c r="GO66" i="67"/>
  <c r="FY66" i="67"/>
  <c r="FI66" i="67"/>
  <c r="ES66" i="67"/>
  <c r="DM66" i="67"/>
  <c r="CW66" i="67"/>
  <c r="EC66" i="67"/>
  <c r="CG66" i="67"/>
  <c r="BQ66" i="67"/>
  <c r="FI70" i="67"/>
  <c r="ES70" i="67"/>
  <c r="EC70" i="67"/>
  <c r="FY70" i="67"/>
  <c r="GO70" i="67"/>
  <c r="CW70" i="67"/>
  <c r="BQ70" i="67"/>
  <c r="DM70" i="67"/>
  <c r="CG70" i="67"/>
  <c r="GO74" i="67"/>
  <c r="FY74" i="67"/>
  <c r="ES74" i="67"/>
  <c r="FI74" i="67"/>
  <c r="DM74" i="67"/>
  <c r="EC74" i="67"/>
  <c r="CW74" i="67"/>
  <c r="CG74" i="67"/>
  <c r="BQ74" i="67"/>
  <c r="FI78" i="67"/>
  <c r="FY78" i="67"/>
  <c r="ES78" i="67"/>
  <c r="EC78" i="67"/>
  <c r="GO78" i="67"/>
  <c r="CW78" i="67"/>
  <c r="CG78" i="67"/>
  <c r="BQ78" i="67"/>
  <c r="DM78" i="67"/>
  <c r="GO82" i="67"/>
  <c r="FY82" i="67"/>
  <c r="FI82" i="67"/>
  <c r="ES82" i="67"/>
  <c r="EC82" i="67"/>
  <c r="DM82" i="67"/>
  <c r="CW82" i="67"/>
  <c r="BQ82" i="67"/>
  <c r="CG82" i="67"/>
  <c r="FI86" i="67"/>
  <c r="ES86" i="67"/>
  <c r="EC86" i="67"/>
  <c r="FY86" i="67"/>
  <c r="GO86" i="67"/>
  <c r="CW86" i="67"/>
  <c r="BQ86" i="67"/>
  <c r="CG86" i="67"/>
  <c r="DM86" i="67"/>
  <c r="GO90" i="67"/>
  <c r="FY90" i="67"/>
  <c r="FI90" i="67"/>
  <c r="ES90" i="67"/>
  <c r="DM90" i="67"/>
  <c r="CW90" i="67"/>
  <c r="EC90" i="67"/>
  <c r="CG90" i="67"/>
  <c r="BQ90" i="67"/>
  <c r="FI94" i="67"/>
  <c r="FY94" i="67"/>
  <c r="EC94" i="67"/>
  <c r="GO94" i="67"/>
  <c r="ES94" i="67"/>
  <c r="CW94" i="67"/>
  <c r="DM94" i="67"/>
  <c r="BQ94" i="67"/>
  <c r="CG94" i="67"/>
  <c r="GO99" i="67"/>
  <c r="FI99" i="67"/>
  <c r="ES99" i="67"/>
  <c r="EC99" i="67"/>
  <c r="DM99" i="67"/>
  <c r="FY99" i="67"/>
  <c r="CW99" i="67"/>
  <c r="CG99" i="67"/>
  <c r="BQ99" i="67"/>
  <c r="FI103" i="67"/>
  <c r="GO103" i="67"/>
  <c r="EC103" i="67"/>
  <c r="FY103" i="67"/>
  <c r="ES103" i="67"/>
  <c r="CG103" i="67"/>
  <c r="DM103" i="67"/>
  <c r="CW103" i="67"/>
  <c r="BQ103" i="67"/>
  <c r="GO107" i="67"/>
  <c r="FI107" i="67"/>
  <c r="ES107" i="67"/>
  <c r="FY107" i="67"/>
  <c r="DM107" i="67"/>
  <c r="CW107" i="67"/>
  <c r="CG107" i="67"/>
  <c r="EC107" i="67"/>
  <c r="BQ107" i="67"/>
  <c r="FI111" i="67"/>
  <c r="GO111" i="67"/>
  <c r="FY111" i="67"/>
  <c r="EC111" i="67"/>
  <c r="CG111" i="67"/>
  <c r="DM111" i="67"/>
  <c r="CW111" i="67"/>
  <c r="BQ111" i="67"/>
  <c r="ES111" i="67"/>
  <c r="GO115" i="67"/>
  <c r="FI115" i="67"/>
  <c r="ES115" i="67"/>
  <c r="DM115" i="67"/>
  <c r="FY115" i="67"/>
  <c r="EC115" i="67"/>
  <c r="CW115" i="67"/>
  <c r="CG115" i="67"/>
  <c r="BQ115" i="67"/>
  <c r="FI119" i="67"/>
  <c r="GO119" i="67"/>
  <c r="ES119" i="67"/>
  <c r="EC119" i="67"/>
  <c r="FY119" i="67"/>
  <c r="CG119" i="67"/>
  <c r="DM119" i="67"/>
  <c r="CW119" i="67"/>
  <c r="BQ119" i="67"/>
  <c r="GO123" i="67"/>
  <c r="FI123" i="67"/>
  <c r="FY123" i="67"/>
  <c r="ES123" i="67"/>
  <c r="EC123" i="67"/>
  <c r="DM123" i="67"/>
  <c r="CW123" i="67"/>
  <c r="CG123" i="67"/>
  <c r="BQ123" i="67"/>
  <c r="FI127" i="67"/>
  <c r="GO127" i="67"/>
  <c r="FY127" i="67"/>
  <c r="EC127" i="67"/>
  <c r="ES127" i="67"/>
  <c r="CG127" i="67"/>
  <c r="DM127" i="67"/>
  <c r="CW127" i="67"/>
  <c r="BQ127" i="67"/>
  <c r="GO131" i="67"/>
  <c r="FI131" i="67"/>
  <c r="ES131" i="67"/>
  <c r="FY131" i="67"/>
  <c r="DM131" i="67"/>
  <c r="CW131" i="67"/>
  <c r="EC131" i="67"/>
  <c r="CG131" i="67"/>
  <c r="BQ131" i="67"/>
  <c r="FI135" i="67"/>
  <c r="GO135" i="67"/>
  <c r="EC135" i="67"/>
  <c r="FY135" i="67"/>
  <c r="ES135" i="67"/>
  <c r="CG135" i="67"/>
  <c r="DM135" i="67"/>
  <c r="CW135" i="67"/>
  <c r="BQ135" i="67"/>
  <c r="GO139" i="67"/>
  <c r="FI139" i="67"/>
  <c r="ES139" i="67"/>
  <c r="FY139" i="67"/>
  <c r="DM139" i="67"/>
  <c r="EC139" i="67"/>
  <c r="CW139" i="67"/>
  <c r="CG139" i="67"/>
  <c r="BQ139" i="67"/>
  <c r="FI143" i="67"/>
  <c r="GO143" i="67"/>
  <c r="FY143" i="67"/>
  <c r="EC143" i="67"/>
  <c r="CG143" i="67"/>
  <c r="ES143" i="67"/>
  <c r="DM143" i="67"/>
  <c r="CW143" i="67"/>
  <c r="BQ143" i="67"/>
  <c r="GO147" i="67"/>
  <c r="FI147" i="67"/>
  <c r="ES147" i="67"/>
  <c r="EC147" i="67"/>
  <c r="FY147" i="67"/>
  <c r="DM147" i="67"/>
  <c r="CW147" i="67"/>
  <c r="CG147" i="67"/>
  <c r="BQ147" i="67"/>
  <c r="FI151" i="67"/>
  <c r="GO151" i="67"/>
  <c r="ES151" i="67"/>
  <c r="EC151" i="67"/>
  <c r="FY151" i="67"/>
  <c r="CG151" i="67"/>
  <c r="DM151" i="67"/>
  <c r="CW151" i="67"/>
  <c r="BQ151" i="67"/>
  <c r="ES153" i="67"/>
  <c r="FY153" i="67"/>
  <c r="FI153" i="67"/>
  <c r="DM153" i="67"/>
  <c r="EC153" i="67"/>
  <c r="GO153" i="67"/>
  <c r="CW153" i="67"/>
  <c r="CG153" i="67"/>
  <c r="BQ153" i="67"/>
  <c r="FY157" i="67"/>
  <c r="ES157" i="67"/>
  <c r="EC157" i="67"/>
  <c r="GO157" i="67"/>
  <c r="CW157" i="67"/>
  <c r="DM157" i="67"/>
  <c r="FI157" i="67"/>
  <c r="CG157" i="67"/>
  <c r="BQ157" i="67"/>
  <c r="ES161" i="67"/>
  <c r="FY161" i="67"/>
  <c r="DM161" i="67"/>
  <c r="GO161" i="67"/>
  <c r="FI161" i="67"/>
  <c r="EC161" i="67"/>
  <c r="BQ161" i="67"/>
  <c r="CW161" i="67"/>
  <c r="CG161" i="67"/>
  <c r="FY165" i="67"/>
  <c r="ES165" i="67"/>
  <c r="GO165" i="67"/>
  <c r="FI165" i="67"/>
  <c r="EC165" i="67"/>
  <c r="CW165" i="67"/>
  <c r="CG165" i="67"/>
  <c r="BQ165" i="67"/>
  <c r="DM165" i="67"/>
  <c r="ES169" i="67"/>
  <c r="FY169" i="67"/>
  <c r="FI169" i="67"/>
  <c r="DM169" i="67"/>
  <c r="EC169" i="67"/>
  <c r="BQ169" i="67"/>
  <c r="GO169" i="67"/>
  <c r="CW169" i="67"/>
  <c r="CG169" i="67"/>
  <c r="FY173" i="67"/>
  <c r="ES173" i="67"/>
  <c r="EC173" i="67"/>
  <c r="GO173" i="67"/>
  <c r="CW173" i="67"/>
  <c r="FI173" i="67"/>
  <c r="DM173" i="67"/>
  <c r="CG173" i="67"/>
  <c r="BQ173" i="67"/>
  <c r="ES177" i="67"/>
  <c r="FY177" i="67"/>
  <c r="DM177" i="67"/>
  <c r="GO177" i="67"/>
  <c r="FI177" i="67"/>
  <c r="EC177" i="67"/>
  <c r="BQ177" i="67"/>
  <c r="CW177" i="67"/>
  <c r="CG177" i="67"/>
  <c r="FY181" i="67"/>
  <c r="ES181" i="67"/>
  <c r="GO181" i="67"/>
  <c r="FI181" i="67"/>
  <c r="EC181" i="67"/>
  <c r="DM181" i="67"/>
  <c r="CW181" i="67"/>
  <c r="CG181" i="67"/>
  <c r="BQ181" i="67"/>
  <c r="ES185" i="67"/>
  <c r="FY185" i="67"/>
  <c r="FI185" i="67"/>
  <c r="DM185" i="67"/>
  <c r="EC185" i="67"/>
  <c r="BQ185" i="67"/>
  <c r="GO185" i="67"/>
  <c r="CW185" i="67"/>
  <c r="CG185" i="67"/>
  <c r="FY189" i="67"/>
  <c r="ES189" i="67"/>
  <c r="EC189" i="67"/>
  <c r="GO189" i="67"/>
  <c r="FI189" i="67"/>
  <c r="CW189" i="67"/>
  <c r="CG189" i="67"/>
  <c r="DM189" i="67"/>
  <c r="BQ189" i="67"/>
  <c r="GO19" i="67"/>
  <c r="FI19" i="67"/>
  <c r="ES19" i="67"/>
  <c r="FY19" i="67"/>
  <c r="DM19" i="67"/>
  <c r="CW19" i="67"/>
  <c r="CG19" i="67"/>
  <c r="EC19" i="67"/>
  <c r="BQ19" i="67"/>
  <c r="FI47" i="67"/>
  <c r="GO47" i="67"/>
  <c r="FY47" i="67"/>
  <c r="EC47" i="67"/>
  <c r="ES47" i="67"/>
  <c r="CG47" i="67"/>
  <c r="DM47" i="67"/>
  <c r="CW47" i="67"/>
  <c r="BQ47" i="67"/>
  <c r="GO59" i="67"/>
  <c r="FI59" i="67"/>
  <c r="FY59" i="67"/>
  <c r="ES59" i="67"/>
  <c r="EC59" i="67"/>
  <c r="DM59" i="67"/>
  <c r="CW59" i="67"/>
  <c r="CG59" i="67"/>
  <c r="BQ59" i="67"/>
  <c r="FI79" i="67"/>
  <c r="GO79" i="67"/>
  <c r="FY79" i="67"/>
  <c r="ES79" i="67"/>
  <c r="EC79" i="67"/>
  <c r="CG79" i="67"/>
  <c r="DM79" i="67"/>
  <c r="CW79" i="67"/>
  <c r="BQ79" i="67"/>
  <c r="FI95" i="67"/>
  <c r="GO95" i="67"/>
  <c r="FY95" i="67"/>
  <c r="EC95" i="67"/>
  <c r="ES95" i="67"/>
  <c r="CG95" i="67"/>
  <c r="DM95" i="67"/>
  <c r="CW95" i="67"/>
  <c r="BQ95" i="67"/>
  <c r="FY116" i="67"/>
  <c r="FI116" i="67"/>
  <c r="GO116" i="67"/>
  <c r="ES116" i="67"/>
  <c r="DM116" i="67"/>
  <c r="EC116" i="67"/>
  <c r="CW116" i="67"/>
  <c r="CG116" i="67"/>
  <c r="BQ116" i="67"/>
  <c r="GO136" i="67"/>
  <c r="EC136" i="67"/>
  <c r="FI136" i="67"/>
  <c r="FY136" i="67"/>
  <c r="ES136" i="67"/>
  <c r="DM136" i="67"/>
  <c r="CW136" i="67"/>
  <c r="CG136" i="67"/>
  <c r="BQ136" i="67"/>
  <c r="GO162" i="67"/>
  <c r="FY162" i="67"/>
  <c r="ES162" i="67"/>
  <c r="DM162" i="67"/>
  <c r="FI162" i="67"/>
  <c r="CW162" i="67"/>
  <c r="BQ162" i="67"/>
  <c r="EC162" i="67"/>
  <c r="CG162" i="67"/>
  <c r="GO186" i="67"/>
  <c r="FY186" i="67"/>
  <c r="DM186" i="67"/>
  <c r="FI186" i="67"/>
  <c r="EC186" i="67"/>
  <c r="CW186" i="67"/>
  <c r="ES186" i="67"/>
  <c r="CG186" i="67"/>
  <c r="BQ186" i="67"/>
  <c r="AN50" i="62"/>
  <c r="AN66" i="62"/>
  <c r="AN26" i="62"/>
  <c r="AN34" i="62"/>
  <c r="AN58" i="62"/>
  <c r="AN25" i="62"/>
  <c r="V196" i="67"/>
  <c r="DX196" i="67"/>
  <c r="FJ196" i="67"/>
  <c r="DZ196" i="67"/>
  <c r="AF196" i="67"/>
  <c r="EN196" i="67"/>
  <c r="BR196" i="67"/>
  <c r="ET196" i="67"/>
  <c r="EO196" i="67"/>
  <c r="CT196" i="67"/>
  <c r="AL196" i="67"/>
  <c r="R196" i="67"/>
  <c r="FF196" i="67"/>
  <c r="P196" i="67"/>
  <c r="FD196" i="67"/>
  <c r="ED196" i="67"/>
  <c r="GP196" i="67"/>
  <c r="FU196" i="67"/>
  <c r="GL196" i="67"/>
  <c r="AX196" i="67"/>
  <c r="EP196" i="67"/>
  <c r="BL196" i="67"/>
  <c r="GJ196" i="67"/>
  <c r="DN196" i="67"/>
  <c r="FE196" i="67"/>
  <c r="AV196" i="67"/>
  <c r="BB196" i="67"/>
  <c r="BN196" i="67"/>
  <c r="FV196" i="67"/>
  <c r="DI196" i="67"/>
  <c r="Q196" i="67"/>
  <c r="CD196" i="67"/>
  <c r="DH196" i="67"/>
  <c r="FZ196" i="67"/>
  <c r="AW196" i="67"/>
  <c r="AG196" i="67"/>
  <c r="GK196" i="67"/>
  <c r="BM196" i="67"/>
  <c r="AH196" i="67"/>
  <c r="FT196" i="67"/>
  <c r="DJ196" i="67"/>
  <c r="DY196" i="67"/>
  <c r="AN33" i="62"/>
  <c r="AN10" i="62"/>
  <c r="AN74" i="62"/>
  <c r="AN8" i="62"/>
  <c r="R195" i="61"/>
  <c r="O8" i="67"/>
  <c r="O196" i="67" s="1"/>
  <c r="AN115" i="62"/>
  <c r="O115" i="71"/>
  <c r="AN156" i="62"/>
  <c r="O156" i="71"/>
  <c r="AN147" i="62"/>
  <c r="O147" i="71"/>
  <c r="AN92" i="62"/>
  <c r="O92" i="71"/>
  <c r="AN16" i="62"/>
  <c r="O16" i="71"/>
  <c r="AN112" i="62"/>
  <c r="O112" i="71"/>
  <c r="AN61" i="62"/>
  <c r="O61" i="71"/>
  <c r="AN120" i="62"/>
  <c r="O120" i="71"/>
  <c r="AN82" i="62"/>
  <c r="AN70" i="62"/>
  <c r="O70" i="71"/>
  <c r="AN102" i="62"/>
  <c r="O102" i="71"/>
  <c r="AN134" i="62"/>
  <c r="O134" i="71"/>
  <c r="AN166" i="62"/>
  <c r="O166" i="71"/>
  <c r="AN15" i="62"/>
  <c r="O15" i="71"/>
  <c r="AN71" i="62"/>
  <c r="O71" i="71"/>
  <c r="AN49" i="62"/>
  <c r="AN170" i="62"/>
  <c r="O170" i="71"/>
  <c r="AN28" i="62"/>
  <c r="O28" i="71"/>
  <c r="AN79" i="62"/>
  <c r="O79" i="71"/>
  <c r="AN48" i="62"/>
  <c r="O48" i="71"/>
  <c r="AN29" i="62"/>
  <c r="O29" i="71"/>
  <c r="AN184" i="62"/>
  <c r="O184" i="71"/>
  <c r="AN65" i="62"/>
  <c r="AN90" i="62"/>
  <c r="AN81" i="62"/>
  <c r="O81" i="71"/>
  <c r="AN41" i="62"/>
  <c r="AN98" i="62"/>
  <c r="AN122" i="62"/>
  <c r="O122" i="71"/>
  <c r="AN59" i="62"/>
  <c r="O59" i="71"/>
  <c r="AN91" i="62"/>
  <c r="O91" i="71"/>
  <c r="AN123" i="62"/>
  <c r="O123" i="71"/>
  <c r="AN155" i="62"/>
  <c r="O155" i="71"/>
  <c r="AN187" i="62"/>
  <c r="O187" i="71"/>
  <c r="AN36" i="62"/>
  <c r="O36" i="71"/>
  <c r="AN68" i="62"/>
  <c r="O68" i="71"/>
  <c r="AN100" i="62"/>
  <c r="O100" i="71"/>
  <c r="AN132" i="62"/>
  <c r="O132" i="71"/>
  <c r="AN164" i="62"/>
  <c r="O164" i="71"/>
  <c r="AN23" i="62"/>
  <c r="O23" i="71"/>
  <c r="AN95" i="62"/>
  <c r="O95" i="71"/>
  <c r="AN159" i="62"/>
  <c r="O159" i="71"/>
  <c r="AN24" i="62"/>
  <c r="O24" i="71"/>
  <c r="AN64" i="62"/>
  <c r="O64" i="71"/>
  <c r="AN37" i="62"/>
  <c r="O37" i="71"/>
  <c r="AN69" i="62"/>
  <c r="O69" i="71"/>
  <c r="AN101" i="62"/>
  <c r="O101" i="71"/>
  <c r="AN133" i="62"/>
  <c r="O133" i="71"/>
  <c r="AN165" i="62"/>
  <c r="O165" i="71"/>
  <c r="AN136" i="62"/>
  <c r="O136" i="71"/>
  <c r="AN9" i="62"/>
  <c r="AN51" i="62"/>
  <c r="O51" i="71"/>
  <c r="AN124" i="62"/>
  <c r="O124" i="71"/>
  <c r="AN185" i="62"/>
  <c r="O185" i="71"/>
  <c r="AN179" i="62"/>
  <c r="O179" i="71"/>
  <c r="AN143" i="62"/>
  <c r="O143" i="71"/>
  <c r="AL195" i="62"/>
  <c r="P8" i="71"/>
  <c r="P195" i="71" s="1"/>
  <c r="AN57" i="62"/>
  <c r="AN105" i="62"/>
  <c r="AN42" i="62"/>
  <c r="AN106" i="62"/>
  <c r="AN169" i="62"/>
  <c r="O169" i="71"/>
  <c r="AN73" i="62"/>
  <c r="AN114" i="62"/>
  <c r="O114" i="71"/>
  <c r="AN67" i="62"/>
  <c r="O67" i="71"/>
  <c r="AN99" i="62"/>
  <c r="O99" i="71"/>
  <c r="AN131" i="62"/>
  <c r="O131" i="71"/>
  <c r="AN163" i="62"/>
  <c r="O163" i="71"/>
  <c r="AN12" i="62"/>
  <c r="O12" i="71"/>
  <c r="AN44" i="62"/>
  <c r="O44" i="71"/>
  <c r="AN76" i="62"/>
  <c r="O76" i="71"/>
  <c r="AN108" i="62"/>
  <c r="O108" i="71"/>
  <c r="AN140" i="62"/>
  <c r="O140" i="71"/>
  <c r="AN47" i="62"/>
  <c r="O47" i="71"/>
  <c r="AN111" i="62"/>
  <c r="O111" i="71"/>
  <c r="AN175" i="62"/>
  <c r="O175" i="71"/>
  <c r="AN32" i="62"/>
  <c r="O32" i="71"/>
  <c r="AN80" i="62"/>
  <c r="O80" i="71"/>
  <c r="AN13" i="62"/>
  <c r="O13" i="71"/>
  <c r="AN45" i="62"/>
  <c r="O45" i="71"/>
  <c r="AN77" i="62"/>
  <c r="O77" i="71"/>
  <c r="AN109" i="62"/>
  <c r="O109" i="71"/>
  <c r="AN141" i="62"/>
  <c r="O141" i="71"/>
  <c r="AN173" i="62"/>
  <c r="O173" i="71"/>
  <c r="AN152" i="62"/>
  <c r="O152" i="71"/>
  <c r="AN94" i="62"/>
  <c r="O94" i="71"/>
  <c r="AN126" i="62"/>
  <c r="O126" i="71"/>
  <c r="AN83" i="62"/>
  <c r="O83" i="71"/>
  <c r="AN60" i="62"/>
  <c r="O60" i="71"/>
  <c r="AN89" i="62"/>
  <c r="O89" i="71"/>
  <c r="AN18" i="62"/>
  <c r="AN160" i="62"/>
  <c r="O160" i="71"/>
  <c r="AN54" i="62"/>
  <c r="O54" i="71"/>
  <c r="AN86" i="62"/>
  <c r="O86" i="71"/>
  <c r="AN62" i="62"/>
  <c r="O62" i="71"/>
  <c r="AN153" i="62"/>
  <c r="O153" i="71"/>
  <c r="AN137" i="62"/>
  <c r="O137" i="71"/>
  <c r="AN121" i="62"/>
  <c r="O121" i="71"/>
  <c r="AN113" i="62"/>
  <c r="AN130" i="62"/>
  <c r="O130" i="71"/>
  <c r="AN75" i="62"/>
  <c r="O75" i="71"/>
  <c r="AN107" i="62"/>
  <c r="O107" i="71"/>
  <c r="AN139" i="62"/>
  <c r="O139" i="71"/>
  <c r="AN171" i="62"/>
  <c r="O171" i="71"/>
  <c r="AN84" i="62"/>
  <c r="O84" i="71"/>
  <c r="AN148" i="62"/>
  <c r="O148" i="71"/>
  <c r="AN55" i="62"/>
  <c r="O55" i="71"/>
  <c r="AN127" i="62"/>
  <c r="O127" i="71"/>
  <c r="AN191" i="62"/>
  <c r="O191" i="71"/>
  <c r="AN40" i="62"/>
  <c r="O40" i="71"/>
  <c r="AN168" i="62"/>
  <c r="O168" i="71"/>
  <c r="AN11" i="62"/>
  <c r="O11" i="71"/>
  <c r="AN19" i="62"/>
  <c r="O19" i="71"/>
  <c r="AN27" i="62"/>
  <c r="O27" i="71"/>
  <c r="AN35" i="62"/>
  <c r="O35" i="71"/>
  <c r="AN43" i="62"/>
  <c r="O43" i="71"/>
  <c r="AN22" i="62"/>
  <c r="O22" i="71"/>
  <c r="AN30" i="62"/>
  <c r="O30" i="71"/>
  <c r="AN38" i="62"/>
  <c r="O38" i="71"/>
  <c r="AN193" i="62"/>
  <c r="AN162" i="62"/>
  <c r="AN172" i="62"/>
  <c r="AN144" i="62"/>
  <c r="AN14" i="62"/>
  <c r="AN46" i="62"/>
  <c r="AN78" i="62"/>
  <c r="AN110" i="62"/>
  <c r="AN142" i="62"/>
  <c r="AN174" i="62"/>
  <c r="AN31" i="62"/>
  <c r="AN87" i="62"/>
  <c r="AN151" i="62"/>
  <c r="AN72" i="62"/>
  <c r="AN129" i="62"/>
  <c r="AN138" i="62"/>
  <c r="AN20" i="62"/>
  <c r="AN52" i="62"/>
  <c r="AN116" i="62"/>
  <c r="AN180" i="62"/>
  <c r="AN118" i="62"/>
  <c r="AN150" i="62"/>
  <c r="AN182" i="62"/>
  <c r="AN39" i="62"/>
  <c r="AN103" i="62"/>
  <c r="AN167" i="62"/>
  <c r="AN88" i="62"/>
  <c r="AN96" i="62"/>
  <c r="AN21" i="62"/>
  <c r="AN53" i="62"/>
  <c r="AN85" i="62"/>
  <c r="AN117" i="62"/>
  <c r="AN149" i="62"/>
  <c r="AN181" i="62"/>
  <c r="AK195" i="62"/>
  <c r="AN145" i="62"/>
  <c r="AN146" i="62"/>
  <c r="AN178" i="62"/>
  <c r="AN188" i="62"/>
  <c r="AN176" i="62"/>
  <c r="AN158" i="62"/>
  <c r="AN190" i="62"/>
  <c r="AN63" i="62"/>
  <c r="AN119" i="62"/>
  <c r="AN183" i="62"/>
  <c r="AN104" i="62"/>
  <c r="AN93" i="62"/>
  <c r="AN125" i="62"/>
  <c r="AN157" i="62"/>
  <c r="AN189" i="62"/>
  <c r="AN161" i="62"/>
  <c r="AN177" i="62"/>
  <c r="AN154" i="62"/>
  <c r="AN186" i="62"/>
  <c r="AN128" i="62"/>
  <c r="AN192" i="62"/>
  <c r="AN135" i="62"/>
  <c r="AN56" i="62"/>
  <c r="D65" i="11" l="1"/>
  <c r="AN8" i="68" l="1"/>
  <c r="AN9" i="68"/>
  <c r="AN10" i="68"/>
  <c r="AN11" i="68"/>
  <c r="AN12" i="68"/>
  <c r="AN14" i="68"/>
  <c r="AN15" i="68"/>
  <c r="AN16" i="68"/>
  <c r="AN17" i="68"/>
  <c r="AN18" i="68"/>
  <c r="AN19" i="68"/>
  <c r="AN20" i="68"/>
  <c r="AN22" i="68"/>
  <c r="AN23" i="68"/>
  <c r="AN24" i="68"/>
  <c r="AN26" i="68"/>
  <c r="AN27" i="68"/>
  <c r="AN29" i="68"/>
  <c r="AN30" i="68"/>
  <c r="AN31" i="68"/>
  <c r="AN32" i="68"/>
  <c r="AN33" i="68"/>
  <c r="AN34" i="68"/>
  <c r="AN35" i="68"/>
  <c r="AN37" i="68"/>
  <c r="AN40" i="68"/>
  <c r="AN41" i="68"/>
  <c r="AN42" i="68"/>
  <c r="AN43" i="68"/>
  <c r="AN44" i="68"/>
  <c r="AN45" i="68"/>
  <c r="AN47" i="68"/>
  <c r="AN48" i="68"/>
  <c r="AN49" i="68"/>
  <c r="AN50" i="68"/>
  <c r="AN51" i="68"/>
  <c r="AN52" i="68"/>
  <c r="AN53" i="68"/>
  <c r="AN54" i="68"/>
  <c r="AN57" i="68"/>
  <c r="AN58" i="68"/>
  <c r="AN59" i="68"/>
  <c r="AN60" i="68"/>
  <c r="AN61" i="68"/>
  <c r="AN62" i="68"/>
  <c r="AN63" i="68"/>
  <c r="AN64" i="68"/>
  <c r="AN65" i="68"/>
  <c r="AN66" i="68"/>
  <c r="AN67" i="68"/>
  <c r="AN68" i="68"/>
  <c r="AN69" i="68"/>
  <c r="AN70" i="68"/>
  <c r="AN71" i="68"/>
  <c r="AN72" i="68"/>
  <c r="AN73" i="68"/>
  <c r="AN74" i="68"/>
  <c r="AN77" i="68"/>
  <c r="AN79" i="68"/>
  <c r="AN80" i="68"/>
  <c r="AN81" i="68"/>
  <c r="AN82" i="68"/>
  <c r="AN83" i="68"/>
  <c r="AN85" i="68"/>
  <c r="AN86" i="68"/>
  <c r="AN87" i="68"/>
  <c r="AN88" i="68"/>
  <c r="AN89" i="68"/>
  <c r="AN90" i="68"/>
  <c r="AN92" i="68"/>
  <c r="AN93" i="68"/>
  <c r="AN94" i="68"/>
  <c r="AN95" i="68"/>
  <c r="AN96" i="68"/>
  <c r="AN97" i="68"/>
  <c r="AN98" i="68"/>
  <c r="AN99" i="68"/>
  <c r="AN100" i="68"/>
  <c r="AN101" i="68"/>
  <c r="AN102" i="68"/>
  <c r="AN103" i="68"/>
  <c r="AN106" i="68"/>
  <c r="AN107" i="68"/>
  <c r="AN108" i="68"/>
  <c r="AN109" i="68"/>
  <c r="AN110" i="68"/>
  <c r="AN112" i="68"/>
  <c r="AN113" i="68"/>
  <c r="AN114" i="68"/>
  <c r="AN115" i="68"/>
  <c r="AN116" i="68"/>
  <c r="AN117" i="68"/>
  <c r="AN118" i="68"/>
  <c r="AN119" i="68"/>
  <c r="AN120" i="68"/>
  <c r="AN121" i="68"/>
  <c r="AN122" i="68"/>
  <c r="AN123" i="68"/>
  <c r="AN124" i="68"/>
  <c r="AN125" i="68"/>
  <c r="AN126" i="68"/>
  <c r="AN127" i="68"/>
  <c r="AN128" i="68"/>
  <c r="AN129" i="68"/>
  <c r="AN130" i="68"/>
  <c r="AN131" i="68"/>
  <c r="AN133" i="68"/>
  <c r="AN134" i="68"/>
  <c r="AN135" i="68"/>
  <c r="AN136" i="68"/>
  <c r="AN137" i="68"/>
  <c r="AN138" i="68"/>
  <c r="AN140" i="68"/>
  <c r="AN141" i="68"/>
  <c r="AN142" i="68"/>
  <c r="AN143" i="68"/>
  <c r="AN144" i="68"/>
  <c r="AN146" i="68"/>
  <c r="AN147" i="68"/>
  <c r="AN148" i="68"/>
  <c r="AN150" i="68"/>
  <c r="AN151" i="68"/>
  <c r="AN152" i="68"/>
  <c r="AN153" i="68"/>
  <c r="AN154" i="68"/>
  <c r="AN155" i="68"/>
  <c r="AN156" i="68"/>
  <c r="AN157" i="68"/>
  <c r="AN158" i="68"/>
  <c r="AN159" i="68"/>
  <c r="AN160" i="68"/>
  <c r="AN161" i="68"/>
  <c r="AN162" i="68"/>
  <c r="AN163" i="68"/>
  <c r="AN164" i="68"/>
  <c r="AN165" i="68"/>
  <c r="AN166" i="68"/>
  <c r="AN167" i="68"/>
  <c r="AN168" i="68"/>
  <c r="AN169" i="68"/>
  <c r="AN171" i="68"/>
  <c r="AN172" i="68"/>
  <c r="AN173" i="68"/>
  <c r="AN174" i="68"/>
  <c r="AN175" i="68"/>
  <c r="AN176" i="68"/>
  <c r="AN178" i="68"/>
  <c r="AN179" i="68"/>
  <c r="AN180" i="68"/>
  <c r="AN181" i="68"/>
  <c r="AN182" i="68"/>
  <c r="AN183" i="68"/>
  <c r="AN184" i="68"/>
  <c r="AN185" i="68"/>
  <c r="AN186" i="68"/>
  <c r="AN187" i="68"/>
  <c r="AN188" i="68"/>
  <c r="AN190" i="68"/>
  <c r="AN191" i="68"/>
  <c r="AN192" i="68"/>
  <c r="AN7" i="68"/>
  <c r="O193" i="68"/>
  <c r="HD196" i="67" l="1"/>
  <c r="R109" i="11" l="1"/>
  <c r="G79" i="11"/>
  <c r="H79" i="11"/>
  <c r="I79" i="11"/>
  <c r="L79" i="11"/>
  <c r="M79" i="11"/>
  <c r="P79" i="11"/>
  <c r="E79" i="11"/>
  <c r="AJ195" i="71" l="1"/>
  <c r="AL195" i="71"/>
  <c r="P194" i="49"/>
  <c r="N193" i="68" l="1"/>
  <c r="M193" i="68"/>
  <c r="D4" i="11" l="1"/>
  <c r="H35" i="11" s="1"/>
  <c r="H67" i="11" s="1"/>
  <c r="F70" i="11" l="1"/>
  <c r="G22" i="11"/>
  <c r="G21" i="11"/>
  <c r="G20" i="11"/>
  <c r="G105" i="11"/>
  <c r="F78" i="11"/>
  <c r="F77" i="11"/>
  <c r="G64" i="11"/>
  <c r="G31" i="11"/>
  <c r="G63" i="11"/>
  <c r="I82" i="11"/>
  <c r="H82" i="11"/>
  <c r="G82" i="11"/>
  <c r="F82" i="11"/>
  <c r="I81" i="11"/>
  <c r="H81" i="11"/>
  <c r="G81" i="11"/>
  <c r="F81" i="11"/>
  <c r="F102" i="11"/>
  <c r="F87" i="11"/>
  <c r="F88" i="11"/>
  <c r="F90" i="11"/>
  <c r="F106" i="11"/>
  <c r="F92" i="11"/>
  <c r="F93" i="11"/>
  <c r="F85" i="11"/>
  <c r="F86" i="11"/>
  <c r="F89" i="11"/>
  <c r="F91" i="11"/>
  <c r="F21" i="11"/>
  <c r="F54" i="11"/>
  <c r="E54" i="11"/>
  <c r="D20" i="11"/>
  <c r="F52" i="11"/>
  <c r="E52" i="11"/>
  <c r="D34" i="11"/>
  <c r="D33" i="11"/>
  <c r="J24" i="11"/>
  <c r="J23" i="11"/>
  <c r="J27" i="11"/>
  <c r="J26" i="11"/>
  <c r="J25" i="11"/>
  <c r="J28" i="11"/>
  <c r="J29" i="11"/>
  <c r="E29" i="11"/>
  <c r="E28" i="11"/>
  <c r="D22" i="11"/>
  <c r="D21" i="11"/>
  <c r="D19" i="11"/>
  <c r="R19" i="11" s="1"/>
  <c r="M34" i="11"/>
  <c r="S96" i="11"/>
  <c r="G53" i="11" l="1"/>
  <c r="G54" i="11"/>
  <c r="G52" i="11"/>
  <c r="G32" i="11"/>
  <c r="F79" i="11"/>
  <c r="F53" i="11"/>
  <c r="N54" i="11"/>
  <c r="O54" i="11"/>
  <c r="H54" i="11"/>
  <c r="M54" i="11"/>
  <c r="P54" i="11"/>
  <c r="L54" i="11"/>
  <c r="K54" i="11"/>
  <c r="J54" i="11"/>
  <c r="I54" i="11"/>
  <c r="M52" i="11"/>
  <c r="G66" i="11"/>
  <c r="E66" i="11"/>
  <c r="F66" i="11"/>
  <c r="H66" i="11"/>
  <c r="N66" i="11"/>
  <c r="O66" i="11"/>
  <c r="P66" i="11"/>
  <c r="K66" i="11"/>
  <c r="L66" i="11"/>
  <c r="I66" i="11"/>
  <c r="J66" i="11"/>
  <c r="M66" i="11"/>
  <c r="I53" i="11"/>
  <c r="E53" i="11"/>
  <c r="J53" i="11"/>
  <c r="N53" i="11"/>
  <c r="K53" i="11"/>
  <c r="L53" i="11"/>
  <c r="M53" i="11"/>
  <c r="O53" i="11"/>
  <c r="H53" i="11"/>
  <c r="P53" i="11"/>
  <c r="G51" i="11"/>
  <c r="O51" i="11"/>
  <c r="F51" i="11"/>
  <c r="H51" i="11"/>
  <c r="P51" i="11"/>
  <c r="I51" i="11"/>
  <c r="E51" i="11"/>
  <c r="J51" i="11"/>
  <c r="N51" i="11"/>
  <c r="K51" i="11"/>
  <c r="L51" i="11"/>
  <c r="M51" i="11"/>
  <c r="O79" i="11"/>
  <c r="N79" i="11"/>
  <c r="K79" i="11"/>
  <c r="S93" i="11"/>
  <c r="Q93" i="11"/>
  <c r="Q96" i="11"/>
  <c r="S106" i="11"/>
  <c r="Q106" i="11"/>
  <c r="S67" i="11"/>
  <c r="Q67" i="11"/>
  <c r="R35" i="11"/>
  <c r="S77" i="11"/>
  <c r="J79" i="11"/>
  <c r="Q77" i="11"/>
  <c r="Q78" i="11"/>
  <c r="S78" i="11"/>
  <c r="P52" i="11" l="1"/>
  <c r="K52" i="11"/>
  <c r="L52" i="11"/>
  <c r="N52" i="11"/>
  <c r="O52" i="11"/>
  <c r="H52" i="11"/>
  <c r="J52" i="11"/>
  <c r="I52" i="11"/>
  <c r="S51" i="11"/>
  <c r="Q51" i="11"/>
  <c r="Q79" i="11"/>
  <c r="S79" i="11"/>
  <c r="S107" i="77"/>
  <c r="S106" i="77"/>
  <c r="S103" i="77"/>
  <c r="S102" i="77"/>
  <c r="S85" i="77"/>
  <c r="S86" i="77"/>
  <c r="S87" i="77"/>
  <c r="S88" i="77"/>
  <c r="S89" i="77"/>
  <c r="S90" i="77"/>
  <c r="S91" i="77"/>
  <c r="S84" i="77"/>
  <c r="S80" i="77"/>
  <c r="S81" i="77"/>
  <c r="S33" i="77"/>
  <c r="S34" i="77"/>
  <c r="S35" i="77"/>
  <c r="S36" i="77"/>
  <c r="S37" i="77"/>
  <c r="S38" i="77"/>
  <c r="S39" i="77"/>
  <c r="S40" i="77"/>
  <c r="S41" i="77"/>
  <c r="S42" i="77"/>
  <c r="S43" i="77"/>
  <c r="S44" i="77"/>
  <c r="S45" i="77"/>
  <c r="S46" i="77"/>
  <c r="S47" i="77"/>
  <c r="S49" i="77"/>
  <c r="S50" i="77"/>
  <c r="S51" i="77"/>
  <c r="S52" i="77"/>
  <c r="S53" i="77"/>
  <c r="S54" i="77"/>
  <c r="S55" i="77"/>
  <c r="S56" i="77"/>
  <c r="S57" i="77"/>
  <c r="S58" i="77"/>
  <c r="S61" i="77"/>
  <c r="S62" i="77"/>
  <c r="S63" i="77"/>
  <c r="S65" i="77"/>
  <c r="S66" i="77"/>
  <c r="S67" i="77"/>
  <c r="S68" i="77"/>
  <c r="S32" i="77"/>
  <c r="S18" i="77"/>
  <c r="S22" i="77"/>
  <c r="S24" i="77"/>
  <c r="S25" i="77"/>
  <c r="S26" i="77"/>
  <c r="S27" i="77"/>
  <c r="S28" i="77"/>
  <c r="S29" i="77"/>
  <c r="H212" i="44"/>
  <c r="G212" i="44"/>
  <c r="E6" i="77" l="1"/>
  <c r="S156" i="77"/>
  <c r="H185" i="77" s="1"/>
  <c r="S136" i="77"/>
  <c r="K136" i="77"/>
  <c r="K143" i="77" s="1"/>
  <c r="P124" i="77"/>
  <c r="O124" i="77"/>
  <c r="N124" i="77"/>
  <c r="M124" i="77"/>
  <c r="I124" i="77"/>
  <c r="H124" i="77"/>
  <c r="G124" i="77"/>
  <c r="W122" i="77"/>
  <c r="T122" i="77"/>
  <c r="Q122" i="77"/>
  <c r="L122" i="77"/>
  <c r="Q121" i="77"/>
  <c r="W120" i="77"/>
  <c r="T120" i="77"/>
  <c r="Q120" i="77"/>
  <c r="L120" i="77"/>
  <c r="Q119" i="77"/>
  <c r="Q124" i="77" s="1"/>
  <c r="V108" i="77"/>
  <c r="Q108" i="77"/>
  <c r="P108" i="77"/>
  <c r="O108" i="77"/>
  <c r="N108" i="77"/>
  <c r="M108" i="77"/>
  <c r="K108" i="77"/>
  <c r="J108" i="77"/>
  <c r="H108" i="77"/>
  <c r="G108" i="77"/>
  <c r="L107" i="77"/>
  <c r="T107" i="77" s="1"/>
  <c r="I107" i="77"/>
  <c r="W107" i="77" s="1"/>
  <c r="L106" i="77"/>
  <c r="I106" i="77"/>
  <c r="W106" i="77" s="1"/>
  <c r="T105" i="77"/>
  <c r="V104" i="77"/>
  <c r="Q104" i="77"/>
  <c r="P104" i="77"/>
  <c r="O104" i="77"/>
  <c r="N104" i="77"/>
  <c r="M104" i="77"/>
  <c r="K104" i="77"/>
  <c r="J104" i="77"/>
  <c r="H104" i="77"/>
  <c r="G104" i="77"/>
  <c r="L103" i="77"/>
  <c r="I103" i="77"/>
  <c r="W103" i="77" s="1"/>
  <c r="L102" i="77"/>
  <c r="I102" i="77"/>
  <c r="W102" i="77" s="1"/>
  <c r="T96" i="77"/>
  <c r="V92" i="77"/>
  <c r="Q92" i="77"/>
  <c r="P92" i="77"/>
  <c r="O92" i="77"/>
  <c r="N92" i="77"/>
  <c r="M92" i="77"/>
  <c r="K92" i="77"/>
  <c r="J92" i="77"/>
  <c r="H92" i="77"/>
  <c r="G92" i="77"/>
  <c r="L91" i="77"/>
  <c r="T91" i="77" s="1"/>
  <c r="I91" i="77"/>
  <c r="W91" i="77" s="1"/>
  <c r="T90" i="77"/>
  <c r="T89" i="77"/>
  <c r="T88" i="77"/>
  <c r="T87" i="77"/>
  <c r="L86" i="77"/>
  <c r="T86" i="77" s="1"/>
  <c r="I86" i="77"/>
  <c r="W86" i="77" s="1"/>
  <c r="L85" i="77"/>
  <c r="I85" i="77"/>
  <c r="W85" i="77" s="1"/>
  <c r="L84" i="77"/>
  <c r="I84" i="77"/>
  <c r="V82" i="77"/>
  <c r="Q82" i="77"/>
  <c r="P82" i="77"/>
  <c r="O82" i="77"/>
  <c r="N82" i="77"/>
  <c r="M82" i="77"/>
  <c r="K82" i="77"/>
  <c r="H82" i="77"/>
  <c r="G82" i="77"/>
  <c r="L81" i="77"/>
  <c r="I81" i="77"/>
  <c r="W81" i="77" s="1"/>
  <c r="L80" i="77"/>
  <c r="I80" i="77"/>
  <c r="W80" i="77" s="1"/>
  <c r="I79" i="77"/>
  <c r="T73" i="77"/>
  <c r="V69" i="77"/>
  <c r="Q69" i="77"/>
  <c r="P69" i="77"/>
  <c r="O69" i="77"/>
  <c r="N69" i="77"/>
  <c r="M69" i="77"/>
  <c r="K69" i="77"/>
  <c r="H69" i="77"/>
  <c r="G69" i="77"/>
  <c r="L68" i="77"/>
  <c r="T68" i="77" s="1"/>
  <c r="I68" i="77"/>
  <c r="W68" i="77" s="1"/>
  <c r="L67" i="77"/>
  <c r="T67" i="77" s="1"/>
  <c r="I67" i="77"/>
  <c r="W67" i="77" s="1"/>
  <c r="L66" i="77"/>
  <c r="I66" i="77"/>
  <c r="W66" i="77" s="1"/>
  <c r="L65" i="77"/>
  <c r="I65" i="77"/>
  <c r="W65" i="77" s="1"/>
  <c r="I64" i="77"/>
  <c r="W64" i="77" s="1"/>
  <c r="L63" i="77"/>
  <c r="I63" i="77"/>
  <c r="W63" i="77" s="1"/>
  <c r="L62" i="77"/>
  <c r="I62" i="77"/>
  <c r="W62" i="77" s="1"/>
  <c r="L61" i="77"/>
  <c r="I61" i="77"/>
  <c r="W61" i="77" s="1"/>
  <c r="I60" i="77"/>
  <c r="W60" i="77" s="1"/>
  <c r="I59" i="77"/>
  <c r="W59" i="77" s="1"/>
  <c r="L58" i="77"/>
  <c r="T58" i="77" s="1"/>
  <c r="I58" i="77"/>
  <c r="W58" i="77" s="1"/>
  <c r="T57" i="77"/>
  <c r="T56" i="77"/>
  <c r="T55" i="77"/>
  <c r="T54" i="77"/>
  <c r="T53" i="77"/>
  <c r="T52" i="77"/>
  <c r="L51" i="77"/>
  <c r="I51" i="77"/>
  <c r="W51" i="77" s="1"/>
  <c r="L50" i="77"/>
  <c r="I50" i="77"/>
  <c r="W50" i="77" s="1"/>
  <c r="L49" i="77"/>
  <c r="I49" i="77"/>
  <c r="W49" i="77" s="1"/>
  <c r="I48" i="77"/>
  <c r="W48" i="77" s="1"/>
  <c r="L47" i="77"/>
  <c r="I47" i="77"/>
  <c r="W47" i="77" s="1"/>
  <c r="L46" i="77"/>
  <c r="I46" i="77"/>
  <c r="W46" i="77" s="1"/>
  <c r="L45" i="77"/>
  <c r="T45" i="77" s="1"/>
  <c r="I45" i="77"/>
  <c r="W45" i="77" s="1"/>
  <c r="L44" i="77"/>
  <c r="T44" i="77" s="1"/>
  <c r="I44" i="77"/>
  <c r="W44" i="77" s="1"/>
  <c r="L43" i="77"/>
  <c r="T43" i="77" s="1"/>
  <c r="I43" i="77"/>
  <c r="W43" i="77" s="1"/>
  <c r="L42" i="77"/>
  <c r="I42" i="77"/>
  <c r="W42" i="77" s="1"/>
  <c r="L41" i="77"/>
  <c r="T41" i="77" s="1"/>
  <c r="I41" i="77"/>
  <c r="W41" i="77" s="1"/>
  <c r="L40" i="77"/>
  <c r="I40" i="77"/>
  <c r="W40" i="77" s="1"/>
  <c r="L39" i="77"/>
  <c r="I39" i="77"/>
  <c r="W39" i="77" s="1"/>
  <c r="L38" i="77"/>
  <c r="I38" i="77"/>
  <c r="W38" i="77" s="1"/>
  <c r="L37" i="77"/>
  <c r="T37" i="77" s="1"/>
  <c r="I37" i="77"/>
  <c r="W37" i="77" s="1"/>
  <c r="L36" i="77"/>
  <c r="T36" i="77" s="1"/>
  <c r="I36" i="77"/>
  <c r="W36" i="77" s="1"/>
  <c r="L35" i="77"/>
  <c r="T35" i="77" s="1"/>
  <c r="I35" i="77"/>
  <c r="W35" i="77" s="1"/>
  <c r="L34" i="77"/>
  <c r="T34" i="77" s="1"/>
  <c r="I34" i="77"/>
  <c r="W34" i="77" s="1"/>
  <c r="L33" i="77"/>
  <c r="I33" i="77"/>
  <c r="W33" i="77" s="1"/>
  <c r="L32" i="77"/>
  <c r="I32" i="77"/>
  <c r="V30" i="77"/>
  <c r="Q30" i="77"/>
  <c r="P30" i="77"/>
  <c r="O30" i="77"/>
  <c r="N30" i="77"/>
  <c r="M30" i="77"/>
  <c r="K30" i="77"/>
  <c r="H30" i="77"/>
  <c r="G30" i="77"/>
  <c r="L29" i="77"/>
  <c r="I29" i="77"/>
  <c r="W29" i="77" s="1"/>
  <c r="L28" i="77"/>
  <c r="T28" i="77" s="1"/>
  <c r="I28" i="77"/>
  <c r="W28" i="77" s="1"/>
  <c r="L27" i="77"/>
  <c r="T27" i="77" s="1"/>
  <c r="I27" i="77"/>
  <c r="W27" i="77" s="1"/>
  <c r="L26" i="77"/>
  <c r="T26" i="77" s="1"/>
  <c r="I26" i="77"/>
  <c r="W26" i="77" s="1"/>
  <c r="L25" i="77"/>
  <c r="T25" i="77" s="1"/>
  <c r="I25" i="77"/>
  <c r="W25" i="77" s="1"/>
  <c r="L24" i="77"/>
  <c r="I24" i="77"/>
  <c r="W24" i="77" s="1"/>
  <c r="I23" i="77"/>
  <c r="W23" i="77" s="1"/>
  <c r="L22" i="77"/>
  <c r="T22" i="77" s="1"/>
  <c r="I22" i="77"/>
  <c r="W22" i="77" s="1"/>
  <c r="I21" i="77"/>
  <c r="W21" i="77" s="1"/>
  <c r="I20" i="77"/>
  <c r="W20" i="77" s="1"/>
  <c r="I19" i="77"/>
  <c r="W19" i="77" s="1"/>
  <c r="L18" i="77"/>
  <c r="I18" i="77"/>
  <c r="W18" i="77" s="1"/>
  <c r="I17" i="77"/>
  <c r="W17" i="77" s="1"/>
  <c r="I16" i="77"/>
  <c r="W16" i="77" s="1"/>
  <c r="I15" i="77"/>
  <c r="W15" i="77" s="1"/>
  <c r="L13" i="77"/>
  <c r="O71" i="77" l="1"/>
  <c r="O73" i="77" s="1"/>
  <c r="V94" i="77"/>
  <c r="V96" i="77" s="1"/>
  <c r="V121" i="77" s="1"/>
  <c r="W121" i="77" s="1"/>
  <c r="H71" i="77"/>
  <c r="H73" i="77" s="1"/>
  <c r="P94" i="77"/>
  <c r="P96" i="77" s="1"/>
  <c r="Q94" i="77"/>
  <c r="Q96" i="77" s="1"/>
  <c r="G94" i="77"/>
  <c r="G96" i="77" s="1"/>
  <c r="L108" i="77"/>
  <c r="M94" i="77"/>
  <c r="M96" i="77" s="1"/>
  <c r="N110" i="77"/>
  <c r="N112" i="77" s="1"/>
  <c r="P110" i="77"/>
  <c r="P112" i="77" s="1"/>
  <c r="G71" i="77"/>
  <c r="G73" i="77" s="1"/>
  <c r="V71" i="77"/>
  <c r="V73" i="77" s="1"/>
  <c r="V119" i="77" s="1"/>
  <c r="L104" i="77"/>
  <c r="P71" i="77"/>
  <c r="P73" i="77" s="1"/>
  <c r="O110" i="77"/>
  <c r="O112" i="77" s="1"/>
  <c r="H110" i="77"/>
  <c r="H112" i="77" s="1"/>
  <c r="M71" i="77"/>
  <c r="M73" i="77" s="1"/>
  <c r="Q110" i="77"/>
  <c r="Q112" i="77" s="1"/>
  <c r="T106" i="77"/>
  <c r="T108" i="77" s="1"/>
  <c r="Q71" i="77"/>
  <c r="H94" i="77"/>
  <c r="H96" i="77" s="1"/>
  <c r="M110" i="77"/>
  <c r="M112" i="77" s="1"/>
  <c r="K71" i="77"/>
  <c r="K73" i="77" s="1"/>
  <c r="K119" i="77" s="1"/>
  <c r="K94" i="77"/>
  <c r="K96" i="77" s="1"/>
  <c r="K121" i="77" s="1"/>
  <c r="I82" i="77"/>
  <c r="N71" i="77"/>
  <c r="N73" i="77" s="1"/>
  <c r="W79" i="77"/>
  <c r="W82" i="77" s="1"/>
  <c r="N94" i="77"/>
  <c r="N96" i="77" s="1"/>
  <c r="K110" i="77"/>
  <c r="K112" i="77" s="1"/>
  <c r="V110" i="77"/>
  <c r="V112" i="77" s="1"/>
  <c r="V123" i="77" s="1"/>
  <c r="W123" i="77" s="1"/>
  <c r="O94" i="77"/>
  <c r="O96" i="77" s="1"/>
  <c r="G110" i="77"/>
  <c r="G112" i="77" s="1"/>
  <c r="I30" i="77"/>
  <c r="L92" i="77"/>
  <c r="J110" i="77"/>
  <c r="J112" i="77" s="1"/>
  <c r="T39" i="77"/>
  <c r="T29" i="77"/>
  <c r="T47" i="77"/>
  <c r="T51" i="77"/>
  <c r="T65" i="77"/>
  <c r="T63" i="77"/>
  <c r="T61" i="77"/>
  <c r="S92" i="77"/>
  <c r="T84" i="77"/>
  <c r="F212" i="77"/>
  <c r="T24" i="77"/>
  <c r="T80" i="77"/>
  <c r="T42" i="77"/>
  <c r="T50" i="77"/>
  <c r="I69" i="77"/>
  <c r="W32" i="77"/>
  <c r="W69" i="77" s="1"/>
  <c r="T33" i="77"/>
  <c r="T66" i="77"/>
  <c r="T40" i="77"/>
  <c r="T49" i="77"/>
  <c r="T62" i="77"/>
  <c r="T38" i="77"/>
  <c r="T46" i="77"/>
  <c r="I92" i="77"/>
  <c r="W84" i="77"/>
  <c r="W92" i="77" s="1"/>
  <c r="T85" i="77"/>
  <c r="T103" i="77"/>
  <c r="W108" i="77"/>
  <c r="W110" i="77" s="1"/>
  <c r="W112" i="77" s="1"/>
  <c r="W30" i="77"/>
  <c r="F104" i="77"/>
  <c r="T18" i="77"/>
  <c r="T81" i="77"/>
  <c r="I108" i="77"/>
  <c r="I110" i="77" s="1"/>
  <c r="I112" i="77" s="1"/>
  <c r="I94" i="77" l="1"/>
  <c r="I96" i="77" s="1"/>
  <c r="I71" i="77"/>
  <c r="I73" i="77" s="1"/>
  <c r="V124" i="77"/>
  <c r="K124" i="77"/>
  <c r="L110" i="77"/>
  <c r="L112" i="77" s="1"/>
  <c r="H186" i="77"/>
  <c r="W119" i="77"/>
  <c r="W124" i="77" s="1"/>
  <c r="Q73" i="77"/>
  <c r="S108" i="77"/>
  <c r="W94" i="77"/>
  <c r="W96" i="77" s="1"/>
  <c r="W71" i="77"/>
  <c r="W73" i="77" s="1"/>
  <c r="F30" i="77"/>
  <c r="F82" i="77"/>
  <c r="F92" i="77"/>
  <c r="F69" i="77"/>
  <c r="T102" i="77"/>
  <c r="T104" i="77" s="1"/>
  <c r="T110" i="77" s="1"/>
  <c r="T112" i="77" s="1"/>
  <c r="S104" i="77"/>
  <c r="F108" i="77"/>
  <c r="F110" i="77" s="1"/>
  <c r="F112" i="77" s="1"/>
  <c r="F123" i="77" s="1"/>
  <c r="H177" i="77"/>
  <c r="H179" i="77" s="1"/>
  <c r="T32" i="77"/>
  <c r="T92" i="77"/>
  <c r="S110" i="77" l="1"/>
  <c r="S112" i="77" s="1"/>
  <c r="S123" i="77" s="1"/>
  <c r="T123" i="77" s="1"/>
  <c r="F71" i="77"/>
  <c r="F73" i="77" s="1"/>
  <c r="F119" i="77" s="1"/>
  <c r="F94" i="77"/>
  <c r="F96" i="77" s="1"/>
  <c r="F121" i="77" s="1"/>
  <c r="F124" i="77" l="1"/>
  <c r="W8" i="68" l="1"/>
  <c r="W9" i="68"/>
  <c r="W10" i="68"/>
  <c r="W11" i="68"/>
  <c r="W12" i="68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7" i="68"/>
  <c r="W94" i="68" l="1"/>
  <c r="W193" i="68" l="1"/>
  <c r="K194" i="72"/>
  <c r="M194" i="72"/>
  <c r="N194" i="72"/>
  <c r="O194" i="72"/>
  <c r="P194" i="72"/>
  <c r="Q194" i="72"/>
  <c r="R194" i="72"/>
  <c r="S194" i="72"/>
  <c r="T194" i="72"/>
  <c r="U194" i="72"/>
  <c r="J194" i="72"/>
  <c r="I33" i="11" l="1"/>
  <c r="E4" i="77"/>
  <c r="S141" i="77" s="1"/>
  <c r="S77" i="77" l="1"/>
  <c r="S13" i="77"/>
  <c r="F208" i="77" s="1"/>
  <c r="E28" i="74" l="1"/>
  <c r="F28" i="74"/>
  <c r="G28" i="74"/>
  <c r="H28" i="74"/>
  <c r="I28" i="74"/>
  <c r="J28" i="74"/>
  <c r="K28" i="74"/>
  <c r="L28" i="74"/>
  <c r="M28" i="74"/>
  <c r="N28" i="74"/>
  <c r="O28" i="74"/>
  <c r="D28" i="74"/>
  <c r="E12" i="74"/>
  <c r="F12" i="74" s="1"/>
  <c r="G12" i="74" s="1"/>
  <c r="H12" i="74" s="1"/>
  <c r="I12" i="74" s="1"/>
  <c r="J12" i="74" s="1"/>
  <c r="K12" i="74" s="1"/>
  <c r="L12" i="74" s="1"/>
  <c r="M12" i="74" s="1"/>
  <c r="N12" i="74" s="1"/>
  <c r="O12" i="74" s="1"/>
  <c r="D6" i="74"/>
  <c r="H194" i="49" l="1"/>
  <c r="L194" i="72" l="1"/>
  <c r="V194" i="72" l="1"/>
  <c r="I194" i="49" l="1"/>
  <c r="J194" i="49"/>
  <c r="K194" i="49"/>
  <c r="L194" i="49"/>
  <c r="M194" i="49"/>
  <c r="N194" i="49"/>
  <c r="O194" i="49"/>
  <c r="Q194" i="49"/>
  <c r="R194" i="49"/>
  <c r="S194" i="49"/>
  <c r="V194" i="49"/>
  <c r="AA194" i="49"/>
  <c r="AB194" i="49"/>
  <c r="AC194" i="49"/>
  <c r="AD194" i="49"/>
  <c r="AE194" i="49"/>
  <c r="AF194" i="49"/>
  <c r="AG194" i="49"/>
  <c r="AH194" i="49"/>
  <c r="AI194" i="49"/>
  <c r="AJ194" i="49"/>
  <c r="AK194" i="49"/>
  <c r="AL194" i="49"/>
  <c r="AM194" i="49"/>
  <c r="AN194" i="49"/>
  <c r="AO194" i="49"/>
  <c r="AP194" i="49"/>
  <c r="AQ194" i="49"/>
  <c r="AR194" i="49"/>
  <c r="AS194" i="49"/>
  <c r="AT194" i="49"/>
  <c r="AU194" i="49"/>
  <c r="CM196" i="67" l="1"/>
  <c r="CK196" i="67"/>
  <c r="CS196" i="67" l="1"/>
  <c r="CV196" i="67"/>
  <c r="CR196" i="67"/>
  <c r="HF8" i="67"/>
  <c r="AF8" i="71" s="1"/>
  <c r="HF182" i="67"/>
  <c r="AF184" i="71" s="1"/>
  <c r="HF178" i="67"/>
  <c r="AF180" i="71" s="1"/>
  <c r="HF169" i="67"/>
  <c r="AF171" i="71" s="1"/>
  <c r="HF161" i="67"/>
  <c r="AF163" i="71" s="1"/>
  <c r="HF160" i="67"/>
  <c r="AF162" i="71" s="1"/>
  <c r="HF153" i="67"/>
  <c r="AF155" i="71" s="1"/>
  <c r="HF147" i="67"/>
  <c r="AF147" i="71" s="1"/>
  <c r="HF140" i="67"/>
  <c r="AF140" i="71" s="1"/>
  <c r="HF132" i="67"/>
  <c r="AF132" i="71" s="1"/>
  <c r="HF124" i="67"/>
  <c r="AF124" i="71" s="1"/>
  <c r="HF116" i="67"/>
  <c r="AF116" i="71" s="1"/>
  <c r="HF108" i="67"/>
  <c r="AF108" i="71" s="1"/>
  <c r="HF100" i="67"/>
  <c r="AF100" i="71" s="1"/>
  <c r="HF93" i="67"/>
  <c r="AF93" i="71" s="1"/>
  <c r="HF86" i="67"/>
  <c r="AF86" i="71" s="1"/>
  <c r="HF78" i="67"/>
  <c r="AF78" i="71" s="1"/>
  <c r="HF70" i="67"/>
  <c r="AF70" i="71" s="1"/>
  <c r="HF62" i="67"/>
  <c r="AF62" i="71" s="1"/>
  <c r="HF54" i="67"/>
  <c r="AF54" i="71" s="1"/>
  <c r="HF46" i="67"/>
  <c r="AF46" i="71" s="1"/>
  <c r="HF38" i="67"/>
  <c r="AF38" i="71" s="1"/>
  <c r="HF16" i="67"/>
  <c r="AF16" i="71" s="1"/>
  <c r="HF187" i="67"/>
  <c r="AF189" i="71" s="1"/>
  <c r="HF177" i="67"/>
  <c r="AF179" i="71" s="1"/>
  <c r="HF168" i="67"/>
  <c r="AF170" i="71" s="1"/>
  <c r="HF188" i="67"/>
  <c r="AF190" i="71" s="1"/>
  <c r="HF159" i="67"/>
  <c r="AF161" i="71" s="1"/>
  <c r="HF152" i="67"/>
  <c r="AF154" i="71" s="1"/>
  <c r="HF146" i="67"/>
  <c r="AF146" i="71" s="1"/>
  <c r="HF139" i="67"/>
  <c r="AF139" i="71" s="1"/>
  <c r="HF131" i="67"/>
  <c r="AF131" i="71" s="1"/>
  <c r="HF123" i="67"/>
  <c r="AF123" i="71" s="1"/>
  <c r="HF115" i="67"/>
  <c r="AF115" i="71" s="1"/>
  <c r="HF107" i="67"/>
  <c r="AF107" i="71" s="1"/>
  <c r="HF99" i="67"/>
  <c r="AF99" i="71" s="1"/>
  <c r="HF85" i="67"/>
  <c r="AF85" i="71" s="1"/>
  <c r="HF77" i="67"/>
  <c r="AF77" i="71" s="1"/>
  <c r="HF69" i="67"/>
  <c r="AF69" i="71" s="1"/>
  <c r="HF61" i="67"/>
  <c r="AF61" i="71" s="1"/>
  <c r="HF53" i="67"/>
  <c r="AF53" i="71" s="1"/>
  <c r="HF45" i="67"/>
  <c r="AF45" i="71" s="1"/>
  <c r="HF37" i="67"/>
  <c r="AF37" i="71" s="1"/>
  <c r="HF23" i="67"/>
  <c r="AF23" i="71" s="1"/>
  <c r="HF15" i="67"/>
  <c r="AF15" i="71" s="1"/>
  <c r="HF186" i="67"/>
  <c r="AF188" i="71" s="1"/>
  <c r="HF167" i="67"/>
  <c r="AF169" i="71" s="1"/>
  <c r="HF185" i="67"/>
  <c r="AF187" i="71" s="1"/>
  <c r="HF192" i="67"/>
  <c r="AF153" i="71" s="1"/>
  <c r="HF145" i="67"/>
  <c r="AF145" i="71" s="1"/>
  <c r="HF138" i="67"/>
  <c r="AF138" i="71" s="1"/>
  <c r="HF130" i="67"/>
  <c r="AF130" i="71" s="1"/>
  <c r="HF122" i="67"/>
  <c r="AF122" i="71" s="1"/>
  <c r="HF114" i="67"/>
  <c r="AF114" i="71" s="1"/>
  <c r="HF106" i="67"/>
  <c r="AF106" i="71" s="1"/>
  <c r="HF98" i="67"/>
  <c r="AF98" i="71" s="1"/>
  <c r="HF91" i="67"/>
  <c r="AF91" i="71" s="1"/>
  <c r="HF84" i="67"/>
  <c r="AF84" i="71" s="1"/>
  <c r="HF76" i="67"/>
  <c r="AF76" i="71" s="1"/>
  <c r="HF68" i="67"/>
  <c r="AF68" i="71" s="1"/>
  <c r="HF60" i="67"/>
  <c r="AF60" i="71" s="1"/>
  <c r="HF52" i="67"/>
  <c r="AF52" i="71" s="1"/>
  <c r="HF44" i="67"/>
  <c r="AF44" i="71" s="1"/>
  <c r="HF36" i="67"/>
  <c r="AF36" i="71" s="1"/>
  <c r="HF22" i="67"/>
  <c r="AF22" i="71" s="1"/>
  <c r="HF14" i="67"/>
  <c r="AF14" i="71" s="1"/>
  <c r="HF176" i="67"/>
  <c r="AF178" i="71" s="1"/>
  <c r="HF190" i="67"/>
  <c r="AF192" i="71" s="1"/>
  <c r="HF157" i="67"/>
  <c r="AF159" i="71" s="1"/>
  <c r="HF191" i="67"/>
  <c r="AF152" i="71" s="1"/>
  <c r="HF144" i="67"/>
  <c r="AF144" i="71" s="1"/>
  <c r="HF137" i="67"/>
  <c r="AF137" i="71" s="1"/>
  <c r="HF129" i="67"/>
  <c r="AF129" i="71" s="1"/>
  <c r="HF121" i="67"/>
  <c r="AF121" i="71" s="1"/>
  <c r="HF113" i="67"/>
  <c r="AF113" i="71" s="1"/>
  <c r="HF105" i="67"/>
  <c r="AF105" i="71" s="1"/>
  <c r="HF97" i="67"/>
  <c r="AF97" i="71" s="1"/>
  <c r="HF90" i="67"/>
  <c r="AF90" i="71" s="1"/>
  <c r="HF75" i="67"/>
  <c r="AF75" i="71" s="1"/>
  <c r="HF67" i="67"/>
  <c r="AF67" i="71" s="1"/>
  <c r="HF59" i="67"/>
  <c r="AF59" i="71" s="1"/>
  <c r="HF51" i="67"/>
  <c r="AF51" i="71" s="1"/>
  <c r="HF35" i="67"/>
  <c r="AF35" i="71" s="1"/>
  <c r="HF29" i="67"/>
  <c r="AF29" i="71" s="1"/>
  <c r="HF13" i="67"/>
  <c r="AF13" i="71" s="1"/>
  <c r="HF181" i="67"/>
  <c r="AF183" i="71" s="1"/>
  <c r="HF175" i="67"/>
  <c r="AF177" i="71" s="1"/>
  <c r="HF166" i="67"/>
  <c r="AF168" i="71" s="1"/>
  <c r="HF174" i="67"/>
  <c r="AF176" i="71" s="1"/>
  <c r="HF156" i="67"/>
  <c r="AF158" i="71" s="1"/>
  <c r="HF151" i="67"/>
  <c r="AF151" i="71" s="1"/>
  <c r="HF143" i="67"/>
  <c r="AF143" i="71" s="1"/>
  <c r="HF136" i="67"/>
  <c r="AF136" i="71" s="1"/>
  <c r="HF128" i="67"/>
  <c r="AF128" i="71" s="1"/>
  <c r="HF120" i="67"/>
  <c r="AF120" i="71" s="1"/>
  <c r="HF112" i="67"/>
  <c r="AF112" i="71" s="1"/>
  <c r="HF104" i="67"/>
  <c r="AF104" i="71" s="1"/>
  <c r="HF89" i="67"/>
  <c r="AF89" i="71" s="1"/>
  <c r="HF82" i="67"/>
  <c r="AF82" i="71" s="1"/>
  <c r="HF74" i="67"/>
  <c r="AF74" i="71" s="1"/>
  <c r="HF66" i="67"/>
  <c r="AF66" i="71" s="1"/>
  <c r="HF58" i="67"/>
  <c r="AF58" i="71" s="1"/>
  <c r="HF50" i="67"/>
  <c r="AF50" i="71" s="1"/>
  <c r="HF42" i="67"/>
  <c r="AF42" i="71" s="1"/>
  <c r="HF34" i="67"/>
  <c r="AF34" i="71" s="1"/>
  <c r="HF28" i="67"/>
  <c r="AF28" i="71" s="1"/>
  <c r="HF20" i="67"/>
  <c r="AF20" i="71" s="1"/>
  <c r="HF12" i="67"/>
  <c r="AF12" i="71" s="1"/>
  <c r="HF184" i="67"/>
  <c r="AF186" i="71" s="1"/>
  <c r="HF193" i="67"/>
  <c r="AF193" i="71" s="1"/>
  <c r="HF172" i="67"/>
  <c r="AF174" i="71" s="1"/>
  <c r="HF163" i="67"/>
  <c r="AF165" i="71" s="1"/>
  <c r="HF173" i="67"/>
  <c r="AF175" i="71" s="1"/>
  <c r="HF155" i="67"/>
  <c r="AF157" i="71" s="1"/>
  <c r="HF150" i="67"/>
  <c r="AF150" i="71" s="1"/>
  <c r="HF142" i="67"/>
  <c r="AF142" i="71" s="1"/>
  <c r="HF135" i="67"/>
  <c r="AF135" i="71" s="1"/>
  <c r="HF127" i="67"/>
  <c r="AF127" i="71" s="1"/>
  <c r="HF119" i="67"/>
  <c r="AF119" i="71" s="1"/>
  <c r="HF111" i="67"/>
  <c r="AF111" i="71" s="1"/>
  <c r="HF103" i="67"/>
  <c r="AF103" i="71" s="1"/>
  <c r="HF96" i="67"/>
  <c r="AF96" i="71" s="1"/>
  <c r="HF81" i="67"/>
  <c r="AF81" i="71" s="1"/>
  <c r="HF73" i="67"/>
  <c r="AF73" i="71" s="1"/>
  <c r="HF65" i="67"/>
  <c r="AF65" i="71" s="1"/>
  <c r="HF57" i="67"/>
  <c r="AF57" i="71" s="1"/>
  <c r="HF49" i="67"/>
  <c r="AF49" i="71" s="1"/>
  <c r="HF41" i="67"/>
  <c r="AF41" i="71" s="1"/>
  <c r="HF33" i="67"/>
  <c r="AF33" i="71" s="1"/>
  <c r="HF27" i="67"/>
  <c r="AF27" i="71" s="1"/>
  <c r="HF19" i="67"/>
  <c r="AF19" i="71" s="1"/>
  <c r="HF11" i="67"/>
  <c r="AF11" i="71" s="1"/>
  <c r="HF180" i="67"/>
  <c r="AF182" i="71" s="1"/>
  <c r="HF171" i="67"/>
  <c r="AF173" i="71" s="1"/>
  <c r="HF162" i="67"/>
  <c r="AF164" i="71" s="1"/>
  <c r="HF165" i="67"/>
  <c r="AF167" i="71" s="1"/>
  <c r="HF149" i="67"/>
  <c r="AF149" i="71" s="1"/>
  <c r="HF141" i="67"/>
  <c r="AF141" i="71" s="1"/>
  <c r="HF126" i="67"/>
  <c r="AF126" i="71" s="1"/>
  <c r="HF118" i="67"/>
  <c r="AF118" i="71" s="1"/>
  <c r="HF102" i="67"/>
  <c r="AF102" i="71" s="1"/>
  <c r="HF95" i="67"/>
  <c r="AF95" i="71" s="1"/>
  <c r="HF88" i="67"/>
  <c r="AF88" i="71" s="1"/>
  <c r="HF80" i="67"/>
  <c r="AF80" i="71" s="1"/>
  <c r="HF72" i="67"/>
  <c r="AF72" i="71" s="1"/>
  <c r="HF64" i="67"/>
  <c r="AF64" i="71" s="1"/>
  <c r="HF56" i="67"/>
  <c r="AF56" i="71" s="1"/>
  <c r="HF40" i="67"/>
  <c r="AF40" i="71" s="1"/>
  <c r="HF32" i="67"/>
  <c r="AF32" i="71" s="1"/>
  <c r="HF26" i="67"/>
  <c r="AF26" i="71" s="1"/>
  <c r="HF18" i="67"/>
  <c r="AF18" i="71" s="1"/>
  <c r="HF10" i="67"/>
  <c r="AF10" i="71" s="1"/>
  <c r="HF183" i="67"/>
  <c r="AF185" i="71" s="1"/>
  <c r="HF179" i="67"/>
  <c r="AF181" i="71" s="1"/>
  <c r="HF170" i="67"/>
  <c r="AF172" i="71" s="1"/>
  <c r="HF189" i="67"/>
  <c r="AF191" i="71" s="1"/>
  <c r="HF164" i="67"/>
  <c r="AF166" i="71" s="1"/>
  <c r="HF154" i="67"/>
  <c r="AF156" i="71" s="1"/>
  <c r="HF148" i="67"/>
  <c r="AF148" i="71" s="1"/>
  <c r="HF133" i="67"/>
  <c r="AF133" i="71" s="1"/>
  <c r="HF125" i="67"/>
  <c r="AF125" i="71" s="1"/>
  <c r="HF117" i="67"/>
  <c r="AF117" i="71" s="1"/>
  <c r="HF109" i="67"/>
  <c r="AF109" i="71" s="1"/>
  <c r="HF101" i="67"/>
  <c r="AF101" i="71" s="1"/>
  <c r="HF94" i="67"/>
  <c r="AF94" i="71" s="1"/>
  <c r="HF87" i="67"/>
  <c r="AF87" i="71" s="1"/>
  <c r="HF79" i="67"/>
  <c r="AF79" i="71" s="1"/>
  <c r="HF63" i="67"/>
  <c r="AF63" i="71" s="1"/>
  <c r="HF55" i="67"/>
  <c r="AF55" i="71" s="1"/>
  <c r="HF47" i="67"/>
  <c r="AF47" i="71" s="1"/>
  <c r="HF39" i="67"/>
  <c r="AF39" i="71" s="1"/>
  <c r="HF31" i="67"/>
  <c r="AF31" i="71" s="1"/>
  <c r="HF17" i="67"/>
  <c r="AF17" i="71" s="1"/>
  <c r="HF9" i="67"/>
  <c r="AF9" i="71" s="1"/>
  <c r="CC196" i="67"/>
  <c r="CB196" i="67"/>
  <c r="CX196" i="67" l="1"/>
  <c r="CH196" i="67"/>
  <c r="GY9" i="67" l="1"/>
  <c r="Y9" i="71" s="1"/>
  <c r="GY10" i="67"/>
  <c r="Y10" i="71" s="1"/>
  <c r="GY11" i="67"/>
  <c r="Y11" i="71" s="1"/>
  <c r="GY12" i="67"/>
  <c r="Y12" i="71" s="1"/>
  <c r="GY13" i="67"/>
  <c r="Y13" i="71" s="1"/>
  <c r="GY14" i="67"/>
  <c r="Y14" i="71" s="1"/>
  <c r="GY15" i="67"/>
  <c r="Y15" i="71" s="1"/>
  <c r="GY17" i="67"/>
  <c r="Y17" i="71" s="1"/>
  <c r="GY19" i="67"/>
  <c r="Y19" i="71" s="1"/>
  <c r="GY20" i="67"/>
  <c r="Y20" i="71" s="1"/>
  <c r="GY21" i="67"/>
  <c r="Y21" i="71" s="1"/>
  <c r="GY22" i="67"/>
  <c r="Y22" i="71" s="1"/>
  <c r="GY26" i="67"/>
  <c r="Y26" i="71" s="1"/>
  <c r="GY27" i="67"/>
  <c r="Y27" i="71" s="1"/>
  <c r="GY28" i="67"/>
  <c r="Y28" i="71" s="1"/>
  <c r="GY31" i="67"/>
  <c r="Y31" i="71" s="1"/>
  <c r="GY32" i="67"/>
  <c r="Y32" i="71" s="1"/>
  <c r="GY33" i="67"/>
  <c r="Y33" i="71" s="1"/>
  <c r="GY34" i="67"/>
  <c r="Y34" i="71" s="1"/>
  <c r="GY35" i="67"/>
  <c r="Y35" i="71" s="1"/>
  <c r="GY36" i="67"/>
  <c r="Y36" i="71" s="1"/>
  <c r="GY37" i="67"/>
  <c r="Y37" i="71" s="1"/>
  <c r="GY38" i="67"/>
  <c r="Y38" i="71" s="1"/>
  <c r="GY39" i="67"/>
  <c r="Y39" i="71" s="1"/>
  <c r="GY40" i="67"/>
  <c r="Y40" i="71" s="1"/>
  <c r="GY41" i="67"/>
  <c r="Y41" i="71" s="1"/>
  <c r="GY42" i="67"/>
  <c r="Y42" i="71" s="1"/>
  <c r="GY43" i="67"/>
  <c r="Y43" i="71" s="1"/>
  <c r="GY44" i="67"/>
  <c r="Y44" i="71" s="1"/>
  <c r="GY45" i="67"/>
  <c r="Y45" i="71" s="1"/>
  <c r="GY46" i="67"/>
  <c r="Y46" i="71" s="1"/>
  <c r="GY47" i="67"/>
  <c r="Y47" i="71" s="1"/>
  <c r="GY49" i="67"/>
  <c r="Y49" i="71" s="1"/>
  <c r="GY50" i="67"/>
  <c r="Y50" i="71" s="1"/>
  <c r="GY52" i="67"/>
  <c r="Y52" i="71" s="1"/>
  <c r="GY53" i="67"/>
  <c r="Y53" i="71" s="1"/>
  <c r="GY55" i="67"/>
  <c r="Y55" i="71" s="1"/>
  <c r="GY56" i="67"/>
  <c r="Y56" i="71" s="1"/>
  <c r="GY57" i="67"/>
  <c r="Y57" i="71" s="1"/>
  <c r="GY58" i="67"/>
  <c r="Y58" i="71" s="1"/>
  <c r="GY59" i="67"/>
  <c r="Y59" i="71" s="1"/>
  <c r="GY60" i="67"/>
  <c r="Y60" i="71" s="1"/>
  <c r="GY61" i="67"/>
  <c r="Y61" i="71" s="1"/>
  <c r="GY62" i="67"/>
  <c r="Y62" i="71" s="1"/>
  <c r="GY64" i="67"/>
  <c r="Y64" i="71" s="1"/>
  <c r="GY65" i="67"/>
  <c r="Y65" i="71" s="1"/>
  <c r="GY66" i="67"/>
  <c r="Y66" i="71" s="1"/>
  <c r="GY67" i="67"/>
  <c r="Y67" i="71" s="1"/>
  <c r="GY68" i="67"/>
  <c r="Y68" i="71" s="1"/>
  <c r="GY69" i="67"/>
  <c r="Y69" i="71" s="1"/>
  <c r="GY71" i="67"/>
  <c r="Y71" i="71" s="1"/>
  <c r="GY72" i="67"/>
  <c r="Y72" i="71" s="1"/>
  <c r="GY73" i="67"/>
  <c r="Y73" i="71" s="1"/>
  <c r="GY76" i="67"/>
  <c r="Y76" i="71" s="1"/>
  <c r="GY77" i="67"/>
  <c r="Y77" i="71" s="1"/>
  <c r="GY78" i="67"/>
  <c r="Y78" i="71" s="1"/>
  <c r="GY79" i="67"/>
  <c r="Y79" i="71" s="1"/>
  <c r="GY80" i="67"/>
  <c r="Y80" i="71" s="1"/>
  <c r="GY81" i="67"/>
  <c r="Y81" i="71" s="1"/>
  <c r="GY84" i="67"/>
  <c r="Y84" i="71" s="1"/>
  <c r="GY85" i="67"/>
  <c r="Y85" i="71" s="1"/>
  <c r="GY86" i="67"/>
  <c r="Y86" i="71" s="1"/>
  <c r="GY89" i="67"/>
  <c r="Y89" i="71" s="1"/>
  <c r="GY90" i="67"/>
  <c r="Y90" i="71" s="1"/>
  <c r="GY91" i="67"/>
  <c r="Y91" i="71" s="1"/>
  <c r="GY92" i="67"/>
  <c r="Y92" i="71" s="1"/>
  <c r="GY93" i="67"/>
  <c r="Y93" i="71" s="1"/>
  <c r="GY97" i="67"/>
  <c r="Y97" i="71" s="1"/>
  <c r="GY98" i="67"/>
  <c r="Y98" i="71" s="1"/>
  <c r="GY99" i="67"/>
  <c r="Y99" i="71" s="1"/>
  <c r="GY100" i="67"/>
  <c r="Y100" i="71" s="1"/>
  <c r="GY101" i="67"/>
  <c r="Y101" i="71" s="1"/>
  <c r="GY102" i="67"/>
  <c r="Y102" i="71" s="1"/>
  <c r="GY103" i="67"/>
  <c r="Y103" i="71" s="1"/>
  <c r="GY105" i="67"/>
  <c r="Y105" i="71" s="1"/>
  <c r="GY106" i="67"/>
  <c r="Y106" i="71" s="1"/>
  <c r="GY107" i="67"/>
  <c r="Y107" i="71" s="1"/>
  <c r="GY108" i="67"/>
  <c r="Y108" i="71" s="1"/>
  <c r="GY109" i="67"/>
  <c r="Y109" i="71" s="1"/>
  <c r="GY111" i="67"/>
  <c r="Y111" i="71" s="1"/>
  <c r="GY112" i="67"/>
  <c r="Y112" i="71" s="1"/>
  <c r="GY113" i="67"/>
  <c r="Y113" i="71" s="1"/>
  <c r="GY115" i="67"/>
  <c r="Y115" i="71" s="1"/>
  <c r="GY116" i="67"/>
  <c r="Y116" i="71" s="1"/>
  <c r="GY117" i="67"/>
  <c r="Y117" i="71" s="1"/>
  <c r="GY120" i="67"/>
  <c r="Y120" i="71" s="1"/>
  <c r="GY122" i="67"/>
  <c r="Y122" i="71" s="1"/>
  <c r="GY124" i="67"/>
  <c r="Y124" i="71" s="1"/>
  <c r="GY125" i="67"/>
  <c r="Y125" i="71" s="1"/>
  <c r="GY126" i="67"/>
  <c r="Y126" i="71" s="1"/>
  <c r="GY127" i="67"/>
  <c r="Y127" i="71" s="1"/>
  <c r="GY128" i="67"/>
  <c r="Y128" i="71" s="1"/>
  <c r="GY130" i="67"/>
  <c r="Y130" i="71" s="1"/>
  <c r="GY131" i="67"/>
  <c r="Y131" i="71" s="1"/>
  <c r="GY132" i="67"/>
  <c r="Y132" i="71" s="1"/>
  <c r="GY133" i="67"/>
  <c r="Y133" i="71" s="1"/>
  <c r="GY134" i="67"/>
  <c r="Y134" i="71" s="1"/>
  <c r="GY135" i="67"/>
  <c r="Y135" i="71" s="1"/>
  <c r="GY136" i="67"/>
  <c r="Y136" i="71" s="1"/>
  <c r="GY137" i="67"/>
  <c r="Y137" i="71" s="1"/>
  <c r="GY138" i="67"/>
  <c r="Y138" i="71" s="1"/>
  <c r="GY139" i="67"/>
  <c r="Y139" i="71" s="1"/>
  <c r="GY140" i="67"/>
  <c r="Y140" i="71" s="1"/>
  <c r="GY141" i="67"/>
  <c r="Y141" i="71" s="1"/>
  <c r="GY142" i="67"/>
  <c r="Y142" i="71" s="1"/>
  <c r="GY143" i="67"/>
  <c r="Y143" i="71" s="1"/>
  <c r="GY144" i="67"/>
  <c r="Y144" i="71" s="1"/>
  <c r="GY145" i="67"/>
  <c r="Y145" i="71" s="1"/>
  <c r="GY146" i="67"/>
  <c r="Y146" i="71" s="1"/>
  <c r="GY147" i="67"/>
  <c r="Y147" i="71" s="1"/>
  <c r="GY148" i="67"/>
  <c r="Y148" i="71" s="1"/>
  <c r="GY149" i="67"/>
  <c r="Y149" i="71" s="1"/>
  <c r="GY150" i="67"/>
  <c r="Y150" i="71" s="1"/>
  <c r="GY151" i="67"/>
  <c r="Y151" i="71" s="1"/>
  <c r="GY191" i="67"/>
  <c r="Y152" i="71" s="1"/>
  <c r="GY192" i="67"/>
  <c r="Y153" i="71" s="1"/>
  <c r="GY152" i="67"/>
  <c r="Y154" i="71" s="1"/>
  <c r="GY154" i="67"/>
  <c r="Y156" i="71" s="1"/>
  <c r="GY155" i="67"/>
  <c r="Y157" i="71" s="1"/>
  <c r="GY156" i="67"/>
  <c r="Y158" i="71" s="1"/>
  <c r="GY159" i="67"/>
  <c r="Y161" i="71" s="1"/>
  <c r="GY160" i="67"/>
  <c r="Y162" i="71" s="1"/>
  <c r="GY162" i="67"/>
  <c r="Y164" i="71" s="1"/>
  <c r="GY163" i="67"/>
  <c r="Y165" i="71" s="1"/>
  <c r="GY164" i="67"/>
  <c r="Y166" i="71" s="1"/>
  <c r="GY165" i="67"/>
  <c r="Y167" i="71" s="1"/>
  <c r="GY166" i="67"/>
  <c r="Y168" i="71" s="1"/>
  <c r="GY167" i="67"/>
  <c r="Y169" i="71" s="1"/>
  <c r="GY168" i="67"/>
  <c r="Y170" i="71" s="1"/>
  <c r="GY169" i="67"/>
  <c r="Y171" i="71" s="1"/>
  <c r="GY170" i="67"/>
  <c r="Y172" i="71" s="1"/>
  <c r="GY171" i="67"/>
  <c r="Y173" i="71" s="1"/>
  <c r="GY172" i="67"/>
  <c r="Y174" i="71" s="1"/>
  <c r="GY174" i="67"/>
  <c r="Y176" i="71" s="1"/>
  <c r="GY175" i="67"/>
  <c r="Y177" i="71" s="1"/>
  <c r="GY176" i="67"/>
  <c r="Y178" i="71" s="1"/>
  <c r="GY178" i="67"/>
  <c r="Y180" i="71" s="1"/>
  <c r="GY180" i="67"/>
  <c r="Y182" i="71" s="1"/>
  <c r="GY181" i="67"/>
  <c r="Y183" i="71" s="1"/>
  <c r="GY182" i="67"/>
  <c r="Y184" i="71" s="1"/>
  <c r="GY183" i="67"/>
  <c r="Y185" i="71" s="1"/>
  <c r="GY185" i="67"/>
  <c r="Y187" i="71" s="1"/>
  <c r="GY186" i="67"/>
  <c r="Y188" i="71" s="1"/>
  <c r="GY187" i="67"/>
  <c r="Y189" i="71" s="1"/>
  <c r="GY188" i="67"/>
  <c r="Y190" i="71" s="1"/>
  <c r="GY189" i="67"/>
  <c r="Y191" i="71" s="1"/>
  <c r="GY190" i="67"/>
  <c r="Y192" i="71" s="1"/>
  <c r="GY193" i="67"/>
  <c r="Y193" i="71" s="1"/>
  <c r="GY29" i="67"/>
  <c r="Y29" i="71" s="1"/>
  <c r="GY51" i="67"/>
  <c r="Y51" i="71" s="1"/>
  <c r="GY94" i="67"/>
  <c r="Y94" i="71" s="1"/>
  <c r="GY95" i="67"/>
  <c r="Y95" i="71" s="1"/>
  <c r="GY173" i="67"/>
  <c r="Y175" i="71" s="1"/>
  <c r="GY184" i="67"/>
  <c r="Y186" i="71" s="1"/>
  <c r="GY16" i="67"/>
  <c r="Y16" i="71" s="1"/>
  <c r="GY18" i="67"/>
  <c r="Y18" i="71" s="1"/>
  <c r="GY23" i="67"/>
  <c r="Y23" i="71" s="1"/>
  <c r="GY25" i="67"/>
  <c r="Y25" i="71" s="1"/>
  <c r="GY54" i="67"/>
  <c r="Y54" i="71" s="1"/>
  <c r="GY63" i="67"/>
  <c r="Y63" i="71" s="1"/>
  <c r="GY70" i="67"/>
  <c r="Y70" i="71" s="1"/>
  <c r="GY74" i="67"/>
  <c r="Y74" i="71" s="1"/>
  <c r="GY75" i="67"/>
  <c r="Y75" i="71" s="1"/>
  <c r="GY82" i="67"/>
  <c r="Y82" i="71" s="1"/>
  <c r="GY87" i="67"/>
  <c r="Y87" i="71" s="1"/>
  <c r="GY88" i="67"/>
  <c r="Y88" i="71" s="1"/>
  <c r="GY96" i="67"/>
  <c r="Y96" i="71" s="1"/>
  <c r="GY104" i="67"/>
  <c r="Y104" i="71" s="1"/>
  <c r="GY114" i="67"/>
  <c r="Y114" i="71" s="1"/>
  <c r="GY118" i="67"/>
  <c r="Y118" i="71" s="1"/>
  <c r="GY119" i="67"/>
  <c r="Y119" i="71" s="1"/>
  <c r="GY121" i="67"/>
  <c r="Y121" i="71" s="1"/>
  <c r="GY123" i="67"/>
  <c r="Y123" i="71" s="1"/>
  <c r="GY129" i="67"/>
  <c r="Y129" i="71" s="1"/>
  <c r="GY153" i="67"/>
  <c r="Y155" i="71" s="1"/>
  <c r="GY157" i="67"/>
  <c r="Y159" i="71" s="1"/>
  <c r="GY161" i="67"/>
  <c r="Y163" i="71" s="1"/>
  <c r="GY177" i="67"/>
  <c r="Y179" i="71" s="1"/>
  <c r="GY179" i="67"/>
  <c r="Y181" i="71" s="1"/>
  <c r="GY8" i="67"/>
  <c r="Y8" i="71" s="1"/>
  <c r="S8" i="71" l="1"/>
  <c r="R10" i="65" l="1"/>
  <c r="S10" i="65"/>
  <c r="T10" i="65"/>
  <c r="U10" i="65"/>
  <c r="R11" i="65"/>
  <c r="S11" i="65"/>
  <c r="T11" i="65"/>
  <c r="U11" i="65"/>
  <c r="R12" i="65"/>
  <c r="S12" i="65"/>
  <c r="T12" i="65"/>
  <c r="U12" i="65"/>
  <c r="R13" i="65"/>
  <c r="S13" i="65"/>
  <c r="T13" i="65"/>
  <c r="U13" i="65"/>
  <c r="R14" i="65"/>
  <c r="S14" i="65"/>
  <c r="T14" i="65"/>
  <c r="U14" i="65"/>
  <c r="S9" i="65"/>
  <c r="T9" i="65"/>
  <c r="U9" i="65"/>
  <c r="R9" i="65"/>
  <c r="I10" i="65"/>
  <c r="J10" i="65"/>
  <c r="K10" i="65"/>
  <c r="L10" i="65"/>
  <c r="M10" i="65"/>
  <c r="N10" i="65"/>
  <c r="O10" i="65"/>
  <c r="P10" i="65"/>
  <c r="I11" i="65"/>
  <c r="J11" i="65"/>
  <c r="K11" i="65"/>
  <c r="L11" i="65"/>
  <c r="M11" i="65"/>
  <c r="N11" i="65"/>
  <c r="O11" i="65"/>
  <c r="P11" i="65"/>
  <c r="I12" i="65"/>
  <c r="J12" i="65"/>
  <c r="K12" i="65"/>
  <c r="L12" i="65"/>
  <c r="M12" i="65"/>
  <c r="N12" i="65"/>
  <c r="O12" i="65"/>
  <c r="P12" i="65"/>
  <c r="I13" i="65"/>
  <c r="J13" i="65"/>
  <c r="K13" i="65"/>
  <c r="L13" i="65"/>
  <c r="M13" i="65"/>
  <c r="N13" i="65"/>
  <c r="O13" i="65"/>
  <c r="P13" i="65"/>
  <c r="I14" i="65"/>
  <c r="J14" i="65"/>
  <c r="K14" i="65"/>
  <c r="L14" i="65"/>
  <c r="M14" i="65"/>
  <c r="N14" i="65"/>
  <c r="O14" i="65"/>
  <c r="P14" i="65"/>
  <c r="M9" i="65"/>
  <c r="N9" i="65"/>
  <c r="O9" i="65"/>
  <c r="P9" i="65"/>
  <c r="Q9" i="65" l="1"/>
  <c r="Q10" i="65"/>
  <c r="V13" i="65"/>
  <c r="V11" i="65"/>
  <c r="N16" i="65"/>
  <c r="Q12" i="65"/>
  <c r="V14" i="65"/>
  <c r="Q14" i="65"/>
  <c r="V10" i="65"/>
  <c r="Q11" i="65"/>
  <c r="V12" i="65"/>
  <c r="K16" i="65"/>
  <c r="Q13" i="65"/>
  <c r="U16" i="65"/>
  <c r="L16" i="65"/>
  <c r="J16" i="65"/>
  <c r="I16" i="65"/>
  <c r="P16" i="65"/>
  <c r="T16" i="65"/>
  <c r="S16" i="65"/>
  <c r="O16" i="65"/>
  <c r="R16" i="65"/>
  <c r="M16" i="65"/>
  <c r="V9" i="65"/>
  <c r="W16" i="65"/>
  <c r="BO110" i="67" l="1"/>
  <c r="AY110" i="67"/>
  <c r="AI110" i="67"/>
  <c r="S110" i="67"/>
  <c r="AR13" i="65"/>
  <c r="S110" i="71" s="1"/>
  <c r="S158" i="67"/>
  <c r="AI158" i="67"/>
  <c r="BO158" i="67"/>
  <c r="AY158" i="67"/>
  <c r="AR14" i="65"/>
  <c r="S160" i="71" s="1"/>
  <c r="AY83" i="67"/>
  <c r="AI83" i="67"/>
  <c r="S83" i="67"/>
  <c r="BO83" i="67"/>
  <c r="AR12" i="65"/>
  <c r="S83" i="71" s="1"/>
  <c r="BO30" i="67"/>
  <c r="AY30" i="67"/>
  <c r="S30" i="67"/>
  <c r="AI30" i="67"/>
  <c r="AR10" i="65"/>
  <c r="S30" i="71" s="1"/>
  <c r="AR9" i="65"/>
  <c r="S24" i="71" s="1"/>
  <c r="S24" i="67"/>
  <c r="BO24" i="67"/>
  <c r="AY24" i="67"/>
  <c r="AI24" i="67"/>
  <c r="S48" i="67"/>
  <c r="BO48" i="67"/>
  <c r="AY48" i="67"/>
  <c r="AI48" i="67"/>
  <c r="AR11" i="65"/>
  <c r="S48" i="71" s="1"/>
  <c r="HF21" i="67"/>
  <c r="AF21" i="71" s="1"/>
  <c r="Q16" i="65"/>
  <c r="V16" i="65"/>
  <c r="HF110" i="67" l="1"/>
  <c r="AF110" i="71" s="1"/>
  <c r="GY24" i="67"/>
  <c r="Y24" i="71" s="1"/>
  <c r="HF30" i="67"/>
  <c r="AF30" i="71" s="1"/>
  <c r="HF83" i="67"/>
  <c r="AF83" i="71" s="1"/>
  <c r="AY196" i="67"/>
  <c r="HF158" i="67"/>
  <c r="AF160" i="71" s="1"/>
  <c r="BO196" i="67"/>
  <c r="S196" i="67"/>
  <c r="HF24" i="67"/>
  <c r="AF24" i="71" s="1"/>
  <c r="HF48" i="67"/>
  <c r="AF48" i="71" s="1"/>
  <c r="AI196" i="67"/>
  <c r="HF43" i="67"/>
  <c r="AF43" i="71" s="1"/>
  <c r="HF25" i="67"/>
  <c r="AF25" i="71" s="1"/>
  <c r="HF92" i="67"/>
  <c r="AF92" i="71" s="1"/>
  <c r="HF71" i="67"/>
  <c r="AF71" i="71" s="1"/>
  <c r="HF134" i="67"/>
  <c r="AF134" i="71" s="1"/>
  <c r="CU196" i="67"/>
  <c r="GY83" i="67"/>
  <c r="Y83" i="71" s="1"/>
  <c r="GY48" i="67"/>
  <c r="Y48" i="71" s="1"/>
  <c r="GY30" i="67"/>
  <c r="Y30" i="71" s="1"/>
  <c r="AR16" i="65"/>
  <c r="GY158" i="67"/>
  <c r="Y160" i="71" s="1"/>
  <c r="GY110" i="67"/>
  <c r="Y110" i="71" s="1"/>
  <c r="CE196" i="67"/>
  <c r="HF196" i="67" l="1"/>
  <c r="GY196" i="67"/>
  <c r="GZ114" i="67" l="1"/>
  <c r="Z114" i="71" s="1"/>
  <c r="HG177" i="67"/>
  <c r="AG179" i="71" s="1"/>
  <c r="GZ182" i="67"/>
  <c r="Z184" i="71" s="1"/>
  <c r="HG152" i="67"/>
  <c r="AG154" i="71" s="1"/>
  <c r="GZ147" i="67"/>
  <c r="Z147" i="71" s="1"/>
  <c r="HG123" i="67"/>
  <c r="AG123" i="71" s="1"/>
  <c r="GZ120" i="67"/>
  <c r="Z120" i="71" s="1"/>
  <c r="HG99" i="67"/>
  <c r="AG99" i="71" s="1"/>
  <c r="GZ110" i="67"/>
  <c r="Z110" i="71" s="1"/>
  <c r="HG92" i="67"/>
  <c r="AG92" i="71" s="1"/>
  <c r="GZ102" i="67"/>
  <c r="Z102" i="71" s="1"/>
  <c r="HG85" i="67"/>
  <c r="AG85" i="71" s="1"/>
  <c r="GZ91" i="67"/>
  <c r="Z91" i="71" s="1"/>
  <c r="HG77" i="67"/>
  <c r="AG77" i="71" s="1"/>
  <c r="GZ80" i="67"/>
  <c r="Z80" i="71" s="1"/>
  <c r="HG69" i="67"/>
  <c r="AG69" i="71" s="1"/>
  <c r="GZ69" i="67"/>
  <c r="Z69" i="71" s="1"/>
  <c r="HG61" i="67"/>
  <c r="AG61" i="71" s="1"/>
  <c r="GZ60" i="67"/>
  <c r="Z60" i="71" s="1"/>
  <c r="HG53" i="67"/>
  <c r="AG53" i="71" s="1"/>
  <c r="GZ50" i="67"/>
  <c r="Z50" i="71" s="1"/>
  <c r="HG45" i="67"/>
  <c r="AG45" i="71" s="1"/>
  <c r="GZ42" i="67"/>
  <c r="Z42" i="71" s="1"/>
  <c r="HG37" i="67"/>
  <c r="AG37" i="71" s="1"/>
  <c r="GZ27" i="67"/>
  <c r="Z27" i="71" s="1"/>
  <c r="HG23" i="67"/>
  <c r="AG23" i="71" s="1"/>
  <c r="GZ15" i="67"/>
  <c r="Z15" i="71" s="1"/>
  <c r="HG15" i="67"/>
  <c r="AG15" i="71" s="1"/>
  <c r="GZ177" i="67"/>
  <c r="Z179" i="71" s="1"/>
  <c r="HG186" i="67"/>
  <c r="AG188" i="71" s="1"/>
  <c r="GZ70" i="67"/>
  <c r="Z70" i="71" s="1"/>
  <c r="HG167" i="67"/>
  <c r="AG169" i="71" s="1"/>
  <c r="GZ173" i="67"/>
  <c r="Z175" i="71" s="1"/>
  <c r="HG185" i="67"/>
  <c r="AG187" i="71" s="1"/>
  <c r="GZ189" i="67"/>
  <c r="Z191" i="71" s="1"/>
  <c r="HG158" i="67"/>
  <c r="AG160" i="71" s="1"/>
  <c r="GZ181" i="67"/>
  <c r="Z183" i="71" s="1"/>
  <c r="HG192" i="67"/>
  <c r="AG153" i="71" s="1"/>
  <c r="GZ170" i="67"/>
  <c r="Z172" i="71" s="1"/>
  <c r="HG145" i="67"/>
  <c r="AG145" i="71" s="1"/>
  <c r="GZ163" i="67"/>
  <c r="Z165" i="71" s="1"/>
  <c r="HG138" i="67"/>
  <c r="AG138" i="71" s="1"/>
  <c r="GZ152" i="67"/>
  <c r="Z154" i="71" s="1"/>
  <c r="HG130" i="67"/>
  <c r="AG130" i="71" s="1"/>
  <c r="GZ146" i="67"/>
  <c r="Z146" i="71" s="1"/>
  <c r="HG122" i="67"/>
  <c r="AG122" i="71" s="1"/>
  <c r="GZ138" i="67"/>
  <c r="Z138" i="71" s="1"/>
  <c r="HG114" i="67"/>
  <c r="AG114" i="71" s="1"/>
  <c r="GZ130" i="67"/>
  <c r="Z130" i="71" s="1"/>
  <c r="HG106" i="67"/>
  <c r="AG106" i="71" s="1"/>
  <c r="GZ117" i="67"/>
  <c r="Z117" i="71" s="1"/>
  <c r="HG98" i="67"/>
  <c r="AG98" i="71" s="1"/>
  <c r="GZ109" i="67"/>
  <c r="Z109" i="71" s="1"/>
  <c r="HG91" i="67"/>
  <c r="AG91" i="71" s="1"/>
  <c r="GZ101" i="67"/>
  <c r="Z101" i="71" s="1"/>
  <c r="HG84" i="67"/>
  <c r="AG84" i="71" s="1"/>
  <c r="GZ90" i="67"/>
  <c r="Z90" i="71" s="1"/>
  <c r="HG76" i="67"/>
  <c r="AG76" i="71" s="1"/>
  <c r="GZ79" i="67"/>
  <c r="Z79" i="71" s="1"/>
  <c r="HG68" i="67"/>
  <c r="AG68" i="71" s="1"/>
  <c r="GZ68" i="67"/>
  <c r="Z68" i="71" s="1"/>
  <c r="HG60" i="67"/>
  <c r="AG60" i="71" s="1"/>
  <c r="GZ59" i="67"/>
  <c r="Z59" i="71" s="1"/>
  <c r="HG52" i="67"/>
  <c r="AG52" i="71" s="1"/>
  <c r="GZ49" i="67"/>
  <c r="Z49" i="71" s="1"/>
  <c r="HG44" i="67"/>
  <c r="AG44" i="71" s="1"/>
  <c r="GZ41" i="67"/>
  <c r="Z41" i="71" s="1"/>
  <c r="HG36" i="67"/>
  <c r="AG36" i="71" s="1"/>
  <c r="GZ26" i="67"/>
  <c r="Z26" i="71" s="1"/>
  <c r="HG22" i="67"/>
  <c r="AG22" i="71" s="1"/>
  <c r="GZ14" i="67"/>
  <c r="Z14" i="71" s="1"/>
  <c r="HG14" i="67"/>
  <c r="AG14" i="71" s="1"/>
  <c r="GZ74" i="67"/>
  <c r="Z74" i="71" s="1"/>
  <c r="HG168" i="67"/>
  <c r="AG170" i="71" s="1"/>
  <c r="GZ171" i="67"/>
  <c r="Z173" i="71" s="1"/>
  <c r="HG146" i="67"/>
  <c r="AG146" i="71" s="1"/>
  <c r="GZ139" i="67"/>
  <c r="Z139" i="71" s="1"/>
  <c r="HG115" i="67"/>
  <c r="AG115" i="71" s="1"/>
  <c r="GZ169" i="67"/>
  <c r="Z171" i="71" s="1"/>
  <c r="HG144" i="67"/>
  <c r="AG144" i="71" s="1"/>
  <c r="GZ145" i="67"/>
  <c r="Z145" i="71" s="1"/>
  <c r="HG121" i="67"/>
  <c r="AG121" i="71" s="1"/>
  <c r="GZ116" i="67"/>
  <c r="Z116" i="71" s="1"/>
  <c r="GZ89" i="67"/>
  <c r="Z89" i="71" s="1"/>
  <c r="HG75" i="67"/>
  <c r="AG75" i="71" s="1"/>
  <c r="GZ58" i="67"/>
  <c r="Z58" i="71" s="1"/>
  <c r="HG51" i="67"/>
  <c r="AG51" i="71" s="1"/>
  <c r="GZ34" i="67"/>
  <c r="Z34" i="71" s="1"/>
  <c r="HG29" i="67"/>
  <c r="AG29" i="71" s="1"/>
  <c r="GZ129" i="67"/>
  <c r="Z129" i="71" s="1"/>
  <c r="HG181" i="67"/>
  <c r="AG183" i="71" s="1"/>
  <c r="GZ96" i="67"/>
  <c r="Z96" i="71" s="1"/>
  <c r="HG175" i="67"/>
  <c r="AG177" i="71" s="1"/>
  <c r="GZ54" i="67"/>
  <c r="Z54" i="71" s="1"/>
  <c r="HG166" i="67"/>
  <c r="AG168" i="71" s="1"/>
  <c r="GZ95" i="67"/>
  <c r="Z95" i="71" s="1"/>
  <c r="HG174" i="67"/>
  <c r="AG176" i="71" s="1"/>
  <c r="GZ187" i="67"/>
  <c r="Z189" i="71" s="1"/>
  <c r="HG156" i="67"/>
  <c r="AG158" i="71" s="1"/>
  <c r="GZ178" i="67"/>
  <c r="Z180" i="71" s="1"/>
  <c r="HG151" i="67"/>
  <c r="AG151" i="71" s="1"/>
  <c r="GZ168" i="67"/>
  <c r="Z170" i="71" s="1"/>
  <c r="HG143" i="67"/>
  <c r="AG143" i="71" s="1"/>
  <c r="GZ160" i="67"/>
  <c r="Z162" i="71" s="1"/>
  <c r="HG136" i="67"/>
  <c r="AG136" i="71" s="1"/>
  <c r="GZ191" i="67"/>
  <c r="Z152" i="71" s="1"/>
  <c r="HG128" i="67"/>
  <c r="AG128" i="71" s="1"/>
  <c r="GZ144" i="67"/>
  <c r="Z144" i="71" s="1"/>
  <c r="HG120" i="67"/>
  <c r="AG120" i="71" s="1"/>
  <c r="GZ136" i="67"/>
  <c r="Z136" i="71" s="1"/>
  <c r="HG112" i="67"/>
  <c r="AG112" i="71" s="1"/>
  <c r="GZ127" i="67"/>
  <c r="Z127" i="71" s="1"/>
  <c r="HG104" i="67"/>
  <c r="AG104" i="71" s="1"/>
  <c r="GZ107" i="67"/>
  <c r="Z107" i="71" s="1"/>
  <c r="HG89" i="67"/>
  <c r="AG89" i="71" s="1"/>
  <c r="GZ99" i="67"/>
  <c r="Z99" i="71" s="1"/>
  <c r="HG82" i="67"/>
  <c r="AG82" i="71" s="1"/>
  <c r="GZ86" i="67"/>
  <c r="Z86" i="71" s="1"/>
  <c r="HG74" i="67"/>
  <c r="AG74" i="71" s="1"/>
  <c r="GZ77" i="67"/>
  <c r="Z77" i="71" s="1"/>
  <c r="HG66" i="67"/>
  <c r="AG66" i="71" s="1"/>
  <c r="GZ66" i="67"/>
  <c r="Z66" i="71" s="1"/>
  <c r="HG58" i="67"/>
  <c r="AG58" i="71" s="1"/>
  <c r="GZ57" i="67"/>
  <c r="Z57" i="71" s="1"/>
  <c r="HG50" i="67"/>
  <c r="AG50" i="71" s="1"/>
  <c r="GZ47" i="67"/>
  <c r="Z47" i="71" s="1"/>
  <c r="HG42" i="67"/>
  <c r="AG42" i="71" s="1"/>
  <c r="GZ39" i="67"/>
  <c r="Z39" i="71" s="1"/>
  <c r="HG34" i="67"/>
  <c r="AG34" i="71" s="1"/>
  <c r="GZ33" i="67"/>
  <c r="Z33" i="71" s="1"/>
  <c r="HG28" i="67"/>
  <c r="AG28" i="71" s="1"/>
  <c r="GZ22" i="67"/>
  <c r="Z22" i="71" s="1"/>
  <c r="HG20" i="67"/>
  <c r="AG20" i="71" s="1"/>
  <c r="GZ12" i="67"/>
  <c r="Z12" i="71" s="1"/>
  <c r="HG12" i="67"/>
  <c r="AG12" i="71" s="1"/>
  <c r="GZ190" i="67"/>
  <c r="Z192" i="71" s="1"/>
  <c r="HG159" i="67"/>
  <c r="AG161" i="71" s="1"/>
  <c r="GZ164" i="67"/>
  <c r="Z166" i="71" s="1"/>
  <c r="HG139" i="67"/>
  <c r="AG139" i="71" s="1"/>
  <c r="GZ131" i="67"/>
  <c r="Z131" i="71" s="1"/>
  <c r="HG107" i="67"/>
  <c r="AG107" i="71" s="1"/>
  <c r="GZ104" i="67"/>
  <c r="Z104" i="71" s="1"/>
  <c r="HG176" i="67"/>
  <c r="AG178" i="71" s="1"/>
  <c r="GZ188" i="67"/>
  <c r="Z190" i="71" s="1"/>
  <c r="HG157" i="67"/>
  <c r="AG159" i="71" s="1"/>
  <c r="GZ162" i="67"/>
  <c r="Z164" i="71" s="1"/>
  <c r="HG137" i="67"/>
  <c r="AG137" i="71" s="1"/>
  <c r="GZ137" i="67"/>
  <c r="Z137" i="71" s="1"/>
  <c r="HG113" i="67"/>
  <c r="AG113" i="71" s="1"/>
  <c r="GZ108" i="67"/>
  <c r="Z108" i="71" s="1"/>
  <c r="HG90" i="67"/>
  <c r="AG90" i="71" s="1"/>
  <c r="GZ78" i="67"/>
  <c r="Z78" i="71" s="1"/>
  <c r="HG67" i="67"/>
  <c r="AG67" i="71" s="1"/>
  <c r="GZ48" i="67"/>
  <c r="Z48" i="71" s="1"/>
  <c r="HG43" i="67"/>
  <c r="AG43" i="71" s="1"/>
  <c r="GZ24" i="67"/>
  <c r="Z24" i="71" s="1"/>
  <c r="HG21" i="67"/>
  <c r="AG21" i="71" s="1"/>
  <c r="GZ161" i="67"/>
  <c r="Z163" i="71" s="1"/>
  <c r="HG184" i="67"/>
  <c r="AG186" i="71" s="1"/>
  <c r="GZ123" i="67"/>
  <c r="Z123" i="71" s="1"/>
  <c r="HG193" i="67"/>
  <c r="AG193" i="71" s="1"/>
  <c r="GZ88" i="67"/>
  <c r="Z88" i="71" s="1"/>
  <c r="HG172" i="67"/>
  <c r="AG174" i="71" s="1"/>
  <c r="GZ25" i="67"/>
  <c r="Z25" i="71" s="1"/>
  <c r="HG163" i="67"/>
  <c r="AG165" i="71" s="1"/>
  <c r="GZ94" i="67"/>
  <c r="Z94" i="71" s="1"/>
  <c r="HG173" i="67"/>
  <c r="AG175" i="71" s="1"/>
  <c r="GZ186" i="67"/>
  <c r="Z188" i="71" s="1"/>
  <c r="HG155" i="67"/>
  <c r="AG157" i="71" s="1"/>
  <c r="GZ176" i="67"/>
  <c r="Z178" i="71" s="1"/>
  <c r="HG150" i="67"/>
  <c r="AG150" i="71" s="1"/>
  <c r="GZ167" i="67"/>
  <c r="Z169" i="71" s="1"/>
  <c r="HG142" i="67"/>
  <c r="AG142" i="71" s="1"/>
  <c r="GZ159" i="67"/>
  <c r="Z161" i="71" s="1"/>
  <c r="HG135" i="67"/>
  <c r="AG135" i="71" s="1"/>
  <c r="GZ151" i="67"/>
  <c r="Z151" i="71" s="1"/>
  <c r="HG127" i="67"/>
  <c r="AG127" i="71" s="1"/>
  <c r="GZ143" i="67"/>
  <c r="Z143" i="71" s="1"/>
  <c r="HG119" i="67"/>
  <c r="AG119" i="71" s="1"/>
  <c r="GZ135" i="67"/>
  <c r="Z135" i="71" s="1"/>
  <c r="HG111" i="67"/>
  <c r="AG111" i="71" s="1"/>
  <c r="GZ126" i="67"/>
  <c r="Z126" i="71" s="1"/>
  <c r="HG103" i="67"/>
  <c r="AG103" i="71" s="1"/>
  <c r="GZ115" i="67"/>
  <c r="Z115" i="71" s="1"/>
  <c r="HG96" i="67"/>
  <c r="AG96" i="71" s="1"/>
  <c r="GZ98" i="67"/>
  <c r="Z98" i="71" s="1"/>
  <c r="HG81" i="67"/>
  <c r="AG81" i="71" s="1"/>
  <c r="GZ85" i="67"/>
  <c r="Z85" i="71" s="1"/>
  <c r="HG73" i="67"/>
  <c r="AG73" i="71" s="1"/>
  <c r="GZ76" i="67"/>
  <c r="Z76" i="71" s="1"/>
  <c r="HG65" i="67"/>
  <c r="AG65" i="71" s="1"/>
  <c r="GZ65" i="67"/>
  <c r="Z65" i="71" s="1"/>
  <c r="HG57" i="67"/>
  <c r="AG57" i="71" s="1"/>
  <c r="GZ56" i="67"/>
  <c r="Z56" i="71" s="1"/>
  <c r="HG49" i="67"/>
  <c r="AG49" i="71" s="1"/>
  <c r="GZ46" i="67"/>
  <c r="Z46" i="71" s="1"/>
  <c r="HG41" i="67"/>
  <c r="AG41" i="71" s="1"/>
  <c r="GZ38" i="67"/>
  <c r="Z38" i="71" s="1"/>
  <c r="HG33" i="67"/>
  <c r="AG33" i="71" s="1"/>
  <c r="GZ32" i="67"/>
  <c r="Z32" i="71" s="1"/>
  <c r="HG27" i="67"/>
  <c r="AG27" i="71" s="1"/>
  <c r="GZ21" i="67"/>
  <c r="Z21" i="71" s="1"/>
  <c r="HG19" i="67"/>
  <c r="AG19" i="71" s="1"/>
  <c r="GZ11" i="67"/>
  <c r="Z11" i="71" s="1"/>
  <c r="HG11" i="67"/>
  <c r="AG11" i="71" s="1"/>
  <c r="GZ179" i="67"/>
  <c r="Z181" i="71" s="1"/>
  <c r="HG187" i="67"/>
  <c r="AG189" i="71" s="1"/>
  <c r="GZ184" i="67"/>
  <c r="Z186" i="71" s="1"/>
  <c r="HG188" i="67"/>
  <c r="AG190" i="71" s="1"/>
  <c r="GZ154" i="67"/>
  <c r="Z156" i="71" s="1"/>
  <c r="HG131" i="67"/>
  <c r="AG131" i="71" s="1"/>
  <c r="GZ63" i="67"/>
  <c r="Z63" i="71" s="1"/>
  <c r="HG190" i="67"/>
  <c r="AG192" i="71" s="1"/>
  <c r="GZ180" i="67"/>
  <c r="Z182" i="71" s="1"/>
  <c r="HG191" i="67"/>
  <c r="AG152" i="71" s="1"/>
  <c r="GZ192" i="67"/>
  <c r="Z153" i="71" s="1"/>
  <c r="HG129" i="67"/>
  <c r="AG129" i="71" s="1"/>
  <c r="GZ128" i="67"/>
  <c r="Z128" i="71" s="1"/>
  <c r="HG105" i="67"/>
  <c r="AG105" i="71" s="1"/>
  <c r="GZ100" i="67"/>
  <c r="Z100" i="71" s="1"/>
  <c r="HG83" i="67"/>
  <c r="AG83" i="71" s="1"/>
  <c r="GZ67" i="67"/>
  <c r="Z67" i="71" s="1"/>
  <c r="HG59" i="67"/>
  <c r="AG59" i="71" s="1"/>
  <c r="GZ40" i="67"/>
  <c r="Z40" i="71" s="1"/>
  <c r="HG35" i="67"/>
  <c r="AG35" i="71" s="1"/>
  <c r="GZ13" i="67"/>
  <c r="Z13" i="71" s="1"/>
  <c r="HG13" i="67"/>
  <c r="AG13" i="71" s="1"/>
  <c r="GZ121" i="67"/>
  <c r="Z121" i="71" s="1"/>
  <c r="HG180" i="67"/>
  <c r="AG182" i="71" s="1"/>
  <c r="GZ87" i="67"/>
  <c r="Z87" i="71" s="1"/>
  <c r="HG171" i="67"/>
  <c r="AG173" i="71" s="1"/>
  <c r="GZ23" i="67"/>
  <c r="Z23" i="71" s="1"/>
  <c r="HG162" i="67"/>
  <c r="AG164" i="71" s="1"/>
  <c r="GZ51" i="67"/>
  <c r="Z51" i="71" s="1"/>
  <c r="HG165" i="67"/>
  <c r="AG167" i="71" s="1"/>
  <c r="GZ175" i="67"/>
  <c r="Z177" i="71" s="1"/>
  <c r="HG149" i="67"/>
  <c r="AG149" i="71" s="1"/>
  <c r="GZ166" i="67"/>
  <c r="Z168" i="71" s="1"/>
  <c r="HG141" i="67"/>
  <c r="AG141" i="71" s="1"/>
  <c r="GZ158" i="67"/>
  <c r="Z160" i="71" s="1"/>
  <c r="HG134" i="67"/>
  <c r="AG134" i="71" s="1"/>
  <c r="GZ150" i="67"/>
  <c r="Z150" i="71" s="1"/>
  <c r="HG126" i="67"/>
  <c r="AG126" i="71" s="1"/>
  <c r="GZ142" i="67"/>
  <c r="Z142" i="71" s="1"/>
  <c r="HG118" i="67"/>
  <c r="AG118" i="71" s="1"/>
  <c r="GZ134" i="67"/>
  <c r="Z134" i="71" s="1"/>
  <c r="HG110" i="67"/>
  <c r="AG110" i="71" s="1"/>
  <c r="GZ125" i="67"/>
  <c r="Z125" i="71" s="1"/>
  <c r="HG102" i="67"/>
  <c r="AG102" i="71" s="1"/>
  <c r="GZ113" i="67"/>
  <c r="Z113" i="71" s="1"/>
  <c r="HG95" i="67"/>
  <c r="AG95" i="71" s="1"/>
  <c r="GZ106" i="67"/>
  <c r="Z106" i="71" s="1"/>
  <c r="HG88" i="67"/>
  <c r="AG88" i="71" s="1"/>
  <c r="HG80" i="67"/>
  <c r="AG80" i="71" s="1"/>
  <c r="GZ84" i="67"/>
  <c r="Z84" i="71" s="1"/>
  <c r="HG72" i="67"/>
  <c r="AG72" i="71" s="1"/>
  <c r="GZ73" i="67"/>
  <c r="Z73" i="71" s="1"/>
  <c r="HG64" i="67"/>
  <c r="AG64" i="71" s="1"/>
  <c r="GZ64" i="67"/>
  <c r="Z64" i="71" s="1"/>
  <c r="HG56" i="67"/>
  <c r="AG56" i="71" s="1"/>
  <c r="GZ55" i="67"/>
  <c r="Z55" i="71" s="1"/>
  <c r="HG48" i="67"/>
  <c r="AG48" i="71" s="1"/>
  <c r="GZ45" i="67"/>
  <c r="Z45" i="71" s="1"/>
  <c r="HG40" i="67"/>
  <c r="AG40" i="71" s="1"/>
  <c r="GZ37" i="67"/>
  <c r="Z37" i="71" s="1"/>
  <c r="HG32" i="67"/>
  <c r="AG32" i="71" s="1"/>
  <c r="GZ31" i="67"/>
  <c r="Z31" i="71" s="1"/>
  <c r="HG26" i="67"/>
  <c r="AG26" i="71" s="1"/>
  <c r="GZ20" i="67"/>
  <c r="Z20" i="71" s="1"/>
  <c r="HG18" i="67"/>
  <c r="AG18" i="71" s="1"/>
  <c r="GZ10" i="67"/>
  <c r="Z10" i="71" s="1"/>
  <c r="HG10" i="67"/>
  <c r="AG10" i="71" s="1"/>
  <c r="GZ157" i="67"/>
  <c r="Z159" i="71" s="1"/>
  <c r="HG183" i="67"/>
  <c r="AG185" i="71" s="1"/>
  <c r="GZ119" i="67"/>
  <c r="Z119" i="71" s="1"/>
  <c r="HG179" i="67"/>
  <c r="AG181" i="71" s="1"/>
  <c r="GZ82" i="67"/>
  <c r="Z82" i="71" s="1"/>
  <c r="HG170" i="67"/>
  <c r="AG172" i="71" s="1"/>
  <c r="GZ18" i="67"/>
  <c r="Z18" i="71" s="1"/>
  <c r="HG189" i="67"/>
  <c r="AG191" i="71" s="1"/>
  <c r="GZ29" i="67"/>
  <c r="Z29" i="71" s="1"/>
  <c r="HG164" i="67"/>
  <c r="AG166" i="71" s="1"/>
  <c r="GZ185" i="67"/>
  <c r="Z187" i="71" s="1"/>
  <c r="HG154" i="67"/>
  <c r="AG156" i="71" s="1"/>
  <c r="GZ174" i="67"/>
  <c r="Z176" i="71" s="1"/>
  <c r="HG148" i="67"/>
  <c r="AG148" i="71" s="1"/>
  <c r="GZ156" i="67"/>
  <c r="Z158" i="71" s="1"/>
  <c r="HG133" i="67"/>
  <c r="AG133" i="71" s="1"/>
  <c r="GZ149" i="67"/>
  <c r="Z149" i="71" s="1"/>
  <c r="HG125" i="67"/>
  <c r="AG125" i="71" s="1"/>
  <c r="GZ141" i="67"/>
  <c r="Z141" i="71" s="1"/>
  <c r="HG117" i="67"/>
  <c r="AG117" i="71" s="1"/>
  <c r="GZ133" i="67"/>
  <c r="Z133" i="71" s="1"/>
  <c r="HG109" i="67"/>
  <c r="AG109" i="71" s="1"/>
  <c r="GZ124" i="67"/>
  <c r="Z124" i="71" s="1"/>
  <c r="HG101" i="67"/>
  <c r="AG101" i="71" s="1"/>
  <c r="GZ112" i="67"/>
  <c r="Z112" i="71" s="1"/>
  <c r="HG94" i="67"/>
  <c r="AG94" i="71" s="1"/>
  <c r="GZ105" i="67"/>
  <c r="Z105" i="71" s="1"/>
  <c r="HG87" i="67"/>
  <c r="AG87" i="71" s="1"/>
  <c r="GZ93" i="67"/>
  <c r="Z93" i="71" s="1"/>
  <c r="HG79" i="67"/>
  <c r="AG79" i="71" s="1"/>
  <c r="GZ83" i="67"/>
  <c r="Z83" i="71" s="1"/>
  <c r="HG71" i="67"/>
  <c r="AG71" i="71" s="1"/>
  <c r="GZ72" i="67"/>
  <c r="Z72" i="71" s="1"/>
  <c r="HG63" i="67"/>
  <c r="AG63" i="71" s="1"/>
  <c r="GZ62" i="67"/>
  <c r="Z62" i="71" s="1"/>
  <c r="HG55" i="67"/>
  <c r="AG55" i="71" s="1"/>
  <c r="GZ53" i="67"/>
  <c r="Z53" i="71" s="1"/>
  <c r="HG47" i="67"/>
  <c r="AG47" i="71" s="1"/>
  <c r="GZ44" i="67"/>
  <c r="Z44" i="71" s="1"/>
  <c r="HG39" i="67"/>
  <c r="AG39" i="71" s="1"/>
  <c r="GZ36" i="67"/>
  <c r="Z36" i="71" s="1"/>
  <c r="HG31" i="67"/>
  <c r="AG31" i="71" s="1"/>
  <c r="GZ30" i="67"/>
  <c r="Z30" i="71" s="1"/>
  <c r="HG25" i="67"/>
  <c r="AG25" i="71" s="1"/>
  <c r="GZ19" i="67"/>
  <c r="Z19" i="71" s="1"/>
  <c r="GZ9" i="67"/>
  <c r="Z9" i="71" s="1"/>
  <c r="HG9" i="67"/>
  <c r="AG9" i="71" s="1"/>
  <c r="GZ153" i="67"/>
  <c r="Z155" i="71" s="1"/>
  <c r="HG182" i="67"/>
  <c r="AG184" i="71" s="1"/>
  <c r="GZ118" i="67"/>
  <c r="Z118" i="71" s="1"/>
  <c r="HG178" i="67"/>
  <c r="AG180" i="71" s="1"/>
  <c r="GZ75" i="67"/>
  <c r="Z75" i="71" s="1"/>
  <c r="HG169" i="67"/>
  <c r="AG171" i="71" s="1"/>
  <c r="GZ16" i="67"/>
  <c r="Z16" i="71" s="1"/>
  <c r="HG161" i="67"/>
  <c r="AG163" i="71" s="1"/>
  <c r="GZ193" i="67"/>
  <c r="Z193" i="71" s="1"/>
  <c r="HG160" i="67"/>
  <c r="AG162" i="71" s="1"/>
  <c r="GZ183" i="67"/>
  <c r="Z185" i="71" s="1"/>
  <c r="HG153" i="67"/>
  <c r="AG155" i="71" s="1"/>
  <c r="GZ172" i="67"/>
  <c r="Z174" i="71" s="1"/>
  <c r="HG147" i="67"/>
  <c r="AG147" i="71" s="1"/>
  <c r="GZ165" i="67"/>
  <c r="Z167" i="71" s="1"/>
  <c r="HG140" i="67"/>
  <c r="AG140" i="71" s="1"/>
  <c r="GZ155" i="67"/>
  <c r="Z157" i="71" s="1"/>
  <c r="HG132" i="67"/>
  <c r="AG132" i="71" s="1"/>
  <c r="GZ148" i="67"/>
  <c r="Z148" i="71" s="1"/>
  <c r="HG124" i="67"/>
  <c r="AG124" i="71" s="1"/>
  <c r="GZ140" i="67"/>
  <c r="Z140" i="71" s="1"/>
  <c r="HG116" i="67"/>
  <c r="AG116" i="71" s="1"/>
  <c r="GZ132" i="67"/>
  <c r="Z132" i="71" s="1"/>
  <c r="HG108" i="67"/>
  <c r="AG108" i="71" s="1"/>
  <c r="GZ122" i="67"/>
  <c r="Z122" i="71" s="1"/>
  <c r="HG100" i="67"/>
  <c r="AG100" i="71" s="1"/>
  <c r="GZ111" i="67"/>
  <c r="Z111" i="71" s="1"/>
  <c r="HG93" i="67"/>
  <c r="AG93" i="71" s="1"/>
  <c r="GZ103" i="67"/>
  <c r="Z103" i="71" s="1"/>
  <c r="HG86" i="67"/>
  <c r="AG86" i="71" s="1"/>
  <c r="GZ92" i="67"/>
  <c r="Z92" i="71" s="1"/>
  <c r="HG78" i="67"/>
  <c r="AG78" i="71" s="1"/>
  <c r="GZ81" i="67"/>
  <c r="Z81" i="71" s="1"/>
  <c r="HG70" i="67"/>
  <c r="AG70" i="71" s="1"/>
  <c r="GZ71" i="67"/>
  <c r="Z71" i="71" s="1"/>
  <c r="HG62" i="67"/>
  <c r="AG62" i="71" s="1"/>
  <c r="GZ61" i="67"/>
  <c r="Z61" i="71" s="1"/>
  <c r="HG54" i="67"/>
  <c r="AG54" i="71" s="1"/>
  <c r="GZ52" i="67"/>
  <c r="Z52" i="71" s="1"/>
  <c r="HG46" i="67"/>
  <c r="AG46" i="71" s="1"/>
  <c r="GZ43" i="67"/>
  <c r="Z43" i="71" s="1"/>
  <c r="HG38" i="67"/>
  <c r="AG38" i="71" s="1"/>
  <c r="GZ35" i="67"/>
  <c r="Z35" i="71" s="1"/>
  <c r="HG30" i="67"/>
  <c r="AG30" i="71" s="1"/>
  <c r="GZ28" i="67"/>
  <c r="Z28" i="71" s="1"/>
  <c r="HG24" i="67"/>
  <c r="AG24" i="71" s="1"/>
  <c r="HG16" i="67"/>
  <c r="AG16" i="71" s="1"/>
  <c r="HG8" i="67" l="1"/>
  <c r="AG8" i="71" s="1"/>
  <c r="F4" i="44"/>
  <c r="F5" i="44"/>
  <c r="F6" i="44"/>
  <c r="F7" i="44"/>
  <c r="F8" i="44"/>
  <c r="F9" i="44"/>
  <c r="F10" i="44"/>
  <c r="F12" i="44"/>
  <c r="F14" i="44"/>
  <c r="F15" i="44"/>
  <c r="F16" i="44"/>
  <c r="F17" i="44"/>
  <c r="F19" i="44"/>
  <c r="F21" i="44"/>
  <c r="F22" i="44"/>
  <c r="F23" i="44"/>
  <c r="F25" i="44"/>
  <c r="F26" i="44"/>
  <c r="F27" i="44"/>
  <c r="F28" i="44"/>
  <c r="F29" i="44"/>
  <c r="F30" i="44"/>
  <c r="F31" i="44"/>
  <c r="F32" i="44"/>
  <c r="F33" i="44"/>
  <c r="F34" i="44"/>
  <c r="F35" i="44"/>
  <c r="F36" i="44"/>
  <c r="F37" i="44"/>
  <c r="F38" i="44"/>
  <c r="F39" i="44"/>
  <c r="F40" i="44"/>
  <c r="F41" i="44"/>
  <c r="F42" i="44"/>
  <c r="F43" i="44"/>
  <c r="F44" i="44"/>
  <c r="F45" i="44"/>
  <c r="F46" i="44"/>
  <c r="F47" i="44"/>
  <c r="F49" i="44"/>
  <c r="F50" i="44"/>
  <c r="F52" i="44"/>
  <c r="F53" i="44"/>
  <c r="F54" i="44"/>
  <c r="F55" i="44"/>
  <c r="F56" i="44"/>
  <c r="F57" i="44"/>
  <c r="F58" i="44"/>
  <c r="F59" i="44"/>
  <c r="F61" i="44"/>
  <c r="F62" i="44"/>
  <c r="F63" i="44"/>
  <c r="F64" i="44"/>
  <c r="F65" i="44"/>
  <c r="F66" i="44"/>
  <c r="F68" i="44"/>
  <c r="F69" i="44"/>
  <c r="F70" i="44"/>
  <c r="F73" i="44"/>
  <c r="F74" i="44"/>
  <c r="F75" i="44"/>
  <c r="F76" i="44"/>
  <c r="F77" i="44"/>
  <c r="F78" i="44"/>
  <c r="F80" i="44"/>
  <c r="F81" i="44"/>
  <c r="F82" i="44"/>
  <c r="F83" i="44"/>
  <c r="F86" i="44"/>
  <c r="F87" i="44"/>
  <c r="F88" i="44"/>
  <c r="F89" i="44"/>
  <c r="F90" i="44"/>
  <c r="F94" i="44"/>
  <c r="F95" i="44"/>
  <c r="F96" i="44"/>
  <c r="F97" i="44"/>
  <c r="F98" i="44"/>
  <c r="F99" i="44"/>
  <c r="F100" i="44"/>
  <c r="F102" i="44"/>
  <c r="F103" i="44"/>
  <c r="F104" i="44"/>
  <c r="F105" i="44"/>
  <c r="F106" i="44"/>
  <c r="F107" i="44"/>
  <c r="F108" i="44"/>
  <c r="F109" i="44"/>
  <c r="F110" i="44"/>
  <c r="F111" i="44"/>
  <c r="F114" i="44"/>
  <c r="F115" i="44"/>
  <c r="F116" i="44"/>
  <c r="F117" i="44"/>
  <c r="F120" i="44"/>
  <c r="F122" i="44"/>
  <c r="F124" i="44"/>
  <c r="F125" i="44"/>
  <c r="F126" i="44"/>
  <c r="F127" i="44"/>
  <c r="F128" i="44"/>
  <c r="F130" i="44"/>
  <c r="F131" i="44"/>
  <c r="F132" i="44"/>
  <c r="F133" i="44"/>
  <c r="F134" i="44"/>
  <c r="F135" i="44"/>
  <c r="F136" i="44"/>
  <c r="F137" i="44"/>
  <c r="F138" i="44"/>
  <c r="F139" i="44"/>
  <c r="F141" i="44"/>
  <c r="F143" i="44"/>
  <c r="F144" i="44"/>
  <c r="F145" i="44"/>
  <c r="F146" i="44"/>
  <c r="F148" i="44"/>
  <c r="F149" i="44"/>
  <c r="F150" i="44"/>
  <c r="F152" i="44"/>
  <c r="F153" i="44"/>
  <c r="F154" i="44"/>
  <c r="F155" i="44"/>
  <c r="F156" i="44"/>
  <c r="F157" i="44"/>
  <c r="F158" i="44"/>
  <c r="F160" i="44"/>
  <c r="F161" i="44"/>
  <c r="F162" i="44"/>
  <c r="F164" i="44"/>
  <c r="F165" i="44"/>
  <c r="F166" i="44"/>
  <c r="F170" i="44"/>
  <c r="F171" i="44"/>
  <c r="F172" i="44"/>
  <c r="F173" i="44"/>
  <c r="F175" i="44"/>
  <c r="F176" i="44"/>
  <c r="F177" i="44"/>
  <c r="F178" i="44"/>
  <c r="F179" i="44"/>
  <c r="F180" i="44"/>
  <c r="F181" i="44"/>
  <c r="F182" i="44"/>
  <c r="F184" i="44"/>
  <c r="F185" i="44"/>
  <c r="F186" i="44"/>
  <c r="F188" i="44"/>
  <c r="F24" i="44"/>
  <c r="F48" i="44"/>
  <c r="F91" i="44"/>
  <c r="F92" i="44"/>
  <c r="F140" i="44"/>
  <c r="F183" i="44"/>
  <c r="F11" i="44"/>
  <c r="F13" i="44"/>
  <c r="F18" i="44"/>
  <c r="F20" i="44"/>
  <c r="F51" i="44"/>
  <c r="F60" i="44"/>
  <c r="F67" i="44"/>
  <c r="F71" i="44"/>
  <c r="F72" i="44"/>
  <c r="F79" i="44"/>
  <c r="F84" i="44"/>
  <c r="F85" i="44"/>
  <c r="F93" i="44"/>
  <c r="F101" i="44"/>
  <c r="F112" i="44"/>
  <c r="F113" i="44"/>
  <c r="F118" i="44"/>
  <c r="F119" i="44"/>
  <c r="F121" i="44"/>
  <c r="F123" i="44"/>
  <c r="F129" i="44"/>
  <c r="F142" i="44"/>
  <c r="F147" i="44"/>
  <c r="F151" i="44"/>
  <c r="F159" i="44"/>
  <c r="F163" i="44"/>
  <c r="F167" i="44"/>
  <c r="F168" i="44"/>
  <c r="F169" i="44"/>
  <c r="F174" i="44"/>
  <c r="F187" i="44"/>
  <c r="F3" i="44"/>
  <c r="F3" i="52"/>
  <c r="G3" i="52"/>
  <c r="H3" i="52"/>
  <c r="I3" i="52"/>
  <c r="J3" i="52"/>
  <c r="K3" i="52"/>
  <c r="L3" i="52"/>
  <c r="M3" i="52"/>
  <c r="N3" i="52"/>
  <c r="O3" i="52"/>
  <c r="P3" i="52"/>
  <c r="Q3" i="52"/>
  <c r="R3" i="52"/>
  <c r="S3" i="52"/>
  <c r="T3" i="52"/>
  <c r="U3" i="52"/>
  <c r="V3" i="52"/>
  <c r="W3" i="52"/>
  <c r="X3" i="52"/>
  <c r="Y3" i="52"/>
  <c r="Z3" i="52"/>
  <c r="AA3" i="52"/>
  <c r="AB3" i="52"/>
  <c r="AC3" i="52"/>
  <c r="AD3" i="52"/>
  <c r="AE3" i="52"/>
  <c r="AF3" i="52"/>
  <c r="AG3" i="52"/>
  <c r="AH3" i="52"/>
  <c r="AI3" i="52"/>
  <c r="AJ3" i="52"/>
  <c r="AK3" i="52"/>
  <c r="AL3" i="52"/>
  <c r="AM3" i="52"/>
  <c r="AN3" i="52"/>
  <c r="AO3" i="52"/>
  <c r="AP3" i="52"/>
  <c r="AQ3" i="52"/>
  <c r="AR3" i="52"/>
  <c r="AS3" i="52"/>
  <c r="AT3" i="52"/>
  <c r="AU3" i="52"/>
  <c r="AV3" i="52"/>
  <c r="AW3" i="52"/>
  <c r="AX3" i="52"/>
  <c r="AY3" i="52"/>
  <c r="AZ3" i="52"/>
  <c r="BA3" i="52"/>
  <c r="BB3" i="52"/>
  <c r="BC3" i="52"/>
  <c r="BD3" i="52"/>
  <c r="BE3" i="52"/>
  <c r="BF3" i="52"/>
  <c r="BG3" i="52"/>
  <c r="BH3" i="52"/>
  <c r="BI3" i="52"/>
  <c r="BJ3" i="52"/>
  <c r="BK3" i="52"/>
  <c r="BL3" i="52"/>
  <c r="BM3" i="52"/>
  <c r="BN3" i="52"/>
  <c r="BO3" i="52"/>
  <c r="BP3" i="52"/>
  <c r="BQ3" i="52"/>
  <c r="BR3" i="52"/>
  <c r="BS3" i="52"/>
  <c r="BT3" i="52"/>
  <c r="BU3" i="52"/>
  <c r="BV3" i="52"/>
  <c r="BW3" i="52"/>
  <c r="BX3" i="52"/>
  <c r="BY3" i="52"/>
  <c r="E3" i="52"/>
  <c r="A5" i="52"/>
  <c r="A6" i="52"/>
  <c r="A7" i="52"/>
  <c r="A8" i="52"/>
  <c r="A9" i="52"/>
  <c r="A10" i="52"/>
  <c r="A11" i="52"/>
  <c r="A12" i="52"/>
  <c r="A13" i="52"/>
  <c r="A14" i="52"/>
  <c r="A15" i="52"/>
  <c r="A16" i="52"/>
  <c r="A17" i="52"/>
  <c r="A18" i="52"/>
  <c r="A19" i="52"/>
  <c r="A20" i="52"/>
  <c r="A21" i="52"/>
  <c r="A22" i="52"/>
  <c r="A23" i="52"/>
  <c r="A24" i="52"/>
  <c r="A25" i="52"/>
  <c r="A26" i="52"/>
  <c r="A27" i="52"/>
  <c r="A28" i="52"/>
  <c r="A29" i="52"/>
  <c r="A30" i="52"/>
  <c r="A31" i="52"/>
  <c r="A32" i="52"/>
  <c r="A33" i="52"/>
  <c r="A34" i="52"/>
  <c r="A35" i="52"/>
  <c r="A36" i="52"/>
  <c r="A37" i="52"/>
  <c r="A38" i="52"/>
  <c r="A39" i="52"/>
  <c r="A40" i="52"/>
  <c r="A41" i="52"/>
  <c r="A42" i="52"/>
  <c r="A43" i="52"/>
  <c r="A44" i="52"/>
  <c r="A45" i="52"/>
  <c r="A46" i="52"/>
  <c r="A47" i="52"/>
  <c r="A48" i="52"/>
  <c r="A49" i="52"/>
  <c r="A50" i="52"/>
  <c r="A51" i="52"/>
  <c r="A52" i="52"/>
  <c r="A53" i="52"/>
  <c r="A54" i="52"/>
  <c r="A55" i="52"/>
  <c r="A56" i="52"/>
  <c r="A57" i="52"/>
  <c r="A58" i="52"/>
  <c r="A59" i="52"/>
  <c r="A60" i="52"/>
  <c r="A61" i="52"/>
  <c r="A62" i="52"/>
  <c r="A63" i="52"/>
  <c r="A64" i="52"/>
  <c r="A65" i="52"/>
  <c r="A66" i="52"/>
  <c r="A67" i="52"/>
  <c r="A68" i="52"/>
  <c r="A69" i="52"/>
  <c r="A70" i="52"/>
  <c r="A71" i="52"/>
  <c r="A72" i="52"/>
  <c r="A73" i="52"/>
  <c r="A74" i="52"/>
  <c r="A75" i="52"/>
  <c r="A76" i="52"/>
  <c r="A77" i="52"/>
  <c r="A78" i="52"/>
  <c r="A79" i="52"/>
  <c r="A80" i="52"/>
  <c r="A81" i="52"/>
  <c r="A82" i="52"/>
  <c r="A83" i="52"/>
  <c r="A84" i="52"/>
  <c r="A85" i="52"/>
  <c r="A86" i="52"/>
  <c r="A87" i="52"/>
  <c r="A88" i="52"/>
  <c r="A89" i="52"/>
  <c r="A90" i="52"/>
  <c r="A91" i="52"/>
  <c r="A92" i="52"/>
  <c r="A93" i="52"/>
  <c r="A94" i="52"/>
  <c r="A95" i="52"/>
  <c r="A96" i="52"/>
  <c r="A97" i="52"/>
  <c r="A98" i="52"/>
  <c r="A99" i="52"/>
  <c r="A100" i="52"/>
  <c r="A101" i="52"/>
  <c r="A102" i="52"/>
  <c r="A103" i="52"/>
  <c r="A104" i="52"/>
  <c r="A105" i="52"/>
  <c r="A106" i="52"/>
  <c r="A107" i="52"/>
  <c r="A108" i="52"/>
  <c r="A109" i="52"/>
  <c r="A110" i="52"/>
  <c r="A111" i="52"/>
  <c r="A112" i="52"/>
  <c r="A113" i="52"/>
  <c r="A114" i="52"/>
  <c r="A115" i="52"/>
  <c r="A116" i="52"/>
  <c r="A117" i="52"/>
  <c r="A118" i="52"/>
  <c r="A119" i="52"/>
  <c r="A120" i="52"/>
  <c r="A121" i="52"/>
  <c r="A122" i="52"/>
  <c r="A123" i="52"/>
  <c r="A124" i="52"/>
  <c r="A125" i="52"/>
  <c r="A126" i="52"/>
  <c r="A127" i="52"/>
  <c r="A128" i="52"/>
  <c r="A129" i="52"/>
  <c r="A130" i="52"/>
  <c r="A131" i="52"/>
  <c r="A132" i="52"/>
  <c r="A133" i="52"/>
  <c r="A134" i="52"/>
  <c r="A135" i="52"/>
  <c r="A136" i="52"/>
  <c r="A137" i="52"/>
  <c r="A138" i="52"/>
  <c r="A139" i="52"/>
  <c r="A140" i="52"/>
  <c r="A141" i="52"/>
  <c r="A142" i="52"/>
  <c r="A143" i="52"/>
  <c r="A144" i="52"/>
  <c r="A145" i="52"/>
  <c r="A4" i="52"/>
  <c r="I193" i="71" l="1"/>
  <c r="H191" i="67"/>
  <c r="I153" i="71"/>
  <c r="H192" i="67"/>
  <c r="I152" i="71"/>
  <c r="I193" i="67"/>
  <c r="H193" i="71"/>
  <c r="I192" i="67"/>
  <c r="I191" i="67"/>
  <c r="H193" i="67"/>
  <c r="H153" i="71"/>
  <c r="H152" i="71"/>
  <c r="J13" i="71"/>
  <c r="J21" i="71"/>
  <c r="J29" i="71"/>
  <c r="J37" i="71"/>
  <c r="J45" i="71"/>
  <c r="J53" i="71"/>
  <c r="J61" i="71"/>
  <c r="J69" i="71"/>
  <c r="J77" i="71"/>
  <c r="J85" i="71"/>
  <c r="J93" i="71"/>
  <c r="J101" i="71"/>
  <c r="J14" i="71"/>
  <c r="J22" i="71"/>
  <c r="J30" i="71"/>
  <c r="J38" i="71"/>
  <c r="J46" i="71"/>
  <c r="J54" i="71"/>
  <c r="J15" i="71"/>
  <c r="J23" i="71"/>
  <c r="J31" i="71"/>
  <c r="J39" i="71"/>
  <c r="J47" i="71"/>
  <c r="J55" i="71"/>
  <c r="J16" i="71"/>
  <c r="J24" i="71"/>
  <c r="J32" i="71"/>
  <c r="J40" i="71"/>
  <c r="J48" i="71"/>
  <c r="J56" i="71"/>
  <c r="J64" i="71"/>
  <c r="J72" i="71"/>
  <c r="J80" i="71"/>
  <c r="J88" i="71"/>
  <c r="J96" i="71"/>
  <c r="J104" i="71"/>
  <c r="J112" i="71"/>
  <c r="J120" i="71"/>
  <c r="J128" i="71"/>
  <c r="J9" i="71"/>
  <c r="J17" i="71"/>
  <c r="J25" i="71"/>
  <c r="J33" i="71"/>
  <c r="J41" i="71"/>
  <c r="J49" i="71"/>
  <c r="J57" i="71"/>
  <c r="J65" i="71"/>
  <c r="J73" i="71"/>
  <c r="J81" i="71"/>
  <c r="J89" i="71"/>
  <c r="J97" i="71"/>
  <c r="J105" i="71"/>
  <c r="J113" i="71"/>
  <c r="J121" i="71"/>
  <c r="J10" i="71"/>
  <c r="J18" i="71"/>
  <c r="J26" i="71"/>
  <c r="J34" i="71"/>
  <c r="J42" i="71"/>
  <c r="J50" i="71"/>
  <c r="J58" i="71"/>
  <c r="J66" i="71"/>
  <c r="J74" i="71"/>
  <c r="J82" i="71"/>
  <c r="J11" i="71"/>
  <c r="J43" i="71"/>
  <c r="J67" i="71"/>
  <c r="J83" i="71"/>
  <c r="J95" i="71"/>
  <c r="J108" i="71"/>
  <c r="J118" i="71"/>
  <c r="J129" i="71"/>
  <c r="J137" i="71"/>
  <c r="J145" i="71"/>
  <c r="J153" i="71"/>
  <c r="J161" i="71"/>
  <c r="J169" i="71"/>
  <c r="J177" i="71"/>
  <c r="J185" i="71"/>
  <c r="J193" i="71"/>
  <c r="I16" i="71"/>
  <c r="I24" i="71"/>
  <c r="I32" i="71"/>
  <c r="I40" i="71"/>
  <c r="I48" i="71"/>
  <c r="I56" i="71"/>
  <c r="I64" i="71"/>
  <c r="I72" i="71"/>
  <c r="I80" i="71"/>
  <c r="I88" i="71"/>
  <c r="I96" i="71"/>
  <c r="I104" i="71"/>
  <c r="I112" i="71"/>
  <c r="I120" i="71"/>
  <c r="I128" i="71"/>
  <c r="I136" i="71"/>
  <c r="I144" i="71"/>
  <c r="I160" i="71"/>
  <c r="I168" i="71"/>
  <c r="I176" i="71"/>
  <c r="I184" i="71"/>
  <c r="I192" i="71"/>
  <c r="H15" i="71"/>
  <c r="H23" i="71"/>
  <c r="H31" i="71"/>
  <c r="H39" i="71"/>
  <c r="H47" i="71"/>
  <c r="H55" i="71"/>
  <c r="H63" i="71"/>
  <c r="H71" i="71"/>
  <c r="H79" i="71"/>
  <c r="H87" i="71"/>
  <c r="H95" i="71"/>
  <c r="H103" i="71"/>
  <c r="H111" i="71"/>
  <c r="H119" i="71"/>
  <c r="H127" i="71"/>
  <c r="H135" i="71"/>
  <c r="H143" i="71"/>
  <c r="H151" i="71"/>
  <c r="H159" i="71"/>
  <c r="H167" i="71"/>
  <c r="H175" i="71"/>
  <c r="H183" i="71"/>
  <c r="H191" i="71"/>
  <c r="H136" i="71"/>
  <c r="H168" i="71"/>
  <c r="H184" i="71"/>
  <c r="J147" i="71"/>
  <c r="J12" i="71"/>
  <c r="J44" i="71"/>
  <c r="J68" i="71"/>
  <c r="J84" i="71"/>
  <c r="J98" i="71"/>
  <c r="J109" i="71"/>
  <c r="J119" i="71"/>
  <c r="J130" i="71"/>
  <c r="J138" i="71"/>
  <c r="J146" i="71"/>
  <c r="J154" i="71"/>
  <c r="J162" i="71"/>
  <c r="J170" i="71"/>
  <c r="J178" i="71"/>
  <c r="J186" i="71"/>
  <c r="I9" i="71"/>
  <c r="I17" i="71"/>
  <c r="I25" i="71"/>
  <c r="I33" i="71"/>
  <c r="I41" i="71"/>
  <c r="I49" i="71"/>
  <c r="I57" i="71"/>
  <c r="I65" i="71"/>
  <c r="I73" i="71"/>
  <c r="I81" i="71"/>
  <c r="I89" i="71"/>
  <c r="I97" i="71"/>
  <c r="I105" i="71"/>
  <c r="I113" i="71"/>
  <c r="I121" i="71"/>
  <c r="I129" i="71"/>
  <c r="I137" i="71"/>
  <c r="I145" i="71"/>
  <c r="I161" i="71"/>
  <c r="I169" i="71"/>
  <c r="I177" i="71"/>
  <c r="I185" i="71"/>
  <c r="H16" i="71"/>
  <c r="H24" i="71"/>
  <c r="H32" i="71"/>
  <c r="H40" i="71"/>
  <c r="H48" i="71"/>
  <c r="H56" i="71"/>
  <c r="H64" i="71"/>
  <c r="H72" i="71"/>
  <c r="H80" i="71"/>
  <c r="H88" i="71"/>
  <c r="H96" i="71"/>
  <c r="H104" i="71"/>
  <c r="H112" i="71"/>
  <c r="H120" i="71"/>
  <c r="H128" i="71"/>
  <c r="H144" i="71"/>
  <c r="H160" i="71"/>
  <c r="H176" i="71"/>
  <c r="H192" i="71"/>
  <c r="J86" i="71"/>
  <c r="J110" i="71"/>
  <c r="J131" i="71"/>
  <c r="J155" i="71"/>
  <c r="J171" i="71"/>
  <c r="J19" i="71"/>
  <c r="J51" i="71"/>
  <c r="J70" i="71"/>
  <c r="J99" i="71"/>
  <c r="J122" i="71"/>
  <c r="J139" i="71"/>
  <c r="J163" i="71"/>
  <c r="J179" i="71"/>
  <c r="J27" i="71"/>
  <c r="J59" i="71"/>
  <c r="J75" i="71"/>
  <c r="J90" i="71"/>
  <c r="J102" i="71"/>
  <c r="J114" i="71"/>
  <c r="J124" i="71"/>
  <c r="J133" i="71"/>
  <c r="J141" i="71"/>
  <c r="J149" i="71"/>
  <c r="J157" i="71"/>
  <c r="J165" i="71"/>
  <c r="J173" i="71"/>
  <c r="J181" i="71"/>
  <c r="J189" i="71"/>
  <c r="I12" i="71"/>
  <c r="I20" i="71"/>
  <c r="I28" i="71"/>
  <c r="I36" i="71"/>
  <c r="I44" i="71"/>
  <c r="I52" i="71"/>
  <c r="I60" i="71"/>
  <c r="I68" i="71"/>
  <c r="I76" i="71"/>
  <c r="I84" i="71"/>
  <c r="I92" i="71"/>
  <c r="I100" i="71"/>
  <c r="I108" i="71"/>
  <c r="I116" i="71"/>
  <c r="I124" i="71"/>
  <c r="I132" i="71"/>
  <c r="I140" i="71"/>
  <c r="I148" i="71"/>
  <c r="I156" i="71"/>
  <c r="I164" i="71"/>
  <c r="I172" i="71"/>
  <c r="I180" i="71"/>
  <c r="I188" i="71"/>
  <c r="H11" i="71"/>
  <c r="H19" i="71"/>
  <c r="H27" i="71"/>
  <c r="H35" i="71"/>
  <c r="H43" i="71"/>
  <c r="H51" i="71"/>
  <c r="H59" i="71"/>
  <c r="H67" i="71"/>
  <c r="H75" i="71"/>
  <c r="H83" i="71"/>
  <c r="H91" i="71"/>
  <c r="H99" i="71"/>
  <c r="H107" i="71"/>
  <c r="H115" i="71"/>
  <c r="H123" i="71"/>
  <c r="H131" i="71"/>
  <c r="H139" i="71"/>
  <c r="H147" i="71"/>
  <c r="H155" i="71"/>
  <c r="H163" i="71"/>
  <c r="H171" i="71"/>
  <c r="H179" i="71"/>
  <c r="H187" i="71"/>
  <c r="J28" i="71"/>
  <c r="J60" i="71"/>
  <c r="J76" i="71"/>
  <c r="J91" i="71"/>
  <c r="J103" i="71"/>
  <c r="J115" i="71"/>
  <c r="J125" i="71"/>
  <c r="J134" i="71"/>
  <c r="J142" i="71"/>
  <c r="J150" i="71"/>
  <c r="J158" i="71"/>
  <c r="J166" i="71"/>
  <c r="J174" i="71"/>
  <c r="J182" i="71"/>
  <c r="J190" i="71"/>
  <c r="I13" i="71"/>
  <c r="I21" i="71"/>
  <c r="I29" i="71"/>
  <c r="I37" i="71"/>
  <c r="I45" i="71"/>
  <c r="I53" i="71"/>
  <c r="I61" i="71"/>
  <c r="I69" i="71"/>
  <c r="I77" i="71"/>
  <c r="I85" i="71"/>
  <c r="I93" i="71"/>
  <c r="I101" i="71"/>
  <c r="I109" i="71"/>
  <c r="I117" i="71"/>
  <c r="I125" i="71"/>
  <c r="I133" i="71"/>
  <c r="I141" i="71"/>
  <c r="I149" i="71"/>
  <c r="I157" i="71"/>
  <c r="I165" i="71"/>
  <c r="I173" i="71"/>
  <c r="I181" i="71"/>
  <c r="I189" i="71"/>
  <c r="H12" i="71"/>
  <c r="H20" i="71"/>
  <c r="H28" i="71"/>
  <c r="H36" i="71"/>
  <c r="H44" i="71"/>
  <c r="H52" i="71"/>
  <c r="H60" i="71"/>
  <c r="H68" i="71"/>
  <c r="H76" i="71"/>
  <c r="H84" i="71"/>
  <c r="H92" i="71"/>
  <c r="H100" i="71"/>
  <c r="H108" i="71"/>
  <c r="H116" i="71"/>
  <c r="H124" i="71"/>
  <c r="H132" i="71"/>
  <c r="H140" i="71"/>
  <c r="H148" i="71"/>
  <c r="H156" i="71"/>
  <c r="H164" i="71"/>
  <c r="H172" i="71"/>
  <c r="H180" i="71"/>
  <c r="H188" i="71"/>
  <c r="J78" i="71"/>
  <c r="J111" i="71"/>
  <c r="J136" i="71"/>
  <c r="J159" i="71"/>
  <c r="J180" i="71"/>
  <c r="I11" i="71"/>
  <c r="I27" i="71"/>
  <c r="I43" i="71"/>
  <c r="I59" i="71"/>
  <c r="I75" i="71"/>
  <c r="I91" i="71"/>
  <c r="I107" i="71"/>
  <c r="I123" i="71"/>
  <c r="I139" i="71"/>
  <c r="I155" i="71"/>
  <c r="I171" i="71"/>
  <c r="I187" i="71"/>
  <c r="H18" i="71"/>
  <c r="H34" i="71"/>
  <c r="H50" i="71"/>
  <c r="H66" i="71"/>
  <c r="H82" i="71"/>
  <c r="H98" i="71"/>
  <c r="H114" i="71"/>
  <c r="H130" i="71"/>
  <c r="H146" i="71"/>
  <c r="H162" i="71"/>
  <c r="H178" i="71"/>
  <c r="I143" i="71"/>
  <c r="I191" i="71"/>
  <c r="H70" i="71"/>
  <c r="H118" i="71"/>
  <c r="H166" i="71"/>
  <c r="J188" i="71"/>
  <c r="I99" i="71"/>
  <c r="I163" i="71"/>
  <c r="H42" i="71"/>
  <c r="H122" i="71"/>
  <c r="J100" i="71"/>
  <c r="J191" i="71"/>
  <c r="I54" i="71"/>
  <c r="I86" i="71"/>
  <c r="I134" i="71"/>
  <c r="I166" i="71"/>
  <c r="H29" i="71"/>
  <c r="H77" i="71"/>
  <c r="H125" i="71"/>
  <c r="H157" i="71"/>
  <c r="I10" i="71"/>
  <c r="I106" i="71"/>
  <c r="I170" i="71"/>
  <c r="H49" i="71"/>
  <c r="H113" i="71"/>
  <c r="H177" i="71"/>
  <c r="J20" i="71"/>
  <c r="J79" i="71"/>
  <c r="J116" i="71"/>
  <c r="J140" i="71"/>
  <c r="J160" i="71"/>
  <c r="J183" i="71"/>
  <c r="I14" i="71"/>
  <c r="I30" i="71"/>
  <c r="I46" i="71"/>
  <c r="I62" i="71"/>
  <c r="I78" i="71"/>
  <c r="I94" i="71"/>
  <c r="I110" i="71"/>
  <c r="I126" i="71"/>
  <c r="I142" i="71"/>
  <c r="I158" i="71"/>
  <c r="I174" i="71"/>
  <c r="I190" i="71"/>
  <c r="H21" i="71"/>
  <c r="H37" i="71"/>
  <c r="H53" i="71"/>
  <c r="H69" i="71"/>
  <c r="H85" i="71"/>
  <c r="H101" i="71"/>
  <c r="H117" i="71"/>
  <c r="H133" i="71"/>
  <c r="H149" i="71"/>
  <c r="H165" i="71"/>
  <c r="H181" i="71"/>
  <c r="I79" i="71"/>
  <c r="I127" i="71"/>
  <c r="I175" i="71"/>
  <c r="H22" i="71"/>
  <c r="H54" i="71"/>
  <c r="H102" i="71"/>
  <c r="H150" i="71"/>
  <c r="I51" i="71"/>
  <c r="I147" i="71"/>
  <c r="H58" i="71"/>
  <c r="H138" i="71"/>
  <c r="J62" i="71"/>
  <c r="J172" i="71"/>
  <c r="I38" i="71"/>
  <c r="I102" i="71"/>
  <c r="I150" i="71"/>
  <c r="H13" i="71"/>
  <c r="H45" i="71"/>
  <c r="H93" i="71"/>
  <c r="H141" i="71"/>
  <c r="H189" i="71"/>
  <c r="I42" i="71"/>
  <c r="I122" i="71"/>
  <c r="I186" i="71"/>
  <c r="H33" i="71"/>
  <c r="H97" i="71"/>
  <c r="H161" i="71"/>
  <c r="J35" i="71"/>
  <c r="J87" i="71"/>
  <c r="J117" i="71"/>
  <c r="J143" i="71"/>
  <c r="J164" i="71"/>
  <c r="J184" i="71"/>
  <c r="I15" i="71"/>
  <c r="I31" i="71"/>
  <c r="I47" i="71"/>
  <c r="I63" i="71"/>
  <c r="I95" i="71"/>
  <c r="I111" i="71"/>
  <c r="I159" i="71"/>
  <c r="H38" i="71"/>
  <c r="H86" i="71"/>
  <c r="H134" i="71"/>
  <c r="H182" i="71"/>
  <c r="J94" i="71"/>
  <c r="J148" i="71"/>
  <c r="I35" i="71"/>
  <c r="I115" i="71"/>
  <c r="H10" i="71"/>
  <c r="H106" i="71"/>
  <c r="H186" i="71"/>
  <c r="J127" i="71"/>
  <c r="J151" i="71"/>
  <c r="I22" i="71"/>
  <c r="I70" i="71"/>
  <c r="I118" i="71"/>
  <c r="I182" i="71"/>
  <c r="H61" i="71"/>
  <c r="H109" i="71"/>
  <c r="H173" i="71"/>
  <c r="I58" i="71"/>
  <c r="I90" i="71"/>
  <c r="I154" i="71"/>
  <c r="H65" i="71"/>
  <c r="H129" i="71"/>
  <c r="J36" i="71"/>
  <c r="J92" i="71"/>
  <c r="J123" i="71"/>
  <c r="J144" i="71"/>
  <c r="J167" i="71"/>
  <c r="J187" i="71"/>
  <c r="I18" i="71"/>
  <c r="I34" i="71"/>
  <c r="I50" i="71"/>
  <c r="I66" i="71"/>
  <c r="I82" i="71"/>
  <c r="I98" i="71"/>
  <c r="I114" i="71"/>
  <c r="I130" i="71"/>
  <c r="I146" i="71"/>
  <c r="I162" i="71"/>
  <c r="I178" i="71"/>
  <c r="H9" i="71"/>
  <c r="H25" i="71"/>
  <c r="H41" i="71"/>
  <c r="H57" i="71"/>
  <c r="H73" i="71"/>
  <c r="H89" i="71"/>
  <c r="H105" i="71"/>
  <c r="H121" i="71"/>
  <c r="H137" i="71"/>
  <c r="H169" i="71"/>
  <c r="H185" i="71"/>
  <c r="J168" i="71"/>
  <c r="I67" i="71"/>
  <c r="I131" i="71"/>
  <c r="H26" i="71"/>
  <c r="H74" i="71"/>
  <c r="H154" i="71"/>
  <c r="J52" i="71"/>
  <c r="J126" i="71"/>
  <c r="I19" i="71"/>
  <c r="I83" i="71"/>
  <c r="I179" i="71"/>
  <c r="H90" i="71"/>
  <c r="H170" i="71"/>
  <c r="J63" i="71"/>
  <c r="J106" i="71"/>
  <c r="J132" i="71"/>
  <c r="J152" i="71"/>
  <c r="J175" i="71"/>
  <c r="J192" i="71"/>
  <c r="I23" i="71"/>
  <c r="I39" i="71"/>
  <c r="I55" i="71"/>
  <c r="I71" i="71"/>
  <c r="I87" i="71"/>
  <c r="I103" i="71"/>
  <c r="I119" i="71"/>
  <c r="I135" i="71"/>
  <c r="I151" i="71"/>
  <c r="I167" i="71"/>
  <c r="I183" i="71"/>
  <c r="H14" i="71"/>
  <c r="H30" i="71"/>
  <c r="H46" i="71"/>
  <c r="H62" i="71"/>
  <c r="H78" i="71"/>
  <c r="H94" i="71"/>
  <c r="H110" i="71"/>
  <c r="H126" i="71"/>
  <c r="H142" i="71"/>
  <c r="H158" i="71"/>
  <c r="H174" i="71"/>
  <c r="H190" i="71"/>
  <c r="J71" i="71"/>
  <c r="J107" i="71"/>
  <c r="J135" i="71"/>
  <c r="J156" i="71"/>
  <c r="J176" i="71"/>
  <c r="I26" i="71"/>
  <c r="I74" i="71"/>
  <c r="I138" i="71"/>
  <c r="H17" i="71"/>
  <c r="H81" i="71"/>
  <c r="H145" i="71"/>
  <c r="K88" i="67"/>
  <c r="GZ8" i="67"/>
  <c r="Z8" i="71" s="1"/>
  <c r="H165" i="67"/>
  <c r="K166" i="67"/>
  <c r="K8" i="67"/>
  <c r="K153" i="67"/>
  <c r="K118" i="67"/>
  <c r="K75" i="67"/>
  <c r="K16" i="67"/>
  <c r="K183" i="67"/>
  <c r="K172" i="67"/>
  <c r="K165" i="67"/>
  <c r="K155" i="67"/>
  <c r="K148" i="67"/>
  <c r="K140" i="67"/>
  <c r="K131" i="67"/>
  <c r="K112" i="67"/>
  <c r="K101" i="67"/>
  <c r="K81" i="67"/>
  <c r="K66" i="67"/>
  <c r="K47" i="67"/>
  <c r="K30" i="67"/>
  <c r="J179" i="67"/>
  <c r="X179" i="67" s="1"/>
  <c r="J75" i="67"/>
  <c r="X75" i="67" s="1"/>
  <c r="J185" i="67"/>
  <c r="X185" i="67" s="1"/>
  <c r="J164" i="67"/>
  <c r="X164" i="67" s="1"/>
  <c r="J140" i="67"/>
  <c r="X140" i="67" s="1"/>
  <c r="J112" i="67"/>
  <c r="X112" i="67" s="1"/>
  <c r="J91" i="67"/>
  <c r="X91" i="67" s="1"/>
  <c r="J61" i="67"/>
  <c r="X61" i="67" s="1"/>
  <c r="J36" i="67"/>
  <c r="X36" i="67" s="1"/>
  <c r="J15" i="67"/>
  <c r="X15" i="67" s="1"/>
  <c r="I118" i="67"/>
  <c r="W118" i="67" s="1"/>
  <c r="I29" i="67"/>
  <c r="W29" i="67" s="1"/>
  <c r="I171" i="67"/>
  <c r="W171" i="67" s="1"/>
  <c r="I148" i="67"/>
  <c r="W148" i="67" s="1"/>
  <c r="I124" i="67"/>
  <c r="W124" i="67" s="1"/>
  <c r="I102" i="67"/>
  <c r="W102" i="67" s="1"/>
  <c r="I71" i="67"/>
  <c r="W71" i="67" s="1"/>
  <c r="I44" i="67"/>
  <c r="W44" i="67" s="1"/>
  <c r="I27" i="67"/>
  <c r="W27" i="67" s="1"/>
  <c r="H153" i="67"/>
  <c r="H18" i="67"/>
  <c r="H182" i="67"/>
  <c r="H155" i="67"/>
  <c r="H133" i="67"/>
  <c r="H110" i="67"/>
  <c r="H81" i="67"/>
  <c r="H53" i="67"/>
  <c r="H34" i="67"/>
  <c r="K186" i="67"/>
  <c r="K167" i="67"/>
  <c r="K143" i="67"/>
  <c r="K105" i="67"/>
  <c r="K53" i="67"/>
  <c r="J118" i="67"/>
  <c r="X118" i="67" s="1"/>
  <c r="J148" i="67"/>
  <c r="X148" i="67" s="1"/>
  <c r="J102" i="67"/>
  <c r="X102" i="67" s="1"/>
  <c r="J44" i="67"/>
  <c r="X44" i="67" s="1"/>
  <c r="I182" i="67"/>
  <c r="W182" i="67" s="1"/>
  <c r="I133" i="67"/>
  <c r="W133" i="67" s="1"/>
  <c r="I53" i="67"/>
  <c r="W53" i="67" s="1"/>
  <c r="H82" i="67"/>
  <c r="H141" i="67"/>
  <c r="H62" i="67"/>
  <c r="H41" i="67"/>
  <c r="J8" i="71"/>
  <c r="I8" i="71"/>
  <c r="H10" i="67"/>
  <c r="H20" i="67"/>
  <c r="H31" i="67"/>
  <c r="H37" i="67"/>
  <c r="H45" i="67"/>
  <c r="H14" i="67"/>
  <c r="H27" i="67"/>
  <c r="H35" i="67"/>
  <c r="H44" i="67"/>
  <c r="H55" i="67"/>
  <c r="H64" i="67"/>
  <c r="H73" i="67"/>
  <c r="H84" i="67"/>
  <c r="H97" i="67"/>
  <c r="H106" i="67"/>
  <c r="H113" i="67"/>
  <c r="H125" i="67"/>
  <c r="H134" i="67"/>
  <c r="H142" i="67"/>
  <c r="H150" i="67"/>
  <c r="H158" i="67"/>
  <c r="H166" i="67"/>
  <c r="H175" i="67"/>
  <c r="H51" i="67"/>
  <c r="H23" i="67"/>
  <c r="H87" i="67"/>
  <c r="H121" i="67"/>
  <c r="I10" i="67"/>
  <c r="W10" i="67" s="1"/>
  <c r="I20" i="67"/>
  <c r="W20" i="67" s="1"/>
  <c r="I31" i="67"/>
  <c r="W31" i="67" s="1"/>
  <c r="I37" i="67"/>
  <c r="W37" i="67" s="1"/>
  <c r="I45" i="67"/>
  <c r="W45" i="67" s="1"/>
  <c r="I55" i="67"/>
  <c r="W55" i="67" s="1"/>
  <c r="I64" i="67"/>
  <c r="W64" i="67" s="1"/>
  <c r="I73" i="67"/>
  <c r="W73" i="67" s="1"/>
  <c r="I84" i="67"/>
  <c r="W84" i="67" s="1"/>
  <c r="I97" i="67"/>
  <c r="W97" i="67" s="1"/>
  <c r="I106" i="67"/>
  <c r="W106" i="67" s="1"/>
  <c r="I113" i="67"/>
  <c r="W113" i="67" s="1"/>
  <c r="I125" i="67"/>
  <c r="W125" i="67" s="1"/>
  <c r="I134" i="67"/>
  <c r="W134" i="67" s="1"/>
  <c r="I142" i="67"/>
  <c r="W142" i="67" s="1"/>
  <c r="I150" i="67"/>
  <c r="W150" i="67" s="1"/>
  <c r="I158" i="67"/>
  <c r="W158" i="67" s="1"/>
  <c r="I166" i="67"/>
  <c r="W166" i="67" s="1"/>
  <c r="I175" i="67"/>
  <c r="W175" i="67" s="1"/>
  <c r="I51" i="67"/>
  <c r="W51" i="67" s="1"/>
  <c r="I23" i="67"/>
  <c r="W23" i="67" s="1"/>
  <c r="I87" i="67"/>
  <c r="W87" i="67" s="1"/>
  <c r="I121" i="67"/>
  <c r="W121" i="67" s="1"/>
  <c r="J10" i="67"/>
  <c r="X10" i="67" s="1"/>
  <c r="J20" i="67"/>
  <c r="X20" i="67" s="1"/>
  <c r="J31" i="67"/>
  <c r="X31" i="67" s="1"/>
  <c r="J37" i="67"/>
  <c r="X37" i="67" s="1"/>
  <c r="J45" i="67"/>
  <c r="X45" i="67" s="1"/>
  <c r="J55" i="67"/>
  <c r="X55" i="67" s="1"/>
  <c r="J64" i="67"/>
  <c r="X64" i="67" s="1"/>
  <c r="J73" i="67"/>
  <c r="X73" i="67" s="1"/>
  <c r="J84" i="67"/>
  <c r="X84" i="67" s="1"/>
  <c r="J97" i="67"/>
  <c r="X97" i="67" s="1"/>
  <c r="J106" i="67"/>
  <c r="X106" i="67" s="1"/>
  <c r="J113" i="67"/>
  <c r="X113" i="67" s="1"/>
  <c r="J125" i="67"/>
  <c r="X125" i="67" s="1"/>
  <c r="J134" i="67"/>
  <c r="X134" i="67" s="1"/>
  <c r="J142" i="67"/>
  <c r="X142" i="67" s="1"/>
  <c r="J150" i="67"/>
  <c r="X150" i="67" s="1"/>
  <c r="J158" i="67"/>
  <c r="X158" i="67" s="1"/>
  <c r="J166" i="67"/>
  <c r="X166" i="67" s="1"/>
  <c r="J175" i="67"/>
  <c r="X175" i="67" s="1"/>
  <c r="J51" i="67"/>
  <c r="X51" i="67" s="1"/>
  <c r="J23" i="67"/>
  <c r="X23" i="67" s="1"/>
  <c r="J87" i="67"/>
  <c r="X87" i="67" s="1"/>
  <c r="J121" i="67"/>
  <c r="X121" i="67" s="1"/>
  <c r="K10" i="67"/>
  <c r="K20" i="67"/>
  <c r="K31" i="67"/>
  <c r="K37" i="67"/>
  <c r="K45" i="67"/>
  <c r="K55" i="67"/>
  <c r="K64" i="67"/>
  <c r="K73" i="67"/>
  <c r="K84" i="67"/>
  <c r="K97" i="67"/>
  <c r="K106" i="67"/>
  <c r="K113" i="67"/>
  <c r="K125" i="67"/>
  <c r="K134" i="67"/>
  <c r="H15" i="67"/>
  <c r="H28" i="67"/>
  <c r="H36" i="67"/>
  <c r="H46" i="67"/>
  <c r="H56" i="67"/>
  <c r="H65" i="67"/>
  <c r="H76" i="67"/>
  <c r="H85" i="67"/>
  <c r="H98" i="67"/>
  <c r="H115" i="67"/>
  <c r="H126" i="67"/>
  <c r="H135" i="67"/>
  <c r="H143" i="67"/>
  <c r="H151" i="67"/>
  <c r="H159" i="67"/>
  <c r="H167" i="67"/>
  <c r="H176" i="67"/>
  <c r="H186" i="67"/>
  <c r="H94" i="67"/>
  <c r="H25" i="67"/>
  <c r="H88" i="67"/>
  <c r="H123" i="67"/>
  <c r="M123" i="67" s="1"/>
  <c r="H161" i="67"/>
  <c r="I11" i="67"/>
  <c r="W11" i="67" s="1"/>
  <c r="I21" i="67"/>
  <c r="W21" i="67" s="1"/>
  <c r="I32" i="67"/>
  <c r="W32" i="67" s="1"/>
  <c r="I38" i="67"/>
  <c r="W38" i="67" s="1"/>
  <c r="I46" i="67"/>
  <c r="W46" i="67" s="1"/>
  <c r="I56" i="67"/>
  <c r="W56" i="67" s="1"/>
  <c r="I65" i="67"/>
  <c r="W65" i="67" s="1"/>
  <c r="I76" i="67"/>
  <c r="W76" i="67" s="1"/>
  <c r="I85" i="67"/>
  <c r="W85" i="67" s="1"/>
  <c r="I98" i="67"/>
  <c r="W98" i="67" s="1"/>
  <c r="I115" i="67"/>
  <c r="W115" i="67" s="1"/>
  <c r="I126" i="67"/>
  <c r="W126" i="67" s="1"/>
  <c r="I135" i="67"/>
  <c r="W135" i="67" s="1"/>
  <c r="I143" i="67"/>
  <c r="W143" i="67" s="1"/>
  <c r="I151" i="67"/>
  <c r="W151" i="67" s="1"/>
  <c r="I159" i="67"/>
  <c r="W159" i="67" s="1"/>
  <c r="I167" i="67"/>
  <c r="W167" i="67" s="1"/>
  <c r="I176" i="67"/>
  <c r="W176" i="67" s="1"/>
  <c r="I186" i="67"/>
  <c r="W186" i="67" s="1"/>
  <c r="I94" i="67"/>
  <c r="W94" i="67" s="1"/>
  <c r="I25" i="67"/>
  <c r="W25" i="67" s="1"/>
  <c r="I88" i="67"/>
  <c r="W88" i="67" s="1"/>
  <c r="I123" i="67"/>
  <c r="W123" i="67" s="1"/>
  <c r="I161" i="67"/>
  <c r="W161" i="67" s="1"/>
  <c r="J11" i="67"/>
  <c r="X11" i="67" s="1"/>
  <c r="J21" i="67"/>
  <c r="X21" i="67" s="1"/>
  <c r="J32" i="67"/>
  <c r="X32" i="67" s="1"/>
  <c r="J38" i="67"/>
  <c r="X38" i="67" s="1"/>
  <c r="J46" i="67"/>
  <c r="X46" i="67" s="1"/>
  <c r="J56" i="67"/>
  <c r="X56" i="67" s="1"/>
  <c r="J65" i="67"/>
  <c r="X65" i="67" s="1"/>
  <c r="J76" i="67"/>
  <c r="X76" i="67" s="1"/>
  <c r="J85" i="67"/>
  <c r="X85" i="67" s="1"/>
  <c r="J98" i="67"/>
  <c r="X98" i="67" s="1"/>
  <c r="J115" i="67"/>
  <c r="X115" i="67" s="1"/>
  <c r="J126" i="67"/>
  <c r="X126" i="67" s="1"/>
  <c r="J135" i="67"/>
  <c r="X135" i="67" s="1"/>
  <c r="J143" i="67"/>
  <c r="X143" i="67" s="1"/>
  <c r="J151" i="67"/>
  <c r="X151" i="67" s="1"/>
  <c r="J159" i="67"/>
  <c r="X159" i="67" s="1"/>
  <c r="J167" i="67"/>
  <c r="X167" i="67" s="1"/>
  <c r="J176" i="67"/>
  <c r="X176" i="67" s="1"/>
  <c r="J186" i="67"/>
  <c r="X186" i="67" s="1"/>
  <c r="J94" i="67"/>
  <c r="X94" i="67" s="1"/>
  <c r="J25" i="67"/>
  <c r="X25" i="67" s="1"/>
  <c r="J88" i="67"/>
  <c r="X88" i="67" s="1"/>
  <c r="J123" i="67"/>
  <c r="X123" i="67" s="1"/>
  <c r="J161" i="67"/>
  <c r="X161" i="67" s="1"/>
  <c r="K11" i="67"/>
  <c r="K21" i="67"/>
  <c r="K32" i="67"/>
  <c r="K38" i="67"/>
  <c r="K46" i="67"/>
  <c r="K56" i="67"/>
  <c r="K65" i="67"/>
  <c r="K76" i="67"/>
  <c r="K85" i="67"/>
  <c r="K98" i="67"/>
  <c r="K115" i="67"/>
  <c r="K126" i="67"/>
  <c r="H17" i="67"/>
  <c r="H30" i="67"/>
  <c r="H38" i="67"/>
  <c r="H47" i="67"/>
  <c r="H57" i="67"/>
  <c r="H66" i="67"/>
  <c r="H77" i="67"/>
  <c r="H86" i="67"/>
  <c r="H99" i="67"/>
  <c r="H107" i="67"/>
  <c r="H127" i="67"/>
  <c r="H136" i="67"/>
  <c r="H144" i="67"/>
  <c r="H160" i="67"/>
  <c r="H168" i="67"/>
  <c r="H178" i="67"/>
  <c r="H187" i="67"/>
  <c r="H95" i="67"/>
  <c r="H54" i="67"/>
  <c r="H96" i="67"/>
  <c r="H129" i="67"/>
  <c r="I12" i="67"/>
  <c r="W12" i="67" s="1"/>
  <c r="I22" i="67"/>
  <c r="W22" i="67" s="1"/>
  <c r="I33" i="67"/>
  <c r="W33" i="67" s="1"/>
  <c r="I39" i="67"/>
  <c r="W39" i="67" s="1"/>
  <c r="I47" i="67"/>
  <c r="W47" i="67" s="1"/>
  <c r="I57" i="67"/>
  <c r="W57" i="67" s="1"/>
  <c r="I66" i="67"/>
  <c r="W66" i="67" s="1"/>
  <c r="I77" i="67"/>
  <c r="W77" i="67" s="1"/>
  <c r="I86" i="67"/>
  <c r="W86" i="67" s="1"/>
  <c r="I99" i="67"/>
  <c r="W99" i="67" s="1"/>
  <c r="I107" i="67"/>
  <c r="W107" i="67" s="1"/>
  <c r="I127" i="67"/>
  <c r="W127" i="67" s="1"/>
  <c r="I136" i="67"/>
  <c r="W136" i="67" s="1"/>
  <c r="I144" i="67"/>
  <c r="W144" i="67" s="1"/>
  <c r="W191" i="67"/>
  <c r="I160" i="67"/>
  <c r="W160" i="67" s="1"/>
  <c r="I168" i="67"/>
  <c r="W168" i="67" s="1"/>
  <c r="I178" i="67"/>
  <c r="W178" i="67" s="1"/>
  <c r="I187" i="67"/>
  <c r="W187" i="67" s="1"/>
  <c r="I95" i="67"/>
  <c r="W95" i="67" s="1"/>
  <c r="I54" i="67"/>
  <c r="W54" i="67" s="1"/>
  <c r="I96" i="67"/>
  <c r="W96" i="67" s="1"/>
  <c r="I129" i="67"/>
  <c r="W129" i="67" s="1"/>
  <c r="J12" i="67"/>
  <c r="X12" i="67" s="1"/>
  <c r="J22" i="67"/>
  <c r="X22" i="67" s="1"/>
  <c r="J33" i="67"/>
  <c r="X33" i="67" s="1"/>
  <c r="J39" i="67"/>
  <c r="X39" i="67" s="1"/>
  <c r="J47" i="67"/>
  <c r="X47" i="67" s="1"/>
  <c r="J57" i="67"/>
  <c r="X57" i="67" s="1"/>
  <c r="J66" i="67"/>
  <c r="X66" i="67" s="1"/>
  <c r="J77" i="67"/>
  <c r="X77" i="67" s="1"/>
  <c r="J86" i="67"/>
  <c r="X86" i="67" s="1"/>
  <c r="J99" i="67"/>
  <c r="X99" i="67" s="1"/>
  <c r="J107" i="67"/>
  <c r="X107" i="67" s="1"/>
  <c r="J127" i="67"/>
  <c r="X127" i="67" s="1"/>
  <c r="J136" i="67"/>
  <c r="X136" i="67" s="1"/>
  <c r="J144" i="67"/>
  <c r="X144" i="67" s="1"/>
  <c r="J191" i="67"/>
  <c r="X191" i="67" s="1"/>
  <c r="J160" i="67"/>
  <c r="X160" i="67" s="1"/>
  <c r="J168" i="67"/>
  <c r="X168" i="67" s="1"/>
  <c r="J178" i="67"/>
  <c r="X178" i="67" s="1"/>
  <c r="J187" i="67"/>
  <c r="X187" i="67" s="1"/>
  <c r="J95" i="67"/>
  <c r="X95" i="67" s="1"/>
  <c r="J54" i="67"/>
  <c r="X54" i="67" s="1"/>
  <c r="J96" i="67"/>
  <c r="X96" i="67" s="1"/>
  <c r="J129" i="67"/>
  <c r="X129" i="67" s="1"/>
  <c r="K12" i="67"/>
  <c r="K22" i="67"/>
  <c r="K33" i="67"/>
  <c r="H8" i="71"/>
  <c r="H19" i="67"/>
  <c r="H32" i="67"/>
  <c r="H39" i="67"/>
  <c r="H48" i="67"/>
  <c r="H58" i="67"/>
  <c r="H67" i="67"/>
  <c r="H78" i="67"/>
  <c r="H89" i="67"/>
  <c r="H100" i="67"/>
  <c r="H108" i="67"/>
  <c r="H116" i="67"/>
  <c r="H128" i="67"/>
  <c r="H137" i="67"/>
  <c r="H145" i="67"/>
  <c r="H162" i="67"/>
  <c r="H169" i="67"/>
  <c r="H180" i="67"/>
  <c r="H188" i="67"/>
  <c r="H63" i="67"/>
  <c r="H104" i="67"/>
  <c r="I13" i="67"/>
  <c r="W13" i="67" s="1"/>
  <c r="I24" i="67"/>
  <c r="W24" i="67" s="1"/>
  <c r="I34" i="67"/>
  <c r="W34" i="67" s="1"/>
  <c r="I40" i="67"/>
  <c r="W40" i="67" s="1"/>
  <c r="I48" i="67"/>
  <c r="W48" i="67" s="1"/>
  <c r="I58" i="67"/>
  <c r="W58" i="67" s="1"/>
  <c r="I67" i="67"/>
  <c r="W67" i="67" s="1"/>
  <c r="I78" i="67"/>
  <c r="W78" i="67" s="1"/>
  <c r="I89" i="67"/>
  <c r="W89" i="67" s="1"/>
  <c r="I100" i="67"/>
  <c r="W100" i="67" s="1"/>
  <c r="I108" i="67"/>
  <c r="W108" i="67" s="1"/>
  <c r="I116" i="67"/>
  <c r="W116" i="67" s="1"/>
  <c r="I128" i="67"/>
  <c r="W128" i="67" s="1"/>
  <c r="I137" i="67"/>
  <c r="W137" i="67" s="1"/>
  <c r="I145" i="67"/>
  <c r="W145" i="67" s="1"/>
  <c r="W192" i="67"/>
  <c r="I162" i="67"/>
  <c r="W162" i="67" s="1"/>
  <c r="I169" i="67"/>
  <c r="W169" i="67" s="1"/>
  <c r="I180" i="67"/>
  <c r="W180" i="67" s="1"/>
  <c r="I188" i="67"/>
  <c r="W188" i="67" s="1"/>
  <c r="I63" i="67"/>
  <c r="W63" i="67" s="1"/>
  <c r="I104" i="67"/>
  <c r="W104" i="67" s="1"/>
  <c r="J13" i="67"/>
  <c r="X13" i="67" s="1"/>
  <c r="J24" i="67"/>
  <c r="X24" i="67" s="1"/>
  <c r="J34" i="67"/>
  <c r="X34" i="67" s="1"/>
  <c r="J40" i="67"/>
  <c r="X40" i="67" s="1"/>
  <c r="J48" i="67"/>
  <c r="X48" i="67" s="1"/>
  <c r="J58" i="67"/>
  <c r="X58" i="67" s="1"/>
  <c r="J67" i="67"/>
  <c r="X67" i="67" s="1"/>
  <c r="J78" i="67"/>
  <c r="X78" i="67" s="1"/>
  <c r="J89" i="67"/>
  <c r="X89" i="67" s="1"/>
  <c r="J100" i="67"/>
  <c r="X100" i="67" s="1"/>
  <c r="J108" i="67"/>
  <c r="X108" i="67" s="1"/>
  <c r="J116" i="67"/>
  <c r="X116" i="67" s="1"/>
  <c r="J128" i="67"/>
  <c r="X128" i="67" s="1"/>
  <c r="J137" i="67"/>
  <c r="X137" i="67" s="1"/>
  <c r="J145" i="67"/>
  <c r="X145" i="67" s="1"/>
  <c r="J192" i="67"/>
  <c r="X192" i="67" s="1"/>
  <c r="J162" i="67"/>
  <c r="X162" i="67" s="1"/>
  <c r="J169" i="67"/>
  <c r="X169" i="67" s="1"/>
  <c r="J180" i="67"/>
  <c r="X180" i="67" s="1"/>
  <c r="J188" i="67"/>
  <c r="X188" i="67" s="1"/>
  <c r="J63" i="67"/>
  <c r="X63" i="67" s="1"/>
  <c r="J104" i="67"/>
  <c r="X104" i="67" s="1"/>
  <c r="K13" i="67"/>
  <c r="K24" i="67"/>
  <c r="K34" i="67"/>
  <c r="K40" i="67"/>
  <c r="K48" i="67"/>
  <c r="K58" i="67"/>
  <c r="K67" i="67"/>
  <c r="K78" i="67"/>
  <c r="K89" i="67"/>
  <c r="K100" i="67"/>
  <c r="K108" i="67"/>
  <c r="K116" i="67"/>
  <c r="K128" i="67"/>
  <c r="H9" i="67"/>
  <c r="H21" i="67"/>
  <c r="H33" i="67"/>
  <c r="H40" i="67"/>
  <c r="H49" i="67"/>
  <c r="H59" i="67"/>
  <c r="H68" i="67"/>
  <c r="H79" i="67"/>
  <c r="H90" i="67"/>
  <c r="H101" i="67"/>
  <c r="H109" i="67"/>
  <c r="H117" i="67"/>
  <c r="H130" i="67"/>
  <c r="H138" i="67"/>
  <c r="H146" i="67"/>
  <c r="H152" i="67"/>
  <c r="H163" i="67"/>
  <c r="H170" i="67"/>
  <c r="H181" i="67"/>
  <c r="H189" i="67"/>
  <c r="H173" i="67"/>
  <c r="H70" i="67"/>
  <c r="H177" i="67"/>
  <c r="I14" i="67"/>
  <c r="W14" i="67" s="1"/>
  <c r="I26" i="67"/>
  <c r="W26" i="67" s="1"/>
  <c r="I41" i="67"/>
  <c r="W41" i="67" s="1"/>
  <c r="I49" i="67"/>
  <c r="W49" i="67" s="1"/>
  <c r="I59" i="67"/>
  <c r="W59" i="67" s="1"/>
  <c r="I68" i="67"/>
  <c r="W68" i="67" s="1"/>
  <c r="I79" i="67"/>
  <c r="W79" i="67" s="1"/>
  <c r="I90" i="67"/>
  <c r="W90" i="67" s="1"/>
  <c r="I101" i="67"/>
  <c r="W101" i="67" s="1"/>
  <c r="I109" i="67"/>
  <c r="W109" i="67" s="1"/>
  <c r="I117" i="67"/>
  <c r="W117" i="67" s="1"/>
  <c r="I130" i="67"/>
  <c r="W130" i="67" s="1"/>
  <c r="I138" i="67"/>
  <c r="W138" i="67" s="1"/>
  <c r="I146" i="67"/>
  <c r="W146" i="67" s="1"/>
  <c r="I152" i="67"/>
  <c r="W152" i="67" s="1"/>
  <c r="I163" i="67"/>
  <c r="W163" i="67" s="1"/>
  <c r="I170" i="67"/>
  <c r="W170" i="67" s="1"/>
  <c r="I181" i="67"/>
  <c r="W181" i="67" s="1"/>
  <c r="I189" i="67"/>
  <c r="W189" i="67" s="1"/>
  <c r="I173" i="67"/>
  <c r="W173" i="67" s="1"/>
  <c r="I70" i="67"/>
  <c r="W70" i="67" s="1"/>
  <c r="I177" i="67"/>
  <c r="W177" i="67" s="1"/>
  <c r="J14" i="67"/>
  <c r="X14" i="67" s="1"/>
  <c r="J26" i="67"/>
  <c r="X26" i="67" s="1"/>
  <c r="J41" i="67"/>
  <c r="X41" i="67" s="1"/>
  <c r="J49" i="67"/>
  <c r="X49" i="67" s="1"/>
  <c r="J59" i="67"/>
  <c r="X59" i="67" s="1"/>
  <c r="J68" i="67"/>
  <c r="X68" i="67" s="1"/>
  <c r="J79" i="67"/>
  <c r="X79" i="67" s="1"/>
  <c r="J90" i="67"/>
  <c r="X90" i="67" s="1"/>
  <c r="J101" i="67"/>
  <c r="X101" i="67" s="1"/>
  <c r="J109" i="67"/>
  <c r="X109" i="67" s="1"/>
  <c r="J117" i="67"/>
  <c r="X117" i="67" s="1"/>
  <c r="J130" i="67"/>
  <c r="X130" i="67" s="1"/>
  <c r="J138" i="67"/>
  <c r="X138" i="67" s="1"/>
  <c r="J146" i="67"/>
  <c r="X146" i="67" s="1"/>
  <c r="J152" i="67"/>
  <c r="X152" i="67" s="1"/>
  <c r="J163" i="67"/>
  <c r="X163" i="67" s="1"/>
  <c r="J170" i="67"/>
  <c r="X170" i="67" s="1"/>
  <c r="J181" i="67"/>
  <c r="X181" i="67" s="1"/>
  <c r="J189" i="67"/>
  <c r="X189" i="67" s="1"/>
  <c r="J173" i="67"/>
  <c r="X173" i="67" s="1"/>
  <c r="J70" i="67"/>
  <c r="X70" i="67" s="1"/>
  <c r="J177" i="67"/>
  <c r="X177" i="67" s="1"/>
  <c r="K14" i="67"/>
  <c r="K26" i="67"/>
  <c r="K41" i="67"/>
  <c r="K49" i="67"/>
  <c r="K59" i="67"/>
  <c r="K121" i="67"/>
  <c r="K158" i="67"/>
  <c r="K117" i="67"/>
  <c r="K52" i="67"/>
  <c r="J193" i="67"/>
  <c r="X193" i="67" s="1"/>
  <c r="J69" i="67"/>
  <c r="X69" i="67" s="1"/>
  <c r="I16" i="67"/>
  <c r="W16" i="67" s="1"/>
  <c r="I105" i="67"/>
  <c r="W105" i="67" s="1"/>
  <c r="I30" i="67"/>
  <c r="W30" i="67" s="1"/>
  <c r="H164" i="67"/>
  <c r="H112" i="67"/>
  <c r="H11" i="67"/>
  <c r="K119" i="67"/>
  <c r="K185" i="67"/>
  <c r="K149" i="67"/>
  <c r="K102" i="67"/>
  <c r="K50" i="67"/>
  <c r="J190" i="67"/>
  <c r="X190" i="67" s="1"/>
  <c r="J92" i="67"/>
  <c r="X92" i="67" s="1"/>
  <c r="I184" i="67"/>
  <c r="W184" i="67" s="1"/>
  <c r="I103" i="67"/>
  <c r="W103" i="67" s="1"/>
  <c r="H157" i="67"/>
  <c r="H183" i="67"/>
  <c r="H111" i="67"/>
  <c r="K179" i="67"/>
  <c r="K114" i="67"/>
  <c r="K74" i="67"/>
  <c r="K184" i="67"/>
  <c r="K190" i="67"/>
  <c r="K182" i="67"/>
  <c r="K171" i="67"/>
  <c r="K164" i="67"/>
  <c r="K154" i="67"/>
  <c r="K147" i="67"/>
  <c r="K139" i="67"/>
  <c r="K130" i="67"/>
  <c r="K111" i="67"/>
  <c r="K99" i="67"/>
  <c r="K80" i="67"/>
  <c r="K62" i="67"/>
  <c r="K44" i="67"/>
  <c r="K28" i="67"/>
  <c r="J157" i="67"/>
  <c r="X157" i="67" s="1"/>
  <c r="J74" i="67"/>
  <c r="X74" i="67" s="1"/>
  <c r="J183" i="67"/>
  <c r="X183" i="67" s="1"/>
  <c r="J156" i="67"/>
  <c r="X156" i="67" s="1"/>
  <c r="J139" i="67"/>
  <c r="X139" i="67" s="1"/>
  <c r="J111" i="67"/>
  <c r="X111" i="67" s="1"/>
  <c r="J83" i="67"/>
  <c r="X83" i="67" s="1"/>
  <c r="J60" i="67"/>
  <c r="X60" i="67" s="1"/>
  <c r="J35" i="67"/>
  <c r="X35" i="67" s="1"/>
  <c r="J9" i="67"/>
  <c r="X9" i="67" s="1"/>
  <c r="I114" i="67"/>
  <c r="W114" i="67" s="1"/>
  <c r="W193" i="67"/>
  <c r="I147" i="67"/>
  <c r="W147" i="67" s="1"/>
  <c r="I122" i="67"/>
  <c r="W122" i="67" s="1"/>
  <c r="I93" i="67"/>
  <c r="W93" i="67" s="1"/>
  <c r="I69" i="67"/>
  <c r="W69" i="67" s="1"/>
  <c r="I43" i="67"/>
  <c r="W43" i="67" s="1"/>
  <c r="I19" i="67"/>
  <c r="W19" i="67" s="1"/>
  <c r="H16" i="67"/>
  <c r="H174" i="67"/>
  <c r="H154" i="67"/>
  <c r="H132" i="67"/>
  <c r="H105" i="67"/>
  <c r="H80" i="67"/>
  <c r="H52" i="67"/>
  <c r="H26" i="67"/>
  <c r="K87" i="67"/>
  <c r="K150" i="67"/>
  <c r="K103" i="67"/>
  <c r="K35" i="67"/>
  <c r="J93" i="67"/>
  <c r="X93" i="67" s="1"/>
  <c r="I154" i="67"/>
  <c r="W154" i="67" s="1"/>
  <c r="I80" i="67"/>
  <c r="W80" i="67" s="1"/>
  <c r="H75" i="67"/>
  <c r="H91" i="67"/>
  <c r="K82" i="67"/>
  <c r="K174" i="67"/>
  <c r="K141" i="67"/>
  <c r="K83" i="67"/>
  <c r="J165" i="67"/>
  <c r="X165" i="67" s="1"/>
  <c r="J42" i="67"/>
  <c r="X42" i="67" s="1"/>
  <c r="I172" i="67"/>
  <c r="W172" i="67" s="1"/>
  <c r="I72" i="67"/>
  <c r="W72" i="67" s="1"/>
  <c r="H74" i="67"/>
  <c r="H83" i="67"/>
  <c r="K177" i="67"/>
  <c r="K70" i="67"/>
  <c r="K173" i="67"/>
  <c r="K189" i="67"/>
  <c r="K181" i="67"/>
  <c r="K170" i="67"/>
  <c r="K163" i="67"/>
  <c r="K152" i="67"/>
  <c r="K146" i="67"/>
  <c r="K138" i="67"/>
  <c r="K127" i="67"/>
  <c r="K110" i="67"/>
  <c r="K93" i="67"/>
  <c r="K79" i="67"/>
  <c r="K61" i="67"/>
  <c r="K43" i="67"/>
  <c r="K27" i="67"/>
  <c r="J153" i="67"/>
  <c r="X153" i="67" s="1"/>
  <c r="J18" i="67"/>
  <c r="X18" i="67" s="1"/>
  <c r="J182" i="67"/>
  <c r="X182" i="67" s="1"/>
  <c r="J155" i="67"/>
  <c r="X155" i="67" s="1"/>
  <c r="J133" i="67"/>
  <c r="X133" i="67" s="1"/>
  <c r="J110" i="67"/>
  <c r="X110" i="67" s="1"/>
  <c r="J81" i="67"/>
  <c r="X81" i="67" s="1"/>
  <c r="J53" i="67"/>
  <c r="X53" i="67" s="1"/>
  <c r="I8" i="67"/>
  <c r="W8" i="67" s="1"/>
  <c r="I82" i="67"/>
  <c r="W82" i="67" s="1"/>
  <c r="I190" i="67"/>
  <c r="W190" i="67" s="1"/>
  <c r="I165" i="67"/>
  <c r="W165" i="67" s="1"/>
  <c r="I141" i="67"/>
  <c r="W141" i="67" s="1"/>
  <c r="I120" i="67"/>
  <c r="W120" i="67" s="1"/>
  <c r="I92" i="67"/>
  <c r="W92" i="67" s="1"/>
  <c r="I62" i="67"/>
  <c r="W62" i="67" s="1"/>
  <c r="I42" i="67"/>
  <c r="W42" i="67" s="1"/>
  <c r="I17" i="67"/>
  <c r="W17" i="67" s="1"/>
  <c r="H119" i="67"/>
  <c r="H184" i="67"/>
  <c r="H172" i="67"/>
  <c r="H149" i="67"/>
  <c r="H131" i="67"/>
  <c r="H103" i="67"/>
  <c r="H72" i="67"/>
  <c r="H50" i="67"/>
  <c r="H24" i="67"/>
  <c r="K123" i="67"/>
  <c r="K94" i="67"/>
  <c r="K159" i="67"/>
  <c r="K135" i="67"/>
  <c r="K90" i="67"/>
  <c r="K36" i="67"/>
  <c r="J29" i="67"/>
  <c r="X29" i="67" s="1"/>
  <c r="J124" i="67"/>
  <c r="X124" i="67" s="1"/>
  <c r="J27" i="67"/>
  <c r="X27" i="67" s="1"/>
  <c r="I18" i="67"/>
  <c r="W18" i="67" s="1"/>
  <c r="I110" i="67"/>
  <c r="W110" i="67" s="1"/>
  <c r="I81" i="67"/>
  <c r="W81" i="67" s="1"/>
  <c r="H8" i="67"/>
  <c r="H190" i="67"/>
  <c r="H120" i="67"/>
  <c r="H92" i="67"/>
  <c r="H12" i="67"/>
  <c r="K51" i="67"/>
  <c r="K142" i="67"/>
  <c r="K86" i="67"/>
  <c r="K9" i="67"/>
  <c r="J122" i="67"/>
  <c r="X122" i="67" s="1"/>
  <c r="J19" i="67"/>
  <c r="X19" i="67" s="1"/>
  <c r="I132" i="67"/>
  <c r="W132" i="67" s="1"/>
  <c r="H179" i="67"/>
  <c r="H140" i="67"/>
  <c r="K157" i="67"/>
  <c r="K29" i="67"/>
  <c r="K156" i="67"/>
  <c r="K68" i="67"/>
  <c r="J82" i="67"/>
  <c r="X82" i="67" s="1"/>
  <c r="J120" i="67"/>
  <c r="X120" i="67" s="1"/>
  <c r="J17" i="67"/>
  <c r="X17" i="67" s="1"/>
  <c r="I149" i="67"/>
  <c r="W149" i="67" s="1"/>
  <c r="I50" i="67"/>
  <c r="W50" i="67" s="1"/>
  <c r="H139" i="67"/>
  <c r="H60" i="67"/>
  <c r="K104" i="67"/>
  <c r="K63" i="67"/>
  <c r="K188" i="67"/>
  <c r="K180" i="67"/>
  <c r="K169" i="67"/>
  <c r="K162" i="67"/>
  <c r="K145" i="67"/>
  <c r="K137" i="67"/>
  <c r="K124" i="67"/>
  <c r="K109" i="67"/>
  <c r="K92" i="67"/>
  <c r="K77" i="67"/>
  <c r="K60" i="67"/>
  <c r="K42" i="67"/>
  <c r="K19" i="67"/>
  <c r="J16" i="67"/>
  <c r="X16" i="67" s="1"/>
  <c r="J174" i="67"/>
  <c r="X174" i="67" s="1"/>
  <c r="J154" i="67"/>
  <c r="X154" i="67" s="1"/>
  <c r="J132" i="67"/>
  <c r="X132" i="67" s="1"/>
  <c r="J105" i="67"/>
  <c r="X105" i="67" s="1"/>
  <c r="J80" i="67"/>
  <c r="X80" i="67" s="1"/>
  <c r="J52" i="67"/>
  <c r="X52" i="67" s="1"/>
  <c r="J30" i="67"/>
  <c r="X30" i="67" s="1"/>
  <c r="I179" i="67"/>
  <c r="W179" i="67" s="1"/>
  <c r="I75" i="67"/>
  <c r="W75" i="67" s="1"/>
  <c r="I185" i="67"/>
  <c r="W185" i="67" s="1"/>
  <c r="I164" i="67"/>
  <c r="W164" i="67" s="1"/>
  <c r="I140" i="67"/>
  <c r="W140" i="67" s="1"/>
  <c r="I112" i="67"/>
  <c r="W112" i="67" s="1"/>
  <c r="I91" i="67"/>
  <c r="W91" i="67" s="1"/>
  <c r="I61" i="67"/>
  <c r="W61" i="67" s="1"/>
  <c r="I36" i="67"/>
  <c r="W36" i="67" s="1"/>
  <c r="I15" i="67"/>
  <c r="W15" i="67" s="1"/>
  <c r="H118" i="67"/>
  <c r="H29" i="67"/>
  <c r="H171" i="67"/>
  <c r="H148" i="67"/>
  <c r="H124" i="67"/>
  <c r="H102" i="67"/>
  <c r="H71" i="67"/>
  <c r="H43" i="67"/>
  <c r="H22" i="67"/>
  <c r="K161" i="67"/>
  <c r="K25" i="67"/>
  <c r="K176" i="67"/>
  <c r="K151" i="67"/>
  <c r="K120" i="67"/>
  <c r="K71" i="67"/>
  <c r="K15" i="67"/>
  <c r="J171" i="67"/>
  <c r="X171" i="67" s="1"/>
  <c r="J71" i="67"/>
  <c r="X71" i="67" s="1"/>
  <c r="I153" i="67"/>
  <c r="W153" i="67" s="1"/>
  <c r="I155" i="67"/>
  <c r="W155" i="67" s="1"/>
  <c r="K23" i="67"/>
  <c r="K175" i="67"/>
  <c r="K133" i="67"/>
  <c r="K69" i="67"/>
  <c r="J114" i="67"/>
  <c r="X114" i="67" s="1"/>
  <c r="J147" i="67"/>
  <c r="X147" i="67" s="1"/>
  <c r="J43" i="67"/>
  <c r="X43" i="67" s="1"/>
  <c r="I174" i="67"/>
  <c r="W174" i="67" s="1"/>
  <c r="I52" i="67"/>
  <c r="W52" i="67" s="1"/>
  <c r="H185" i="67"/>
  <c r="H61" i="67"/>
  <c r="K18" i="67"/>
  <c r="K132" i="67"/>
  <c r="J8" i="67"/>
  <c r="X8" i="67" s="1"/>
  <c r="J141" i="67"/>
  <c r="X141" i="67" s="1"/>
  <c r="J62" i="67"/>
  <c r="X62" i="67" s="1"/>
  <c r="I119" i="67"/>
  <c r="W119" i="67" s="1"/>
  <c r="I131" i="67"/>
  <c r="W131" i="67" s="1"/>
  <c r="I28" i="67"/>
  <c r="W28" i="67" s="1"/>
  <c r="H156" i="67"/>
  <c r="K129" i="67"/>
  <c r="K96" i="67"/>
  <c r="K54" i="67"/>
  <c r="K95" i="67"/>
  <c r="K187" i="67"/>
  <c r="K178" i="67"/>
  <c r="K168" i="67"/>
  <c r="K160" i="67"/>
  <c r="K144" i="67"/>
  <c r="K136" i="67"/>
  <c r="K122" i="67"/>
  <c r="K107" i="67"/>
  <c r="K91" i="67"/>
  <c r="K72" i="67"/>
  <c r="K57" i="67"/>
  <c r="K39" i="67"/>
  <c r="K17" i="67"/>
  <c r="J119" i="67"/>
  <c r="X119" i="67" s="1"/>
  <c r="J184" i="67"/>
  <c r="X184" i="67" s="1"/>
  <c r="J172" i="67"/>
  <c r="X172" i="67" s="1"/>
  <c r="J149" i="67"/>
  <c r="X149" i="67" s="1"/>
  <c r="J131" i="67"/>
  <c r="X131" i="67" s="1"/>
  <c r="J103" i="67"/>
  <c r="X103" i="67" s="1"/>
  <c r="J72" i="67"/>
  <c r="X72" i="67" s="1"/>
  <c r="J50" i="67"/>
  <c r="X50" i="67" s="1"/>
  <c r="J28" i="67"/>
  <c r="X28" i="67" s="1"/>
  <c r="I157" i="67"/>
  <c r="W157" i="67" s="1"/>
  <c r="I74" i="67"/>
  <c r="W74" i="67" s="1"/>
  <c r="I183" i="67"/>
  <c r="W183" i="67" s="1"/>
  <c r="I156" i="67"/>
  <c r="W156" i="67" s="1"/>
  <c r="I139" i="67"/>
  <c r="W139" i="67" s="1"/>
  <c r="I111" i="67"/>
  <c r="W111" i="67" s="1"/>
  <c r="I83" i="67"/>
  <c r="W83" i="67" s="1"/>
  <c r="I60" i="67"/>
  <c r="W60" i="67" s="1"/>
  <c r="I35" i="67"/>
  <c r="W35" i="67" s="1"/>
  <c r="I9" i="67"/>
  <c r="W9" i="67" s="1"/>
  <c r="H114" i="67"/>
  <c r="H147" i="67"/>
  <c r="H122" i="67"/>
  <c r="H93" i="67"/>
  <c r="H69" i="67"/>
  <c r="H42" i="67"/>
  <c r="H13" i="67"/>
  <c r="M192" i="67" l="1"/>
  <c r="K192" i="67"/>
  <c r="K193" i="67"/>
  <c r="M193" i="67"/>
  <c r="K191" i="67"/>
  <c r="M191" i="67"/>
  <c r="E47" i="11"/>
  <c r="W196" i="67"/>
  <c r="X196" i="67"/>
  <c r="E48" i="11"/>
  <c r="H196" i="67"/>
  <c r="GQ83" i="67"/>
  <c r="GA83" i="67"/>
  <c r="FK83" i="67"/>
  <c r="EU83" i="67"/>
  <c r="EE83" i="67"/>
  <c r="DO83" i="67"/>
  <c r="CI83" i="67"/>
  <c r="BC83" i="67"/>
  <c r="CY83" i="67"/>
  <c r="BS83" i="67"/>
  <c r="AM83" i="67"/>
  <c r="GR122" i="67"/>
  <c r="GB122" i="67"/>
  <c r="FL122" i="67"/>
  <c r="EV122" i="67"/>
  <c r="DP122" i="67"/>
  <c r="CZ122" i="67"/>
  <c r="CJ122" i="67"/>
  <c r="EF122" i="67"/>
  <c r="BT122" i="67"/>
  <c r="AN122" i="67"/>
  <c r="BD122" i="67"/>
  <c r="GQ157" i="67"/>
  <c r="GA157" i="67"/>
  <c r="FK157" i="67"/>
  <c r="EE157" i="67"/>
  <c r="EU157" i="67"/>
  <c r="DO157" i="67"/>
  <c r="CY157" i="67"/>
  <c r="BC157" i="67"/>
  <c r="CI157" i="67"/>
  <c r="BS157" i="67"/>
  <c r="AM157" i="67"/>
  <c r="GQ131" i="67"/>
  <c r="GA131" i="67"/>
  <c r="FK131" i="67"/>
  <c r="EU131" i="67"/>
  <c r="EE131" i="67"/>
  <c r="DO131" i="67"/>
  <c r="CY131" i="67"/>
  <c r="CI131" i="67"/>
  <c r="BC131" i="67"/>
  <c r="BS131" i="67"/>
  <c r="AM131" i="67"/>
  <c r="M29" i="67"/>
  <c r="GG29" i="67"/>
  <c r="FQ29" i="67"/>
  <c r="FA29" i="67"/>
  <c r="EK29" i="67"/>
  <c r="DU29" i="67"/>
  <c r="DE29" i="67"/>
  <c r="CO29" i="67"/>
  <c r="BY29" i="67"/>
  <c r="BI29" i="67"/>
  <c r="AC29" i="67"/>
  <c r="AS29" i="67"/>
  <c r="GR132" i="67"/>
  <c r="GB132" i="67"/>
  <c r="FL132" i="67"/>
  <c r="EV132" i="67"/>
  <c r="DP132" i="67"/>
  <c r="EF132" i="67"/>
  <c r="CZ132" i="67"/>
  <c r="CJ132" i="67"/>
  <c r="BT132" i="67"/>
  <c r="AN132" i="67"/>
  <c r="BD132" i="67"/>
  <c r="GR27" i="67"/>
  <c r="GB27" i="67"/>
  <c r="FL27" i="67"/>
  <c r="EV27" i="67"/>
  <c r="EF27" i="67"/>
  <c r="DP27" i="67"/>
  <c r="CZ27" i="67"/>
  <c r="CJ27" i="67"/>
  <c r="BD27" i="67"/>
  <c r="AN27" i="67"/>
  <c r="BT27" i="67"/>
  <c r="M149" i="67"/>
  <c r="GG149" i="67"/>
  <c r="FQ149" i="67"/>
  <c r="FA149" i="67"/>
  <c r="EK149" i="67"/>
  <c r="DU149" i="67"/>
  <c r="DE149" i="67"/>
  <c r="CO149" i="67"/>
  <c r="BY149" i="67"/>
  <c r="BI149" i="67"/>
  <c r="AS149" i="67"/>
  <c r="AC149" i="67"/>
  <c r="GR81" i="67"/>
  <c r="GB81" i="67"/>
  <c r="FL81" i="67"/>
  <c r="EV81" i="67"/>
  <c r="EF81" i="67"/>
  <c r="DP81" i="67"/>
  <c r="CZ81" i="67"/>
  <c r="CJ81" i="67"/>
  <c r="BT81" i="67"/>
  <c r="BD81" i="67"/>
  <c r="AN81" i="67"/>
  <c r="GQ154" i="67"/>
  <c r="GA154" i="67"/>
  <c r="FK154" i="67"/>
  <c r="EU154" i="67"/>
  <c r="EE154" i="67"/>
  <c r="DO154" i="67"/>
  <c r="CY154" i="67"/>
  <c r="CI154" i="67"/>
  <c r="BC154" i="67"/>
  <c r="BS154" i="67"/>
  <c r="AM154" i="67"/>
  <c r="GQ93" i="67"/>
  <c r="GA93" i="67"/>
  <c r="FK93" i="67"/>
  <c r="EE93" i="67"/>
  <c r="EU93" i="67"/>
  <c r="DO93" i="67"/>
  <c r="CY93" i="67"/>
  <c r="CI93" i="67"/>
  <c r="BC93" i="67"/>
  <c r="BS93" i="67"/>
  <c r="AM93" i="67"/>
  <c r="GR60" i="67"/>
  <c r="GB60" i="67"/>
  <c r="FL60" i="67"/>
  <c r="EV60" i="67"/>
  <c r="EF60" i="67"/>
  <c r="DP60" i="67"/>
  <c r="CZ60" i="67"/>
  <c r="CJ60" i="67"/>
  <c r="BT60" i="67"/>
  <c r="AN60" i="67"/>
  <c r="BD60" i="67"/>
  <c r="GQ184" i="67"/>
  <c r="GA184" i="67"/>
  <c r="FK184" i="67"/>
  <c r="EU184" i="67"/>
  <c r="EE184" i="67"/>
  <c r="DO184" i="67"/>
  <c r="CY184" i="67"/>
  <c r="CI184" i="67"/>
  <c r="BC184" i="67"/>
  <c r="BS184" i="67"/>
  <c r="AM184" i="67"/>
  <c r="GR189" i="67"/>
  <c r="GB189" i="67"/>
  <c r="FL189" i="67"/>
  <c r="EV189" i="67"/>
  <c r="EF189" i="67"/>
  <c r="DP189" i="67"/>
  <c r="CZ189" i="67"/>
  <c r="CJ189" i="67"/>
  <c r="BT189" i="67"/>
  <c r="BD189" i="67"/>
  <c r="AN189" i="67"/>
  <c r="GR117" i="67"/>
  <c r="GB117" i="67"/>
  <c r="FL117" i="67"/>
  <c r="EV117" i="67"/>
  <c r="EF117" i="67"/>
  <c r="DP117" i="67"/>
  <c r="CZ117" i="67"/>
  <c r="CJ117" i="67"/>
  <c r="BT117" i="67"/>
  <c r="BD117" i="67"/>
  <c r="AN117" i="67"/>
  <c r="GB41" i="67"/>
  <c r="GR41" i="67"/>
  <c r="FL41" i="67"/>
  <c r="EV41" i="67"/>
  <c r="EF41" i="67"/>
  <c r="DP41" i="67"/>
  <c r="CZ41" i="67"/>
  <c r="CJ41" i="67"/>
  <c r="BT41" i="67"/>
  <c r="AN41" i="67"/>
  <c r="BD41" i="67"/>
  <c r="GQ173" i="67"/>
  <c r="GA173" i="67"/>
  <c r="FK173" i="67"/>
  <c r="EU173" i="67"/>
  <c r="EE173" i="67"/>
  <c r="DO173" i="67"/>
  <c r="CY173" i="67"/>
  <c r="CI173" i="67"/>
  <c r="BC173" i="67"/>
  <c r="BS173" i="67"/>
  <c r="AM173" i="67"/>
  <c r="GQ130" i="67"/>
  <c r="GA130" i="67"/>
  <c r="FK130" i="67"/>
  <c r="EU130" i="67"/>
  <c r="EE130" i="67"/>
  <c r="DO130" i="67"/>
  <c r="CY130" i="67"/>
  <c r="CI130" i="67"/>
  <c r="BC130" i="67"/>
  <c r="BS130" i="67"/>
  <c r="AM130" i="67"/>
  <c r="GQ49" i="67"/>
  <c r="GA49" i="67"/>
  <c r="FK49" i="67"/>
  <c r="EU49" i="67"/>
  <c r="EE49" i="67"/>
  <c r="DO49" i="67"/>
  <c r="CY49" i="67"/>
  <c r="CI49" i="67"/>
  <c r="BS49" i="67"/>
  <c r="AM49" i="67"/>
  <c r="BC49" i="67"/>
  <c r="M70" i="67"/>
  <c r="GG70" i="67"/>
  <c r="FQ70" i="67"/>
  <c r="FA70" i="67"/>
  <c r="EK70" i="67"/>
  <c r="DU70" i="67"/>
  <c r="DE70" i="67"/>
  <c r="CO70" i="67"/>
  <c r="BY70" i="67"/>
  <c r="BI70" i="67"/>
  <c r="AS70" i="67"/>
  <c r="AC70" i="67"/>
  <c r="M138" i="67"/>
  <c r="GG138" i="67"/>
  <c r="FA138" i="67"/>
  <c r="FQ138" i="67"/>
  <c r="EK138" i="67"/>
  <c r="DU138" i="67"/>
  <c r="DE138" i="67"/>
  <c r="CO138" i="67"/>
  <c r="BY138" i="67"/>
  <c r="BI138" i="67"/>
  <c r="AS138" i="67"/>
  <c r="AC138" i="67"/>
  <c r="M59" i="67"/>
  <c r="GG59" i="67"/>
  <c r="FQ59" i="67"/>
  <c r="FA59" i="67"/>
  <c r="EK59" i="67"/>
  <c r="DU59" i="67"/>
  <c r="CO59" i="67"/>
  <c r="DE59" i="67"/>
  <c r="BY59" i="67"/>
  <c r="BI59" i="67"/>
  <c r="AS59" i="67"/>
  <c r="AC59" i="67"/>
  <c r="GR162" i="67"/>
  <c r="GB162" i="67"/>
  <c r="FL162" i="67"/>
  <c r="EV162" i="67"/>
  <c r="EF162" i="67"/>
  <c r="DP162" i="67"/>
  <c r="CZ162" i="67"/>
  <c r="CJ162" i="67"/>
  <c r="BT162" i="67"/>
  <c r="BD162" i="67"/>
  <c r="AN162" i="67"/>
  <c r="GR89" i="67"/>
  <c r="GB89" i="67"/>
  <c r="FL89" i="67"/>
  <c r="EV89" i="67"/>
  <c r="EF89" i="67"/>
  <c r="DP89" i="67"/>
  <c r="CZ89" i="67"/>
  <c r="CJ89" i="67"/>
  <c r="BT89" i="67"/>
  <c r="BD89" i="67"/>
  <c r="AN89" i="67"/>
  <c r="GR13" i="67"/>
  <c r="GB13" i="67"/>
  <c r="FL13" i="67"/>
  <c r="EV13" i="67"/>
  <c r="EF13" i="67"/>
  <c r="DP13" i="67"/>
  <c r="CJ13" i="67"/>
  <c r="CZ13" i="67"/>
  <c r="AN13" i="67"/>
  <c r="BT13" i="67"/>
  <c r="BD13" i="67"/>
  <c r="GQ169" i="67"/>
  <c r="FK169" i="67"/>
  <c r="GA169" i="67"/>
  <c r="EU169" i="67"/>
  <c r="EE169" i="67"/>
  <c r="DO169" i="67"/>
  <c r="CY169" i="67"/>
  <c r="CI169" i="67"/>
  <c r="BC169" i="67"/>
  <c r="BS169" i="67"/>
  <c r="AM169" i="67"/>
  <c r="GQ100" i="67"/>
  <c r="GA100" i="67"/>
  <c r="FK100" i="67"/>
  <c r="EU100" i="67"/>
  <c r="EE100" i="67"/>
  <c r="DO100" i="67"/>
  <c r="CY100" i="67"/>
  <c r="CI100" i="67"/>
  <c r="BC100" i="67"/>
  <c r="BS100" i="67"/>
  <c r="AM100" i="67"/>
  <c r="GQ24" i="67"/>
  <c r="GA24" i="67"/>
  <c r="FK24" i="67"/>
  <c r="EU24" i="67"/>
  <c r="EE24" i="67"/>
  <c r="DO24" i="67"/>
  <c r="CI24" i="67"/>
  <c r="BC24" i="67"/>
  <c r="BS24" i="67"/>
  <c r="CY24" i="67"/>
  <c r="AM24" i="67"/>
  <c r="M180" i="67"/>
  <c r="GG180" i="67"/>
  <c r="FQ180" i="67"/>
  <c r="FA180" i="67"/>
  <c r="EK180" i="67"/>
  <c r="DE180" i="67"/>
  <c r="DU180" i="67"/>
  <c r="CO180" i="67"/>
  <c r="BY180" i="67"/>
  <c r="BI180" i="67"/>
  <c r="AS180" i="67"/>
  <c r="AC180" i="67"/>
  <c r="M108" i="67"/>
  <c r="GG108" i="67"/>
  <c r="FQ108" i="67"/>
  <c r="FA108" i="67"/>
  <c r="EK108" i="67"/>
  <c r="DU108" i="67"/>
  <c r="CO108" i="67"/>
  <c r="DE108" i="67"/>
  <c r="BY108" i="67"/>
  <c r="BI108" i="67"/>
  <c r="AS108" i="67"/>
  <c r="AC108" i="67"/>
  <c r="M32" i="67"/>
  <c r="GG32" i="67"/>
  <c r="FQ32" i="67"/>
  <c r="FA32" i="67"/>
  <c r="EK32" i="67"/>
  <c r="DU32" i="67"/>
  <c r="DE32" i="67"/>
  <c r="BY32" i="67"/>
  <c r="CO32" i="67"/>
  <c r="BI32" i="67"/>
  <c r="AC32" i="67"/>
  <c r="AS32" i="67"/>
  <c r="GR187" i="67"/>
  <c r="GB187" i="67"/>
  <c r="FL187" i="67"/>
  <c r="EV187" i="67"/>
  <c r="EF187" i="67"/>
  <c r="CZ187" i="67"/>
  <c r="DP187" i="67"/>
  <c r="CJ187" i="67"/>
  <c r="BT187" i="67"/>
  <c r="BD187" i="67"/>
  <c r="AN187" i="67"/>
  <c r="GR39" i="67"/>
  <c r="GB39" i="67"/>
  <c r="FL39" i="67"/>
  <c r="EV39" i="67"/>
  <c r="EF39" i="67"/>
  <c r="DP39" i="67"/>
  <c r="CZ39" i="67"/>
  <c r="CJ39" i="67"/>
  <c r="AN39" i="67"/>
  <c r="BT39" i="67"/>
  <c r="BD39" i="67"/>
  <c r="GQ95" i="67"/>
  <c r="GA95" i="67"/>
  <c r="FK95" i="67"/>
  <c r="EU95" i="67"/>
  <c r="EE95" i="67"/>
  <c r="DO95" i="67"/>
  <c r="CY95" i="67"/>
  <c r="CI95" i="67"/>
  <c r="BC95" i="67"/>
  <c r="BS95" i="67"/>
  <c r="AM95" i="67"/>
  <c r="GQ127" i="67"/>
  <c r="GA127" i="67"/>
  <c r="EU127" i="67"/>
  <c r="FK127" i="67"/>
  <c r="EE127" i="67"/>
  <c r="CY127" i="67"/>
  <c r="DO127" i="67"/>
  <c r="CI127" i="67"/>
  <c r="BC127" i="67"/>
  <c r="BS127" i="67"/>
  <c r="AM127" i="67"/>
  <c r="GQ47" i="67"/>
  <c r="GA47" i="67"/>
  <c r="FK47" i="67"/>
  <c r="EU47" i="67"/>
  <c r="EE47" i="67"/>
  <c r="DO47" i="67"/>
  <c r="CI47" i="67"/>
  <c r="CY47" i="67"/>
  <c r="AM47" i="67"/>
  <c r="BS47" i="67"/>
  <c r="BC47" i="67"/>
  <c r="M54" i="67"/>
  <c r="GG54" i="67"/>
  <c r="FQ54" i="67"/>
  <c r="FA54" i="67"/>
  <c r="EK54" i="67"/>
  <c r="DU54" i="67"/>
  <c r="DE54" i="67"/>
  <c r="BY54" i="67"/>
  <c r="BI54" i="67"/>
  <c r="CO54" i="67"/>
  <c r="AC54" i="67"/>
  <c r="AS54" i="67"/>
  <c r="M136" i="67"/>
  <c r="GG136" i="67"/>
  <c r="FQ136" i="67"/>
  <c r="FA136" i="67"/>
  <c r="EK136" i="67"/>
  <c r="DU136" i="67"/>
  <c r="DE136" i="67"/>
  <c r="BI136" i="67"/>
  <c r="BY136" i="67"/>
  <c r="CO136" i="67"/>
  <c r="AS136" i="67"/>
  <c r="AC136" i="67"/>
  <c r="M57" i="67"/>
  <c r="GG57" i="67"/>
  <c r="FQ57" i="67"/>
  <c r="FA57" i="67"/>
  <c r="DU57" i="67"/>
  <c r="EK57" i="67"/>
  <c r="CO57" i="67"/>
  <c r="DE57" i="67"/>
  <c r="BY57" i="67"/>
  <c r="BI57" i="67"/>
  <c r="AS57" i="67"/>
  <c r="AC57" i="67"/>
  <c r="GR161" i="67"/>
  <c r="GB161" i="67"/>
  <c r="FL161" i="67"/>
  <c r="EV161" i="67"/>
  <c r="EF161" i="67"/>
  <c r="CZ161" i="67"/>
  <c r="DP161" i="67"/>
  <c r="CJ161" i="67"/>
  <c r="BT161" i="67"/>
  <c r="AN161" i="67"/>
  <c r="BD161" i="67"/>
  <c r="GR159" i="67"/>
  <c r="GB159" i="67"/>
  <c r="FL159" i="67"/>
  <c r="EV159" i="67"/>
  <c r="EF159" i="67"/>
  <c r="CZ159" i="67"/>
  <c r="DP159" i="67"/>
  <c r="CJ159" i="67"/>
  <c r="BT159" i="67"/>
  <c r="AN159" i="67"/>
  <c r="BD159" i="67"/>
  <c r="GR85" i="67"/>
  <c r="GB85" i="67"/>
  <c r="FL85" i="67"/>
  <c r="EV85" i="67"/>
  <c r="EF85" i="67"/>
  <c r="DP85" i="67"/>
  <c r="CZ85" i="67"/>
  <c r="CJ85" i="67"/>
  <c r="BT85" i="67"/>
  <c r="BD85" i="67"/>
  <c r="AN85" i="67"/>
  <c r="GR11" i="67"/>
  <c r="GB11" i="67"/>
  <c r="FL11" i="67"/>
  <c r="EV11" i="67"/>
  <c r="EF11" i="67"/>
  <c r="DP11" i="67"/>
  <c r="CJ11" i="67"/>
  <c r="CZ11" i="67"/>
  <c r="AN11" i="67"/>
  <c r="BT11" i="67"/>
  <c r="BD11" i="67"/>
  <c r="GQ167" i="67"/>
  <c r="GA167" i="67"/>
  <c r="FK167" i="67"/>
  <c r="EE167" i="67"/>
  <c r="DO167" i="67"/>
  <c r="EU167" i="67"/>
  <c r="CY167" i="67"/>
  <c r="CI167" i="67"/>
  <c r="BC167" i="67"/>
  <c r="BS167" i="67"/>
  <c r="AM167" i="67"/>
  <c r="GQ98" i="67"/>
  <c r="FK98" i="67"/>
  <c r="GA98" i="67"/>
  <c r="EE98" i="67"/>
  <c r="EU98" i="67"/>
  <c r="DO98" i="67"/>
  <c r="CY98" i="67"/>
  <c r="CI98" i="67"/>
  <c r="BC98" i="67"/>
  <c r="BS98" i="67"/>
  <c r="AM98" i="67"/>
  <c r="GQ21" i="67"/>
  <c r="GA21" i="67"/>
  <c r="FK21" i="67"/>
  <c r="EU21" i="67"/>
  <c r="EE21" i="67"/>
  <c r="DO21" i="67"/>
  <c r="BS21" i="67"/>
  <c r="CI21" i="67"/>
  <c r="CY21" i="67"/>
  <c r="AM21" i="67"/>
  <c r="BC21" i="67"/>
  <c r="M176" i="67"/>
  <c r="GG176" i="67"/>
  <c r="FQ176" i="67"/>
  <c r="FA176" i="67"/>
  <c r="EK176" i="67"/>
  <c r="DU176" i="67"/>
  <c r="DE176" i="67"/>
  <c r="CO176" i="67"/>
  <c r="BI176" i="67"/>
  <c r="BY176" i="67"/>
  <c r="AS176" i="67"/>
  <c r="AC176" i="67"/>
  <c r="M28" i="67"/>
  <c r="GG28" i="67"/>
  <c r="FQ28" i="67"/>
  <c r="FA28" i="67"/>
  <c r="DU28" i="67"/>
  <c r="EK28" i="67"/>
  <c r="DE28" i="67"/>
  <c r="CO28" i="67"/>
  <c r="BY28" i="67"/>
  <c r="BI28" i="67"/>
  <c r="AS28" i="67"/>
  <c r="AC28" i="67"/>
  <c r="GR87" i="67"/>
  <c r="GB87" i="67"/>
  <c r="FL87" i="67"/>
  <c r="EV87" i="67"/>
  <c r="EF87" i="67"/>
  <c r="DP87" i="67"/>
  <c r="CZ87" i="67"/>
  <c r="CJ87" i="67"/>
  <c r="BT87" i="67"/>
  <c r="AN87" i="67"/>
  <c r="BD87" i="67"/>
  <c r="GR142" i="67"/>
  <c r="GB142" i="67"/>
  <c r="FL142" i="67"/>
  <c r="EV142" i="67"/>
  <c r="EF142" i="67"/>
  <c r="CZ142" i="67"/>
  <c r="DP142" i="67"/>
  <c r="CJ142" i="67"/>
  <c r="BT142" i="67"/>
  <c r="BD142" i="67"/>
  <c r="AN142" i="67"/>
  <c r="GB64" i="67"/>
  <c r="GR64" i="67"/>
  <c r="FL64" i="67"/>
  <c r="EV64" i="67"/>
  <c r="EF64" i="67"/>
  <c r="DP64" i="67"/>
  <c r="CJ64" i="67"/>
  <c r="BT64" i="67"/>
  <c r="AN64" i="67"/>
  <c r="CZ64" i="67"/>
  <c r="BD64" i="67"/>
  <c r="GQ121" i="67"/>
  <c r="GA121" i="67"/>
  <c r="FK121" i="67"/>
  <c r="EE121" i="67"/>
  <c r="EU121" i="67"/>
  <c r="DO121" i="67"/>
  <c r="CY121" i="67"/>
  <c r="BC121" i="67"/>
  <c r="CI121" i="67"/>
  <c r="BS121" i="67"/>
  <c r="AM121" i="67"/>
  <c r="GQ150" i="67"/>
  <c r="GA150" i="67"/>
  <c r="FK150" i="67"/>
  <c r="EE150" i="67"/>
  <c r="EU150" i="67"/>
  <c r="DO150" i="67"/>
  <c r="CY150" i="67"/>
  <c r="BC150" i="67"/>
  <c r="BS150" i="67"/>
  <c r="CI150" i="67"/>
  <c r="AM150" i="67"/>
  <c r="GQ73" i="67"/>
  <c r="GA73" i="67"/>
  <c r="FK73" i="67"/>
  <c r="EU73" i="67"/>
  <c r="EE73" i="67"/>
  <c r="DO73" i="67"/>
  <c r="CY73" i="67"/>
  <c r="CI73" i="67"/>
  <c r="BC73" i="67"/>
  <c r="BS73" i="67"/>
  <c r="AM73" i="67"/>
  <c r="M158" i="67"/>
  <c r="GG158" i="67"/>
  <c r="FQ158" i="67"/>
  <c r="FA158" i="67"/>
  <c r="EK158" i="67"/>
  <c r="DE158" i="67"/>
  <c r="DU158" i="67"/>
  <c r="CO158" i="67"/>
  <c r="BI158" i="67"/>
  <c r="BY158" i="67"/>
  <c r="AC158" i="67"/>
  <c r="AS158" i="67"/>
  <c r="M84" i="67"/>
  <c r="GG84" i="67"/>
  <c r="FQ84" i="67"/>
  <c r="FA84" i="67"/>
  <c r="EK84" i="67"/>
  <c r="DU84" i="67"/>
  <c r="CO84" i="67"/>
  <c r="DE84" i="67"/>
  <c r="BY84" i="67"/>
  <c r="BI84" i="67"/>
  <c r="AS84" i="67"/>
  <c r="AC84" i="67"/>
  <c r="M62" i="67"/>
  <c r="GG62" i="67"/>
  <c r="FQ62" i="67"/>
  <c r="FA62" i="67"/>
  <c r="EK62" i="67"/>
  <c r="DU62" i="67"/>
  <c r="CO62" i="67"/>
  <c r="DE62" i="67"/>
  <c r="BY62" i="67"/>
  <c r="BI62" i="67"/>
  <c r="AC62" i="67"/>
  <c r="AS62" i="67"/>
  <c r="GR102" i="67"/>
  <c r="GB102" i="67"/>
  <c r="FL102" i="67"/>
  <c r="EV102" i="67"/>
  <c r="EF102" i="67"/>
  <c r="DP102" i="67"/>
  <c r="CZ102" i="67"/>
  <c r="CJ102" i="67"/>
  <c r="BT102" i="67"/>
  <c r="AN102" i="67"/>
  <c r="BD102" i="67"/>
  <c r="M18" i="67"/>
  <c r="GG18" i="67"/>
  <c r="FQ18" i="67"/>
  <c r="FA18" i="67"/>
  <c r="EK18" i="67"/>
  <c r="DU18" i="67"/>
  <c r="DE18" i="67"/>
  <c r="CO18" i="67"/>
  <c r="BY18" i="67"/>
  <c r="BI18" i="67"/>
  <c r="AC18" i="67"/>
  <c r="AS18" i="67"/>
  <c r="GQ171" i="67"/>
  <c r="GA171" i="67"/>
  <c r="FK171" i="67"/>
  <c r="EU171" i="67"/>
  <c r="EE171" i="67"/>
  <c r="DO171" i="67"/>
  <c r="CY171" i="67"/>
  <c r="CI171" i="67"/>
  <c r="BC171" i="67"/>
  <c r="BS171" i="67"/>
  <c r="AM171" i="67"/>
  <c r="GR140" i="67"/>
  <c r="GB140" i="67"/>
  <c r="FL140" i="67"/>
  <c r="EV140" i="67"/>
  <c r="DP140" i="67"/>
  <c r="CZ140" i="67"/>
  <c r="CJ140" i="67"/>
  <c r="EF140" i="67"/>
  <c r="BT140" i="67"/>
  <c r="BD140" i="67"/>
  <c r="AN140" i="67"/>
  <c r="M122" i="67"/>
  <c r="GG122" i="67"/>
  <c r="FA122" i="67"/>
  <c r="FQ122" i="67"/>
  <c r="EK122" i="67"/>
  <c r="DU122" i="67"/>
  <c r="DE122" i="67"/>
  <c r="CO122" i="67"/>
  <c r="BY122" i="67"/>
  <c r="BI122" i="67"/>
  <c r="AS122" i="67"/>
  <c r="AC122" i="67"/>
  <c r="M184" i="67"/>
  <c r="GG184" i="67"/>
  <c r="FQ184" i="67"/>
  <c r="FA184" i="67"/>
  <c r="EK184" i="67"/>
  <c r="DU184" i="67"/>
  <c r="DE184" i="67"/>
  <c r="CO184" i="67"/>
  <c r="BY184" i="67"/>
  <c r="BI184" i="67"/>
  <c r="AC184" i="67"/>
  <c r="AS184" i="67"/>
  <c r="GQ147" i="67"/>
  <c r="GA147" i="67"/>
  <c r="FK147" i="67"/>
  <c r="EU147" i="67"/>
  <c r="EE147" i="67"/>
  <c r="DO147" i="67"/>
  <c r="CY147" i="67"/>
  <c r="CI147" i="67"/>
  <c r="BC147" i="67"/>
  <c r="BS147" i="67"/>
  <c r="AM147" i="67"/>
  <c r="M69" i="67"/>
  <c r="GG69" i="67"/>
  <c r="FQ69" i="67"/>
  <c r="FA69" i="67"/>
  <c r="EK69" i="67"/>
  <c r="DU69" i="67"/>
  <c r="CO69" i="67"/>
  <c r="DE69" i="67"/>
  <c r="BY69" i="67"/>
  <c r="BI69" i="67"/>
  <c r="AC69" i="67"/>
  <c r="AS69" i="67"/>
  <c r="GQ35" i="67"/>
  <c r="GA35" i="67"/>
  <c r="FK35" i="67"/>
  <c r="EU35" i="67"/>
  <c r="EE35" i="67"/>
  <c r="DO35" i="67"/>
  <c r="CY35" i="67"/>
  <c r="CI35" i="67"/>
  <c r="BS35" i="67"/>
  <c r="BC35" i="67"/>
  <c r="AM35" i="67"/>
  <c r="GR184" i="67"/>
  <c r="GB184" i="67"/>
  <c r="FL184" i="67"/>
  <c r="EV184" i="67"/>
  <c r="EF184" i="67"/>
  <c r="CZ184" i="67"/>
  <c r="DP184" i="67"/>
  <c r="BT184" i="67"/>
  <c r="CJ184" i="67"/>
  <c r="AN184" i="67"/>
  <c r="BD184" i="67"/>
  <c r="GQ164" i="67"/>
  <c r="GA164" i="67"/>
  <c r="FK164" i="67"/>
  <c r="EU164" i="67"/>
  <c r="EE164" i="67"/>
  <c r="DO164" i="67"/>
  <c r="CY164" i="67"/>
  <c r="CI164" i="67"/>
  <c r="BC164" i="67"/>
  <c r="BS164" i="67"/>
  <c r="AM164" i="67"/>
  <c r="GQ132" i="67"/>
  <c r="GA132" i="67"/>
  <c r="FK132" i="67"/>
  <c r="EU132" i="67"/>
  <c r="EE132" i="67"/>
  <c r="DO132" i="67"/>
  <c r="CY132" i="67"/>
  <c r="BC132" i="67"/>
  <c r="CI132" i="67"/>
  <c r="BS132" i="67"/>
  <c r="AM132" i="67"/>
  <c r="M12" i="67"/>
  <c r="GG12" i="67"/>
  <c r="FQ12" i="67"/>
  <c r="FA12" i="67"/>
  <c r="DU12" i="67"/>
  <c r="EK12" i="67"/>
  <c r="CO12" i="67"/>
  <c r="DE12" i="67"/>
  <c r="BY12" i="67"/>
  <c r="AC12" i="67"/>
  <c r="BI12" i="67"/>
  <c r="AS12" i="67"/>
  <c r="GQ120" i="67"/>
  <c r="GA120" i="67"/>
  <c r="FK120" i="67"/>
  <c r="EU120" i="67"/>
  <c r="EE120" i="67"/>
  <c r="DO120" i="67"/>
  <c r="CY120" i="67"/>
  <c r="CI120" i="67"/>
  <c r="BC120" i="67"/>
  <c r="BS120" i="67"/>
  <c r="AM120" i="67"/>
  <c r="M132" i="67"/>
  <c r="GG132" i="67"/>
  <c r="FA132" i="67"/>
  <c r="FQ132" i="67"/>
  <c r="EK132" i="67"/>
  <c r="DU132" i="67"/>
  <c r="DE132" i="67"/>
  <c r="BY132" i="67"/>
  <c r="CO132" i="67"/>
  <c r="BI132" i="67"/>
  <c r="AC132" i="67"/>
  <c r="AS132" i="67"/>
  <c r="M93" i="67"/>
  <c r="GG93" i="67"/>
  <c r="FQ93" i="67"/>
  <c r="FA93" i="67"/>
  <c r="EK93" i="67"/>
  <c r="DU93" i="67"/>
  <c r="CO93" i="67"/>
  <c r="DE93" i="67"/>
  <c r="BY93" i="67"/>
  <c r="BI93" i="67"/>
  <c r="AC93" i="67"/>
  <c r="AS93" i="67"/>
  <c r="GQ60" i="67"/>
  <c r="GA60" i="67"/>
  <c r="FK60" i="67"/>
  <c r="EU60" i="67"/>
  <c r="EE60" i="67"/>
  <c r="DO60" i="67"/>
  <c r="CY60" i="67"/>
  <c r="CI60" i="67"/>
  <c r="BS60" i="67"/>
  <c r="AM60" i="67"/>
  <c r="BC60" i="67"/>
  <c r="GR28" i="67"/>
  <c r="GB28" i="67"/>
  <c r="FL28" i="67"/>
  <c r="EV28" i="67"/>
  <c r="EF28" i="67"/>
  <c r="DP28" i="67"/>
  <c r="CZ28" i="67"/>
  <c r="CJ28" i="67"/>
  <c r="BT28" i="67"/>
  <c r="BD28" i="67"/>
  <c r="AN28" i="67"/>
  <c r="GR119" i="67"/>
  <c r="GB119" i="67"/>
  <c r="FL119" i="67"/>
  <c r="EV119" i="67"/>
  <c r="EF119" i="67"/>
  <c r="DP119" i="67"/>
  <c r="CZ119" i="67"/>
  <c r="CJ119" i="67"/>
  <c r="BT119" i="67"/>
  <c r="BD119" i="67"/>
  <c r="AN119" i="67"/>
  <c r="GQ119" i="67"/>
  <c r="GA119" i="67"/>
  <c r="FK119" i="67"/>
  <c r="EE119" i="67"/>
  <c r="EU119" i="67"/>
  <c r="DO119" i="67"/>
  <c r="CY119" i="67"/>
  <c r="BC119" i="67"/>
  <c r="CI119" i="67"/>
  <c r="BS119" i="67"/>
  <c r="AM119" i="67"/>
  <c r="M61" i="67"/>
  <c r="GG61" i="67"/>
  <c r="FQ61" i="67"/>
  <c r="FA61" i="67"/>
  <c r="EK61" i="67"/>
  <c r="DU61" i="67"/>
  <c r="CO61" i="67"/>
  <c r="DE61" i="67"/>
  <c r="BY61" i="67"/>
  <c r="BI61" i="67"/>
  <c r="AC61" i="67"/>
  <c r="AS61" i="67"/>
  <c r="M22" i="67"/>
  <c r="GG22" i="67"/>
  <c r="FQ22" i="67"/>
  <c r="FA22" i="67"/>
  <c r="DU22" i="67"/>
  <c r="EK22" i="67"/>
  <c r="DE22" i="67"/>
  <c r="BY22" i="67"/>
  <c r="CO22" i="67"/>
  <c r="BI22" i="67"/>
  <c r="AS22" i="67"/>
  <c r="AC22" i="67"/>
  <c r="M118" i="67"/>
  <c r="GG118" i="67"/>
  <c r="FQ118" i="67"/>
  <c r="FA118" i="67"/>
  <c r="EK118" i="67"/>
  <c r="DU118" i="67"/>
  <c r="DE118" i="67"/>
  <c r="CO118" i="67"/>
  <c r="BY118" i="67"/>
  <c r="BI118" i="67"/>
  <c r="AS118" i="67"/>
  <c r="AC118" i="67"/>
  <c r="GQ185" i="67"/>
  <c r="GA185" i="67"/>
  <c r="FK185" i="67"/>
  <c r="EE185" i="67"/>
  <c r="EU185" i="67"/>
  <c r="DO185" i="67"/>
  <c r="CY185" i="67"/>
  <c r="BC185" i="67"/>
  <c r="CI185" i="67"/>
  <c r="BS185" i="67"/>
  <c r="AM185" i="67"/>
  <c r="GR154" i="67"/>
  <c r="GB154" i="67"/>
  <c r="FL154" i="67"/>
  <c r="EV154" i="67"/>
  <c r="EF154" i="67"/>
  <c r="CZ154" i="67"/>
  <c r="DP154" i="67"/>
  <c r="CJ154" i="67"/>
  <c r="BT154" i="67"/>
  <c r="BD154" i="67"/>
  <c r="AN154" i="67"/>
  <c r="M60" i="67"/>
  <c r="GG60" i="67"/>
  <c r="FQ60" i="67"/>
  <c r="FA60" i="67"/>
  <c r="EK60" i="67"/>
  <c r="DU60" i="67"/>
  <c r="CO60" i="67"/>
  <c r="DE60" i="67"/>
  <c r="BY60" i="67"/>
  <c r="BI60" i="67"/>
  <c r="AS60" i="67"/>
  <c r="AC60" i="67"/>
  <c r="GR19" i="67"/>
  <c r="GB19" i="67"/>
  <c r="FL19" i="67"/>
  <c r="EV19" i="67"/>
  <c r="EF19" i="67"/>
  <c r="DP19" i="67"/>
  <c r="CJ19" i="67"/>
  <c r="CZ19" i="67"/>
  <c r="BT19" i="67"/>
  <c r="BD19" i="67"/>
  <c r="AN19" i="67"/>
  <c r="M92" i="67"/>
  <c r="GG92" i="67"/>
  <c r="FQ92" i="67"/>
  <c r="FA92" i="67"/>
  <c r="EK92" i="67"/>
  <c r="DU92" i="67"/>
  <c r="CO92" i="67"/>
  <c r="DE92" i="67"/>
  <c r="BY92" i="67"/>
  <c r="BI92" i="67"/>
  <c r="AS92" i="67"/>
  <c r="AC92" i="67"/>
  <c r="GR124" i="67"/>
  <c r="GB124" i="67"/>
  <c r="FL124" i="67"/>
  <c r="EV124" i="67"/>
  <c r="EF124" i="67"/>
  <c r="DP124" i="67"/>
  <c r="CZ124" i="67"/>
  <c r="CJ124" i="67"/>
  <c r="BT124" i="67"/>
  <c r="AN124" i="67"/>
  <c r="BD124" i="67"/>
  <c r="M172" i="67"/>
  <c r="GG172" i="67"/>
  <c r="FQ172" i="67"/>
  <c r="FA172" i="67"/>
  <c r="EK172" i="67"/>
  <c r="DU172" i="67"/>
  <c r="DE172" i="67"/>
  <c r="CO172" i="67"/>
  <c r="BY172" i="67"/>
  <c r="BI172" i="67"/>
  <c r="AS172" i="67"/>
  <c r="AC172" i="67"/>
  <c r="GQ141" i="67"/>
  <c r="GA141" i="67"/>
  <c r="FK141" i="67"/>
  <c r="EE141" i="67"/>
  <c r="EU141" i="67"/>
  <c r="DO141" i="67"/>
  <c r="CY141" i="67"/>
  <c r="BC141" i="67"/>
  <c r="CI141" i="67"/>
  <c r="BS141" i="67"/>
  <c r="AM141" i="67"/>
  <c r="GR110" i="67"/>
  <c r="GB110" i="67"/>
  <c r="FL110" i="67"/>
  <c r="EV110" i="67"/>
  <c r="EF110" i="67"/>
  <c r="DP110" i="67"/>
  <c r="CZ110" i="67"/>
  <c r="CJ110" i="67"/>
  <c r="BT110" i="67"/>
  <c r="BD110" i="67"/>
  <c r="AN110" i="67"/>
  <c r="M154" i="67"/>
  <c r="GG154" i="67"/>
  <c r="FA154" i="67"/>
  <c r="FQ154" i="67"/>
  <c r="EK154" i="67"/>
  <c r="DU154" i="67"/>
  <c r="DE154" i="67"/>
  <c r="CO154" i="67"/>
  <c r="BY154" i="67"/>
  <c r="BI154" i="67"/>
  <c r="AS154" i="67"/>
  <c r="AC154" i="67"/>
  <c r="GQ122" i="67"/>
  <c r="GA122" i="67"/>
  <c r="FK122" i="67"/>
  <c r="EU122" i="67"/>
  <c r="EE122" i="67"/>
  <c r="DO122" i="67"/>
  <c r="CY122" i="67"/>
  <c r="BC122" i="67"/>
  <c r="CI122" i="67"/>
  <c r="BS122" i="67"/>
  <c r="AM122" i="67"/>
  <c r="GR83" i="67"/>
  <c r="GB83" i="67"/>
  <c r="FL83" i="67"/>
  <c r="EV83" i="67"/>
  <c r="EF83" i="67"/>
  <c r="DP83" i="67"/>
  <c r="CZ83" i="67"/>
  <c r="CJ83" i="67"/>
  <c r="BT83" i="67"/>
  <c r="BD83" i="67"/>
  <c r="AN83" i="67"/>
  <c r="GR92" i="67"/>
  <c r="GB92" i="67"/>
  <c r="FL92" i="67"/>
  <c r="EV92" i="67"/>
  <c r="DP92" i="67"/>
  <c r="EF92" i="67"/>
  <c r="CZ92" i="67"/>
  <c r="CJ92" i="67"/>
  <c r="BT92" i="67"/>
  <c r="AN92" i="67"/>
  <c r="BD92" i="67"/>
  <c r="M11" i="67"/>
  <c r="GG11" i="67"/>
  <c r="FQ11" i="67"/>
  <c r="FA11" i="67"/>
  <c r="EK11" i="67"/>
  <c r="DU11" i="67"/>
  <c r="CO11" i="67"/>
  <c r="DE11" i="67"/>
  <c r="BY11" i="67"/>
  <c r="AC11" i="67"/>
  <c r="BI11" i="67"/>
  <c r="AS11" i="67"/>
  <c r="GR181" i="67"/>
  <c r="GB181" i="67"/>
  <c r="FL181" i="67"/>
  <c r="EV181" i="67"/>
  <c r="EF181" i="67"/>
  <c r="DP181" i="67"/>
  <c r="CZ181" i="67"/>
  <c r="CJ181" i="67"/>
  <c r="BT181" i="67"/>
  <c r="BD181" i="67"/>
  <c r="AN181" i="67"/>
  <c r="GR109" i="67"/>
  <c r="GB109" i="67"/>
  <c r="FL109" i="67"/>
  <c r="EV109" i="67"/>
  <c r="EF109" i="67"/>
  <c r="DP109" i="67"/>
  <c r="CZ109" i="67"/>
  <c r="CJ109" i="67"/>
  <c r="BT109" i="67"/>
  <c r="BD109" i="67"/>
  <c r="AN109" i="67"/>
  <c r="GQ189" i="67"/>
  <c r="GA189" i="67"/>
  <c r="FK189" i="67"/>
  <c r="EU189" i="67"/>
  <c r="EE189" i="67"/>
  <c r="DO189" i="67"/>
  <c r="CY189" i="67"/>
  <c r="CI189" i="67"/>
  <c r="BC189" i="67"/>
  <c r="BS189" i="67"/>
  <c r="AM189" i="67"/>
  <c r="GQ117" i="67"/>
  <c r="GA117" i="67"/>
  <c r="FK117" i="67"/>
  <c r="EU117" i="67"/>
  <c r="EE117" i="67"/>
  <c r="DO117" i="67"/>
  <c r="CY117" i="67"/>
  <c r="CI117" i="67"/>
  <c r="BC117" i="67"/>
  <c r="BS117" i="67"/>
  <c r="AM117" i="67"/>
  <c r="GQ41" i="67"/>
  <c r="GA41" i="67"/>
  <c r="FK41" i="67"/>
  <c r="EU41" i="67"/>
  <c r="EE41" i="67"/>
  <c r="DO41" i="67"/>
  <c r="CY41" i="67"/>
  <c r="CI41" i="67"/>
  <c r="BS41" i="67"/>
  <c r="BC41" i="67"/>
  <c r="AM41" i="67"/>
  <c r="M173" i="67"/>
  <c r="GG173" i="67"/>
  <c r="FQ173" i="67"/>
  <c r="FA173" i="67"/>
  <c r="EK173" i="67"/>
  <c r="DU173" i="67"/>
  <c r="DE173" i="67"/>
  <c r="CO173" i="67"/>
  <c r="BY173" i="67"/>
  <c r="BI173" i="67"/>
  <c r="AS173" i="67"/>
  <c r="AC173" i="67"/>
  <c r="M130" i="67"/>
  <c r="GG130" i="67"/>
  <c r="FA130" i="67"/>
  <c r="FQ130" i="67"/>
  <c r="EK130" i="67"/>
  <c r="DU130" i="67"/>
  <c r="DE130" i="67"/>
  <c r="CO130" i="67"/>
  <c r="BY130" i="67"/>
  <c r="BI130" i="67"/>
  <c r="AS130" i="67"/>
  <c r="AC130" i="67"/>
  <c r="M49" i="67"/>
  <c r="GG49" i="67"/>
  <c r="FQ49" i="67"/>
  <c r="FA49" i="67"/>
  <c r="DU49" i="67"/>
  <c r="EK49" i="67"/>
  <c r="DE49" i="67"/>
  <c r="BY49" i="67"/>
  <c r="BI49" i="67"/>
  <c r="CO49" i="67"/>
  <c r="AS49" i="67"/>
  <c r="AC49" i="67"/>
  <c r="GR78" i="67"/>
  <c r="GB78" i="67"/>
  <c r="FL78" i="67"/>
  <c r="EV78" i="67"/>
  <c r="EF78" i="67"/>
  <c r="DP78" i="67"/>
  <c r="CZ78" i="67"/>
  <c r="CJ78" i="67"/>
  <c r="BT78" i="67"/>
  <c r="BD78" i="67"/>
  <c r="AN78" i="67"/>
  <c r="GQ162" i="67"/>
  <c r="FK162" i="67"/>
  <c r="GA162" i="67"/>
  <c r="EU162" i="67"/>
  <c r="EE162" i="67"/>
  <c r="DO162" i="67"/>
  <c r="CY162" i="67"/>
  <c r="CI162" i="67"/>
  <c r="BC162" i="67"/>
  <c r="BS162" i="67"/>
  <c r="AM162" i="67"/>
  <c r="GQ89" i="67"/>
  <c r="GA89" i="67"/>
  <c r="FK89" i="67"/>
  <c r="EU89" i="67"/>
  <c r="EE89" i="67"/>
  <c r="DO89" i="67"/>
  <c r="CY89" i="67"/>
  <c r="CI89" i="67"/>
  <c r="BC89" i="67"/>
  <c r="BS89" i="67"/>
  <c r="AM89" i="67"/>
  <c r="GQ13" i="67"/>
  <c r="GA13" i="67"/>
  <c r="FK13" i="67"/>
  <c r="EU13" i="67"/>
  <c r="EE13" i="67"/>
  <c r="DO13" i="67"/>
  <c r="CY13" i="67"/>
  <c r="BS13" i="67"/>
  <c r="CI13" i="67"/>
  <c r="AM13" i="67"/>
  <c r="BC13" i="67"/>
  <c r="M169" i="67"/>
  <c r="GG169" i="67"/>
  <c r="FQ169" i="67"/>
  <c r="FA169" i="67"/>
  <c r="EK169" i="67"/>
  <c r="DE169" i="67"/>
  <c r="DU169" i="67"/>
  <c r="CO169" i="67"/>
  <c r="BY169" i="67"/>
  <c r="BI169" i="67"/>
  <c r="AS169" i="67"/>
  <c r="AC169" i="67"/>
  <c r="M100" i="67"/>
  <c r="GG100" i="67"/>
  <c r="FA100" i="67"/>
  <c r="FQ100" i="67"/>
  <c r="EK100" i="67"/>
  <c r="DU100" i="67"/>
  <c r="CO100" i="67"/>
  <c r="DE100" i="67"/>
  <c r="BY100" i="67"/>
  <c r="BI100" i="67"/>
  <c r="AC100" i="67"/>
  <c r="AS100" i="67"/>
  <c r="M19" i="67"/>
  <c r="GG19" i="67"/>
  <c r="FQ19" i="67"/>
  <c r="FA19" i="67"/>
  <c r="DU19" i="67"/>
  <c r="EK19" i="67"/>
  <c r="CO19" i="67"/>
  <c r="DE19" i="67"/>
  <c r="BY19" i="67"/>
  <c r="BI19" i="67"/>
  <c r="AS19" i="67"/>
  <c r="AC19" i="67"/>
  <c r="GR178" i="67"/>
  <c r="GB178" i="67"/>
  <c r="FL178" i="67"/>
  <c r="EF178" i="67"/>
  <c r="CZ178" i="67"/>
  <c r="EV178" i="67"/>
  <c r="DP178" i="67"/>
  <c r="CJ178" i="67"/>
  <c r="BT178" i="67"/>
  <c r="BD178" i="67"/>
  <c r="AN178" i="67"/>
  <c r="GR107" i="67"/>
  <c r="GB107" i="67"/>
  <c r="FL107" i="67"/>
  <c r="EF107" i="67"/>
  <c r="DP107" i="67"/>
  <c r="EV107" i="67"/>
  <c r="CZ107" i="67"/>
  <c r="CJ107" i="67"/>
  <c r="BT107" i="67"/>
  <c r="BD107" i="67"/>
  <c r="AN107" i="67"/>
  <c r="GR33" i="67"/>
  <c r="GB33" i="67"/>
  <c r="FL33" i="67"/>
  <c r="EV33" i="67"/>
  <c r="EF33" i="67"/>
  <c r="DP33" i="67"/>
  <c r="CZ33" i="67"/>
  <c r="CJ33" i="67"/>
  <c r="BT33" i="67"/>
  <c r="AN33" i="67"/>
  <c r="BD33" i="67"/>
  <c r="GQ187" i="67"/>
  <c r="GA187" i="67"/>
  <c r="FK187" i="67"/>
  <c r="EU187" i="67"/>
  <c r="EE187" i="67"/>
  <c r="DO187" i="67"/>
  <c r="CY187" i="67"/>
  <c r="CI187" i="67"/>
  <c r="BC187" i="67"/>
  <c r="BS187" i="67"/>
  <c r="AM187" i="67"/>
  <c r="GQ39" i="67"/>
  <c r="GA39" i="67"/>
  <c r="FK39" i="67"/>
  <c r="EU39" i="67"/>
  <c r="EE39" i="67"/>
  <c r="DO39" i="67"/>
  <c r="CI39" i="67"/>
  <c r="CY39" i="67"/>
  <c r="BC39" i="67"/>
  <c r="AM39" i="67"/>
  <c r="BS39" i="67"/>
  <c r="M95" i="67"/>
  <c r="GG95" i="67"/>
  <c r="FQ95" i="67"/>
  <c r="FA95" i="67"/>
  <c r="EK95" i="67"/>
  <c r="DU95" i="67"/>
  <c r="DE95" i="67"/>
  <c r="CO95" i="67"/>
  <c r="BI95" i="67"/>
  <c r="AC95" i="67"/>
  <c r="BY95" i="67"/>
  <c r="AS95" i="67"/>
  <c r="M127" i="67"/>
  <c r="GG127" i="67"/>
  <c r="FQ127" i="67"/>
  <c r="FA127" i="67"/>
  <c r="EK127" i="67"/>
  <c r="DU127" i="67"/>
  <c r="DE127" i="67"/>
  <c r="CO127" i="67"/>
  <c r="BI127" i="67"/>
  <c r="AC127" i="67"/>
  <c r="BY127" i="67"/>
  <c r="AS127" i="67"/>
  <c r="M47" i="67"/>
  <c r="GG47" i="67"/>
  <c r="FQ47" i="67"/>
  <c r="FA47" i="67"/>
  <c r="DU47" i="67"/>
  <c r="EK47" i="67"/>
  <c r="DE47" i="67"/>
  <c r="BY47" i="67"/>
  <c r="CO47" i="67"/>
  <c r="BI47" i="67"/>
  <c r="AC47" i="67"/>
  <c r="AS47" i="67"/>
  <c r="GR123" i="67"/>
  <c r="GB123" i="67"/>
  <c r="FL123" i="67"/>
  <c r="EV123" i="67"/>
  <c r="CZ123" i="67"/>
  <c r="EF123" i="67"/>
  <c r="DP123" i="67"/>
  <c r="CJ123" i="67"/>
  <c r="BT123" i="67"/>
  <c r="BD123" i="67"/>
  <c r="AN123" i="67"/>
  <c r="GR151" i="67"/>
  <c r="GB151" i="67"/>
  <c r="FL151" i="67"/>
  <c r="EV151" i="67"/>
  <c r="CZ151" i="67"/>
  <c r="EF151" i="67"/>
  <c r="DP151" i="67"/>
  <c r="CJ151" i="67"/>
  <c r="BT151" i="67"/>
  <c r="BD151" i="67"/>
  <c r="AN151" i="67"/>
  <c r="GR76" i="67"/>
  <c r="GB76" i="67"/>
  <c r="FL76" i="67"/>
  <c r="EV76" i="67"/>
  <c r="EF76" i="67"/>
  <c r="DP76" i="67"/>
  <c r="CZ76" i="67"/>
  <c r="CJ76" i="67"/>
  <c r="BT76" i="67"/>
  <c r="AN76" i="67"/>
  <c r="BD76" i="67"/>
  <c r="GQ161" i="67"/>
  <c r="GA161" i="67"/>
  <c r="FK161" i="67"/>
  <c r="EE161" i="67"/>
  <c r="DO161" i="67"/>
  <c r="EU161" i="67"/>
  <c r="CY161" i="67"/>
  <c r="BC161" i="67"/>
  <c r="BS161" i="67"/>
  <c r="CI161" i="67"/>
  <c r="AM161" i="67"/>
  <c r="GQ159" i="67"/>
  <c r="GA159" i="67"/>
  <c r="FK159" i="67"/>
  <c r="EE159" i="67"/>
  <c r="DO159" i="67"/>
  <c r="EU159" i="67"/>
  <c r="CY159" i="67"/>
  <c r="CI159" i="67"/>
  <c r="BC159" i="67"/>
  <c r="BS159" i="67"/>
  <c r="AM159" i="67"/>
  <c r="GQ85" i="67"/>
  <c r="GA85" i="67"/>
  <c r="FK85" i="67"/>
  <c r="EU85" i="67"/>
  <c r="EE85" i="67"/>
  <c r="DO85" i="67"/>
  <c r="CY85" i="67"/>
  <c r="CI85" i="67"/>
  <c r="BC85" i="67"/>
  <c r="BS85" i="67"/>
  <c r="AM85" i="67"/>
  <c r="GQ11" i="67"/>
  <c r="GA11" i="67"/>
  <c r="FK11" i="67"/>
  <c r="EU11" i="67"/>
  <c r="EE11" i="67"/>
  <c r="DO11" i="67"/>
  <c r="BS11" i="67"/>
  <c r="CI11" i="67"/>
  <c r="CY11" i="67"/>
  <c r="AM11" i="67"/>
  <c r="BC11" i="67"/>
  <c r="M167" i="67"/>
  <c r="GG167" i="67"/>
  <c r="FQ167" i="67"/>
  <c r="FA167" i="67"/>
  <c r="EK167" i="67"/>
  <c r="DU167" i="67"/>
  <c r="DE167" i="67"/>
  <c r="CO167" i="67"/>
  <c r="BI167" i="67"/>
  <c r="BY167" i="67"/>
  <c r="AC167" i="67"/>
  <c r="AS167" i="67"/>
  <c r="M98" i="67"/>
  <c r="GG98" i="67"/>
  <c r="FA98" i="67"/>
  <c r="FQ98" i="67"/>
  <c r="EK98" i="67"/>
  <c r="DU98" i="67"/>
  <c r="DE98" i="67"/>
  <c r="CO98" i="67"/>
  <c r="BY98" i="67"/>
  <c r="BI98" i="67"/>
  <c r="AC98" i="67"/>
  <c r="AS98" i="67"/>
  <c r="M15" i="67"/>
  <c r="GG15" i="67"/>
  <c r="FQ15" i="67"/>
  <c r="FA15" i="67"/>
  <c r="EK15" i="67"/>
  <c r="DU15" i="67"/>
  <c r="CO15" i="67"/>
  <c r="DE15" i="67"/>
  <c r="BY15" i="67"/>
  <c r="AS15" i="67"/>
  <c r="BI15" i="67"/>
  <c r="AC15" i="67"/>
  <c r="GR23" i="67"/>
  <c r="GB23" i="67"/>
  <c r="FL23" i="67"/>
  <c r="EV23" i="67"/>
  <c r="EF23" i="67"/>
  <c r="DP23" i="67"/>
  <c r="CZ23" i="67"/>
  <c r="CJ23" i="67"/>
  <c r="BT23" i="67"/>
  <c r="AN23" i="67"/>
  <c r="BD23" i="67"/>
  <c r="GR134" i="67"/>
  <c r="GB134" i="67"/>
  <c r="FL134" i="67"/>
  <c r="EV134" i="67"/>
  <c r="EF134" i="67"/>
  <c r="CZ134" i="67"/>
  <c r="DP134" i="67"/>
  <c r="CJ134" i="67"/>
  <c r="BT134" i="67"/>
  <c r="AN134" i="67"/>
  <c r="BD134" i="67"/>
  <c r="GB55" i="67"/>
  <c r="GR55" i="67"/>
  <c r="FL55" i="67"/>
  <c r="EV55" i="67"/>
  <c r="EF55" i="67"/>
  <c r="DP55" i="67"/>
  <c r="CZ55" i="67"/>
  <c r="CJ55" i="67"/>
  <c r="BT55" i="67"/>
  <c r="BD55" i="67"/>
  <c r="AN55" i="67"/>
  <c r="GQ87" i="67"/>
  <c r="GA87" i="67"/>
  <c r="FK87" i="67"/>
  <c r="EE87" i="67"/>
  <c r="EU87" i="67"/>
  <c r="DO87" i="67"/>
  <c r="CY87" i="67"/>
  <c r="CI87" i="67"/>
  <c r="BC87" i="67"/>
  <c r="BS87" i="67"/>
  <c r="AM87" i="67"/>
  <c r="GQ142" i="67"/>
  <c r="GA142" i="67"/>
  <c r="FK142" i="67"/>
  <c r="EE142" i="67"/>
  <c r="EU142" i="67"/>
  <c r="CY142" i="67"/>
  <c r="DO142" i="67"/>
  <c r="BC142" i="67"/>
  <c r="BS142" i="67"/>
  <c r="AM142" i="67"/>
  <c r="CI142" i="67"/>
  <c r="GQ64" i="67"/>
  <c r="GA64" i="67"/>
  <c r="FK64" i="67"/>
  <c r="EU64" i="67"/>
  <c r="EE64" i="67"/>
  <c r="DO64" i="67"/>
  <c r="CY64" i="67"/>
  <c r="CI64" i="67"/>
  <c r="BS64" i="67"/>
  <c r="AM64" i="67"/>
  <c r="BC64" i="67"/>
  <c r="M121" i="67"/>
  <c r="GG121" i="67"/>
  <c r="FQ121" i="67"/>
  <c r="FA121" i="67"/>
  <c r="EK121" i="67"/>
  <c r="DE121" i="67"/>
  <c r="DU121" i="67"/>
  <c r="CO121" i="67"/>
  <c r="BY121" i="67"/>
  <c r="BI121" i="67"/>
  <c r="AS121" i="67"/>
  <c r="AC121" i="67"/>
  <c r="M150" i="67"/>
  <c r="GG150" i="67"/>
  <c r="FQ150" i="67"/>
  <c r="FA150" i="67"/>
  <c r="EK150" i="67"/>
  <c r="DE150" i="67"/>
  <c r="DU150" i="67"/>
  <c r="CO150" i="67"/>
  <c r="BI150" i="67"/>
  <c r="BY150" i="67"/>
  <c r="AS150" i="67"/>
  <c r="AC150" i="67"/>
  <c r="M73" i="67"/>
  <c r="GG73" i="67"/>
  <c r="FQ73" i="67"/>
  <c r="FA73" i="67"/>
  <c r="EK73" i="67"/>
  <c r="DU73" i="67"/>
  <c r="CO73" i="67"/>
  <c r="DE73" i="67"/>
  <c r="BY73" i="67"/>
  <c r="BI73" i="67"/>
  <c r="AS73" i="67"/>
  <c r="AC73" i="67"/>
  <c r="M141" i="67"/>
  <c r="GG141" i="67"/>
  <c r="FQ141" i="67"/>
  <c r="FA141" i="67"/>
  <c r="EK141" i="67"/>
  <c r="DU141" i="67"/>
  <c r="DE141" i="67"/>
  <c r="CO141" i="67"/>
  <c r="BY141" i="67"/>
  <c r="BI141" i="67"/>
  <c r="AS141" i="67"/>
  <c r="AC141" i="67"/>
  <c r="GR148" i="67"/>
  <c r="GB148" i="67"/>
  <c r="FL148" i="67"/>
  <c r="EV148" i="67"/>
  <c r="EF148" i="67"/>
  <c r="CZ148" i="67"/>
  <c r="DP148" i="67"/>
  <c r="CJ148" i="67"/>
  <c r="BT148" i="67"/>
  <c r="BD148" i="67"/>
  <c r="AN148" i="67"/>
  <c r="M34" i="67"/>
  <c r="GG34" i="67"/>
  <c r="FQ34" i="67"/>
  <c r="FA34" i="67"/>
  <c r="DU34" i="67"/>
  <c r="EK34" i="67"/>
  <c r="DE34" i="67"/>
  <c r="BY34" i="67"/>
  <c r="CO34" i="67"/>
  <c r="BI34" i="67"/>
  <c r="AC34" i="67"/>
  <c r="AS34" i="67"/>
  <c r="M153" i="67"/>
  <c r="GG153" i="67"/>
  <c r="FQ153" i="67"/>
  <c r="FA153" i="67"/>
  <c r="EK153" i="67"/>
  <c r="DU153" i="67"/>
  <c r="DE153" i="67"/>
  <c r="BY153" i="67"/>
  <c r="BI153" i="67"/>
  <c r="CO153" i="67"/>
  <c r="AS153" i="67"/>
  <c r="AC153" i="67"/>
  <c r="GQ29" i="67"/>
  <c r="GA29" i="67"/>
  <c r="FK29" i="67"/>
  <c r="EE29" i="67"/>
  <c r="EU29" i="67"/>
  <c r="DO29" i="67"/>
  <c r="CY29" i="67"/>
  <c r="BC29" i="67"/>
  <c r="CI29" i="67"/>
  <c r="BS29" i="67"/>
  <c r="AM29" i="67"/>
  <c r="GR164" i="67"/>
  <c r="GB164" i="67"/>
  <c r="FL164" i="67"/>
  <c r="EV164" i="67"/>
  <c r="EF164" i="67"/>
  <c r="CZ164" i="67"/>
  <c r="DP164" i="67"/>
  <c r="CJ164" i="67"/>
  <c r="BT164" i="67"/>
  <c r="AN164" i="67"/>
  <c r="BD164" i="67"/>
  <c r="GQ75" i="67"/>
  <c r="GA75" i="67"/>
  <c r="FK75" i="67"/>
  <c r="EU75" i="67"/>
  <c r="EE75" i="67"/>
  <c r="DO75" i="67"/>
  <c r="CY75" i="67"/>
  <c r="CI75" i="67"/>
  <c r="BC75" i="67"/>
  <c r="BS75" i="67"/>
  <c r="AM75" i="67"/>
  <c r="GR93" i="67"/>
  <c r="GB93" i="67"/>
  <c r="FL93" i="67"/>
  <c r="EV93" i="67"/>
  <c r="EF93" i="67"/>
  <c r="DP93" i="67"/>
  <c r="CZ93" i="67"/>
  <c r="CJ93" i="67"/>
  <c r="BT93" i="67"/>
  <c r="AN93" i="67"/>
  <c r="BD93" i="67"/>
  <c r="GR111" i="67"/>
  <c r="GB111" i="67"/>
  <c r="FL111" i="67"/>
  <c r="EV111" i="67"/>
  <c r="DP111" i="67"/>
  <c r="EF111" i="67"/>
  <c r="CZ111" i="67"/>
  <c r="CJ111" i="67"/>
  <c r="BT111" i="67"/>
  <c r="BD111" i="67"/>
  <c r="AN111" i="67"/>
  <c r="GR190" i="67"/>
  <c r="GB190" i="67"/>
  <c r="FL190" i="67"/>
  <c r="EV190" i="67"/>
  <c r="EF190" i="67"/>
  <c r="CZ190" i="67"/>
  <c r="DP190" i="67"/>
  <c r="CJ190" i="67"/>
  <c r="BT190" i="67"/>
  <c r="BD190" i="67"/>
  <c r="AN190" i="67"/>
  <c r="M112" i="67"/>
  <c r="GG112" i="67"/>
  <c r="FQ112" i="67"/>
  <c r="FA112" i="67"/>
  <c r="EK112" i="67"/>
  <c r="DU112" i="67"/>
  <c r="DE112" i="67"/>
  <c r="CO112" i="67"/>
  <c r="BY112" i="67"/>
  <c r="BI112" i="67"/>
  <c r="AS112" i="67"/>
  <c r="AC112" i="67"/>
  <c r="GR170" i="67"/>
  <c r="GB170" i="67"/>
  <c r="FL170" i="67"/>
  <c r="EV170" i="67"/>
  <c r="EF170" i="67"/>
  <c r="DP170" i="67"/>
  <c r="CZ170" i="67"/>
  <c r="CJ170" i="67"/>
  <c r="BT170" i="67"/>
  <c r="AN170" i="67"/>
  <c r="BD170" i="67"/>
  <c r="GR101" i="67"/>
  <c r="GB101" i="67"/>
  <c r="FL101" i="67"/>
  <c r="EV101" i="67"/>
  <c r="EF101" i="67"/>
  <c r="DP101" i="67"/>
  <c r="CZ101" i="67"/>
  <c r="CJ101" i="67"/>
  <c r="BT101" i="67"/>
  <c r="AN101" i="67"/>
  <c r="BD101" i="67"/>
  <c r="GB26" i="67"/>
  <c r="GR26" i="67"/>
  <c r="FL26" i="67"/>
  <c r="EV26" i="67"/>
  <c r="EF26" i="67"/>
  <c r="DP26" i="67"/>
  <c r="CZ26" i="67"/>
  <c r="CJ26" i="67"/>
  <c r="BT26" i="67"/>
  <c r="BD26" i="67"/>
  <c r="AN26" i="67"/>
  <c r="GQ181" i="67"/>
  <c r="GA181" i="67"/>
  <c r="FK181" i="67"/>
  <c r="EU181" i="67"/>
  <c r="EE181" i="67"/>
  <c r="DO181" i="67"/>
  <c r="CY181" i="67"/>
  <c r="CI181" i="67"/>
  <c r="BC181" i="67"/>
  <c r="BS181" i="67"/>
  <c r="AM181" i="67"/>
  <c r="GQ109" i="67"/>
  <c r="GA109" i="67"/>
  <c r="FK109" i="67"/>
  <c r="EU109" i="67"/>
  <c r="EE109" i="67"/>
  <c r="DO109" i="67"/>
  <c r="CY109" i="67"/>
  <c r="CI109" i="67"/>
  <c r="BC109" i="67"/>
  <c r="BS109" i="67"/>
  <c r="AM109" i="67"/>
  <c r="M189" i="67"/>
  <c r="GG189" i="67"/>
  <c r="FQ189" i="67"/>
  <c r="FA189" i="67"/>
  <c r="EK189" i="67"/>
  <c r="DU189" i="67"/>
  <c r="DE189" i="67"/>
  <c r="CO189" i="67"/>
  <c r="BY189" i="67"/>
  <c r="BI189" i="67"/>
  <c r="AS189" i="67"/>
  <c r="AC189" i="67"/>
  <c r="M117" i="67"/>
  <c r="GG117" i="67"/>
  <c r="FA117" i="67"/>
  <c r="FQ117" i="67"/>
  <c r="EK117" i="67"/>
  <c r="DU117" i="67"/>
  <c r="DE117" i="67"/>
  <c r="CO117" i="67"/>
  <c r="BY117" i="67"/>
  <c r="BI117" i="67"/>
  <c r="AS117" i="67"/>
  <c r="AC117" i="67"/>
  <c r="M40" i="67"/>
  <c r="GG40" i="67"/>
  <c r="FQ40" i="67"/>
  <c r="FA40" i="67"/>
  <c r="DU40" i="67"/>
  <c r="EK40" i="67"/>
  <c r="DE40" i="67"/>
  <c r="BY40" i="67"/>
  <c r="CO40" i="67"/>
  <c r="BI40" i="67"/>
  <c r="AC40" i="67"/>
  <c r="AS40" i="67"/>
  <c r="GR104" i="67"/>
  <c r="GB104" i="67"/>
  <c r="FL104" i="67"/>
  <c r="EV104" i="67"/>
  <c r="EF104" i="67"/>
  <c r="DP104" i="67"/>
  <c r="CZ104" i="67"/>
  <c r="CJ104" i="67"/>
  <c r="BT104" i="67"/>
  <c r="BD104" i="67"/>
  <c r="AN104" i="67"/>
  <c r="GR145" i="67"/>
  <c r="GB145" i="67"/>
  <c r="FL145" i="67"/>
  <c r="EV145" i="67"/>
  <c r="EF145" i="67"/>
  <c r="DP145" i="67"/>
  <c r="CZ145" i="67"/>
  <c r="CJ145" i="67"/>
  <c r="BT145" i="67"/>
  <c r="BD145" i="67"/>
  <c r="AN145" i="67"/>
  <c r="GR67" i="67"/>
  <c r="GB67" i="67"/>
  <c r="FL67" i="67"/>
  <c r="EV67" i="67"/>
  <c r="EF67" i="67"/>
  <c r="DP67" i="67"/>
  <c r="CZ67" i="67"/>
  <c r="CJ67" i="67"/>
  <c r="BT67" i="67"/>
  <c r="AN67" i="67"/>
  <c r="BD67" i="67"/>
  <c r="GQ192" i="67"/>
  <c r="GA192" i="67"/>
  <c r="FK192" i="67"/>
  <c r="EU192" i="67"/>
  <c r="EE192" i="67"/>
  <c r="DO192" i="67"/>
  <c r="CY192" i="67"/>
  <c r="CI192" i="67"/>
  <c r="BC192" i="67"/>
  <c r="BS192" i="67"/>
  <c r="AM192" i="67"/>
  <c r="GQ78" i="67"/>
  <c r="GA78" i="67"/>
  <c r="FK78" i="67"/>
  <c r="EU78" i="67"/>
  <c r="EE78" i="67"/>
  <c r="DO78" i="67"/>
  <c r="CY78" i="67"/>
  <c r="CI78" i="67"/>
  <c r="BC78" i="67"/>
  <c r="BS78" i="67"/>
  <c r="AM78" i="67"/>
  <c r="M162" i="67"/>
  <c r="GG162" i="67"/>
  <c r="FA162" i="67"/>
  <c r="FQ162" i="67"/>
  <c r="EK162" i="67"/>
  <c r="DE162" i="67"/>
  <c r="DU162" i="67"/>
  <c r="CO162" i="67"/>
  <c r="BY162" i="67"/>
  <c r="BI162" i="67"/>
  <c r="AC162" i="67"/>
  <c r="AS162" i="67"/>
  <c r="M89" i="67"/>
  <c r="GG89" i="67"/>
  <c r="FQ89" i="67"/>
  <c r="FA89" i="67"/>
  <c r="EK89" i="67"/>
  <c r="DU89" i="67"/>
  <c r="CO89" i="67"/>
  <c r="DE89" i="67"/>
  <c r="BY89" i="67"/>
  <c r="BI89" i="67"/>
  <c r="AC89" i="67"/>
  <c r="AS89" i="67"/>
  <c r="GR168" i="67"/>
  <c r="GB168" i="67"/>
  <c r="FL168" i="67"/>
  <c r="EF168" i="67"/>
  <c r="EV168" i="67"/>
  <c r="CZ168" i="67"/>
  <c r="DP168" i="67"/>
  <c r="CJ168" i="67"/>
  <c r="BT168" i="67"/>
  <c r="BD168" i="67"/>
  <c r="AN168" i="67"/>
  <c r="GR99" i="67"/>
  <c r="GB99" i="67"/>
  <c r="FL99" i="67"/>
  <c r="EF99" i="67"/>
  <c r="EV99" i="67"/>
  <c r="DP99" i="67"/>
  <c r="CZ99" i="67"/>
  <c r="CJ99" i="67"/>
  <c r="BT99" i="67"/>
  <c r="BD99" i="67"/>
  <c r="AN99" i="67"/>
  <c r="GR22" i="67"/>
  <c r="GB22" i="67"/>
  <c r="FL22" i="67"/>
  <c r="EV22" i="67"/>
  <c r="EF22" i="67"/>
  <c r="DP22" i="67"/>
  <c r="CZ22" i="67"/>
  <c r="CJ22" i="67"/>
  <c r="BT22" i="67"/>
  <c r="BD22" i="67"/>
  <c r="AN22" i="67"/>
  <c r="GQ178" i="67"/>
  <c r="GA178" i="67"/>
  <c r="FK178" i="67"/>
  <c r="EU178" i="67"/>
  <c r="EE178" i="67"/>
  <c r="DO178" i="67"/>
  <c r="CY178" i="67"/>
  <c r="CI178" i="67"/>
  <c r="BC178" i="67"/>
  <c r="BS178" i="67"/>
  <c r="AM178" i="67"/>
  <c r="GQ107" i="67"/>
  <c r="GA107" i="67"/>
  <c r="FK107" i="67"/>
  <c r="EU107" i="67"/>
  <c r="EE107" i="67"/>
  <c r="DO107" i="67"/>
  <c r="CY107" i="67"/>
  <c r="CI107" i="67"/>
  <c r="BC107" i="67"/>
  <c r="BS107" i="67"/>
  <c r="AM107" i="67"/>
  <c r="GQ33" i="67"/>
  <c r="GA33" i="67"/>
  <c r="FK33" i="67"/>
  <c r="EU33" i="67"/>
  <c r="EE33" i="67"/>
  <c r="DO33" i="67"/>
  <c r="CI33" i="67"/>
  <c r="CY33" i="67"/>
  <c r="BC33" i="67"/>
  <c r="BS33" i="67"/>
  <c r="AM33" i="67"/>
  <c r="M187" i="67"/>
  <c r="GG187" i="67"/>
  <c r="FQ187" i="67"/>
  <c r="FA187" i="67"/>
  <c r="EK187" i="67"/>
  <c r="DU187" i="67"/>
  <c r="DE187" i="67"/>
  <c r="CO187" i="67"/>
  <c r="BI187" i="67"/>
  <c r="AC187" i="67"/>
  <c r="BY187" i="67"/>
  <c r="AS187" i="67"/>
  <c r="M38" i="67"/>
  <c r="GG38" i="67"/>
  <c r="FQ38" i="67"/>
  <c r="FA38" i="67"/>
  <c r="EK38" i="67"/>
  <c r="DU38" i="67"/>
  <c r="DE38" i="67"/>
  <c r="BY38" i="67"/>
  <c r="CO38" i="67"/>
  <c r="BI38" i="67"/>
  <c r="AC38" i="67"/>
  <c r="AS38" i="67"/>
  <c r="GR88" i="67"/>
  <c r="GB88" i="67"/>
  <c r="FL88" i="67"/>
  <c r="EV88" i="67"/>
  <c r="CZ88" i="67"/>
  <c r="DP88" i="67"/>
  <c r="EF88" i="67"/>
  <c r="BT88" i="67"/>
  <c r="CJ88" i="67"/>
  <c r="BD88" i="67"/>
  <c r="AN88" i="67"/>
  <c r="GR143" i="67"/>
  <c r="GB143" i="67"/>
  <c r="FL143" i="67"/>
  <c r="EV143" i="67"/>
  <c r="CZ143" i="67"/>
  <c r="DP143" i="67"/>
  <c r="EF143" i="67"/>
  <c r="CJ143" i="67"/>
  <c r="BT143" i="67"/>
  <c r="BD143" i="67"/>
  <c r="AN143" i="67"/>
  <c r="GR65" i="67"/>
  <c r="GB65" i="67"/>
  <c r="FL65" i="67"/>
  <c r="EV65" i="67"/>
  <c r="EF65" i="67"/>
  <c r="DP65" i="67"/>
  <c r="CZ65" i="67"/>
  <c r="CJ65" i="67"/>
  <c r="BT65" i="67"/>
  <c r="AN65" i="67"/>
  <c r="BD65" i="67"/>
  <c r="GQ123" i="67"/>
  <c r="GA123" i="67"/>
  <c r="FK123" i="67"/>
  <c r="EE123" i="67"/>
  <c r="DO123" i="67"/>
  <c r="EU123" i="67"/>
  <c r="CY123" i="67"/>
  <c r="BC123" i="67"/>
  <c r="BS123" i="67"/>
  <c r="CI123" i="67"/>
  <c r="AM123" i="67"/>
  <c r="GQ151" i="67"/>
  <c r="GA151" i="67"/>
  <c r="FK151" i="67"/>
  <c r="EE151" i="67"/>
  <c r="DO151" i="67"/>
  <c r="EU151" i="67"/>
  <c r="CY151" i="67"/>
  <c r="CI151" i="67"/>
  <c r="BC151" i="67"/>
  <c r="BS151" i="67"/>
  <c r="AM151" i="67"/>
  <c r="GQ76" i="67"/>
  <c r="GA76" i="67"/>
  <c r="FK76" i="67"/>
  <c r="EE76" i="67"/>
  <c r="EU76" i="67"/>
  <c r="DO76" i="67"/>
  <c r="CI76" i="67"/>
  <c r="BC76" i="67"/>
  <c r="CY76" i="67"/>
  <c r="BS76" i="67"/>
  <c r="AM76" i="67"/>
  <c r="M161" i="67"/>
  <c r="GG161" i="67"/>
  <c r="FQ161" i="67"/>
  <c r="FA161" i="67"/>
  <c r="EK161" i="67"/>
  <c r="DU161" i="67"/>
  <c r="DE161" i="67"/>
  <c r="CO161" i="67"/>
  <c r="BI161" i="67"/>
  <c r="BY161" i="67"/>
  <c r="AC161" i="67"/>
  <c r="AS161" i="67"/>
  <c r="M159" i="67"/>
  <c r="GG159" i="67"/>
  <c r="FQ159" i="67"/>
  <c r="FA159" i="67"/>
  <c r="EK159" i="67"/>
  <c r="DU159" i="67"/>
  <c r="DE159" i="67"/>
  <c r="CO159" i="67"/>
  <c r="BI159" i="67"/>
  <c r="BY159" i="67"/>
  <c r="AC159" i="67"/>
  <c r="AS159" i="67"/>
  <c r="M85" i="67"/>
  <c r="GG85" i="67"/>
  <c r="FQ85" i="67"/>
  <c r="EK85" i="67"/>
  <c r="FA85" i="67"/>
  <c r="DU85" i="67"/>
  <c r="DE85" i="67"/>
  <c r="CO85" i="67"/>
  <c r="BY85" i="67"/>
  <c r="BI85" i="67"/>
  <c r="AC85" i="67"/>
  <c r="AS85" i="67"/>
  <c r="GR51" i="67"/>
  <c r="GB51" i="67"/>
  <c r="FL51" i="67"/>
  <c r="EV51" i="67"/>
  <c r="EF51" i="67"/>
  <c r="DP51" i="67"/>
  <c r="CZ51" i="67"/>
  <c r="CJ51" i="67"/>
  <c r="BT51" i="67"/>
  <c r="AN51" i="67"/>
  <c r="BD51" i="67"/>
  <c r="GR125" i="67"/>
  <c r="GB125" i="67"/>
  <c r="FL125" i="67"/>
  <c r="EV125" i="67"/>
  <c r="EF125" i="67"/>
  <c r="CZ125" i="67"/>
  <c r="DP125" i="67"/>
  <c r="CJ125" i="67"/>
  <c r="BT125" i="67"/>
  <c r="AN125" i="67"/>
  <c r="BD125" i="67"/>
  <c r="GR45" i="67"/>
  <c r="GB45" i="67"/>
  <c r="FL45" i="67"/>
  <c r="EV45" i="67"/>
  <c r="EF45" i="67"/>
  <c r="DP45" i="67"/>
  <c r="CZ45" i="67"/>
  <c r="CJ45" i="67"/>
  <c r="BT45" i="67"/>
  <c r="AN45" i="67"/>
  <c r="BD45" i="67"/>
  <c r="GQ23" i="67"/>
  <c r="GA23" i="67"/>
  <c r="FK23" i="67"/>
  <c r="EE23" i="67"/>
  <c r="EU23" i="67"/>
  <c r="DO23" i="67"/>
  <c r="CY23" i="67"/>
  <c r="CI23" i="67"/>
  <c r="BC23" i="67"/>
  <c r="BS23" i="67"/>
  <c r="AM23" i="67"/>
  <c r="GQ134" i="67"/>
  <c r="GA134" i="67"/>
  <c r="FK134" i="67"/>
  <c r="EE134" i="67"/>
  <c r="EU134" i="67"/>
  <c r="CY134" i="67"/>
  <c r="DO134" i="67"/>
  <c r="BC134" i="67"/>
  <c r="BS134" i="67"/>
  <c r="CI134" i="67"/>
  <c r="AM134" i="67"/>
  <c r="GQ55" i="67"/>
  <c r="GA55" i="67"/>
  <c r="EU55" i="67"/>
  <c r="FK55" i="67"/>
  <c r="EE55" i="67"/>
  <c r="DO55" i="67"/>
  <c r="CI55" i="67"/>
  <c r="CY55" i="67"/>
  <c r="BS55" i="67"/>
  <c r="BC55" i="67"/>
  <c r="AM55" i="67"/>
  <c r="M87" i="67"/>
  <c r="GG87" i="67"/>
  <c r="FQ87" i="67"/>
  <c r="FA87" i="67"/>
  <c r="EK87" i="67"/>
  <c r="DE87" i="67"/>
  <c r="DU87" i="67"/>
  <c r="CO87" i="67"/>
  <c r="BY87" i="67"/>
  <c r="BI87" i="67"/>
  <c r="AS87" i="67"/>
  <c r="AC87" i="67"/>
  <c r="M142" i="67"/>
  <c r="GG142" i="67"/>
  <c r="FQ142" i="67"/>
  <c r="FA142" i="67"/>
  <c r="EK142" i="67"/>
  <c r="DE142" i="67"/>
  <c r="DU142" i="67"/>
  <c r="CO142" i="67"/>
  <c r="BI142" i="67"/>
  <c r="BY142" i="67"/>
  <c r="AS142" i="67"/>
  <c r="AC142" i="67"/>
  <c r="M64" i="67"/>
  <c r="GG64" i="67"/>
  <c r="FQ64" i="67"/>
  <c r="FA64" i="67"/>
  <c r="EK64" i="67"/>
  <c r="DU64" i="67"/>
  <c r="CO64" i="67"/>
  <c r="DE64" i="67"/>
  <c r="BY64" i="67"/>
  <c r="BI64" i="67"/>
  <c r="AC64" i="67"/>
  <c r="AS64" i="67"/>
  <c r="M45" i="67"/>
  <c r="GG45" i="67"/>
  <c r="FQ45" i="67"/>
  <c r="FA45" i="67"/>
  <c r="DU45" i="67"/>
  <c r="EK45" i="67"/>
  <c r="DE45" i="67"/>
  <c r="BY45" i="67"/>
  <c r="CO45" i="67"/>
  <c r="BI45" i="67"/>
  <c r="AC45" i="67"/>
  <c r="AS45" i="67"/>
  <c r="M82" i="67"/>
  <c r="GG82" i="67"/>
  <c r="FQ82" i="67"/>
  <c r="FA82" i="67"/>
  <c r="EK82" i="67"/>
  <c r="DU82" i="67"/>
  <c r="DE82" i="67"/>
  <c r="CO82" i="67"/>
  <c r="BY82" i="67"/>
  <c r="BI82" i="67"/>
  <c r="AS82" i="67"/>
  <c r="AC82" i="67"/>
  <c r="GR118" i="67"/>
  <c r="GB118" i="67"/>
  <c r="FL118" i="67"/>
  <c r="EV118" i="67"/>
  <c r="EF118" i="67"/>
  <c r="CZ118" i="67"/>
  <c r="DP118" i="67"/>
  <c r="CJ118" i="67"/>
  <c r="BT118" i="67"/>
  <c r="BD118" i="67"/>
  <c r="AN118" i="67"/>
  <c r="M53" i="67"/>
  <c r="GG53" i="67"/>
  <c r="FQ53" i="67"/>
  <c r="FA53" i="67"/>
  <c r="DU53" i="67"/>
  <c r="EK53" i="67"/>
  <c r="DE53" i="67"/>
  <c r="BY53" i="67"/>
  <c r="CO53" i="67"/>
  <c r="BI53" i="67"/>
  <c r="AS53" i="67"/>
  <c r="AC53" i="67"/>
  <c r="GQ27" i="67"/>
  <c r="GA27" i="67"/>
  <c r="FK27" i="67"/>
  <c r="EU27" i="67"/>
  <c r="EE27" i="67"/>
  <c r="DO27" i="67"/>
  <c r="CY27" i="67"/>
  <c r="CI27" i="67"/>
  <c r="BS27" i="67"/>
  <c r="BC27" i="67"/>
  <c r="AM27" i="67"/>
  <c r="GQ118" i="67"/>
  <c r="GA118" i="67"/>
  <c r="FK118" i="67"/>
  <c r="EU118" i="67"/>
  <c r="EE118" i="67"/>
  <c r="DO118" i="67"/>
  <c r="CY118" i="67"/>
  <c r="CI118" i="67"/>
  <c r="BC118" i="67"/>
  <c r="BS118" i="67"/>
  <c r="AM118" i="67"/>
  <c r="GR185" i="67"/>
  <c r="GB185" i="67"/>
  <c r="FL185" i="67"/>
  <c r="EV185" i="67"/>
  <c r="EF185" i="67"/>
  <c r="DP185" i="67"/>
  <c r="CZ185" i="67"/>
  <c r="CJ185" i="67"/>
  <c r="BT185" i="67"/>
  <c r="BD185" i="67"/>
  <c r="AN185" i="67"/>
  <c r="M165" i="67"/>
  <c r="GG165" i="67"/>
  <c r="FQ165" i="67"/>
  <c r="FA165" i="67"/>
  <c r="EK165" i="67"/>
  <c r="DU165" i="67"/>
  <c r="DE165" i="67"/>
  <c r="BY165" i="67"/>
  <c r="CO165" i="67"/>
  <c r="BI165" i="67"/>
  <c r="AC165" i="67"/>
  <c r="AS165" i="67"/>
  <c r="M81" i="67"/>
  <c r="GG81" i="67"/>
  <c r="FQ81" i="67"/>
  <c r="FA81" i="67"/>
  <c r="EK81" i="67"/>
  <c r="DU81" i="67"/>
  <c r="CO81" i="67"/>
  <c r="DE81" i="67"/>
  <c r="BY81" i="67"/>
  <c r="BI81" i="67"/>
  <c r="AS81" i="67"/>
  <c r="AC81" i="67"/>
  <c r="GQ44" i="67"/>
  <c r="GA44" i="67"/>
  <c r="FK44" i="67"/>
  <c r="EU44" i="67"/>
  <c r="EE44" i="67"/>
  <c r="DO44" i="67"/>
  <c r="CI44" i="67"/>
  <c r="CY44" i="67"/>
  <c r="AM44" i="67"/>
  <c r="BS44" i="67"/>
  <c r="BC44" i="67"/>
  <c r="GR15" i="67"/>
  <c r="GB15" i="67"/>
  <c r="FL15" i="67"/>
  <c r="EV15" i="67"/>
  <c r="EF15" i="67"/>
  <c r="DP15" i="67"/>
  <c r="CZ15" i="67"/>
  <c r="CJ15" i="67"/>
  <c r="BT15" i="67"/>
  <c r="AN15" i="67"/>
  <c r="BD15" i="67"/>
  <c r="GR75" i="67"/>
  <c r="GB75" i="67"/>
  <c r="FL75" i="67"/>
  <c r="EV75" i="67"/>
  <c r="EF75" i="67"/>
  <c r="CZ75" i="67"/>
  <c r="DP75" i="67"/>
  <c r="CJ75" i="67"/>
  <c r="BT75" i="67"/>
  <c r="BD75" i="67"/>
  <c r="AN75" i="67"/>
  <c r="GR50" i="67"/>
  <c r="GB50" i="67"/>
  <c r="FL50" i="67"/>
  <c r="EV50" i="67"/>
  <c r="EF50" i="67"/>
  <c r="DP50" i="67"/>
  <c r="CZ50" i="67"/>
  <c r="CJ50" i="67"/>
  <c r="BT50" i="67"/>
  <c r="BD50" i="67"/>
  <c r="AN50" i="67"/>
  <c r="M185" i="67"/>
  <c r="GG185" i="67"/>
  <c r="FQ185" i="67"/>
  <c r="FA185" i="67"/>
  <c r="EK185" i="67"/>
  <c r="DU185" i="67"/>
  <c r="DE185" i="67"/>
  <c r="CO185" i="67"/>
  <c r="BY185" i="67"/>
  <c r="BI185" i="67"/>
  <c r="AS185" i="67"/>
  <c r="AC185" i="67"/>
  <c r="M139" i="67"/>
  <c r="GG139" i="67"/>
  <c r="FA139" i="67"/>
  <c r="FQ139" i="67"/>
  <c r="EK139" i="67"/>
  <c r="DU139" i="67"/>
  <c r="DE139" i="67"/>
  <c r="CO139" i="67"/>
  <c r="BY139" i="67"/>
  <c r="BI139" i="67"/>
  <c r="AS139" i="67"/>
  <c r="AC139" i="67"/>
  <c r="M147" i="67"/>
  <c r="GG147" i="67"/>
  <c r="FA147" i="67"/>
  <c r="FQ147" i="67"/>
  <c r="EK147" i="67"/>
  <c r="DU147" i="67"/>
  <c r="DE147" i="67"/>
  <c r="CO147" i="67"/>
  <c r="BY147" i="67"/>
  <c r="BI147" i="67"/>
  <c r="AS147" i="67"/>
  <c r="AC147" i="67"/>
  <c r="GQ52" i="67"/>
  <c r="GA52" i="67"/>
  <c r="FK52" i="67"/>
  <c r="EU52" i="67"/>
  <c r="EE52" i="67"/>
  <c r="DO52" i="67"/>
  <c r="CY52" i="67"/>
  <c r="CI52" i="67"/>
  <c r="AM52" i="67"/>
  <c r="BS52" i="67"/>
  <c r="BC52" i="67"/>
  <c r="GQ36" i="67"/>
  <c r="GA36" i="67"/>
  <c r="FK36" i="67"/>
  <c r="EU36" i="67"/>
  <c r="EE36" i="67"/>
  <c r="DO36" i="67"/>
  <c r="CI36" i="67"/>
  <c r="CY36" i="67"/>
  <c r="BS36" i="67"/>
  <c r="AM36" i="67"/>
  <c r="BC36" i="67"/>
  <c r="GQ179" i="67"/>
  <c r="GA179" i="67"/>
  <c r="FK179" i="67"/>
  <c r="EU179" i="67"/>
  <c r="EE179" i="67"/>
  <c r="DO179" i="67"/>
  <c r="CY179" i="67"/>
  <c r="CI179" i="67"/>
  <c r="BC179" i="67"/>
  <c r="BS179" i="67"/>
  <c r="AM179" i="67"/>
  <c r="GR16" i="67"/>
  <c r="GB16" i="67"/>
  <c r="FL16" i="67"/>
  <c r="EV16" i="67"/>
  <c r="EF16" i="67"/>
  <c r="CZ16" i="67"/>
  <c r="DP16" i="67"/>
  <c r="CJ16" i="67"/>
  <c r="BT16" i="67"/>
  <c r="AN16" i="67"/>
  <c r="BD16" i="67"/>
  <c r="GQ50" i="67"/>
  <c r="GA50" i="67"/>
  <c r="FK50" i="67"/>
  <c r="EU50" i="67"/>
  <c r="EE50" i="67"/>
  <c r="DO50" i="67"/>
  <c r="CY50" i="67"/>
  <c r="CI50" i="67"/>
  <c r="AM50" i="67"/>
  <c r="BS50" i="67"/>
  <c r="BC50" i="67"/>
  <c r="M190" i="67"/>
  <c r="GG190" i="67"/>
  <c r="FQ190" i="67"/>
  <c r="FA190" i="67"/>
  <c r="EK190" i="67"/>
  <c r="DU190" i="67"/>
  <c r="DE190" i="67"/>
  <c r="CO190" i="67"/>
  <c r="BY190" i="67"/>
  <c r="BI190" i="67"/>
  <c r="AS190" i="67"/>
  <c r="AC190" i="67"/>
  <c r="M24" i="67"/>
  <c r="GG24" i="67"/>
  <c r="FQ24" i="67"/>
  <c r="FA24" i="67"/>
  <c r="DU24" i="67"/>
  <c r="EK24" i="67"/>
  <c r="DE24" i="67"/>
  <c r="BY24" i="67"/>
  <c r="CO24" i="67"/>
  <c r="BI24" i="67"/>
  <c r="AS24" i="67"/>
  <c r="AC24" i="67"/>
  <c r="M119" i="67"/>
  <c r="GG119" i="67"/>
  <c r="FQ119" i="67"/>
  <c r="FA119" i="67"/>
  <c r="EK119" i="67"/>
  <c r="DU119" i="67"/>
  <c r="DE119" i="67"/>
  <c r="CO119" i="67"/>
  <c r="BY119" i="67"/>
  <c r="BI119" i="67"/>
  <c r="AS119" i="67"/>
  <c r="AC119" i="67"/>
  <c r="GQ190" i="67"/>
  <c r="GA190" i="67"/>
  <c r="FK190" i="67"/>
  <c r="EU190" i="67"/>
  <c r="EE190" i="67"/>
  <c r="DO190" i="67"/>
  <c r="CY190" i="67"/>
  <c r="CI190" i="67"/>
  <c r="BC190" i="67"/>
  <c r="BS190" i="67"/>
  <c r="AM190" i="67"/>
  <c r="GR155" i="67"/>
  <c r="GB155" i="67"/>
  <c r="FL155" i="67"/>
  <c r="EV155" i="67"/>
  <c r="EF155" i="67"/>
  <c r="CZ155" i="67"/>
  <c r="DP155" i="67"/>
  <c r="CJ155" i="67"/>
  <c r="BT155" i="67"/>
  <c r="AN155" i="67"/>
  <c r="BD155" i="67"/>
  <c r="M74" i="67"/>
  <c r="GG74" i="67"/>
  <c r="FQ74" i="67"/>
  <c r="FA74" i="67"/>
  <c r="EK74" i="67"/>
  <c r="DU74" i="67"/>
  <c r="DE74" i="67"/>
  <c r="CO74" i="67"/>
  <c r="BY74" i="67"/>
  <c r="BI74" i="67"/>
  <c r="AS74" i="67"/>
  <c r="AC74" i="67"/>
  <c r="M16" i="67"/>
  <c r="GG16" i="67"/>
  <c r="FQ16" i="67"/>
  <c r="FA16" i="67"/>
  <c r="EK16" i="67"/>
  <c r="DU16" i="67"/>
  <c r="DE16" i="67"/>
  <c r="BY16" i="67"/>
  <c r="CO16" i="67"/>
  <c r="BI16" i="67"/>
  <c r="AC16" i="67"/>
  <c r="AS16" i="67"/>
  <c r="GR139" i="67"/>
  <c r="GB139" i="67"/>
  <c r="FL139" i="67"/>
  <c r="EV139" i="67"/>
  <c r="EF139" i="67"/>
  <c r="DP139" i="67"/>
  <c r="CZ139" i="67"/>
  <c r="CJ139" i="67"/>
  <c r="BT139" i="67"/>
  <c r="BD139" i="67"/>
  <c r="AN139" i="67"/>
  <c r="M164" i="67"/>
  <c r="GG164" i="67"/>
  <c r="FQ164" i="67"/>
  <c r="FA164" i="67"/>
  <c r="EK164" i="67"/>
  <c r="DU164" i="67"/>
  <c r="DE164" i="67"/>
  <c r="CO164" i="67"/>
  <c r="BY164" i="67"/>
  <c r="BI164" i="67"/>
  <c r="AC164" i="67"/>
  <c r="AS164" i="67"/>
  <c r="GR177" i="67"/>
  <c r="GB177" i="67"/>
  <c r="FL177" i="67"/>
  <c r="EV177" i="67"/>
  <c r="EF177" i="67"/>
  <c r="DP177" i="67"/>
  <c r="CZ177" i="67"/>
  <c r="CJ177" i="67"/>
  <c r="BT177" i="67"/>
  <c r="BD177" i="67"/>
  <c r="AN177" i="67"/>
  <c r="GR163" i="67"/>
  <c r="GB163" i="67"/>
  <c r="FL163" i="67"/>
  <c r="EV163" i="67"/>
  <c r="EF163" i="67"/>
  <c r="DP163" i="67"/>
  <c r="CZ163" i="67"/>
  <c r="CJ163" i="67"/>
  <c r="BT163" i="67"/>
  <c r="BD163" i="67"/>
  <c r="AN163" i="67"/>
  <c r="GR90" i="67"/>
  <c r="GB90" i="67"/>
  <c r="FL90" i="67"/>
  <c r="EV90" i="67"/>
  <c r="EF90" i="67"/>
  <c r="DP90" i="67"/>
  <c r="CZ90" i="67"/>
  <c r="CJ90" i="67"/>
  <c r="BT90" i="67"/>
  <c r="BD90" i="67"/>
  <c r="AN90" i="67"/>
  <c r="GB14" i="67"/>
  <c r="GR14" i="67"/>
  <c r="FL14" i="67"/>
  <c r="EV14" i="67"/>
  <c r="EF14" i="67"/>
  <c r="DP14" i="67"/>
  <c r="CZ14" i="67"/>
  <c r="CJ14" i="67"/>
  <c r="AN14" i="67"/>
  <c r="BT14" i="67"/>
  <c r="BD14" i="67"/>
  <c r="GQ170" i="67"/>
  <c r="GA170" i="67"/>
  <c r="FK170" i="67"/>
  <c r="EU170" i="67"/>
  <c r="EE170" i="67"/>
  <c r="DO170" i="67"/>
  <c r="CY170" i="67"/>
  <c r="CI170" i="67"/>
  <c r="BC170" i="67"/>
  <c r="BS170" i="67"/>
  <c r="AM170" i="67"/>
  <c r="GQ101" i="67"/>
  <c r="GA101" i="67"/>
  <c r="FK101" i="67"/>
  <c r="EU101" i="67"/>
  <c r="EE101" i="67"/>
  <c r="DO101" i="67"/>
  <c r="CY101" i="67"/>
  <c r="CI101" i="67"/>
  <c r="BC101" i="67"/>
  <c r="BS101" i="67"/>
  <c r="AM101" i="67"/>
  <c r="GQ26" i="67"/>
  <c r="GA26" i="67"/>
  <c r="FK26" i="67"/>
  <c r="EU26" i="67"/>
  <c r="EE26" i="67"/>
  <c r="DO26" i="67"/>
  <c r="CY26" i="67"/>
  <c r="CI26" i="67"/>
  <c r="BC26" i="67"/>
  <c r="BS26" i="67"/>
  <c r="AM26" i="67"/>
  <c r="M181" i="67"/>
  <c r="GG181" i="67"/>
  <c r="FQ181" i="67"/>
  <c r="FA181" i="67"/>
  <c r="EK181" i="67"/>
  <c r="DU181" i="67"/>
  <c r="DE181" i="67"/>
  <c r="CO181" i="67"/>
  <c r="BY181" i="67"/>
  <c r="BI181" i="67"/>
  <c r="AS181" i="67"/>
  <c r="AC181" i="67"/>
  <c r="M109" i="67"/>
  <c r="GG109" i="67"/>
  <c r="FA109" i="67"/>
  <c r="FQ109" i="67"/>
  <c r="EK109" i="67"/>
  <c r="DU109" i="67"/>
  <c r="DE109" i="67"/>
  <c r="CO109" i="67"/>
  <c r="BY109" i="67"/>
  <c r="BI109" i="67"/>
  <c r="AS109" i="67"/>
  <c r="AC109" i="67"/>
  <c r="M33" i="67"/>
  <c r="GG33" i="67"/>
  <c r="FQ33" i="67"/>
  <c r="FA33" i="67"/>
  <c r="DU33" i="67"/>
  <c r="EK33" i="67"/>
  <c r="DE33" i="67"/>
  <c r="BY33" i="67"/>
  <c r="CO33" i="67"/>
  <c r="BI33" i="67"/>
  <c r="AC33" i="67"/>
  <c r="AS33" i="67"/>
  <c r="GR63" i="67"/>
  <c r="GB63" i="67"/>
  <c r="FL63" i="67"/>
  <c r="EV63" i="67"/>
  <c r="EF63" i="67"/>
  <c r="DP63" i="67"/>
  <c r="CZ63" i="67"/>
  <c r="CJ63" i="67"/>
  <c r="BT63" i="67"/>
  <c r="AN63" i="67"/>
  <c r="BD63" i="67"/>
  <c r="GR137" i="67"/>
  <c r="GB137" i="67"/>
  <c r="FL137" i="67"/>
  <c r="EV137" i="67"/>
  <c r="EF137" i="67"/>
  <c r="CZ137" i="67"/>
  <c r="CJ137" i="67"/>
  <c r="DP137" i="67"/>
  <c r="BT137" i="67"/>
  <c r="AN137" i="67"/>
  <c r="BD137" i="67"/>
  <c r="GR58" i="67"/>
  <c r="GB58" i="67"/>
  <c r="FL58" i="67"/>
  <c r="EV58" i="67"/>
  <c r="EF58" i="67"/>
  <c r="DP58" i="67"/>
  <c r="CZ58" i="67"/>
  <c r="CJ58" i="67"/>
  <c r="BT58" i="67"/>
  <c r="BD58" i="67"/>
  <c r="AN58" i="67"/>
  <c r="GQ104" i="67"/>
  <c r="GA104" i="67"/>
  <c r="FK104" i="67"/>
  <c r="EU104" i="67"/>
  <c r="EE104" i="67"/>
  <c r="DO104" i="67"/>
  <c r="CY104" i="67"/>
  <c r="CI104" i="67"/>
  <c r="BC104" i="67"/>
  <c r="BS104" i="67"/>
  <c r="AM104" i="67"/>
  <c r="GQ145" i="67"/>
  <c r="GA145" i="67"/>
  <c r="FK145" i="67"/>
  <c r="EU145" i="67"/>
  <c r="EE145" i="67"/>
  <c r="DO145" i="67"/>
  <c r="CY145" i="67"/>
  <c r="CI145" i="67"/>
  <c r="BC145" i="67"/>
  <c r="BS145" i="67"/>
  <c r="AM145" i="67"/>
  <c r="GQ67" i="67"/>
  <c r="GA67" i="67"/>
  <c r="FK67" i="67"/>
  <c r="EU67" i="67"/>
  <c r="EE67" i="67"/>
  <c r="DO67" i="67"/>
  <c r="CY67" i="67"/>
  <c r="CI67" i="67"/>
  <c r="BS67" i="67"/>
  <c r="AM67" i="67"/>
  <c r="BC67" i="67"/>
  <c r="M78" i="67"/>
  <c r="GG78" i="67"/>
  <c r="FQ78" i="67"/>
  <c r="FA78" i="67"/>
  <c r="EK78" i="67"/>
  <c r="DU78" i="67"/>
  <c r="CO78" i="67"/>
  <c r="DE78" i="67"/>
  <c r="BY78" i="67"/>
  <c r="BI78" i="67"/>
  <c r="AS78" i="67"/>
  <c r="AC78" i="67"/>
  <c r="GR160" i="67"/>
  <c r="GB160" i="67"/>
  <c r="FL160" i="67"/>
  <c r="EF160" i="67"/>
  <c r="EV160" i="67"/>
  <c r="CZ160" i="67"/>
  <c r="DP160" i="67"/>
  <c r="CJ160" i="67"/>
  <c r="BT160" i="67"/>
  <c r="BD160" i="67"/>
  <c r="AN160" i="67"/>
  <c r="GR86" i="67"/>
  <c r="GB86" i="67"/>
  <c r="FL86" i="67"/>
  <c r="EF86" i="67"/>
  <c r="EV86" i="67"/>
  <c r="DP86" i="67"/>
  <c r="CZ86" i="67"/>
  <c r="CJ86" i="67"/>
  <c r="BT86" i="67"/>
  <c r="BD86" i="67"/>
  <c r="AN86" i="67"/>
  <c r="GR12" i="67"/>
  <c r="GB12" i="67"/>
  <c r="FL12" i="67"/>
  <c r="EV12" i="67"/>
  <c r="EF12" i="67"/>
  <c r="DP12" i="67"/>
  <c r="CJ12" i="67"/>
  <c r="CZ12" i="67"/>
  <c r="AN12" i="67"/>
  <c r="BT12" i="67"/>
  <c r="BD12" i="67"/>
  <c r="GQ168" i="67"/>
  <c r="GA168" i="67"/>
  <c r="FK168" i="67"/>
  <c r="EU168" i="67"/>
  <c r="EE168" i="67"/>
  <c r="DO168" i="67"/>
  <c r="CY168" i="67"/>
  <c r="CI168" i="67"/>
  <c r="BC168" i="67"/>
  <c r="BS168" i="67"/>
  <c r="AM168" i="67"/>
  <c r="GQ99" i="67"/>
  <c r="GA99" i="67"/>
  <c r="FK99" i="67"/>
  <c r="EU99" i="67"/>
  <c r="EE99" i="67"/>
  <c r="DO99" i="67"/>
  <c r="CY99" i="67"/>
  <c r="CI99" i="67"/>
  <c r="BC99" i="67"/>
  <c r="BS99" i="67"/>
  <c r="AM99" i="67"/>
  <c r="GQ22" i="67"/>
  <c r="GA22" i="67"/>
  <c r="FK22" i="67"/>
  <c r="EU22" i="67"/>
  <c r="EE22" i="67"/>
  <c r="DO22" i="67"/>
  <c r="BS22" i="67"/>
  <c r="CI22" i="67"/>
  <c r="CY22" i="67"/>
  <c r="BC22" i="67"/>
  <c r="AM22" i="67"/>
  <c r="M178" i="67"/>
  <c r="GG178" i="67"/>
  <c r="FQ178" i="67"/>
  <c r="FA178" i="67"/>
  <c r="EK178" i="67"/>
  <c r="DU178" i="67"/>
  <c r="DE178" i="67"/>
  <c r="BI178" i="67"/>
  <c r="CO178" i="67"/>
  <c r="BY178" i="67"/>
  <c r="AC178" i="67"/>
  <c r="AS178" i="67"/>
  <c r="M107" i="67"/>
  <c r="GG107" i="67"/>
  <c r="FQ107" i="67"/>
  <c r="FA107" i="67"/>
  <c r="EK107" i="67"/>
  <c r="DU107" i="67"/>
  <c r="DE107" i="67"/>
  <c r="BY107" i="67"/>
  <c r="BI107" i="67"/>
  <c r="CO107" i="67"/>
  <c r="AS107" i="67"/>
  <c r="AC107" i="67"/>
  <c r="M30" i="67"/>
  <c r="GG30" i="67"/>
  <c r="FQ30" i="67"/>
  <c r="FA30" i="67"/>
  <c r="DU30" i="67"/>
  <c r="EK30" i="67"/>
  <c r="DE30" i="67"/>
  <c r="CO30" i="67"/>
  <c r="BY30" i="67"/>
  <c r="BI30" i="67"/>
  <c r="AS30" i="67"/>
  <c r="AC30" i="67"/>
  <c r="GR25" i="67"/>
  <c r="GB25" i="67"/>
  <c r="FL25" i="67"/>
  <c r="EV25" i="67"/>
  <c r="EF25" i="67"/>
  <c r="CZ25" i="67"/>
  <c r="DP25" i="67"/>
  <c r="BT25" i="67"/>
  <c r="CJ25" i="67"/>
  <c r="AN25" i="67"/>
  <c r="BD25" i="67"/>
  <c r="GR135" i="67"/>
  <c r="GB135" i="67"/>
  <c r="FL135" i="67"/>
  <c r="EV135" i="67"/>
  <c r="EF135" i="67"/>
  <c r="CZ135" i="67"/>
  <c r="DP135" i="67"/>
  <c r="CJ135" i="67"/>
  <c r="BT135" i="67"/>
  <c r="AN135" i="67"/>
  <c r="BD135" i="67"/>
  <c r="GR56" i="67"/>
  <c r="GB56" i="67"/>
  <c r="FL56" i="67"/>
  <c r="EV56" i="67"/>
  <c r="EF56" i="67"/>
  <c r="DP56" i="67"/>
  <c r="CZ56" i="67"/>
  <c r="CJ56" i="67"/>
  <c r="BT56" i="67"/>
  <c r="BD56" i="67"/>
  <c r="AN56" i="67"/>
  <c r="GQ88" i="67"/>
  <c r="GA88" i="67"/>
  <c r="FK88" i="67"/>
  <c r="EE88" i="67"/>
  <c r="EU88" i="67"/>
  <c r="DO88" i="67"/>
  <c r="CY88" i="67"/>
  <c r="CI88" i="67"/>
  <c r="BC88" i="67"/>
  <c r="BS88" i="67"/>
  <c r="AM88" i="67"/>
  <c r="GQ143" i="67"/>
  <c r="GA143" i="67"/>
  <c r="FK143" i="67"/>
  <c r="EE143" i="67"/>
  <c r="EU143" i="67"/>
  <c r="CY143" i="67"/>
  <c r="DO143" i="67"/>
  <c r="CI143" i="67"/>
  <c r="BC143" i="67"/>
  <c r="BS143" i="67"/>
  <c r="AM143" i="67"/>
  <c r="GQ65" i="67"/>
  <c r="GA65" i="67"/>
  <c r="FK65" i="67"/>
  <c r="EU65" i="67"/>
  <c r="EE65" i="67"/>
  <c r="DO65" i="67"/>
  <c r="CY65" i="67"/>
  <c r="CI65" i="67"/>
  <c r="BS65" i="67"/>
  <c r="AM65" i="67"/>
  <c r="BC65" i="67"/>
  <c r="GG123" i="67"/>
  <c r="FQ123" i="67"/>
  <c r="FA123" i="67"/>
  <c r="EK123" i="67"/>
  <c r="DU123" i="67"/>
  <c r="DE123" i="67"/>
  <c r="CO123" i="67"/>
  <c r="BI123" i="67"/>
  <c r="BY123" i="67"/>
  <c r="AC123" i="67"/>
  <c r="AS123" i="67"/>
  <c r="M151" i="67"/>
  <c r="GG151" i="67"/>
  <c r="FQ151" i="67"/>
  <c r="FA151" i="67"/>
  <c r="EK151" i="67"/>
  <c r="DU151" i="67"/>
  <c r="DE151" i="67"/>
  <c r="CO151" i="67"/>
  <c r="BI151" i="67"/>
  <c r="BY151" i="67"/>
  <c r="AC151" i="67"/>
  <c r="AS151" i="67"/>
  <c r="M76" i="67"/>
  <c r="GG76" i="67"/>
  <c r="FQ76" i="67"/>
  <c r="EK76" i="67"/>
  <c r="FA76" i="67"/>
  <c r="DU76" i="67"/>
  <c r="CO76" i="67"/>
  <c r="DE76" i="67"/>
  <c r="BY76" i="67"/>
  <c r="BI76" i="67"/>
  <c r="AS76" i="67"/>
  <c r="AC76" i="67"/>
  <c r="GR113" i="67"/>
  <c r="GB113" i="67"/>
  <c r="FL113" i="67"/>
  <c r="EV113" i="67"/>
  <c r="EF113" i="67"/>
  <c r="CZ113" i="67"/>
  <c r="DP113" i="67"/>
  <c r="CJ113" i="67"/>
  <c r="BT113" i="67"/>
  <c r="BD113" i="67"/>
  <c r="AN113" i="67"/>
  <c r="GB37" i="67"/>
  <c r="GR37" i="67"/>
  <c r="FL37" i="67"/>
  <c r="EV37" i="67"/>
  <c r="EF37" i="67"/>
  <c r="DP37" i="67"/>
  <c r="CZ37" i="67"/>
  <c r="CJ37" i="67"/>
  <c r="BT37" i="67"/>
  <c r="AN37" i="67"/>
  <c r="BD37" i="67"/>
  <c r="GQ51" i="67"/>
  <c r="GA51" i="67"/>
  <c r="FK51" i="67"/>
  <c r="EE51" i="67"/>
  <c r="EU51" i="67"/>
  <c r="DO51" i="67"/>
  <c r="CY51" i="67"/>
  <c r="BC51" i="67"/>
  <c r="BS51" i="67"/>
  <c r="CI51" i="67"/>
  <c r="AM51" i="67"/>
  <c r="GQ125" i="67"/>
  <c r="GA125" i="67"/>
  <c r="FK125" i="67"/>
  <c r="EE125" i="67"/>
  <c r="EU125" i="67"/>
  <c r="DO125" i="67"/>
  <c r="BC125" i="67"/>
  <c r="BS125" i="67"/>
  <c r="CY125" i="67"/>
  <c r="CI125" i="67"/>
  <c r="AM125" i="67"/>
  <c r="GQ45" i="67"/>
  <c r="GA45" i="67"/>
  <c r="FK45" i="67"/>
  <c r="EU45" i="67"/>
  <c r="EE45" i="67"/>
  <c r="DO45" i="67"/>
  <c r="CI45" i="67"/>
  <c r="CY45" i="67"/>
  <c r="BS45" i="67"/>
  <c r="AM45" i="67"/>
  <c r="BC45" i="67"/>
  <c r="M23" i="67"/>
  <c r="GG23" i="67"/>
  <c r="FQ23" i="67"/>
  <c r="FA23" i="67"/>
  <c r="EK23" i="67"/>
  <c r="DE23" i="67"/>
  <c r="DU23" i="67"/>
  <c r="CO23" i="67"/>
  <c r="BY23" i="67"/>
  <c r="BI23" i="67"/>
  <c r="AC23" i="67"/>
  <c r="AS23" i="67"/>
  <c r="M134" i="67"/>
  <c r="GG134" i="67"/>
  <c r="FQ134" i="67"/>
  <c r="FA134" i="67"/>
  <c r="EK134" i="67"/>
  <c r="DE134" i="67"/>
  <c r="DU134" i="67"/>
  <c r="CO134" i="67"/>
  <c r="BI134" i="67"/>
  <c r="BY134" i="67"/>
  <c r="AC134" i="67"/>
  <c r="AS134" i="67"/>
  <c r="M55" i="67"/>
  <c r="GG55" i="67"/>
  <c r="FQ55" i="67"/>
  <c r="FA55" i="67"/>
  <c r="DU55" i="67"/>
  <c r="EK55" i="67"/>
  <c r="DE55" i="67"/>
  <c r="BY55" i="67"/>
  <c r="CO55" i="67"/>
  <c r="BI55" i="67"/>
  <c r="AS55" i="67"/>
  <c r="AC55" i="67"/>
  <c r="M37" i="67"/>
  <c r="GG37" i="67"/>
  <c r="FQ37" i="67"/>
  <c r="FA37" i="67"/>
  <c r="DU37" i="67"/>
  <c r="EK37" i="67"/>
  <c r="DE37" i="67"/>
  <c r="BY37" i="67"/>
  <c r="CO37" i="67"/>
  <c r="BI37" i="67"/>
  <c r="AC37" i="67"/>
  <c r="AS37" i="67"/>
  <c r="GQ139" i="67"/>
  <c r="GA139" i="67"/>
  <c r="FK139" i="67"/>
  <c r="EU139" i="67"/>
  <c r="EE139" i="67"/>
  <c r="DO139" i="67"/>
  <c r="CY139" i="67"/>
  <c r="CI139" i="67"/>
  <c r="BC139" i="67"/>
  <c r="BS139" i="67"/>
  <c r="AM139" i="67"/>
  <c r="GR103" i="67"/>
  <c r="GB103" i="67"/>
  <c r="FL103" i="67"/>
  <c r="EV103" i="67"/>
  <c r="DP103" i="67"/>
  <c r="CZ103" i="67"/>
  <c r="EF103" i="67"/>
  <c r="CJ103" i="67"/>
  <c r="BT103" i="67"/>
  <c r="AN103" i="67"/>
  <c r="BD103" i="67"/>
  <c r="GR8" i="67"/>
  <c r="GB8" i="67"/>
  <c r="FL8" i="67"/>
  <c r="EV8" i="67"/>
  <c r="EF8" i="67"/>
  <c r="DP8" i="67"/>
  <c r="CZ8" i="67"/>
  <c r="CJ8" i="67"/>
  <c r="BT8" i="67"/>
  <c r="AN8" i="67"/>
  <c r="BD8" i="67"/>
  <c r="GQ174" i="67"/>
  <c r="GA174" i="67"/>
  <c r="FK174" i="67"/>
  <c r="EE174" i="67"/>
  <c r="EU174" i="67"/>
  <c r="DO174" i="67"/>
  <c r="CY174" i="67"/>
  <c r="BC174" i="67"/>
  <c r="CI174" i="67"/>
  <c r="BS174" i="67"/>
  <c r="AM174" i="67"/>
  <c r="GQ155" i="67"/>
  <c r="GA155" i="67"/>
  <c r="FK155" i="67"/>
  <c r="EU155" i="67"/>
  <c r="EE155" i="67"/>
  <c r="DO155" i="67"/>
  <c r="CY155" i="67"/>
  <c r="BC155" i="67"/>
  <c r="CI155" i="67"/>
  <c r="BS155" i="67"/>
  <c r="AM155" i="67"/>
  <c r="M102" i="67"/>
  <c r="GG102" i="67"/>
  <c r="FA102" i="67"/>
  <c r="FQ102" i="67"/>
  <c r="EK102" i="67"/>
  <c r="DU102" i="67"/>
  <c r="DE102" i="67"/>
  <c r="CO102" i="67"/>
  <c r="BY102" i="67"/>
  <c r="BI102" i="67"/>
  <c r="AC102" i="67"/>
  <c r="AS102" i="67"/>
  <c r="GQ61" i="67"/>
  <c r="GA61" i="67"/>
  <c r="FK61" i="67"/>
  <c r="EU61" i="67"/>
  <c r="EE61" i="67"/>
  <c r="DO61" i="67"/>
  <c r="CY61" i="67"/>
  <c r="CI61" i="67"/>
  <c r="BS61" i="67"/>
  <c r="AM61" i="67"/>
  <c r="BC61" i="67"/>
  <c r="GR30" i="67"/>
  <c r="GB30" i="67"/>
  <c r="FL30" i="67"/>
  <c r="EV30" i="67"/>
  <c r="EF30" i="67"/>
  <c r="DP30" i="67"/>
  <c r="CZ30" i="67"/>
  <c r="CJ30" i="67"/>
  <c r="BT30" i="67"/>
  <c r="AN30" i="67"/>
  <c r="BD30" i="67"/>
  <c r="GQ149" i="67"/>
  <c r="GA149" i="67"/>
  <c r="FK149" i="67"/>
  <c r="EE149" i="67"/>
  <c r="EU149" i="67"/>
  <c r="DO149" i="67"/>
  <c r="CY149" i="67"/>
  <c r="BC149" i="67"/>
  <c r="CI149" i="67"/>
  <c r="BS149" i="67"/>
  <c r="AM149" i="67"/>
  <c r="GG8" i="67"/>
  <c r="FQ8" i="67"/>
  <c r="FA8" i="67"/>
  <c r="DU8" i="67"/>
  <c r="EK8" i="67"/>
  <c r="CO8" i="67"/>
  <c r="DE8" i="67"/>
  <c r="BY8" i="67"/>
  <c r="AC8" i="67"/>
  <c r="BI8" i="67"/>
  <c r="AS8" i="67"/>
  <c r="M50" i="67"/>
  <c r="GG50" i="67"/>
  <c r="FQ50" i="67"/>
  <c r="FA50" i="67"/>
  <c r="EK50" i="67"/>
  <c r="DU50" i="67"/>
  <c r="DE50" i="67"/>
  <c r="BY50" i="67"/>
  <c r="BI50" i="67"/>
  <c r="CO50" i="67"/>
  <c r="AS50" i="67"/>
  <c r="AC50" i="67"/>
  <c r="GQ17" i="67"/>
  <c r="GA17" i="67"/>
  <c r="FK17" i="67"/>
  <c r="EU17" i="67"/>
  <c r="EE17" i="67"/>
  <c r="DO17" i="67"/>
  <c r="BS17" i="67"/>
  <c r="CY17" i="67"/>
  <c r="CI17" i="67"/>
  <c r="AM17" i="67"/>
  <c r="BC17" i="67"/>
  <c r="GQ82" i="67"/>
  <c r="GA82" i="67"/>
  <c r="FK82" i="67"/>
  <c r="EE82" i="67"/>
  <c r="EU82" i="67"/>
  <c r="DO82" i="67"/>
  <c r="CY82" i="67"/>
  <c r="CI82" i="67"/>
  <c r="BC82" i="67"/>
  <c r="BS82" i="67"/>
  <c r="AM82" i="67"/>
  <c r="GR182" i="67"/>
  <c r="GB182" i="67"/>
  <c r="FL182" i="67"/>
  <c r="EV182" i="67"/>
  <c r="EF182" i="67"/>
  <c r="CZ182" i="67"/>
  <c r="DP182" i="67"/>
  <c r="CJ182" i="67"/>
  <c r="BT182" i="67"/>
  <c r="BD182" i="67"/>
  <c r="AN182" i="67"/>
  <c r="GQ72" i="67"/>
  <c r="GA72" i="67"/>
  <c r="FK72" i="67"/>
  <c r="EU72" i="67"/>
  <c r="EE72" i="67"/>
  <c r="DO72" i="67"/>
  <c r="CY72" i="67"/>
  <c r="CI72" i="67"/>
  <c r="BS72" i="67"/>
  <c r="AM72" i="67"/>
  <c r="BC72" i="67"/>
  <c r="M26" i="67"/>
  <c r="GG26" i="67"/>
  <c r="FQ26" i="67"/>
  <c r="FA26" i="67"/>
  <c r="DU26" i="67"/>
  <c r="EK26" i="67"/>
  <c r="DE26" i="67"/>
  <c r="BY26" i="67"/>
  <c r="CO26" i="67"/>
  <c r="BI26" i="67"/>
  <c r="AS26" i="67"/>
  <c r="AC26" i="67"/>
  <c r="GQ193" i="67"/>
  <c r="GA193" i="67"/>
  <c r="FK193" i="67"/>
  <c r="EU193" i="67"/>
  <c r="EE193" i="67"/>
  <c r="DO193" i="67"/>
  <c r="CY193" i="67"/>
  <c r="BC193" i="67"/>
  <c r="CI193" i="67"/>
  <c r="BS193" i="67"/>
  <c r="AM193" i="67"/>
  <c r="GR156" i="67"/>
  <c r="GB156" i="67"/>
  <c r="FL156" i="67"/>
  <c r="EV156" i="67"/>
  <c r="EF156" i="67"/>
  <c r="DP156" i="67"/>
  <c r="CZ156" i="67"/>
  <c r="CJ156" i="67"/>
  <c r="BT156" i="67"/>
  <c r="AN156" i="67"/>
  <c r="BD156" i="67"/>
  <c r="M111" i="67"/>
  <c r="GG111" i="67"/>
  <c r="FA111" i="67"/>
  <c r="FQ111" i="67"/>
  <c r="EK111" i="67"/>
  <c r="DU111" i="67"/>
  <c r="DE111" i="67"/>
  <c r="CO111" i="67"/>
  <c r="BY111" i="67"/>
  <c r="BI111" i="67"/>
  <c r="AS111" i="67"/>
  <c r="AC111" i="67"/>
  <c r="GQ30" i="67"/>
  <c r="GA30" i="67"/>
  <c r="FK30" i="67"/>
  <c r="EU30" i="67"/>
  <c r="EE30" i="67"/>
  <c r="DO30" i="67"/>
  <c r="CY30" i="67"/>
  <c r="CI30" i="67"/>
  <c r="BC30" i="67"/>
  <c r="BS30" i="67"/>
  <c r="AM30" i="67"/>
  <c r="GR152" i="67"/>
  <c r="GB152" i="67"/>
  <c r="FL152" i="67"/>
  <c r="EV152" i="67"/>
  <c r="EF152" i="67"/>
  <c r="DP152" i="67"/>
  <c r="CZ152" i="67"/>
  <c r="CJ152" i="67"/>
  <c r="BT152" i="67"/>
  <c r="BD152" i="67"/>
  <c r="AN152" i="67"/>
  <c r="GR79" i="67"/>
  <c r="GB79" i="67"/>
  <c r="FL79" i="67"/>
  <c r="EV79" i="67"/>
  <c r="EF79" i="67"/>
  <c r="DP79" i="67"/>
  <c r="CZ79" i="67"/>
  <c r="CJ79" i="67"/>
  <c r="BT79" i="67"/>
  <c r="BD79" i="67"/>
  <c r="AN79" i="67"/>
  <c r="GQ177" i="67"/>
  <c r="GA177" i="67"/>
  <c r="FK177" i="67"/>
  <c r="EU177" i="67"/>
  <c r="EE177" i="67"/>
  <c r="DO177" i="67"/>
  <c r="CY177" i="67"/>
  <c r="CI177" i="67"/>
  <c r="BC177" i="67"/>
  <c r="BS177" i="67"/>
  <c r="AM177" i="67"/>
  <c r="GQ163" i="67"/>
  <c r="GA163" i="67"/>
  <c r="FK163" i="67"/>
  <c r="EU163" i="67"/>
  <c r="EE163" i="67"/>
  <c r="DO163" i="67"/>
  <c r="CY163" i="67"/>
  <c r="CI163" i="67"/>
  <c r="BC163" i="67"/>
  <c r="BS163" i="67"/>
  <c r="AM163" i="67"/>
  <c r="GQ90" i="67"/>
  <c r="GA90" i="67"/>
  <c r="FK90" i="67"/>
  <c r="EU90" i="67"/>
  <c r="EE90" i="67"/>
  <c r="DO90" i="67"/>
  <c r="CY90" i="67"/>
  <c r="CI90" i="67"/>
  <c r="BC90" i="67"/>
  <c r="BS90" i="67"/>
  <c r="AM90" i="67"/>
  <c r="GQ14" i="67"/>
  <c r="GA14" i="67"/>
  <c r="FK14" i="67"/>
  <c r="EU14" i="67"/>
  <c r="EE14" i="67"/>
  <c r="DO14" i="67"/>
  <c r="CY14" i="67"/>
  <c r="BS14" i="67"/>
  <c r="CI14" i="67"/>
  <c r="BC14" i="67"/>
  <c r="AM14" i="67"/>
  <c r="M170" i="67"/>
  <c r="GG170" i="67"/>
  <c r="FQ170" i="67"/>
  <c r="FA170" i="67"/>
  <c r="EK170" i="67"/>
  <c r="DU170" i="67"/>
  <c r="DE170" i="67"/>
  <c r="CO170" i="67"/>
  <c r="BY170" i="67"/>
  <c r="BI170" i="67"/>
  <c r="AS170" i="67"/>
  <c r="AC170" i="67"/>
  <c r="M101" i="67"/>
  <c r="GG101" i="67"/>
  <c r="FA101" i="67"/>
  <c r="FQ101" i="67"/>
  <c r="EK101" i="67"/>
  <c r="DU101" i="67"/>
  <c r="DE101" i="67"/>
  <c r="CO101" i="67"/>
  <c r="BY101" i="67"/>
  <c r="BI101" i="67"/>
  <c r="AS101" i="67"/>
  <c r="AC101" i="67"/>
  <c r="M21" i="67"/>
  <c r="GG21" i="67"/>
  <c r="FQ21" i="67"/>
  <c r="FA21" i="67"/>
  <c r="EK21" i="67"/>
  <c r="DU21" i="67"/>
  <c r="DE21" i="67"/>
  <c r="BY21" i="67"/>
  <c r="CO21" i="67"/>
  <c r="BI21" i="67"/>
  <c r="AS21" i="67"/>
  <c r="AC21" i="67"/>
  <c r="GR128" i="67"/>
  <c r="GB128" i="67"/>
  <c r="FL128" i="67"/>
  <c r="EV128" i="67"/>
  <c r="EF128" i="67"/>
  <c r="CZ128" i="67"/>
  <c r="CJ128" i="67"/>
  <c r="DP128" i="67"/>
  <c r="BT128" i="67"/>
  <c r="BD128" i="67"/>
  <c r="AN128" i="67"/>
  <c r="GR48" i="67"/>
  <c r="GB48" i="67"/>
  <c r="FL48" i="67"/>
  <c r="EV48" i="67"/>
  <c r="EF48" i="67"/>
  <c r="DP48" i="67"/>
  <c r="CZ48" i="67"/>
  <c r="CJ48" i="67"/>
  <c r="BT48" i="67"/>
  <c r="AN48" i="67"/>
  <c r="BD48" i="67"/>
  <c r="GQ63" i="67"/>
  <c r="GA63" i="67"/>
  <c r="FK63" i="67"/>
  <c r="EU63" i="67"/>
  <c r="EE63" i="67"/>
  <c r="DO63" i="67"/>
  <c r="CY63" i="67"/>
  <c r="CI63" i="67"/>
  <c r="BC63" i="67"/>
  <c r="BS63" i="67"/>
  <c r="AM63" i="67"/>
  <c r="GQ137" i="67"/>
  <c r="GA137" i="67"/>
  <c r="FK137" i="67"/>
  <c r="EU137" i="67"/>
  <c r="EE137" i="67"/>
  <c r="DO137" i="67"/>
  <c r="CY137" i="67"/>
  <c r="CI137" i="67"/>
  <c r="BC137" i="67"/>
  <c r="BS137" i="67"/>
  <c r="AM137" i="67"/>
  <c r="GQ58" i="67"/>
  <c r="GA58" i="67"/>
  <c r="FK58" i="67"/>
  <c r="EU58" i="67"/>
  <c r="EE58" i="67"/>
  <c r="DO58" i="67"/>
  <c r="CY58" i="67"/>
  <c r="CI58" i="67"/>
  <c r="BS58" i="67"/>
  <c r="BC58" i="67"/>
  <c r="AM58" i="67"/>
  <c r="M104" i="67"/>
  <c r="GG104" i="67"/>
  <c r="FQ104" i="67"/>
  <c r="FA104" i="67"/>
  <c r="EK104" i="67"/>
  <c r="DE104" i="67"/>
  <c r="DU104" i="67"/>
  <c r="CO104" i="67"/>
  <c r="BI104" i="67"/>
  <c r="AS104" i="67"/>
  <c r="AC104" i="67"/>
  <c r="BY104" i="67"/>
  <c r="M145" i="67"/>
  <c r="GG145" i="67"/>
  <c r="FQ145" i="67"/>
  <c r="FA145" i="67"/>
  <c r="EK145" i="67"/>
  <c r="DE145" i="67"/>
  <c r="DU145" i="67"/>
  <c r="CO145" i="67"/>
  <c r="BY145" i="67"/>
  <c r="BI145" i="67"/>
  <c r="AS145" i="67"/>
  <c r="AC145" i="67"/>
  <c r="M67" i="67"/>
  <c r="GG67" i="67"/>
  <c r="FQ67" i="67"/>
  <c r="FA67" i="67"/>
  <c r="EK67" i="67"/>
  <c r="DU67" i="67"/>
  <c r="CO67" i="67"/>
  <c r="DE67" i="67"/>
  <c r="BY67" i="67"/>
  <c r="BI67" i="67"/>
  <c r="AC67" i="67"/>
  <c r="AS67" i="67"/>
  <c r="GR129" i="67"/>
  <c r="GB129" i="67"/>
  <c r="FL129" i="67"/>
  <c r="EV129" i="67"/>
  <c r="EF129" i="67"/>
  <c r="CZ129" i="67"/>
  <c r="DP129" i="67"/>
  <c r="CJ129" i="67"/>
  <c r="BT129" i="67"/>
  <c r="BD129" i="67"/>
  <c r="AN129" i="67"/>
  <c r="GR77" i="67"/>
  <c r="GB77" i="67"/>
  <c r="FL77" i="67"/>
  <c r="EV77" i="67"/>
  <c r="EF77" i="67"/>
  <c r="DP77" i="67"/>
  <c r="CJ77" i="67"/>
  <c r="BT77" i="67"/>
  <c r="BD77" i="67"/>
  <c r="AN77" i="67"/>
  <c r="CZ77" i="67"/>
  <c r="GQ160" i="67"/>
  <c r="GA160" i="67"/>
  <c r="FK160" i="67"/>
  <c r="EU160" i="67"/>
  <c r="EE160" i="67"/>
  <c r="DO160" i="67"/>
  <c r="CY160" i="67"/>
  <c r="CI160" i="67"/>
  <c r="BC160" i="67"/>
  <c r="BS160" i="67"/>
  <c r="AM160" i="67"/>
  <c r="GQ86" i="67"/>
  <c r="GA86" i="67"/>
  <c r="FK86" i="67"/>
  <c r="EU86" i="67"/>
  <c r="EE86" i="67"/>
  <c r="DO86" i="67"/>
  <c r="CY86" i="67"/>
  <c r="CI86" i="67"/>
  <c r="BC86" i="67"/>
  <c r="BS86" i="67"/>
  <c r="AM86" i="67"/>
  <c r="GQ12" i="67"/>
  <c r="GA12" i="67"/>
  <c r="FK12" i="67"/>
  <c r="EU12" i="67"/>
  <c r="EE12" i="67"/>
  <c r="DO12" i="67"/>
  <c r="BS12" i="67"/>
  <c r="CI12" i="67"/>
  <c r="AM12" i="67"/>
  <c r="BC12" i="67"/>
  <c r="CY12" i="67"/>
  <c r="M168" i="67"/>
  <c r="GG168" i="67"/>
  <c r="FQ168" i="67"/>
  <c r="FA168" i="67"/>
  <c r="EK168" i="67"/>
  <c r="DU168" i="67"/>
  <c r="DE168" i="67"/>
  <c r="BI168" i="67"/>
  <c r="CO168" i="67"/>
  <c r="BY168" i="67"/>
  <c r="AS168" i="67"/>
  <c r="AC168" i="67"/>
  <c r="M99" i="67"/>
  <c r="GG99" i="67"/>
  <c r="FA99" i="67"/>
  <c r="FQ99" i="67"/>
  <c r="EK99" i="67"/>
  <c r="DU99" i="67"/>
  <c r="DE99" i="67"/>
  <c r="BY99" i="67"/>
  <c r="BI99" i="67"/>
  <c r="AC99" i="67"/>
  <c r="CO99" i="67"/>
  <c r="AS99" i="67"/>
  <c r="M17" i="67"/>
  <c r="GG17" i="67"/>
  <c r="FQ17" i="67"/>
  <c r="FA17" i="67"/>
  <c r="DU17" i="67"/>
  <c r="CO17" i="67"/>
  <c r="DE17" i="67"/>
  <c r="EK17" i="67"/>
  <c r="BY17" i="67"/>
  <c r="BI17" i="67"/>
  <c r="AS17" i="67"/>
  <c r="AC17" i="67"/>
  <c r="GR94" i="67"/>
  <c r="GB94" i="67"/>
  <c r="FL94" i="67"/>
  <c r="EV94" i="67"/>
  <c r="EF94" i="67"/>
  <c r="CZ94" i="67"/>
  <c r="DP94" i="67"/>
  <c r="CJ94" i="67"/>
  <c r="BT94" i="67"/>
  <c r="AN94" i="67"/>
  <c r="BD94" i="67"/>
  <c r="GR126" i="67"/>
  <c r="GB126" i="67"/>
  <c r="FL126" i="67"/>
  <c r="EV126" i="67"/>
  <c r="CZ126" i="67"/>
  <c r="DP126" i="67"/>
  <c r="EF126" i="67"/>
  <c r="CJ126" i="67"/>
  <c r="BT126" i="67"/>
  <c r="AN126" i="67"/>
  <c r="BD126" i="67"/>
  <c r="GR46" i="67"/>
  <c r="GB46" i="67"/>
  <c r="FL46" i="67"/>
  <c r="EV46" i="67"/>
  <c r="EF46" i="67"/>
  <c r="DP46" i="67"/>
  <c r="CZ46" i="67"/>
  <c r="CJ46" i="67"/>
  <c r="BT46" i="67"/>
  <c r="AN46" i="67"/>
  <c r="BD46" i="67"/>
  <c r="GQ25" i="67"/>
  <c r="GA25" i="67"/>
  <c r="FK25" i="67"/>
  <c r="EE25" i="67"/>
  <c r="DO25" i="67"/>
  <c r="EU25" i="67"/>
  <c r="CY25" i="67"/>
  <c r="CI25" i="67"/>
  <c r="BC25" i="67"/>
  <c r="BS25" i="67"/>
  <c r="AM25" i="67"/>
  <c r="GQ135" i="67"/>
  <c r="GA135" i="67"/>
  <c r="FK135" i="67"/>
  <c r="EE135" i="67"/>
  <c r="CY135" i="67"/>
  <c r="EU135" i="67"/>
  <c r="DO135" i="67"/>
  <c r="CI135" i="67"/>
  <c r="BC135" i="67"/>
  <c r="BS135" i="67"/>
  <c r="AM135" i="67"/>
  <c r="GQ56" i="67"/>
  <c r="GA56" i="67"/>
  <c r="FK56" i="67"/>
  <c r="EU56" i="67"/>
  <c r="EE56" i="67"/>
  <c r="DO56" i="67"/>
  <c r="CI56" i="67"/>
  <c r="CY56" i="67"/>
  <c r="BS56" i="67"/>
  <c r="BC56" i="67"/>
  <c r="AM56" i="67"/>
  <c r="M88" i="67"/>
  <c r="GG88" i="67"/>
  <c r="FQ88" i="67"/>
  <c r="FA88" i="67"/>
  <c r="EK88" i="67"/>
  <c r="DU88" i="67"/>
  <c r="DE88" i="67"/>
  <c r="CO88" i="67"/>
  <c r="BY88" i="67"/>
  <c r="BI88" i="67"/>
  <c r="AS88" i="67"/>
  <c r="AC88" i="67"/>
  <c r="M143" i="67"/>
  <c r="GG143" i="67"/>
  <c r="FQ143" i="67"/>
  <c r="FA143" i="67"/>
  <c r="EK143" i="67"/>
  <c r="DU143" i="67"/>
  <c r="DE143" i="67"/>
  <c r="CO143" i="67"/>
  <c r="BI143" i="67"/>
  <c r="BY143" i="67"/>
  <c r="AS143" i="67"/>
  <c r="AC143" i="67"/>
  <c r="M65" i="67"/>
  <c r="GG65" i="67"/>
  <c r="FQ65" i="67"/>
  <c r="EK65" i="67"/>
  <c r="FA65" i="67"/>
  <c r="DU65" i="67"/>
  <c r="CO65" i="67"/>
  <c r="DE65" i="67"/>
  <c r="BY65" i="67"/>
  <c r="BI65" i="67"/>
  <c r="AC65" i="67"/>
  <c r="AS65" i="67"/>
  <c r="GR175" i="67"/>
  <c r="GB175" i="67"/>
  <c r="FL175" i="67"/>
  <c r="EV175" i="67"/>
  <c r="EF175" i="67"/>
  <c r="DP175" i="67"/>
  <c r="CZ175" i="67"/>
  <c r="CJ175" i="67"/>
  <c r="BT175" i="67"/>
  <c r="AN175" i="67"/>
  <c r="BD175" i="67"/>
  <c r="GR106" i="67"/>
  <c r="GB106" i="67"/>
  <c r="FL106" i="67"/>
  <c r="EV106" i="67"/>
  <c r="EF106" i="67"/>
  <c r="DP106" i="67"/>
  <c r="CZ106" i="67"/>
  <c r="CJ106" i="67"/>
  <c r="BT106" i="67"/>
  <c r="AN106" i="67"/>
  <c r="BD106" i="67"/>
  <c r="GB31" i="67"/>
  <c r="GR31" i="67"/>
  <c r="FL31" i="67"/>
  <c r="EV31" i="67"/>
  <c r="EF31" i="67"/>
  <c r="DP31" i="67"/>
  <c r="CZ31" i="67"/>
  <c r="CJ31" i="67"/>
  <c r="BT31" i="67"/>
  <c r="AN31" i="67"/>
  <c r="BD31" i="67"/>
  <c r="GQ113" i="67"/>
  <c r="GA113" i="67"/>
  <c r="FK113" i="67"/>
  <c r="EE113" i="67"/>
  <c r="EU113" i="67"/>
  <c r="DO113" i="67"/>
  <c r="CY113" i="67"/>
  <c r="CI113" i="67"/>
  <c r="BC113" i="67"/>
  <c r="BS113" i="67"/>
  <c r="AM113" i="67"/>
  <c r="GQ37" i="67"/>
  <c r="GA37" i="67"/>
  <c r="FK37" i="67"/>
  <c r="EU37" i="67"/>
  <c r="EE37" i="67"/>
  <c r="DO37" i="67"/>
  <c r="CI37" i="67"/>
  <c r="CY37" i="67"/>
  <c r="BS37" i="67"/>
  <c r="BC37" i="67"/>
  <c r="AM37" i="67"/>
  <c r="M51" i="67"/>
  <c r="GG51" i="67"/>
  <c r="FQ51" i="67"/>
  <c r="FA51" i="67"/>
  <c r="EK51" i="67"/>
  <c r="DE51" i="67"/>
  <c r="DU51" i="67"/>
  <c r="CO51" i="67"/>
  <c r="BI51" i="67"/>
  <c r="BY51" i="67"/>
  <c r="AC51" i="67"/>
  <c r="AS51" i="67"/>
  <c r="M125" i="67"/>
  <c r="GG125" i="67"/>
  <c r="FQ125" i="67"/>
  <c r="FA125" i="67"/>
  <c r="EK125" i="67"/>
  <c r="DE125" i="67"/>
  <c r="DU125" i="67"/>
  <c r="CO125" i="67"/>
  <c r="BI125" i="67"/>
  <c r="BY125" i="67"/>
  <c r="AC125" i="67"/>
  <c r="AS125" i="67"/>
  <c r="M44" i="67"/>
  <c r="GG44" i="67"/>
  <c r="FQ44" i="67"/>
  <c r="FA44" i="67"/>
  <c r="DU44" i="67"/>
  <c r="EK44" i="67"/>
  <c r="DE44" i="67"/>
  <c r="BY44" i="67"/>
  <c r="CO44" i="67"/>
  <c r="BI44" i="67"/>
  <c r="AC44" i="67"/>
  <c r="AS44" i="67"/>
  <c r="M31" i="67"/>
  <c r="GG31" i="67"/>
  <c r="FQ31" i="67"/>
  <c r="FA31" i="67"/>
  <c r="DU31" i="67"/>
  <c r="EK31" i="67"/>
  <c r="DE31" i="67"/>
  <c r="BY31" i="67"/>
  <c r="CO31" i="67"/>
  <c r="BI31" i="67"/>
  <c r="AC31" i="67"/>
  <c r="AS31" i="67"/>
  <c r="GQ53" i="67"/>
  <c r="GA53" i="67"/>
  <c r="FK53" i="67"/>
  <c r="EU53" i="67"/>
  <c r="EE53" i="67"/>
  <c r="DO53" i="67"/>
  <c r="CI53" i="67"/>
  <c r="CY53" i="67"/>
  <c r="BS53" i="67"/>
  <c r="BC53" i="67"/>
  <c r="AM53" i="67"/>
  <c r="M110" i="67"/>
  <c r="GG110" i="67"/>
  <c r="FA110" i="67"/>
  <c r="FQ110" i="67"/>
  <c r="EK110" i="67"/>
  <c r="DU110" i="67"/>
  <c r="DE110" i="67"/>
  <c r="CO110" i="67"/>
  <c r="BY110" i="67"/>
  <c r="BI110" i="67"/>
  <c r="AS110" i="67"/>
  <c r="AC110" i="67"/>
  <c r="GQ71" i="67"/>
  <c r="GA71" i="67"/>
  <c r="FK71" i="67"/>
  <c r="EU71" i="67"/>
  <c r="EE71" i="67"/>
  <c r="DO71" i="67"/>
  <c r="CY71" i="67"/>
  <c r="CI71" i="67"/>
  <c r="BS71" i="67"/>
  <c r="AM71" i="67"/>
  <c r="BC71" i="67"/>
  <c r="GR36" i="67"/>
  <c r="GB36" i="67"/>
  <c r="FL36" i="67"/>
  <c r="EV36" i="67"/>
  <c r="EF36" i="67"/>
  <c r="DP36" i="67"/>
  <c r="CZ36" i="67"/>
  <c r="CJ36" i="67"/>
  <c r="BT36" i="67"/>
  <c r="AN36" i="67"/>
  <c r="BD36" i="67"/>
  <c r="GR179" i="67"/>
  <c r="GB179" i="67"/>
  <c r="FL179" i="67"/>
  <c r="EV179" i="67"/>
  <c r="EF179" i="67"/>
  <c r="CZ179" i="67"/>
  <c r="DP179" i="67"/>
  <c r="CJ179" i="67"/>
  <c r="BT179" i="67"/>
  <c r="AN179" i="67"/>
  <c r="BD179" i="67"/>
  <c r="M43" i="67"/>
  <c r="GG43" i="67"/>
  <c r="FQ43" i="67"/>
  <c r="FA43" i="67"/>
  <c r="DU43" i="67"/>
  <c r="EK43" i="67"/>
  <c r="DE43" i="67"/>
  <c r="CO43" i="67"/>
  <c r="BY43" i="67"/>
  <c r="BI43" i="67"/>
  <c r="AC43" i="67"/>
  <c r="AS43" i="67"/>
  <c r="M120" i="67"/>
  <c r="GG120" i="67"/>
  <c r="FA120" i="67"/>
  <c r="FQ120" i="67"/>
  <c r="EK120" i="67"/>
  <c r="DU120" i="67"/>
  <c r="DE120" i="67"/>
  <c r="CO120" i="67"/>
  <c r="BY120" i="67"/>
  <c r="BI120" i="67"/>
  <c r="AS120" i="67"/>
  <c r="AC120" i="67"/>
  <c r="M83" i="67"/>
  <c r="GG83" i="67"/>
  <c r="FQ83" i="67"/>
  <c r="FA83" i="67"/>
  <c r="EK83" i="67"/>
  <c r="DU83" i="67"/>
  <c r="CO83" i="67"/>
  <c r="DE83" i="67"/>
  <c r="BY83" i="67"/>
  <c r="BI83" i="67"/>
  <c r="AS83" i="67"/>
  <c r="AC83" i="67"/>
  <c r="GQ111" i="67"/>
  <c r="GA111" i="67"/>
  <c r="FK111" i="67"/>
  <c r="EU111" i="67"/>
  <c r="EE111" i="67"/>
  <c r="DO111" i="67"/>
  <c r="CY111" i="67"/>
  <c r="CI111" i="67"/>
  <c r="BC111" i="67"/>
  <c r="BS111" i="67"/>
  <c r="AM111" i="67"/>
  <c r="GQ153" i="67"/>
  <c r="GA153" i="67"/>
  <c r="FK153" i="67"/>
  <c r="EU153" i="67"/>
  <c r="EE153" i="67"/>
  <c r="DO153" i="67"/>
  <c r="CY153" i="67"/>
  <c r="CI153" i="67"/>
  <c r="BC153" i="67"/>
  <c r="BS153" i="67"/>
  <c r="AM153" i="67"/>
  <c r="GR52" i="67"/>
  <c r="GB52" i="67"/>
  <c r="FL52" i="67"/>
  <c r="EV52" i="67"/>
  <c r="EF52" i="67"/>
  <c r="DP52" i="67"/>
  <c r="CZ52" i="67"/>
  <c r="CJ52" i="67"/>
  <c r="BT52" i="67"/>
  <c r="BD52" i="67"/>
  <c r="AN52" i="67"/>
  <c r="M72" i="67"/>
  <c r="GG72" i="67"/>
  <c r="FQ72" i="67"/>
  <c r="FA72" i="67"/>
  <c r="EK72" i="67"/>
  <c r="DU72" i="67"/>
  <c r="CO72" i="67"/>
  <c r="DE72" i="67"/>
  <c r="BY72" i="67"/>
  <c r="BI72" i="67"/>
  <c r="AC72" i="67"/>
  <c r="AS72" i="67"/>
  <c r="GR18" i="67"/>
  <c r="GB18" i="67"/>
  <c r="FL18" i="67"/>
  <c r="EV18" i="67"/>
  <c r="EF18" i="67"/>
  <c r="DP18" i="67"/>
  <c r="CZ18" i="67"/>
  <c r="CJ18" i="67"/>
  <c r="BT18" i="67"/>
  <c r="AN18" i="67"/>
  <c r="BD18" i="67"/>
  <c r="GQ172" i="67"/>
  <c r="GA172" i="67"/>
  <c r="FK172" i="67"/>
  <c r="EU172" i="67"/>
  <c r="EE172" i="67"/>
  <c r="DO172" i="67"/>
  <c r="CY172" i="67"/>
  <c r="BC172" i="67"/>
  <c r="CI172" i="67"/>
  <c r="BS172" i="67"/>
  <c r="AM172" i="67"/>
  <c r="M52" i="67"/>
  <c r="GG52" i="67"/>
  <c r="FQ52" i="67"/>
  <c r="FA52" i="67"/>
  <c r="DU52" i="67"/>
  <c r="EK52" i="67"/>
  <c r="DE52" i="67"/>
  <c r="CO52" i="67"/>
  <c r="BY52" i="67"/>
  <c r="BI52" i="67"/>
  <c r="AS52" i="67"/>
  <c r="AC52" i="67"/>
  <c r="GR183" i="67"/>
  <c r="GB183" i="67"/>
  <c r="FL183" i="67"/>
  <c r="EV183" i="67"/>
  <c r="EF183" i="67"/>
  <c r="CZ183" i="67"/>
  <c r="DP183" i="67"/>
  <c r="CJ183" i="67"/>
  <c r="BT183" i="67"/>
  <c r="BD183" i="67"/>
  <c r="AN183" i="67"/>
  <c r="GR68" i="67"/>
  <c r="GB68" i="67"/>
  <c r="FL68" i="67"/>
  <c r="EV68" i="67"/>
  <c r="EF68" i="67"/>
  <c r="DP68" i="67"/>
  <c r="CZ68" i="67"/>
  <c r="CJ68" i="67"/>
  <c r="BT68" i="67"/>
  <c r="AN68" i="67"/>
  <c r="BD68" i="67"/>
  <c r="M177" i="67"/>
  <c r="GG177" i="67"/>
  <c r="FQ177" i="67"/>
  <c r="FA177" i="67"/>
  <c r="EK177" i="67"/>
  <c r="DU177" i="67"/>
  <c r="DE177" i="67"/>
  <c r="CO177" i="67"/>
  <c r="BY177" i="67"/>
  <c r="BI177" i="67"/>
  <c r="AS177" i="67"/>
  <c r="AC177" i="67"/>
  <c r="GQ128" i="67"/>
  <c r="GA128" i="67"/>
  <c r="FK128" i="67"/>
  <c r="EU128" i="67"/>
  <c r="EE128" i="67"/>
  <c r="DO128" i="67"/>
  <c r="CY128" i="67"/>
  <c r="CI128" i="67"/>
  <c r="BC128" i="67"/>
  <c r="BS128" i="67"/>
  <c r="AM128" i="67"/>
  <c r="M137" i="67"/>
  <c r="GG137" i="67"/>
  <c r="FQ137" i="67"/>
  <c r="FA137" i="67"/>
  <c r="EK137" i="67"/>
  <c r="DE137" i="67"/>
  <c r="DU137" i="67"/>
  <c r="CO137" i="67"/>
  <c r="BY137" i="67"/>
  <c r="BI137" i="67"/>
  <c r="AS137" i="67"/>
  <c r="AC137" i="67"/>
  <c r="GR144" i="67"/>
  <c r="GB144" i="67"/>
  <c r="FL144" i="67"/>
  <c r="EF144" i="67"/>
  <c r="EV144" i="67"/>
  <c r="CZ144" i="67"/>
  <c r="DP144" i="67"/>
  <c r="CJ144" i="67"/>
  <c r="BT144" i="67"/>
  <c r="BD144" i="67"/>
  <c r="AN144" i="67"/>
  <c r="GQ191" i="67"/>
  <c r="GA191" i="67"/>
  <c r="FK191" i="67"/>
  <c r="EU191" i="67"/>
  <c r="EE191" i="67"/>
  <c r="DO191" i="67"/>
  <c r="CY191" i="67"/>
  <c r="CI191" i="67"/>
  <c r="BC191" i="67"/>
  <c r="BS191" i="67"/>
  <c r="AM191" i="67"/>
  <c r="GR115" i="67"/>
  <c r="GB115" i="67"/>
  <c r="FL115" i="67"/>
  <c r="EV115" i="67"/>
  <c r="EF115" i="67"/>
  <c r="CZ115" i="67"/>
  <c r="DP115" i="67"/>
  <c r="CJ115" i="67"/>
  <c r="BT115" i="67"/>
  <c r="BD115" i="67"/>
  <c r="AN115" i="67"/>
  <c r="GQ94" i="67"/>
  <c r="GA94" i="67"/>
  <c r="FK94" i="67"/>
  <c r="EE94" i="67"/>
  <c r="DO94" i="67"/>
  <c r="EU94" i="67"/>
  <c r="CY94" i="67"/>
  <c r="CI94" i="67"/>
  <c r="BC94" i="67"/>
  <c r="BS94" i="67"/>
  <c r="AM94" i="67"/>
  <c r="GQ126" i="67"/>
  <c r="GA126" i="67"/>
  <c r="FK126" i="67"/>
  <c r="EE126" i="67"/>
  <c r="EU126" i="67"/>
  <c r="DO126" i="67"/>
  <c r="CY126" i="67"/>
  <c r="CI126" i="67"/>
  <c r="BC126" i="67"/>
  <c r="BS126" i="67"/>
  <c r="AM126" i="67"/>
  <c r="GQ46" i="67"/>
  <c r="GA46" i="67"/>
  <c r="FK46" i="67"/>
  <c r="EU46" i="67"/>
  <c r="EE46" i="67"/>
  <c r="DO46" i="67"/>
  <c r="CI46" i="67"/>
  <c r="CY46" i="67"/>
  <c r="BS46" i="67"/>
  <c r="AM46" i="67"/>
  <c r="BC46" i="67"/>
  <c r="M56" i="67"/>
  <c r="GG56" i="67"/>
  <c r="FQ56" i="67"/>
  <c r="FA56" i="67"/>
  <c r="EK56" i="67"/>
  <c r="DU56" i="67"/>
  <c r="DE56" i="67"/>
  <c r="BY56" i="67"/>
  <c r="CO56" i="67"/>
  <c r="BI56" i="67"/>
  <c r="AS56" i="67"/>
  <c r="AC56" i="67"/>
  <c r="GR166" i="67"/>
  <c r="GB166" i="67"/>
  <c r="FL166" i="67"/>
  <c r="EV166" i="67"/>
  <c r="EF166" i="67"/>
  <c r="DP166" i="67"/>
  <c r="CZ166" i="67"/>
  <c r="CJ166" i="67"/>
  <c r="BT166" i="67"/>
  <c r="AN166" i="67"/>
  <c r="BD166" i="67"/>
  <c r="GR97" i="67"/>
  <c r="GB97" i="67"/>
  <c r="EV97" i="67"/>
  <c r="EF97" i="67"/>
  <c r="DP97" i="67"/>
  <c r="FL97" i="67"/>
  <c r="CZ97" i="67"/>
  <c r="CJ97" i="67"/>
  <c r="BT97" i="67"/>
  <c r="AN97" i="67"/>
  <c r="BD97" i="67"/>
  <c r="GB20" i="67"/>
  <c r="GR20" i="67"/>
  <c r="FL20" i="67"/>
  <c r="EV20" i="67"/>
  <c r="EF20" i="67"/>
  <c r="DP20" i="67"/>
  <c r="CJ20" i="67"/>
  <c r="CZ20" i="67"/>
  <c r="BT20" i="67"/>
  <c r="BD20" i="67"/>
  <c r="AN20" i="67"/>
  <c r="GQ175" i="67"/>
  <c r="GA175" i="67"/>
  <c r="FK175" i="67"/>
  <c r="EE175" i="67"/>
  <c r="EU175" i="67"/>
  <c r="DO175" i="67"/>
  <c r="CY175" i="67"/>
  <c r="BC175" i="67"/>
  <c r="BS175" i="67"/>
  <c r="AM175" i="67"/>
  <c r="CI175" i="67"/>
  <c r="GQ106" i="67"/>
  <c r="GA106" i="67"/>
  <c r="FK106" i="67"/>
  <c r="EE106" i="67"/>
  <c r="EU106" i="67"/>
  <c r="DO106" i="67"/>
  <c r="CI106" i="67"/>
  <c r="CY106" i="67"/>
  <c r="BC106" i="67"/>
  <c r="BS106" i="67"/>
  <c r="AM106" i="67"/>
  <c r="GQ31" i="67"/>
  <c r="GA31" i="67"/>
  <c r="FK31" i="67"/>
  <c r="EU31" i="67"/>
  <c r="EE31" i="67"/>
  <c r="DO31" i="67"/>
  <c r="CI31" i="67"/>
  <c r="CY31" i="67"/>
  <c r="BS31" i="67"/>
  <c r="AM31" i="67"/>
  <c r="BC31" i="67"/>
  <c r="M113" i="67"/>
  <c r="GG113" i="67"/>
  <c r="FQ113" i="67"/>
  <c r="FA113" i="67"/>
  <c r="EK113" i="67"/>
  <c r="DE113" i="67"/>
  <c r="DU113" i="67"/>
  <c r="CO113" i="67"/>
  <c r="BY113" i="67"/>
  <c r="BI113" i="67"/>
  <c r="AS113" i="67"/>
  <c r="AC113" i="67"/>
  <c r="M35" i="67"/>
  <c r="GG35" i="67"/>
  <c r="FQ35" i="67"/>
  <c r="FA35" i="67"/>
  <c r="DU35" i="67"/>
  <c r="EK35" i="67"/>
  <c r="DE35" i="67"/>
  <c r="CO35" i="67"/>
  <c r="BY35" i="67"/>
  <c r="BI35" i="67"/>
  <c r="AC35" i="67"/>
  <c r="AS35" i="67"/>
  <c r="M20" i="67"/>
  <c r="GG20" i="67"/>
  <c r="FQ20" i="67"/>
  <c r="FA20" i="67"/>
  <c r="DU20" i="67"/>
  <c r="EK20" i="67"/>
  <c r="DE20" i="67"/>
  <c r="CO20" i="67"/>
  <c r="BY20" i="67"/>
  <c r="BI20" i="67"/>
  <c r="AS20" i="67"/>
  <c r="AC20" i="67"/>
  <c r="GQ133" i="67"/>
  <c r="GA133" i="67"/>
  <c r="FK133" i="67"/>
  <c r="EE133" i="67"/>
  <c r="EU133" i="67"/>
  <c r="DO133" i="67"/>
  <c r="CY133" i="67"/>
  <c r="BC133" i="67"/>
  <c r="CI133" i="67"/>
  <c r="BS133" i="67"/>
  <c r="AM133" i="67"/>
  <c r="M133" i="67"/>
  <c r="GG133" i="67"/>
  <c r="FQ133" i="67"/>
  <c r="FA133" i="67"/>
  <c r="EK133" i="67"/>
  <c r="DU133" i="67"/>
  <c r="DE133" i="67"/>
  <c r="CO133" i="67"/>
  <c r="BY133" i="67"/>
  <c r="BI133" i="67"/>
  <c r="AC133" i="67"/>
  <c r="AS133" i="67"/>
  <c r="GQ102" i="67"/>
  <c r="GA102" i="67"/>
  <c r="FK102" i="67"/>
  <c r="EU102" i="67"/>
  <c r="EE102" i="67"/>
  <c r="DO102" i="67"/>
  <c r="CY102" i="67"/>
  <c r="CI102" i="67"/>
  <c r="BC102" i="67"/>
  <c r="BS102" i="67"/>
  <c r="AM102" i="67"/>
  <c r="GR61" i="67"/>
  <c r="GB61" i="67"/>
  <c r="FL61" i="67"/>
  <c r="EV61" i="67"/>
  <c r="EF61" i="67"/>
  <c r="DP61" i="67"/>
  <c r="CZ61" i="67"/>
  <c r="CJ61" i="67"/>
  <c r="BT61" i="67"/>
  <c r="AN61" i="67"/>
  <c r="BD61" i="67"/>
  <c r="GQ15" i="67"/>
  <c r="GA15" i="67"/>
  <c r="FK15" i="67"/>
  <c r="EU15" i="67"/>
  <c r="EE15" i="67"/>
  <c r="DO15" i="67"/>
  <c r="BS15" i="67"/>
  <c r="CY15" i="67"/>
  <c r="CI15" i="67"/>
  <c r="AM15" i="67"/>
  <c r="BC15" i="67"/>
  <c r="GQ165" i="67"/>
  <c r="GA165" i="67"/>
  <c r="FK165" i="67"/>
  <c r="EU165" i="67"/>
  <c r="EE165" i="67"/>
  <c r="DO165" i="67"/>
  <c r="CY165" i="67"/>
  <c r="BC165" i="67"/>
  <c r="CI165" i="67"/>
  <c r="BS165" i="67"/>
  <c r="AM165" i="67"/>
  <c r="M174" i="67"/>
  <c r="GG174" i="67"/>
  <c r="FQ174" i="67"/>
  <c r="FA174" i="67"/>
  <c r="EK174" i="67"/>
  <c r="DU174" i="67"/>
  <c r="DE174" i="67"/>
  <c r="CO174" i="67"/>
  <c r="BY174" i="67"/>
  <c r="BI174" i="67"/>
  <c r="AS174" i="67"/>
  <c r="AC174" i="67"/>
  <c r="GR72" i="67"/>
  <c r="GB72" i="67"/>
  <c r="FL72" i="67"/>
  <c r="EV72" i="67"/>
  <c r="EF72" i="67"/>
  <c r="DP72" i="67"/>
  <c r="CZ72" i="67"/>
  <c r="CJ72" i="67"/>
  <c r="BT72" i="67"/>
  <c r="AN72" i="67"/>
  <c r="BD72" i="67"/>
  <c r="GR141" i="67"/>
  <c r="GB141" i="67"/>
  <c r="FL141" i="67"/>
  <c r="EV141" i="67"/>
  <c r="EF141" i="67"/>
  <c r="DP141" i="67"/>
  <c r="CZ141" i="67"/>
  <c r="CJ141" i="67"/>
  <c r="BT141" i="67"/>
  <c r="BD141" i="67"/>
  <c r="AN141" i="67"/>
  <c r="GQ156" i="67"/>
  <c r="GA156" i="67"/>
  <c r="FK156" i="67"/>
  <c r="EE156" i="67"/>
  <c r="EU156" i="67"/>
  <c r="DO156" i="67"/>
  <c r="CY156" i="67"/>
  <c r="BC156" i="67"/>
  <c r="CI156" i="67"/>
  <c r="BS156" i="67"/>
  <c r="AM156" i="67"/>
  <c r="GR43" i="67"/>
  <c r="GB43" i="67"/>
  <c r="FL43" i="67"/>
  <c r="EV43" i="67"/>
  <c r="EF43" i="67"/>
  <c r="DP43" i="67"/>
  <c r="CZ43" i="67"/>
  <c r="CJ43" i="67"/>
  <c r="BT43" i="67"/>
  <c r="AN43" i="67"/>
  <c r="BD43" i="67"/>
  <c r="M124" i="67"/>
  <c r="GG124" i="67"/>
  <c r="FQ124" i="67"/>
  <c r="FA124" i="67"/>
  <c r="EK124" i="67"/>
  <c r="DU124" i="67"/>
  <c r="DE124" i="67"/>
  <c r="CO124" i="67"/>
  <c r="BY124" i="67"/>
  <c r="BI124" i="67"/>
  <c r="AC124" i="67"/>
  <c r="AS124" i="67"/>
  <c r="GQ81" i="67"/>
  <c r="GA81" i="67"/>
  <c r="FK81" i="67"/>
  <c r="EU81" i="67"/>
  <c r="EE81" i="67"/>
  <c r="DO81" i="67"/>
  <c r="CY81" i="67"/>
  <c r="CI81" i="67"/>
  <c r="BC81" i="67"/>
  <c r="BS81" i="67"/>
  <c r="AM81" i="67"/>
  <c r="GQ42" i="67"/>
  <c r="GA42" i="67"/>
  <c r="FK42" i="67"/>
  <c r="EU42" i="67"/>
  <c r="EE42" i="67"/>
  <c r="DO42" i="67"/>
  <c r="CY42" i="67"/>
  <c r="CI42" i="67"/>
  <c r="BS42" i="67"/>
  <c r="AM42" i="67"/>
  <c r="BC42" i="67"/>
  <c r="GQ19" i="67"/>
  <c r="GA19" i="67"/>
  <c r="FK19" i="67"/>
  <c r="EU19" i="67"/>
  <c r="EE19" i="67"/>
  <c r="DO19" i="67"/>
  <c r="BS19" i="67"/>
  <c r="CI19" i="67"/>
  <c r="CY19" i="67"/>
  <c r="AM19" i="67"/>
  <c r="BC19" i="67"/>
  <c r="M183" i="67"/>
  <c r="GG183" i="67"/>
  <c r="FQ183" i="67"/>
  <c r="FA183" i="67"/>
  <c r="EK183" i="67"/>
  <c r="DU183" i="67"/>
  <c r="DE183" i="67"/>
  <c r="CO183" i="67"/>
  <c r="BY183" i="67"/>
  <c r="BI183" i="67"/>
  <c r="AS183" i="67"/>
  <c r="AC183" i="67"/>
  <c r="GQ79" i="67"/>
  <c r="GA79" i="67"/>
  <c r="FK79" i="67"/>
  <c r="EU79" i="67"/>
  <c r="EE79" i="67"/>
  <c r="DO79" i="67"/>
  <c r="CY79" i="67"/>
  <c r="CI79" i="67"/>
  <c r="BC79" i="67"/>
  <c r="BS79" i="67"/>
  <c r="AM79" i="67"/>
  <c r="M163" i="67"/>
  <c r="GG163" i="67"/>
  <c r="FQ163" i="67"/>
  <c r="FA163" i="67"/>
  <c r="EK163" i="67"/>
  <c r="DU163" i="67"/>
  <c r="DE163" i="67"/>
  <c r="CO163" i="67"/>
  <c r="BY163" i="67"/>
  <c r="BI163" i="67"/>
  <c r="AS163" i="67"/>
  <c r="AC163" i="67"/>
  <c r="GR116" i="67"/>
  <c r="GB116" i="67"/>
  <c r="EV116" i="67"/>
  <c r="FL116" i="67"/>
  <c r="EF116" i="67"/>
  <c r="CZ116" i="67"/>
  <c r="CJ116" i="67"/>
  <c r="DP116" i="67"/>
  <c r="BT116" i="67"/>
  <c r="BD116" i="67"/>
  <c r="AN116" i="67"/>
  <c r="GR40" i="67"/>
  <c r="GB40" i="67"/>
  <c r="FL40" i="67"/>
  <c r="EV40" i="67"/>
  <c r="EF40" i="67"/>
  <c r="DP40" i="67"/>
  <c r="CZ40" i="67"/>
  <c r="CJ40" i="67"/>
  <c r="BT40" i="67"/>
  <c r="AN40" i="67"/>
  <c r="BD40" i="67"/>
  <c r="GQ48" i="67"/>
  <c r="GA48" i="67"/>
  <c r="FK48" i="67"/>
  <c r="EU48" i="67"/>
  <c r="EE48" i="67"/>
  <c r="DO48" i="67"/>
  <c r="CI48" i="67"/>
  <c r="CY48" i="67"/>
  <c r="AM48" i="67"/>
  <c r="BS48" i="67"/>
  <c r="BC48" i="67"/>
  <c r="M58" i="67"/>
  <c r="GG58" i="67"/>
  <c r="FQ58" i="67"/>
  <c r="FA58" i="67"/>
  <c r="DU58" i="67"/>
  <c r="EK58" i="67"/>
  <c r="CO58" i="67"/>
  <c r="DE58" i="67"/>
  <c r="BY58" i="67"/>
  <c r="BI58" i="67"/>
  <c r="AS58" i="67"/>
  <c r="AC58" i="67"/>
  <c r="GR66" i="67"/>
  <c r="GB66" i="67"/>
  <c r="FL66" i="67"/>
  <c r="EF66" i="67"/>
  <c r="DP66" i="67"/>
  <c r="EV66" i="67"/>
  <c r="CJ66" i="67"/>
  <c r="CZ66" i="67"/>
  <c r="BT66" i="67"/>
  <c r="AN66" i="67"/>
  <c r="BD66" i="67"/>
  <c r="GQ77" i="67"/>
  <c r="GA77" i="67"/>
  <c r="FK77" i="67"/>
  <c r="EU77" i="67"/>
  <c r="EE77" i="67"/>
  <c r="DO77" i="67"/>
  <c r="CY77" i="67"/>
  <c r="CI77" i="67"/>
  <c r="BC77" i="67"/>
  <c r="BS77" i="67"/>
  <c r="AM77" i="67"/>
  <c r="M86" i="67"/>
  <c r="GG86" i="67"/>
  <c r="FQ86" i="67"/>
  <c r="EK86" i="67"/>
  <c r="FA86" i="67"/>
  <c r="DU86" i="67"/>
  <c r="DE86" i="67"/>
  <c r="BY86" i="67"/>
  <c r="CO86" i="67"/>
  <c r="BI86" i="67"/>
  <c r="AC86" i="67"/>
  <c r="AS86" i="67"/>
  <c r="GR38" i="67"/>
  <c r="GB38" i="67"/>
  <c r="FL38" i="67"/>
  <c r="EV38" i="67"/>
  <c r="EF38" i="67"/>
  <c r="DP38" i="67"/>
  <c r="CZ38" i="67"/>
  <c r="CJ38" i="67"/>
  <c r="BT38" i="67"/>
  <c r="AN38" i="67"/>
  <c r="BD38" i="67"/>
  <c r="M135" i="67"/>
  <c r="GG135" i="67"/>
  <c r="FQ135" i="67"/>
  <c r="FA135" i="67"/>
  <c r="EK135" i="67"/>
  <c r="DU135" i="67"/>
  <c r="DE135" i="67"/>
  <c r="CO135" i="67"/>
  <c r="BI135" i="67"/>
  <c r="BY135" i="67"/>
  <c r="AC135" i="67"/>
  <c r="AS135" i="67"/>
  <c r="M13" i="67"/>
  <c r="GG13" i="67"/>
  <c r="FQ13" i="67"/>
  <c r="FA13" i="67"/>
  <c r="DU13" i="67"/>
  <c r="EK13" i="67"/>
  <c r="CO13" i="67"/>
  <c r="DE13" i="67"/>
  <c r="BY13" i="67"/>
  <c r="BI13" i="67"/>
  <c r="AS13" i="67"/>
  <c r="AC13" i="67"/>
  <c r="GQ183" i="67"/>
  <c r="GA183" i="67"/>
  <c r="FK183" i="67"/>
  <c r="EU183" i="67"/>
  <c r="EE183" i="67"/>
  <c r="DO183" i="67"/>
  <c r="CY183" i="67"/>
  <c r="BC183" i="67"/>
  <c r="CI183" i="67"/>
  <c r="BS183" i="67"/>
  <c r="AM183" i="67"/>
  <c r="GR71" i="67"/>
  <c r="GB71" i="67"/>
  <c r="FL71" i="67"/>
  <c r="EV71" i="67"/>
  <c r="EF71" i="67"/>
  <c r="DP71" i="67"/>
  <c r="CZ71" i="67"/>
  <c r="CJ71" i="67"/>
  <c r="BT71" i="67"/>
  <c r="AN71" i="67"/>
  <c r="BD71" i="67"/>
  <c r="M148" i="67"/>
  <c r="GG148" i="67"/>
  <c r="FA148" i="67"/>
  <c r="FQ148" i="67"/>
  <c r="EK148" i="67"/>
  <c r="DU148" i="67"/>
  <c r="DE148" i="67"/>
  <c r="CO148" i="67"/>
  <c r="BY148" i="67"/>
  <c r="BI148" i="67"/>
  <c r="AS148" i="67"/>
  <c r="AC148" i="67"/>
  <c r="GQ112" i="67"/>
  <c r="GA112" i="67"/>
  <c r="FK112" i="67"/>
  <c r="EE112" i="67"/>
  <c r="EU112" i="67"/>
  <c r="DO112" i="67"/>
  <c r="CY112" i="67"/>
  <c r="CI112" i="67"/>
  <c r="BC112" i="67"/>
  <c r="BS112" i="67"/>
  <c r="AM112" i="67"/>
  <c r="M140" i="67"/>
  <c r="GG140" i="67"/>
  <c r="FA140" i="67"/>
  <c r="EK140" i="67"/>
  <c r="FQ140" i="67"/>
  <c r="DU140" i="67"/>
  <c r="DE140" i="67"/>
  <c r="CO140" i="67"/>
  <c r="BY140" i="67"/>
  <c r="BI140" i="67"/>
  <c r="AS140" i="67"/>
  <c r="AC140" i="67"/>
  <c r="GQ110" i="67"/>
  <c r="GA110" i="67"/>
  <c r="FK110" i="67"/>
  <c r="EU110" i="67"/>
  <c r="EE110" i="67"/>
  <c r="DO110" i="67"/>
  <c r="CY110" i="67"/>
  <c r="CI110" i="67"/>
  <c r="BC110" i="67"/>
  <c r="BS110" i="67"/>
  <c r="AM110" i="67"/>
  <c r="GQ62" i="67"/>
  <c r="GA62" i="67"/>
  <c r="FK62" i="67"/>
  <c r="EU62" i="67"/>
  <c r="EE62" i="67"/>
  <c r="DO62" i="67"/>
  <c r="CI62" i="67"/>
  <c r="CY62" i="67"/>
  <c r="BS62" i="67"/>
  <c r="AM62" i="67"/>
  <c r="BC62" i="67"/>
  <c r="GR153" i="67"/>
  <c r="GB153" i="67"/>
  <c r="FL153" i="67"/>
  <c r="EV153" i="67"/>
  <c r="EF153" i="67"/>
  <c r="CZ153" i="67"/>
  <c r="DP153" i="67"/>
  <c r="CJ153" i="67"/>
  <c r="BT153" i="67"/>
  <c r="AN153" i="67"/>
  <c r="BD153" i="67"/>
  <c r="M75" i="67"/>
  <c r="GG75" i="67"/>
  <c r="FQ75" i="67"/>
  <c r="FA75" i="67"/>
  <c r="EK75" i="67"/>
  <c r="DU75" i="67"/>
  <c r="DE75" i="67"/>
  <c r="BY75" i="67"/>
  <c r="CO75" i="67"/>
  <c r="BI75" i="67"/>
  <c r="AS75" i="67"/>
  <c r="AC75" i="67"/>
  <c r="M80" i="67"/>
  <c r="GG80" i="67"/>
  <c r="FQ80" i="67"/>
  <c r="FA80" i="67"/>
  <c r="EK80" i="67"/>
  <c r="DU80" i="67"/>
  <c r="CO80" i="67"/>
  <c r="DE80" i="67"/>
  <c r="BY80" i="67"/>
  <c r="BI80" i="67"/>
  <c r="AS80" i="67"/>
  <c r="AC80" i="67"/>
  <c r="GR9" i="67"/>
  <c r="GB9" i="67"/>
  <c r="FL9" i="67"/>
  <c r="EV9" i="67"/>
  <c r="EF9" i="67"/>
  <c r="DP9" i="67"/>
  <c r="CJ9" i="67"/>
  <c r="CZ9" i="67"/>
  <c r="AN9" i="67"/>
  <c r="BT9" i="67"/>
  <c r="BD9" i="67"/>
  <c r="GR74" i="67"/>
  <c r="GB74" i="67"/>
  <c r="FL74" i="67"/>
  <c r="EV74" i="67"/>
  <c r="EF74" i="67"/>
  <c r="CZ74" i="67"/>
  <c r="DP74" i="67"/>
  <c r="BT74" i="67"/>
  <c r="CJ74" i="67"/>
  <c r="AN74" i="67"/>
  <c r="BD74" i="67"/>
  <c r="GR70" i="67"/>
  <c r="GB70" i="67"/>
  <c r="FL70" i="67"/>
  <c r="EV70" i="67"/>
  <c r="EF70" i="67"/>
  <c r="DP70" i="67"/>
  <c r="CZ70" i="67"/>
  <c r="CJ70" i="67"/>
  <c r="BT70" i="67"/>
  <c r="AN70" i="67"/>
  <c r="BD70" i="67"/>
  <c r="M152" i="67"/>
  <c r="GG152" i="67"/>
  <c r="FA152" i="67"/>
  <c r="FQ152" i="67"/>
  <c r="EK152" i="67"/>
  <c r="DU152" i="67"/>
  <c r="DE152" i="67"/>
  <c r="CO152" i="67"/>
  <c r="BY152" i="67"/>
  <c r="BI152" i="67"/>
  <c r="AS152" i="67"/>
  <c r="AC152" i="67"/>
  <c r="GR108" i="67"/>
  <c r="GB108" i="67"/>
  <c r="FL108" i="67"/>
  <c r="EV108" i="67"/>
  <c r="EF108" i="67"/>
  <c r="DP108" i="67"/>
  <c r="CZ108" i="67"/>
  <c r="CJ108" i="67"/>
  <c r="BT108" i="67"/>
  <c r="BD108" i="67"/>
  <c r="AN108" i="67"/>
  <c r="GQ188" i="67"/>
  <c r="GA188" i="67"/>
  <c r="FK188" i="67"/>
  <c r="EU188" i="67"/>
  <c r="EE188" i="67"/>
  <c r="DO188" i="67"/>
  <c r="CY188" i="67"/>
  <c r="CI188" i="67"/>
  <c r="BC188" i="67"/>
  <c r="BS188" i="67"/>
  <c r="AM188" i="67"/>
  <c r="M48" i="67"/>
  <c r="GG48" i="67"/>
  <c r="FQ48" i="67"/>
  <c r="FA48" i="67"/>
  <c r="DU48" i="67"/>
  <c r="EK48" i="67"/>
  <c r="DE48" i="67"/>
  <c r="BY48" i="67"/>
  <c r="CO48" i="67"/>
  <c r="BI48" i="67"/>
  <c r="AS48" i="67"/>
  <c r="AC48" i="67"/>
  <c r="GR136" i="67"/>
  <c r="GB136" i="67"/>
  <c r="FL136" i="67"/>
  <c r="EF136" i="67"/>
  <c r="EV136" i="67"/>
  <c r="CZ136" i="67"/>
  <c r="DP136" i="67"/>
  <c r="CJ136" i="67"/>
  <c r="BT136" i="67"/>
  <c r="BD136" i="67"/>
  <c r="AN136" i="67"/>
  <c r="GQ96" i="67"/>
  <c r="GA96" i="67"/>
  <c r="FK96" i="67"/>
  <c r="EU96" i="67"/>
  <c r="EE96" i="67"/>
  <c r="DO96" i="67"/>
  <c r="CY96" i="67"/>
  <c r="CI96" i="67"/>
  <c r="BC96" i="67"/>
  <c r="BS96" i="67"/>
  <c r="AM96" i="67"/>
  <c r="GQ66" i="67"/>
  <c r="GA66" i="67"/>
  <c r="FK66" i="67"/>
  <c r="EU66" i="67"/>
  <c r="EE66" i="67"/>
  <c r="DO66" i="67"/>
  <c r="CY66" i="67"/>
  <c r="CI66" i="67"/>
  <c r="BS66" i="67"/>
  <c r="AM66" i="67"/>
  <c r="BC66" i="67"/>
  <c r="GQ186" i="67"/>
  <c r="GA186" i="67"/>
  <c r="FK186" i="67"/>
  <c r="EE186" i="67"/>
  <c r="DO186" i="67"/>
  <c r="EU186" i="67"/>
  <c r="CY186" i="67"/>
  <c r="CI186" i="67"/>
  <c r="BC186" i="67"/>
  <c r="BS186" i="67"/>
  <c r="AM186" i="67"/>
  <c r="GQ38" i="67"/>
  <c r="GA38" i="67"/>
  <c r="FK38" i="67"/>
  <c r="EU38" i="67"/>
  <c r="EE38" i="67"/>
  <c r="DO38" i="67"/>
  <c r="CI38" i="67"/>
  <c r="CY38" i="67"/>
  <c r="BS38" i="67"/>
  <c r="AM38" i="67"/>
  <c r="BC38" i="67"/>
  <c r="M46" i="67"/>
  <c r="GG46" i="67"/>
  <c r="FQ46" i="67"/>
  <c r="FA46" i="67"/>
  <c r="EK46" i="67"/>
  <c r="DU46" i="67"/>
  <c r="DE46" i="67"/>
  <c r="BY46" i="67"/>
  <c r="CO46" i="67"/>
  <c r="BI46" i="67"/>
  <c r="AC46" i="67"/>
  <c r="AS46" i="67"/>
  <c r="GR158" i="67"/>
  <c r="GB158" i="67"/>
  <c r="FL158" i="67"/>
  <c r="EV158" i="67"/>
  <c r="EF158" i="67"/>
  <c r="DP158" i="67"/>
  <c r="CZ158" i="67"/>
  <c r="CJ158" i="67"/>
  <c r="BT158" i="67"/>
  <c r="AN158" i="67"/>
  <c r="BD158" i="67"/>
  <c r="GR10" i="67"/>
  <c r="GB10" i="67"/>
  <c r="FL10" i="67"/>
  <c r="EV10" i="67"/>
  <c r="EF10" i="67"/>
  <c r="DP10" i="67"/>
  <c r="CJ10" i="67"/>
  <c r="CZ10" i="67"/>
  <c r="AN10" i="67"/>
  <c r="BT10" i="67"/>
  <c r="BD10" i="67"/>
  <c r="M27" i="67"/>
  <c r="GG27" i="67"/>
  <c r="FQ27" i="67"/>
  <c r="FA27" i="67"/>
  <c r="EK27" i="67"/>
  <c r="DU27" i="67"/>
  <c r="DE27" i="67"/>
  <c r="BY27" i="67"/>
  <c r="BI27" i="67"/>
  <c r="CO27" i="67"/>
  <c r="AS27" i="67"/>
  <c r="AC27" i="67"/>
  <c r="GQ182" i="67"/>
  <c r="GA182" i="67"/>
  <c r="FK182" i="67"/>
  <c r="EU182" i="67"/>
  <c r="EE182" i="67"/>
  <c r="DO182" i="67"/>
  <c r="CY182" i="67"/>
  <c r="CI182" i="67"/>
  <c r="BC182" i="67"/>
  <c r="BS182" i="67"/>
  <c r="AM182" i="67"/>
  <c r="M155" i="67"/>
  <c r="GG155" i="67"/>
  <c r="FA155" i="67"/>
  <c r="FQ155" i="67"/>
  <c r="EK155" i="67"/>
  <c r="DU155" i="67"/>
  <c r="DE155" i="67"/>
  <c r="BY155" i="67"/>
  <c r="BI155" i="67"/>
  <c r="CO155" i="67"/>
  <c r="AS155" i="67"/>
  <c r="AC155" i="67"/>
  <c r="GQ124" i="67"/>
  <c r="GA124" i="67"/>
  <c r="FK124" i="67"/>
  <c r="EE124" i="67"/>
  <c r="EU124" i="67"/>
  <c r="DO124" i="67"/>
  <c r="CY124" i="67"/>
  <c r="BC124" i="67"/>
  <c r="CI124" i="67"/>
  <c r="BS124" i="67"/>
  <c r="AM124" i="67"/>
  <c r="GR91" i="67"/>
  <c r="GB91" i="67"/>
  <c r="FL91" i="67"/>
  <c r="EV91" i="67"/>
  <c r="EF91" i="67"/>
  <c r="DP91" i="67"/>
  <c r="CZ91" i="67"/>
  <c r="CJ91" i="67"/>
  <c r="BT91" i="67"/>
  <c r="BD91" i="67"/>
  <c r="AN91" i="67"/>
  <c r="GR62" i="67"/>
  <c r="GB62" i="67"/>
  <c r="FL62" i="67"/>
  <c r="EV62" i="67"/>
  <c r="EF62" i="67"/>
  <c r="DP62" i="67"/>
  <c r="CZ62" i="67"/>
  <c r="CJ62" i="67"/>
  <c r="BT62" i="67"/>
  <c r="AN62" i="67"/>
  <c r="BD62" i="67"/>
  <c r="GR174" i="67"/>
  <c r="GB174" i="67"/>
  <c r="FL174" i="67"/>
  <c r="EV174" i="67"/>
  <c r="EF174" i="67"/>
  <c r="DP174" i="67"/>
  <c r="CZ174" i="67"/>
  <c r="CJ174" i="67"/>
  <c r="BT174" i="67"/>
  <c r="AN174" i="67"/>
  <c r="BD174" i="67"/>
  <c r="GR29" i="67"/>
  <c r="GB29" i="67"/>
  <c r="FL29" i="67"/>
  <c r="EV29" i="67"/>
  <c r="EF29" i="67"/>
  <c r="DP29" i="67"/>
  <c r="CZ29" i="67"/>
  <c r="CJ29" i="67"/>
  <c r="BT29" i="67"/>
  <c r="AN29" i="67"/>
  <c r="BD29" i="67"/>
  <c r="GR133" i="67"/>
  <c r="GB133" i="67"/>
  <c r="FL133" i="67"/>
  <c r="EV133" i="67"/>
  <c r="EF133" i="67"/>
  <c r="DP133" i="67"/>
  <c r="CZ133" i="67"/>
  <c r="CJ133" i="67"/>
  <c r="BT133" i="67"/>
  <c r="AN133" i="67"/>
  <c r="BD133" i="67"/>
  <c r="M71" i="67"/>
  <c r="GG71" i="67"/>
  <c r="FQ71" i="67"/>
  <c r="FA71" i="67"/>
  <c r="EK71" i="67"/>
  <c r="DU71" i="67"/>
  <c r="CO71" i="67"/>
  <c r="DE71" i="67"/>
  <c r="BY71" i="67"/>
  <c r="BI71" i="67"/>
  <c r="AC71" i="67"/>
  <c r="AS71" i="67"/>
  <c r="GR131" i="67"/>
  <c r="GB131" i="67"/>
  <c r="FL131" i="67"/>
  <c r="EV131" i="67"/>
  <c r="EF131" i="67"/>
  <c r="DP131" i="67"/>
  <c r="CZ131" i="67"/>
  <c r="CJ131" i="67"/>
  <c r="BT131" i="67"/>
  <c r="AN131" i="67"/>
  <c r="BD131" i="67"/>
  <c r="GQ91" i="67"/>
  <c r="GA91" i="67"/>
  <c r="FK91" i="67"/>
  <c r="EU91" i="67"/>
  <c r="EE91" i="67"/>
  <c r="DO91" i="67"/>
  <c r="CY91" i="67"/>
  <c r="CI91" i="67"/>
  <c r="BC91" i="67"/>
  <c r="BS91" i="67"/>
  <c r="AM91" i="67"/>
  <c r="GR17" i="67"/>
  <c r="GB17" i="67"/>
  <c r="FL17" i="67"/>
  <c r="EV17" i="67"/>
  <c r="EF17" i="67"/>
  <c r="DP17" i="67"/>
  <c r="CZ17" i="67"/>
  <c r="CJ17" i="67"/>
  <c r="AN17" i="67"/>
  <c r="BT17" i="67"/>
  <c r="BD17" i="67"/>
  <c r="GQ8" i="67"/>
  <c r="GA8" i="67"/>
  <c r="FK8" i="67"/>
  <c r="EU8" i="67"/>
  <c r="EE8" i="67"/>
  <c r="DO8" i="67"/>
  <c r="BS8" i="67"/>
  <c r="CY8" i="67"/>
  <c r="CI8" i="67"/>
  <c r="BC8" i="67"/>
  <c r="AM8" i="67"/>
  <c r="M91" i="67"/>
  <c r="GG91" i="67"/>
  <c r="FQ91" i="67"/>
  <c r="FA91" i="67"/>
  <c r="EK91" i="67"/>
  <c r="DU91" i="67"/>
  <c r="DE91" i="67"/>
  <c r="CO91" i="67"/>
  <c r="BY91" i="67"/>
  <c r="BI91" i="67"/>
  <c r="AS91" i="67"/>
  <c r="AC91" i="67"/>
  <c r="GQ114" i="67"/>
  <c r="GA114" i="67"/>
  <c r="FK114" i="67"/>
  <c r="EU114" i="67"/>
  <c r="EE114" i="67"/>
  <c r="DO114" i="67"/>
  <c r="CY114" i="67"/>
  <c r="CI114" i="67"/>
  <c r="BC114" i="67"/>
  <c r="BS114" i="67"/>
  <c r="AM114" i="67"/>
  <c r="GQ105" i="67"/>
  <c r="GA105" i="67"/>
  <c r="FK105" i="67"/>
  <c r="EE105" i="67"/>
  <c r="EU105" i="67"/>
  <c r="DO105" i="67"/>
  <c r="CY105" i="67"/>
  <c r="CI105" i="67"/>
  <c r="BC105" i="67"/>
  <c r="BS105" i="67"/>
  <c r="AM105" i="67"/>
  <c r="GR146" i="67"/>
  <c r="GB146" i="67"/>
  <c r="FL146" i="67"/>
  <c r="EV146" i="67"/>
  <c r="EF146" i="67"/>
  <c r="DP146" i="67"/>
  <c r="CZ146" i="67"/>
  <c r="CJ146" i="67"/>
  <c r="BT146" i="67"/>
  <c r="BD146" i="67"/>
  <c r="AN146" i="67"/>
  <c r="GQ152" i="67"/>
  <c r="GA152" i="67"/>
  <c r="FK152" i="67"/>
  <c r="EU152" i="67"/>
  <c r="EE152" i="67"/>
  <c r="DO152" i="67"/>
  <c r="CY152" i="67"/>
  <c r="CI152" i="67"/>
  <c r="BC152" i="67"/>
  <c r="BS152" i="67"/>
  <c r="AM152" i="67"/>
  <c r="M90" i="67"/>
  <c r="GG90" i="67"/>
  <c r="FQ90" i="67"/>
  <c r="FA90" i="67"/>
  <c r="EK90" i="67"/>
  <c r="DU90" i="67"/>
  <c r="DE90" i="67"/>
  <c r="CO90" i="67"/>
  <c r="BY90" i="67"/>
  <c r="BI90" i="67"/>
  <c r="AS90" i="67"/>
  <c r="AC90" i="67"/>
  <c r="M9" i="67"/>
  <c r="GG9" i="67"/>
  <c r="FQ9" i="67"/>
  <c r="FA9" i="67"/>
  <c r="DU9" i="67"/>
  <c r="EK9" i="67"/>
  <c r="CO9" i="67"/>
  <c r="DE9" i="67"/>
  <c r="BY9" i="67"/>
  <c r="BI9" i="67"/>
  <c r="AC9" i="67"/>
  <c r="AS9" i="67"/>
  <c r="GR188" i="67"/>
  <c r="GB188" i="67"/>
  <c r="FL188" i="67"/>
  <c r="EV188" i="67"/>
  <c r="EF188" i="67"/>
  <c r="DP188" i="67"/>
  <c r="CZ188" i="67"/>
  <c r="CJ188" i="67"/>
  <c r="BT188" i="67"/>
  <c r="BD188" i="67"/>
  <c r="AN188" i="67"/>
  <c r="M63" i="67"/>
  <c r="GG63" i="67"/>
  <c r="FQ63" i="67"/>
  <c r="FA63" i="67"/>
  <c r="EK63" i="67"/>
  <c r="DE63" i="67"/>
  <c r="DU63" i="67"/>
  <c r="CO63" i="67"/>
  <c r="BY63" i="67"/>
  <c r="BI63" i="67"/>
  <c r="AC63" i="67"/>
  <c r="AS63" i="67"/>
  <c r="GR96" i="67"/>
  <c r="GB96" i="67"/>
  <c r="FL96" i="67"/>
  <c r="EF96" i="67"/>
  <c r="CZ96" i="67"/>
  <c r="EV96" i="67"/>
  <c r="DP96" i="67"/>
  <c r="CJ96" i="67"/>
  <c r="BT96" i="67"/>
  <c r="BD96" i="67"/>
  <c r="AN96" i="67"/>
  <c r="GQ129" i="67"/>
  <c r="GA129" i="67"/>
  <c r="FK129" i="67"/>
  <c r="EU129" i="67"/>
  <c r="EE129" i="67"/>
  <c r="DO129" i="67"/>
  <c r="CY129" i="67"/>
  <c r="CI129" i="67"/>
  <c r="BC129" i="67"/>
  <c r="BS129" i="67"/>
  <c r="AM129" i="67"/>
  <c r="M160" i="67"/>
  <c r="GG160" i="67"/>
  <c r="FQ160" i="67"/>
  <c r="FA160" i="67"/>
  <c r="EK160" i="67"/>
  <c r="DU160" i="67"/>
  <c r="DE160" i="67"/>
  <c r="CO160" i="67"/>
  <c r="BI160" i="67"/>
  <c r="AC160" i="67"/>
  <c r="BY160" i="67"/>
  <c r="AS160" i="67"/>
  <c r="GR186" i="67"/>
  <c r="GB186" i="67"/>
  <c r="FL186" i="67"/>
  <c r="EV186" i="67"/>
  <c r="CZ186" i="67"/>
  <c r="EF186" i="67"/>
  <c r="DP186" i="67"/>
  <c r="CJ186" i="67"/>
  <c r="BT186" i="67"/>
  <c r="BD186" i="67"/>
  <c r="AN186" i="67"/>
  <c r="M25" i="67"/>
  <c r="GG25" i="67"/>
  <c r="FQ25" i="67"/>
  <c r="FA25" i="67"/>
  <c r="EK25" i="67"/>
  <c r="DU25" i="67"/>
  <c r="DE25" i="67"/>
  <c r="CO25" i="67"/>
  <c r="BY25" i="67"/>
  <c r="BI25" i="67"/>
  <c r="AC25" i="67"/>
  <c r="AS25" i="67"/>
  <c r="M114" i="67"/>
  <c r="GG114" i="67"/>
  <c r="FQ114" i="67"/>
  <c r="FA114" i="67"/>
  <c r="EK114" i="67"/>
  <c r="DU114" i="67"/>
  <c r="DE114" i="67"/>
  <c r="CO114" i="67"/>
  <c r="BY114" i="67"/>
  <c r="BI114" i="67"/>
  <c r="AS114" i="67"/>
  <c r="AC114" i="67"/>
  <c r="GR149" i="67"/>
  <c r="GB149" i="67"/>
  <c r="FL149" i="67"/>
  <c r="EV149" i="67"/>
  <c r="EF149" i="67"/>
  <c r="DP149" i="67"/>
  <c r="CZ149" i="67"/>
  <c r="CJ149" i="67"/>
  <c r="BT149" i="67"/>
  <c r="BD149" i="67"/>
  <c r="AN149" i="67"/>
  <c r="M156" i="67"/>
  <c r="GG156" i="67"/>
  <c r="FQ156" i="67"/>
  <c r="FA156" i="67"/>
  <c r="EK156" i="67"/>
  <c r="DU156" i="67"/>
  <c r="DE156" i="67"/>
  <c r="CO156" i="67"/>
  <c r="BY156" i="67"/>
  <c r="BI156" i="67"/>
  <c r="AC156" i="67"/>
  <c r="AS156" i="67"/>
  <c r="GR147" i="67"/>
  <c r="GB147" i="67"/>
  <c r="FL147" i="67"/>
  <c r="EV147" i="67"/>
  <c r="EF147" i="67"/>
  <c r="CZ147" i="67"/>
  <c r="DP147" i="67"/>
  <c r="CJ147" i="67"/>
  <c r="BT147" i="67"/>
  <c r="BD147" i="67"/>
  <c r="AN147" i="67"/>
  <c r="GR80" i="67"/>
  <c r="GB80" i="67"/>
  <c r="FL80" i="67"/>
  <c r="EV80" i="67"/>
  <c r="EF80" i="67"/>
  <c r="DP80" i="67"/>
  <c r="CZ80" i="67"/>
  <c r="CJ80" i="67"/>
  <c r="BT80" i="67"/>
  <c r="BD80" i="67"/>
  <c r="AN80" i="67"/>
  <c r="GR120" i="67"/>
  <c r="GB120" i="67"/>
  <c r="FL120" i="67"/>
  <c r="EV120" i="67"/>
  <c r="EF120" i="67"/>
  <c r="DP120" i="67"/>
  <c r="CZ120" i="67"/>
  <c r="CJ120" i="67"/>
  <c r="BT120" i="67"/>
  <c r="BD120" i="67"/>
  <c r="AN120" i="67"/>
  <c r="M103" i="67"/>
  <c r="GG103" i="67"/>
  <c r="FQ103" i="67"/>
  <c r="FA103" i="67"/>
  <c r="EK103" i="67"/>
  <c r="DU103" i="67"/>
  <c r="CO103" i="67"/>
  <c r="DE103" i="67"/>
  <c r="BY103" i="67"/>
  <c r="BI103" i="67"/>
  <c r="AC103" i="67"/>
  <c r="AS103" i="67"/>
  <c r="GR42" i="67"/>
  <c r="GB42" i="67"/>
  <c r="FL42" i="67"/>
  <c r="EV42" i="67"/>
  <c r="EF42" i="67"/>
  <c r="DP42" i="67"/>
  <c r="CZ42" i="67"/>
  <c r="CJ42" i="67"/>
  <c r="BT42" i="67"/>
  <c r="AN42" i="67"/>
  <c r="BD42" i="67"/>
  <c r="GQ43" i="67"/>
  <c r="GA43" i="67"/>
  <c r="FK43" i="67"/>
  <c r="EU43" i="67"/>
  <c r="EE43" i="67"/>
  <c r="DO43" i="67"/>
  <c r="CY43" i="67"/>
  <c r="CI43" i="67"/>
  <c r="AM43" i="67"/>
  <c r="BS43" i="67"/>
  <c r="BC43" i="67"/>
  <c r="M157" i="67"/>
  <c r="GG157" i="67"/>
  <c r="FQ157" i="67"/>
  <c r="FA157" i="67"/>
  <c r="EK157" i="67"/>
  <c r="DU157" i="67"/>
  <c r="DE157" i="67"/>
  <c r="CO157" i="67"/>
  <c r="BY157" i="67"/>
  <c r="BI157" i="67"/>
  <c r="AC157" i="67"/>
  <c r="AS157" i="67"/>
  <c r="GQ16" i="67"/>
  <c r="GA16" i="67"/>
  <c r="FK16" i="67"/>
  <c r="EU16" i="67"/>
  <c r="EE16" i="67"/>
  <c r="DO16" i="67"/>
  <c r="CY16" i="67"/>
  <c r="CI16" i="67"/>
  <c r="BC16" i="67"/>
  <c r="BS16" i="67"/>
  <c r="AM16" i="67"/>
  <c r="GR138" i="67"/>
  <c r="FL138" i="67"/>
  <c r="GB138" i="67"/>
  <c r="EV138" i="67"/>
  <c r="EF138" i="67"/>
  <c r="DP138" i="67"/>
  <c r="CZ138" i="67"/>
  <c r="CJ138" i="67"/>
  <c r="BT138" i="67"/>
  <c r="AN138" i="67"/>
  <c r="BD138" i="67"/>
  <c r="GB59" i="67"/>
  <c r="GR59" i="67"/>
  <c r="FL59" i="67"/>
  <c r="EV59" i="67"/>
  <c r="EF59" i="67"/>
  <c r="DP59" i="67"/>
  <c r="CZ59" i="67"/>
  <c r="CJ59" i="67"/>
  <c r="BT59" i="67"/>
  <c r="BD59" i="67"/>
  <c r="AN59" i="67"/>
  <c r="GQ146" i="67"/>
  <c r="GA146" i="67"/>
  <c r="FK146" i="67"/>
  <c r="EU146" i="67"/>
  <c r="EE146" i="67"/>
  <c r="DO146" i="67"/>
  <c r="CY146" i="67"/>
  <c r="CI146" i="67"/>
  <c r="BC146" i="67"/>
  <c r="BS146" i="67"/>
  <c r="AM146" i="67"/>
  <c r="GQ68" i="67"/>
  <c r="GA68" i="67"/>
  <c r="FK68" i="67"/>
  <c r="EU68" i="67"/>
  <c r="EE68" i="67"/>
  <c r="DO68" i="67"/>
  <c r="CY68" i="67"/>
  <c r="CI68" i="67"/>
  <c r="BS68" i="67"/>
  <c r="AM68" i="67"/>
  <c r="BC68" i="67"/>
  <c r="M79" i="67"/>
  <c r="GG79" i="67"/>
  <c r="FQ79" i="67"/>
  <c r="FA79" i="67"/>
  <c r="EK79" i="67"/>
  <c r="DU79" i="67"/>
  <c r="CO79" i="67"/>
  <c r="DE79" i="67"/>
  <c r="BY79" i="67"/>
  <c r="BI79" i="67"/>
  <c r="AS79" i="67"/>
  <c r="AC79" i="67"/>
  <c r="GR180" i="67"/>
  <c r="GB180" i="67"/>
  <c r="FL180" i="67"/>
  <c r="EV180" i="67"/>
  <c r="EF180" i="67"/>
  <c r="DP180" i="67"/>
  <c r="CZ180" i="67"/>
  <c r="CJ180" i="67"/>
  <c r="BT180" i="67"/>
  <c r="BD180" i="67"/>
  <c r="AN180" i="67"/>
  <c r="GR34" i="67"/>
  <c r="GB34" i="67"/>
  <c r="FL34" i="67"/>
  <c r="EV34" i="67"/>
  <c r="EF34" i="67"/>
  <c r="DP34" i="67"/>
  <c r="CZ34" i="67"/>
  <c r="CJ34" i="67"/>
  <c r="AN34" i="67"/>
  <c r="BT34" i="67"/>
  <c r="BD34" i="67"/>
  <c r="GQ116" i="67"/>
  <c r="GA116" i="67"/>
  <c r="FK116" i="67"/>
  <c r="EU116" i="67"/>
  <c r="EE116" i="67"/>
  <c r="DO116" i="67"/>
  <c r="CY116" i="67"/>
  <c r="CI116" i="67"/>
  <c r="BC116" i="67"/>
  <c r="BS116" i="67"/>
  <c r="AM116" i="67"/>
  <c r="GQ40" i="67"/>
  <c r="GA40" i="67"/>
  <c r="FK40" i="67"/>
  <c r="EU40" i="67"/>
  <c r="EE40" i="67"/>
  <c r="DO40" i="67"/>
  <c r="CI40" i="67"/>
  <c r="CY40" i="67"/>
  <c r="AM40" i="67"/>
  <c r="BS40" i="67"/>
  <c r="BC40" i="67"/>
  <c r="M128" i="67"/>
  <c r="GG128" i="67"/>
  <c r="FQ128" i="67"/>
  <c r="FA128" i="67"/>
  <c r="EK128" i="67"/>
  <c r="DE128" i="67"/>
  <c r="DU128" i="67"/>
  <c r="CO128" i="67"/>
  <c r="BY128" i="67"/>
  <c r="BI128" i="67"/>
  <c r="AC128" i="67"/>
  <c r="AS128" i="67"/>
  <c r="GR54" i="67"/>
  <c r="GB54" i="67"/>
  <c r="FL54" i="67"/>
  <c r="EF54" i="67"/>
  <c r="EV54" i="67"/>
  <c r="CZ54" i="67"/>
  <c r="DP54" i="67"/>
  <c r="CJ54" i="67"/>
  <c r="BT54" i="67"/>
  <c r="BD54" i="67"/>
  <c r="AN54" i="67"/>
  <c r="GR57" i="67"/>
  <c r="GB57" i="67"/>
  <c r="FL57" i="67"/>
  <c r="EV57" i="67"/>
  <c r="EF57" i="67"/>
  <c r="DP57" i="67"/>
  <c r="CJ57" i="67"/>
  <c r="BT57" i="67"/>
  <c r="CZ57" i="67"/>
  <c r="BD57" i="67"/>
  <c r="AN57" i="67"/>
  <c r="GQ144" i="67"/>
  <c r="GA144" i="67"/>
  <c r="FK144" i="67"/>
  <c r="EU144" i="67"/>
  <c r="EE144" i="67"/>
  <c r="CY144" i="67"/>
  <c r="DO144" i="67"/>
  <c r="CI144" i="67"/>
  <c r="BC144" i="67"/>
  <c r="BS144" i="67"/>
  <c r="AM144" i="67"/>
  <c r="M129" i="67"/>
  <c r="GG129" i="67"/>
  <c r="FQ129" i="67"/>
  <c r="FA129" i="67"/>
  <c r="EK129" i="67"/>
  <c r="DU129" i="67"/>
  <c r="DE129" i="67"/>
  <c r="CO129" i="67"/>
  <c r="BI129" i="67"/>
  <c r="BY129" i="67"/>
  <c r="AC129" i="67"/>
  <c r="AS129" i="67"/>
  <c r="M77" i="67"/>
  <c r="GG77" i="67"/>
  <c r="FQ77" i="67"/>
  <c r="EK77" i="67"/>
  <c r="FA77" i="67"/>
  <c r="DU77" i="67"/>
  <c r="CO77" i="67"/>
  <c r="DE77" i="67"/>
  <c r="BY77" i="67"/>
  <c r="BI77" i="67"/>
  <c r="AS77" i="67"/>
  <c r="AC77" i="67"/>
  <c r="GR176" i="67"/>
  <c r="GB176" i="67"/>
  <c r="FL176" i="67"/>
  <c r="EV176" i="67"/>
  <c r="CZ176" i="67"/>
  <c r="DP176" i="67"/>
  <c r="EF176" i="67"/>
  <c r="CJ176" i="67"/>
  <c r="BT176" i="67"/>
  <c r="AN176" i="67"/>
  <c r="BD176" i="67"/>
  <c r="GR32" i="67"/>
  <c r="GB32" i="67"/>
  <c r="FL32" i="67"/>
  <c r="EV32" i="67"/>
  <c r="EF32" i="67"/>
  <c r="DP32" i="67"/>
  <c r="CZ32" i="67"/>
  <c r="CJ32" i="67"/>
  <c r="BT32" i="67"/>
  <c r="AN32" i="67"/>
  <c r="BD32" i="67"/>
  <c r="GQ115" i="67"/>
  <c r="GA115" i="67"/>
  <c r="FK115" i="67"/>
  <c r="EE115" i="67"/>
  <c r="EU115" i="67"/>
  <c r="DO115" i="67"/>
  <c r="CY115" i="67"/>
  <c r="CI115" i="67"/>
  <c r="BC115" i="67"/>
  <c r="BS115" i="67"/>
  <c r="AM115" i="67"/>
  <c r="M94" i="67"/>
  <c r="GG94" i="67"/>
  <c r="FQ94" i="67"/>
  <c r="FA94" i="67"/>
  <c r="EK94" i="67"/>
  <c r="DU94" i="67"/>
  <c r="DE94" i="67"/>
  <c r="CO94" i="67"/>
  <c r="BI94" i="67"/>
  <c r="BY94" i="67"/>
  <c r="AC94" i="67"/>
  <c r="AS94" i="67"/>
  <c r="M126" i="67"/>
  <c r="GG126" i="67"/>
  <c r="FQ126" i="67"/>
  <c r="FA126" i="67"/>
  <c r="EK126" i="67"/>
  <c r="DU126" i="67"/>
  <c r="DE126" i="67"/>
  <c r="CO126" i="67"/>
  <c r="BI126" i="67"/>
  <c r="BY126" i="67"/>
  <c r="AC126" i="67"/>
  <c r="AS126" i="67"/>
  <c r="GR84" i="67"/>
  <c r="GB84" i="67"/>
  <c r="FL84" i="67"/>
  <c r="EV84" i="67"/>
  <c r="EF84" i="67"/>
  <c r="DP84" i="67"/>
  <c r="CJ84" i="67"/>
  <c r="BT84" i="67"/>
  <c r="CZ84" i="67"/>
  <c r="AN84" i="67"/>
  <c r="BD84" i="67"/>
  <c r="GQ166" i="67"/>
  <c r="GA166" i="67"/>
  <c r="FK166" i="67"/>
  <c r="EE166" i="67"/>
  <c r="EU166" i="67"/>
  <c r="DO166" i="67"/>
  <c r="CY166" i="67"/>
  <c r="BC166" i="67"/>
  <c r="BS166" i="67"/>
  <c r="CI166" i="67"/>
  <c r="AM166" i="67"/>
  <c r="GQ97" i="67"/>
  <c r="GA97" i="67"/>
  <c r="FK97" i="67"/>
  <c r="EE97" i="67"/>
  <c r="EU97" i="67"/>
  <c r="DO97" i="67"/>
  <c r="CI97" i="67"/>
  <c r="BC97" i="67"/>
  <c r="CY97" i="67"/>
  <c r="BS97" i="67"/>
  <c r="AM97" i="67"/>
  <c r="GQ20" i="67"/>
  <c r="GA20" i="67"/>
  <c r="FK20" i="67"/>
  <c r="EU20" i="67"/>
  <c r="EE20" i="67"/>
  <c r="DO20" i="67"/>
  <c r="BS20" i="67"/>
  <c r="CI20" i="67"/>
  <c r="CY20" i="67"/>
  <c r="AM20" i="67"/>
  <c r="BC20" i="67"/>
  <c r="M175" i="67"/>
  <c r="GG175" i="67"/>
  <c r="FQ175" i="67"/>
  <c r="FA175" i="67"/>
  <c r="EK175" i="67"/>
  <c r="DE175" i="67"/>
  <c r="DU175" i="67"/>
  <c r="CO175" i="67"/>
  <c r="BI175" i="67"/>
  <c r="BY175" i="67"/>
  <c r="AS175" i="67"/>
  <c r="AC175" i="67"/>
  <c r="M106" i="67"/>
  <c r="GG106" i="67"/>
  <c r="FQ106" i="67"/>
  <c r="FA106" i="67"/>
  <c r="EK106" i="67"/>
  <c r="DU106" i="67"/>
  <c r="DE106" i="67"/>
  <c r="CO106" i="67"/>
  <c r="BY106" i="67"/>
  <c r="BI106" i="67"/>
  <c r="AC106" i="67"/>
  <c r="AS106" i="67"/>
  <c r="M10" i="67"/>
  <c r="GG10" i="67"/>
  <c r="FQ10" i="67"/>
  <c r="FA10" i="67"/>
  <c r="DU10" i="67"/>
  <c r="EK10" i="67"/>
  <c r="DE10" i="67"/>
  <c r="CO10" i="67"/>
  <c r="BY10" i="67"/>
  <c r="AC10" i="67"/>
  <c r="BI10" i="67"/>
  <c r="AS10" i="67"/>
  <c r="M42" i="67"/>
  <c r="GG42" i="67"/>
  <c r="FQ42" i="67"/>
  <c r="FA42" i="67"/>
  <c r="EK42" i="67"/>
  <c r="DU42" i="67"/>
  <c r="DE42" i="67"/>
  <c r="BY42" i="67"/>
  <c r="BI42" i="67"/>
  <c r="AC42" i="67"/>
  <c r="CO42" i="67"/>
  <c r="AS42" i="67"/>
  <c r="GQ9" i="67"/>
  <c r="GA9" i="67"/>
  <c r="FK9" i="67"/>
  <c r="EU9" i="67"/>
  <c r="EE9" i="67"/>
  <c r="DO9" i="67"/>
  <c r="BS9" i="67"/>
  <c r="CI9" i="67"/>
  <c r="CY9" i="67"/>
  <c r="BC9" i="67"/>
  <c r="AM9" i="67"/>
  <c r="GQ74" i="67"/>
  <c r="GA74" i="67"/>
  <c r="FK74" i="67"/>
  <c r="EU74" i="67"/>
  <c r="EE74" i="67"/>
  <c r="DO74" i="67"/>
  <c r="CY74" i="67"/>
  <c r="CI74" i="67"/>
  <c r="BC74" i="67"/>
  <c r="BS74" i="67"/>
  <c r="AM74" i="67"/>
  <c r="GR172" i="67"/>
  <c r="GB172" i="67"/>
  <c r="FL172" i="67"/>
  <c r="EV172" i="67"/>
  <c r="EF172" i="67"/>
  <c r="CZ172" i="67"/>
  <c r="DP172" i="67"/>
  <c r="CJ172" i="67"/>
  <c r="BT172" i="67"/>
  <c r="BD172" i="67"/>
  <c r="AN172" i="67"/>
  <c r="GQ28" i="67"/>
  <c r="GA28" i="67"/>
  <c r="FK28" i="67"/>
  <c r="EU28" i="67"/>
  <c r="EE28" i="67"/>
  <c r="DO28" i="67"/>
  <c r="CY28" i="67"/>
  <c r="CI28" i="67"/>
  <c r="BC28" i="67"/>
  <c r="BS28" i="67"/>
  <c r="AM28" i="67"/>
  <c r="GR114" i="67"/>
  <c r="GB114" i="67"/>
  <c r="FL114" i="67"/>
  <c r="EV114" i="67"/>
  <c r="EF114" i="67"/>
  <c r="CZ114" i="67"/>
  <c r="DP114" i="67"/>
  <c r="CJ114" i="67"/>
  <c r="BT114" i="67"/>
  <c r="BD114" i="67"/>
  <c r="AN114" i="67"/>
  <c r="GR171" i="67"/>
  <c r="GB171" i="67"/>
  <c r="FL171" i="67"/>
  <c r="EV171" i="67"/>
  <c r="EF171" i="67"/>
  <c r="CZ171" i="67"/>
  <c r="DP171" i="67"/>
  <c r="CJ171" i="67"/>
  <c r="BT171" i="67"/>
  <c r="BD171" i="67"/>
  <c r="AN171" i="67"/>
  <c r="M171" i="67"/>
  <c r="GG171" i="67"/>
  <c r="FQ171" i="67"/>
  <c r="FA171" i="67"/>
  <c r="EK171" i="67"/>
  <c r="DU171" i="67"/>
  <c r="DE171" i="67"/>
  <c r="CO171" i="67"/>
  <c r="BY171" i="67"/>
  <c r="BI171" i="67"/>
  <c r="AS171" i="67"/>
  <c r="AC171" i="67"/>
  <c r="GQ140" i="67"/>
  <c r="GA140" i="67"/>
  <c r="FK140" i="67"/>
  <c r="EU140" i="67"/>
  <c r="EE140" i="67"/>
  <c r="DO140" i="67"/>
  <c r="CY140" i="67"/>
  <c r="BC140" i="67"/>
  <c r="CI140" i="67"/>
  <c r="BS140" i="67"/>
  <c r="AM140" i="67"/>
  <c r="GR105" i="67"/>
  <c r="GB105" i="67"/>
  <c r="FL105" i="67"/>
  <c r="EV105" i="67"/>
  <c r="EF105" i="67"/>
  <c r="DP105" i="67"/>
  <c r="CZ105" i="67"/>
  <c r="CJ105" i="67"/>
  <c r="BT105" i="67"/>
  <c r="AN105" i="67"/>
  <c r="BD105" i="67"/>
  <c r="GR82" i="67"/>
  <c r="GB82" i="67"/>
  <c r="FL82" i="67"/>
  <c r="EV82" i="67"/>
  <c r="EF82" i="67"/>
  <c r="DP82" i="67"/>
  <c r="CZ82" i="67"/>
  <c r="CJ82" i="67"/>
  <c r="BT82" i="67"/>
  <c r="AN82" i="67"/>
  <c r="BD82" i="67"/>
  <c r="M179" i="67"/>
  <c r="GG179" i="67"/>
  <c r="FQ179" i="67"/>
  <c r="FA179" i="67"/>
  <c r="EK179" i="67"/>
  <c r="DU179" i="67"/>
  <c r="DE179" i="67"/>
  <c r="BY179" i="67"/>
  <c r="CO179" i="67"/>
  <c r="BI179" i="67"/>
  <c r="AC179" i="67"/>
  <c r="AS179" i="67"/>
  <c r="GQ18" i="67"/>
  <c r="GA18" i="67"/>
  <c r="FK18" i="67"/>
  <c r="EE18" i="67"/>
  <c r="EU18" i="67"/>
  <c r="DO18" i="67"/>
  <c r="CY18" i="67"/>
  <c r="CI18" i="67"/>
  <c r="BC18" i="67"/>
  <c r="BS18" i="67"/>
  <c r="AM18" i="67"/>
  <c r="M131" i="67"/>
  <c r="GG131" i="67"/>
  <c r="FA131" i="67"/>
  <c r="FQ131" i="67"/>
  <c r="EK131" i="67"/>
  <c r="DU131" i="67"/>
  <c r="DE131" i="67"/>
  <c r="CO131" i="67"/>
  <c r="BY131" i="67"/>
  <c r="BI131" i="67"/>
  <c r="AC131" i="67"/>
  <c r="AS131" i="67"/>
  <c r="GQ92" i="67"/>
  <c r="GA92" i="67"/>
  <c r="FK92" i="67"/>
  <c r="EU92" i="67"/>
  <c r="EE92" i="67"/>
  <c r="DO92" i="67"/>
  <c r="CY92" i="67"/>
  <c r="CI92" i="67"/>
  <c r="BC92" i="67"/>
  <c r="BS92" i="67"/>
  <c r="AM92" i="67"/>
  <c r="GR53" i="67"/>
  <c r="GB53" i="67"/>
  <c r="FL53" i="67"/>
  <c r="EV53" i="67"/>
  <c r="EF53" i="67"/>
  <c r="DP53" i="67"/>
  <c r="CZ53" i="67"/>
  <c r="CJ53" i="67"/>
  <c r="BT53" i="67"/>
  <c r="BD53" i="67"/>
  <c r="AN53" i="67"/>
  <c r="GR165" i="67"/>
  <c r="GB165" i="67"/>
  <c r="FL165" i="67"/>
  <c r="EV165" i="67"/>
  <c r="EF165" i="67"/>
  <c r="CZ165" i="67"/>
  <c r="DP165" i="67"/>
  <c r="CJ165" i="67"/>
  <c r="BT165" i="67"/>
  <c r="AN165" i="67"/>
  <c r="BD165" i="67"/>
  <c r="GQ80" i="67"/>
  <c r="GA80" i="67"/>
  <c r="FK80" i="67"/>
  <c r="EU80" i="67"/>
  <c r="EE80" i="67"/>
  <c r="DO80" i="67"/>
  <c r="CY80" i="67"/>
  <c r="CI80" i="67"/>
  <c r="BC80" i="67"/>
  <c r="BS80" i="67"/>
  <c r="AM80" i="67"/>
  <c r="M105" i="67"/>
  <c r="GG105" i="67"/>
  <c r="FQ105" i="67"/>
  <c r="FA105" i="67"/>
  <c r="EK105" i="67"/>
  <c r="DU105" i="67"/>
  <c r="CO105" i="67"/>
  <c r="DE105" i="67"/>
  <c r="BY105" i="67"/>
  <c r="BI105" i="67"/>
  <c r="AC105" i="67"/>
  <c r="AS105" i="67"/>
  <c r="GQ69" i="67"/>
  <c r="GA69" i="67"/>
  <c r="FK69" i="67"/>
  <c r="EU69" i="67"/>
  <c r="EE69" i="67"/>
  <c r="DO69" i="67"/>
  <c r="CY69" i="67"/>
  <c r="CI69" i="67"/>
  <c r="BS69" i="67"/>
  <c r="AM69" i="67"/>
  <c r="BC69" i="67"/>
  <c r="GR35" i="67"/>
  <c r="GB35" i="67"/>
  <c r="FL35" i="67"/>
  <c r="EV35" i="67"/>
  <c r="EF35" i="67"/>
  <c r="DP35" i="67"/>
  <c r="CZ35" i="67"/>
  <c r="CJ35" i="67"/>
  <c r="BT35" i="67"/>
  <c r="AN35" i="67"/>
  <c r="BD35" i="67"/>
  <c r="GR157" i="67"/>
  <c r="GB157" i="67"/>
  <c r="FL157" i="67"/>
  <c r="EV157" i="67"/>
  <c r="EF157" i="67"/>
  <c r="DP157" i="67"/>
  <c r="CZ157" i="67"/>
  <c r="CJ157" i="67"/>
  <c r="BT157" i="67"/>
  <c r="AN157" i="67"/>
  <c r="BD157" i="67"/>
  <c r="GQ103" i="67"/>
  <c r="GA103" i="67"/>
  <c r="FK103" i="67"/>
  <c r="EU103" i="67"/>
  <c r="EE103" i="67"/>
  <c r="DO103" i="67"/>
  <c r="CY103" i="67"/>
  <c r="CI103" i="67"/>
  <c r="BC103" i="67"/>
  <c r="BS103" i="67"/>
  <c r="AM103" i="67"/>
  <c r="GR69" i="67"/>
  <c r="GB69" i="67"/>
  <c r="FL69" i="67"/>
  <c r="EV69" i="67"/>
  <c r="EF69" i="67"/>
  <c r="DP69" i="67"/>
  <c r="CZ69" i="67"/>
  <c r="CJ69" i="67"/>
  <c r="BT69" i="67"/>
  <c r="AN69" i="67"/>
  <c r="BD69" i="67"/>
  <c r="GR173" i="67"/>
  <c r="GB173" i="67"/>
  <c r="FL173" i="67"/>
  <c r="EV173" i="67"/>
  <c r="EF173" i="67"/>
  <c r="DP173" i="67"/>
  <c r="CZ173" i="67"/>
  <c r="CJ173" i="67"/>
  <c r="BT173" i="67"/>
  <c r="BD173" i="67"/>
  <c r="AN173" i="67"/>
  <c r="GR130" i="67"/>
  <c r="FL130" i="67"/>
  <c r="GB130" i="67"/>
  <c r="EV130" i="67"/>
  <c r="EF130" i="67"/>
  <c r="DP130" i="67"/>
  <c r="CZ130" i="67"/>
  <c r="CJ130" i="67"/>
  <c r="BT130" i="67"/>
  <c r="BD130" i="67"/>
  <c r="AN130" i="67"/>
  <c r="GB49" i="67"/>
  <c r="GR49" i="67"/>
  <c r="FL49" i="67"/>
  <c r="EV49" i="67"/>
  <c r="EF49" i="67"/>
  <c r="DP49" i="67"/>
  <c r="CZ49" i="67"/>
  <c r="CJ49" i="67"/>
  <c r="BT49" i="67"/>
  <c r="AN49" i="67"/>
  <c r="BD49" i="67"/>
  <c r="GQ70" i="67"/>
  <c r="GA70" i="67"/>
  <c r="FK70" i="67"/>
  <c r="EU70" i="67"/>
  <c r="EE70" i="67"/>
  <c r="DO70" i="67"/>
  <c r="CY70" i="67"/>
  <c r="CI70" i="67"/>
  <c r="BC70" i="67"/>
  <c r="BS70" i="67"/>
  <c r="AM70" i="67"/>
  <c r="GQ138" i="67"/>
  <c r="GA138" i="67"/>
  <c r="FK138" i="67"/>
  <c r="EU138" i="67"/>
  <c r="EE138" i="67"/>
  <c r="DO138" i="67"/>
  <c r="CY138" i="67"/>
  <c r="CI138" i="67"/>
  <c r="BC138" i="67"/>
  <c r="BS138" i="67"/>
  <c r="AM138" i="67"/>
  <c r="GQ59" i="67"/>
  <c r="GA59" i="67"/>
  <c r="FK59" i="67"/>
  <c r="EU59" i="67"/>
  <c r="EE59" i="67"/>
  <c r="DO59" i="67"/>
  <c r="CY59" i="67"/>
  <c r="CI59" i="67"/>
  <c r="BS59" i="67"/>
  <c r="BC59" i="67"/>
  <c r="AM59" i="67"/>
  <c r="M146" i="67"/>
  <c r="GG146" i="67"/>
  <c r="FA146" i="67"/>
  <c r="FQ146" i="67"/>
  <c r="EK146" i="67"/>
  <c r="DU146" i="67"/>
  <c r="DE146" i="67"/>
  <c r="CO146" i="67"/>
  <c r="BY146" i="67"/>
  <c r="BI146" i="67"/>
  <c r="AS146" i="67"/>
  <c r="AC146" i="67"/>
  <c r="M68" i="67"/>
  <c r="GG68" i="67"/>
  <c r="FQ68" i="67"/>
  <c r="FA68" i="67"/>
  <c r="EK68" i="67"/>
  <c r="DU68" i="67"/>
  <c r="CO68" i="67"/>
  <c r="DE68" i="67"/>
  <c r="BY68" i="67"/>
  <c r="BI68" i="67"/>
  <c r="AC68" i="67"/>
  <c r="AS68" i="67"/>
  <c r="GR169" i="67"/>
  <c r="GB169" i="67"/>
  <c r="FL169" i="67"/>
  <c r="EV169" i="67"/>
  <c r="EF169" i="67"/>
  <c r="DP169" i="67"/>
  <c r="CZ169" i="67"/>
  <c r="CJ169" i="67"/>
  <c r="BT169" i="67"/>
  <c r="AN169" i="67"/>
  <c r="BD169" i="67"/>
  <c r="GR100" i="67"/>
  <c r="GB100" i="67"/>
  <c r="FL100" i="67"/>
  <c r="EV100" i="67"/>
  <c r="EF100" i="67"/>
  <c r="DP100" i="67"/>
  <c r="CZ100" i="67"/>
  <c r="CJ100" i="67"/>
  <c r="BT100" i="67"/>
  <c r="BD100" i="67"/>
  <c r="AN100" i="67"/>
  <c r="GR24" i="67"/>
  <c r="GB24" i="67"/>
  <c r="FL24" i="67"/>
  <c r="EV24" i="67"/>
  <c r="EF24" i="67"/>
  <c r="DP24" i="67"/>
  <c r="CZ24" i="67"/>
  <c r="CJ24" i="67"/>
  <c r="BT24" i="67"/>
  <c r="BD24" i="67"/>
  <c r="AN24" i="67"/>
  <c r="GQ180" i="67"/>
  <c r="GA180" i="67"/>
  <c r="FK180" i="67"/>
  <c r="EU180" i="67"/>
  <c r="EE180" i="67"/>
  <c r="DO180" i="67"/>
  <c r="CY180" i="67"/>
  <c r="CI180" i="67"/>
  <c r="BC180" i="67"/>
  <c r="BS180" i="67"/>
  <c r="AM180" i="67"/>
  <c r="GQ108" i="67"/>
  <c r="GA108" i="67"/>
  <c r="FK108" i="67"/>
  <c r="EU108" i="67"/>
  <c r="EE108" i="67"/>
  <c r="DO108" i="67"/>
  <c r="CY108" i="67"/>
  <c r="CI108" i="67"/>
  <c r="BC108" i="67"/>
  <c r="BS108" i="67"/>
  <c r="AM108" i="67"/>
  <c r="GQ34" i="67"/>
  <c r="GA34" i="67"/>
  <c r="FK34" i="67"/>
  <c r="EU34" i="67"/>
  <c r="EE34" i="67"/>
  <c r="DO34" i="67"/>
  <c r="CI34" i="67"/>
  <c r="BC34" i="67"/>
  <c r="CY34" i="67"/>
  <c r="AM34" i="67"/>
  <c r="BS34" i="67"/>
  <c r="M188" i="67"/>
  <c r="GG188" i="67"/>
  <c r="FQ188" i="67"/>
  <c r="FA188" i="67"/>
  <c r="EK188" i="67"/>
  <c r="DE188" i="67"/>
  <c r="DU188" i="67"/>
  <c r="CO188" i="67"/>
  <c r="BY188" i="67"/>
  <c r="BI188" i="67"/>
  <c r="AC188" i="67"/>
  <c r="AS188" i="67"/>
  <c r="M116" i="67"/>
  <c r="GG116" i="67"/>
  <c r="FQ116" i="67"/>
  <c r="FA116" i="67"/>
  <c r="EK116" i="67"/>
  <c r="DE116" i="67"/>
  <c r="DU116" i="67"/>
  <c r="CO116" i="67"/>
  <c r="BY116" i="67"/>
  <c r="BI116" i="67"/>
  <c r="AS116" i="67"/>
  <c r="AC116" i="67"/>
  <c r="M39" i="67"/>
  <c r="GG39" i="67"/>
  <c r="FQ39" i="67"/>
  <c r="FA39" i="67"/>
  <c r="DU39" i="67"/>
  <c r="EK39" i="67"/>
  <c r="DE39" i="67"/>
  <c r="BY39" i="67"/>
  <c r="CO39" i="67"/>
  <c r="BI39" i="67"/>
  <c r="AC39" i="67"/>
  <c r="AS39" i="67"/>
  <c r="GR95" i="67"/>
  <c r="GB95" i="67"/>
  <c r="FL95" i="67"/>
  <c r="EF95" i="67"/>
  <c r="EV95" i="67"/>
  <c r="CZ95" i="67"/>
  <c r="DP95" i="67"/>
  <c r="CJ95" i="67"/>
  <c r="BT95" i="67"/>
  <c r="BD95" i="67"/>
  <c r="AN95" i="67"/>
  <c r="GR127" i="67"/>
  <c r="GB127" i="67"/>
  <c r="FL127" i="67"/>
  <c r="EF127" i="67"/>
  <c r="EV127" i="67"/>
  <c r="CZ127" i="67"/>
  <c r="DP127" i="67"/>
  <c r="CJ127" i="67"/>
  <c r="BT127" i="67"/>
  <c r="BD127" i="67"/>
  <c r="AN127" i="67"/>
  <c r="GR47" i="67"/>
  <c r="GB47" i="67"/>
  <c r="FL47" i="67"/>
  <c r="EV47" i="67"/>
  <c r="EF47" i="67"/>
  <c r="DP47" i="67"/>
  <c r="CZ47" i="67"/>
  <c r="CJ47" i="67"/>
  <c r="BT47" i="67"/>
  <c r="AN47" i="67"/>
  <c r="BD47" i="67"/>
  <c r="GQ54" i="67"/>
  <c r="GA54" i="67"/>
  <c r="FK54" i="67"/>
  <c r="EU54" i="67"/>
  <c r="EE54" i="67"/>
  <c r="DO54" i="67"/>
  <c r="CY54" i="67"/>
  <c r="CI54" i="67"/>
  <c r="BC54" i="67"/>
  <c r="BS54" i="67"/>
  <c r="AM54" i="67"/>
  <c r="GQ136" i="67"/>
  <c r="GA136" i="67"/>
  <c r="FK136" i="67"/>
  <c r="EU136" i="67"/>
  <c r="EE136" i="67"/>
  <c r="CY136" i="67"/>
  <c r="DO136" i="67"/>
  <c r="CI136" i="67"/>
  <c r="BC136" i="67"/>
  <c r="BS136" i="67"/>
  <c r="AM136" i="67"/>
  <c r="GQ57" i="67"/>
  <c r="GA57" i="67"/>
  <c r="FK57" i="67"/>
  <c r="EU57" i="67"/>
  <c r="EE57" i="67"/>
  <c r="DO57" i="67"/>
  <c r="CY57" i="67"/>
  <c r="CI57" i="67"/>
  <c r="BS57" i="67"/>
  <c r="BC57" i="67"/>
  <c r="AM57" i="67"/>
  <c r="M96" i="67"/>
  <c r="GG96" i="67"/>
  <c r="FQ96" i="67"/>
  <c r="FA96" i="67"/>
  <c r="EK96" i="67"/>
  <c r="DU96" i="67"/>
  <c r="DE96" i="67"/>
  <c r="BY96" i="67"/>
  <c r="BI96" i="67"/>
  <c r="CO96" i="67"/>
  <c r="AC96" i="67"/>
  <c r="AS96" i="67"/>
  <c r="M144" i="67"/>
  <c r="GG144" i="67"/>
  <c r="FQ144" i="67"/>
  <c r="FA144" i="67"/>
  <c r="EK144" i="67"/>
  <c r="DU144" i="67"/>
  <c r="DE144" i="67"/>
  <c r="BI144" i="67"/>
  <c r="CO144" i="67"/>
  <c r="BY144" i="67"/>
  <c r="AC144" i="67"/>
  <c r="AS144" i="67"/>
  <c r="M66" i="67"/>
  <c r="GG66" i="67"/>
  <c r="FQ66" i="67"/>
  <c r="EK66" i="67"/>
  <c r="DU66" i="67"/>
  <c r="FA66" i="67"/>
  <c r="CO66" i="67"/>
  <c r="DE66" i="67"/>
  <c r="BY66" i="67"/>
  <c r="BI66" i="67"/>
  <c r="AC66" i="67"/>
  <c r="AS66" i="67"/>
  <c r="GR167" i="67"/>
  <c r="GB167" i="67"/>
  <c r="FL167" i="67"/>
  <c r="EV167" i="67"/>
  <c r="EF167" i="67"/>
  <c r="CZ167" i="67"/>
  <c r="DP167" i="67"/>
  <c r="CJ167" i="67"/>
  <c r="BT167" i="67"/>
  <c r="AN167" i="67"/>
  <c r="BD167" i="67"/>
  <c r="GR98" i="67"/>
  <c r="GB98" i="67"/>
  <c r="FL98" i="67"/>
  <c r="EV98" i="67"/>
  <c r="DP98" i="67"/>
  <c r="EF98" i="67"/>
  <c r="CZ98" i="67"/>
  <c r="CJ98" i="67"/>
  <c r="BT98" i="67"/>
  <c r="AN98" i="67"/>
  <c r="BD98" i="67"/>
  <c r="GR21" i="67"/>
  <c r="GB21" i="67"/>
  <c r="FL21" i="67"/>
  <c r="EV21" i="67"/>
  <c r="EF21" i="67"/>
  <c r="DP21" i="67"/>
  <c r="CZ21" i="67"/>
  <c r="CJ21" i="67"/>
  <c r="BT21" i="67"/>
  <c r="BD21" i="67"/>
  <c r="AN21" i="67"/>
  <c r="GQ176" i="67"/>
  <c r="GA176" i="67"/>
  <c r="FK176" i="67"/>
  <c r="EE176" i="67"/>
  <c r="EU176" i="67"/>
  <c r="DO176" i="67"/>
  <c r="CY176" i="67"/>
  <c r="CI176" i="67"/>
  <c r="BC176" i="67"/>
  <c r="BS176" i="67"/>
  <c r="AM176" i="67"/>
  <c r="GQ32" i="67"/>
  <c r="GA32" i="67"/>
  <c r="FK32" i="67"/>
  <c r="EU32" i="67"/>
  <c r="EE32" i="67"/>
  <c r="DO32" i="67"/>
  <c r="CI32" i="67"/>
  <c r="CY32" i="67"/>
  <c r="BC32" i="67"/>
  <c r="BS32" i="67"/>
  <c r="AM32" i="67"/>
  <c r="M186" i="67"/>
  <c r="GG186" i="67"/>
  <c r="FQ186" i="67"/>
  <c r="FA186" i="67"/>
  <c r="EK186" i="67"/>
  <c r="DU186" i="67"/>
  <c r="DE186" i="67"/>
  <c r="CO186" i="67"/>
  <c r="BI186" i="67"/>
  <c r="BY186" i="67"/>
  <c r="AC186" i="67"/>
  <c r="AS186" i="67"/>
  <c r="M115" i="67"/>
  <c r="GG115" i="67"/>
  <c r="FQ115" i="67"/>
  <c r="FA115" i="67"/>
  <c r="EK115" i="67"/>
  <c r="DU115" i="67"/>
  <c r="DE115" i="67"/>
  <c r="CO115" i="67"/>
  <c r="BY115" i="67"/>
  <c r="BI115" i="67"/>
  <c r="AS115" i="67"/>
  <c r="AC115" i="67"/>
  <c r="M36" i="67"/>
  <c r="GG36" i="67"/>
  <c r="FQ36" i="67"/>
  <c r="FA36" i="67"/>
  <c r="DU36" i="67"/>
  <c r="EK36" i="67"/>
  <c r="DE36" i="67"/>
  <c r="BY36" i="67"/>
  <c r="CO36" i="67"/>
  <c r="BI36" i="67"/>
  <c r="AC36" i="67"/>
  <c r="AS36" i="67"/>
  <c r="GR121" i="67"/>
  <c r="GB121" i="67"/>
  <c r="FL121" i="67"/>
  <c r="EV121" i="67"/>
  <c r="EF121" i="67"/>
  <c r="DP121" i="67"/>
  <c r="CZ121" i="67"/>
  <c r="CJ121" i="67"/>
  <c r="BT121" i="67"/>
  <c r="AN121" i="67"/>
  <c r="BD121" i="67"/>
  <c r="GR150" i="67"/>
  <c r="GB150" i="67"/>
  <c r="FL150" i="67"/>
  <c r="EV150" i="67"/>
  <c r="EF150" i="67"/>
  <c r="DP150" i="67"/>
  <c r="CZ150" i="67"/>
  <c r="CJ150" i="67"/>
  <c r="BT150" i="67"/>
  <c r="AN150" i="67"/>
  <c r="BD150" i="67"/>
  <c r="GR73" i="67"/>
  <c r="GB73" i="67"/>
  <c r="FL73" i="67"/>
  <c r="EV73" i="67"/>
  <c r="EF73" i="67"/>
  <c r="DP73" i="67"/>
  <c r="CJ73" i="67"/>
  <c r="CZ73" i="67"/>
  <c r="BT73" i="67"/>
  <c r="AN73" i="67"/>
  <c r="BD73" i="67"/>
  <c r="GQ158" i="67"/>
  <c r="GA158" i="67"/>
  <c r="FK158" i="67"/>
  <c r="EE158" i="67"/>
  <c r="EU158" i="67"/>
  <c r="DO158" i="67"/>
  <c r="K48" i="11" s="1"/>
  <c r="CY158" i="67"/>
  <c r="BC158" i="67"/>
  <c r="BS158" i="67"/>
  <c r="CI158" i="67"/>
  <c r="AM158" i="67"/>
  <c r="GQ84" i="67"/>
  <c r="GA84" i="67"/>
  <c r="FK84" i="67"/>
  <c r="EU84" i="67"/>
  <c r="EE84" i="67"/>
  <c r="DO84" i="67"/>
  <c r="CY84" i="67"/>
  <c r="CI84" i="67"/>
  <c r="BC84" i="67"/>
  <c r="BS84" i="67"/>
  <c r="AM84" i="67"/>
  <c r="GQ10" i="67"/>
  <c r="GA10" i="67"/>
  <c r="FK10" i="67"/>
  <c r="EU10" i="67"/>
  <c r="EE10" i="67"/>
  <c r="DO10" i="67"/>
  <c r="BS10" i="67"/>
  <c r="CI10" i="67"/>
  <c r="CY10" i="67"/>
  <c r="AM10" i="67"/>
  <c r="BC10" i="67"/>
  <c r="M166" i="67"/>
  <c r="GG166" i="67"/>
  <c r="FA166" i="67"/>
  <c r="FQ166" i="67"/>
  <c r="EK166" i="67"/>
  <c r="DE166" i="67"/>
  <c r="DU166" i="67"/>
  <c r="CO166" i="67"/>
  <c r="BI166" i="67"/>
  <c r="BY166" i="67"/>
  <c r="AC166" i="67"/>
  <c r="AS166" i="67"/>
  <c r="M97" i="67"/>
  <c r="GG97" i="67"/>
  <c r="FA97" i="67"/>
  <c r="FQ97" i="67"/>
  <c r="EK97" i="67"/>
  <c r="DU97" i="67"/>
  <c r="DE97" i="67"/>
  <c r="CO97" i="67"/>
  <c r="BY97" i="67"/>
  <c r="BI97" i="67"/>
  <c r="AC97" i="67"/>
  <c r="AS97" i="67"/>
  <c r="M14" i="67"/>
  <c r="GG14" i="67"/>
  <c r="FQ14" i="67"/>
  <c r="FA14" i="67"/>
  <c r="DU14" i="67"/>
  <c r="EK14" i="67"/>
  <c r="DE14" i="67"/>
  <c r="CO14" i="67"/>
  <c r="BY14" i="67"/>
  <c r="BI14" i="67"/>
  <c r="AS14" i="67"/>
  <c r="AC14" i="67"/>
  <c r="M41" i="67"/>
  <c r="GG41" i="67"/>
  <c r="FQ41" i="67"/>
  <c r="FA41" i="67"/>
  <c r="DU41" i="67"/>
  <c r="EK41" i="67"/>
  <c r="DE41" i="67"/>
  <c r="BY41" i="67"/>
  <c r="BI41" i="67"/>
  <c r="CO41" i="67"/>
  <c r="AC41" i="67"/>
  <c r="AS41" i="67"/>
  <c r="GR44" i="67"/>
  <c r="GB44" i="67"/>
  <c r="FL44" i="67"/>
  <c r="EV44" i="67"/>
  <c r="EF44" i="67"/>
  <c r="DP44" i="67"/>
  <c r="CZ44" i="67"/>
  <c r="CJ44" i="67"/>
  <c r="BT44" i="67"/>
  <c r="AN44" i="67"/>
  <c r="BD44" i="67"/>
  <c r="M182" i="67"/>
  <c r="GG182" i="67"/>
  <c r="FQ182" i="67"/>
  <c r="FA182" i="67"/>
  <c r="EK182" i="67"/>
  <c r="DU182" i="67"/>
  <c r="DE182" i="67"/>
  <c r="CO182" i="67"/>
  <c r="BY182" i="67"/>
  <c r="BI182" i="67"/>
  <c r="AS182" i="67"/>
  <c r="AC182" i="67"/>
  <c r="GQ148" i="67"/>
  <c r="GA148" i="67"/>
  <c r="FK148" i="67"/>
  <c r="EU148" i="67"/>
  <c r="EE148" i="67"/>
  <c r="DO148" i="67"/>
  <c r="CY148" i="67"/>
  <c r="BC148" i="67"/>
  <c r="CI148" i="67"/>
  <c r="BS148" i="67"/>
  <c r="AM148" i="67"/>
  <c r="GR112" i="67"/>
  <c r="GB112" i="67"/>
  <c r="FL112" i="67"/>
  <c r="EV112" i="67"/>
  <c r="EF112" i="67"/>
  <c r="DP112" i="67"/>
  <c r="CZ112" i="67"/>
  <c r="CJ112" i="67"/>
  <c r="BT112" i="67"/>
  <c r="BD112" i="67"/>
  <c r="AN112" i="67"/>
  <c r="M8" i="67"/>
  <c r="J48" i="11" l="1"/>
  <c r="L48" i="11"/>
  <c r="P48" i="11"/>
  <c r="H48" i="11"/>
  <c r="GQ196" i="67"/>
  <c r="BI196" i="67"/>
  <c r="I46" i="11"/>
  <c r="P46" i="11"/>
  <c r="FK196" i="67"/>
  <c r="M196" i="67"/>
  <c r="AC196" i="67"/>
  <c r="DP196" i="67"/>
  <c r="BS196" i="67"/>
  <c r="DO196" i="67"/>
  <c r="EF196" i="67"/>
  <c r="EE196" i="67"/>
  <c r="L47" i="11"/>
  <c r="EV196" i="67"/>
  <c r="EU196" i="67"/>
  <c r="BD196" i="67"/>
  <c r="FL196" i="67"/>
  <c r="AN196" i="67"/>
  <c r="GB196" i="67"/>
  <c r="AM196" i="67"/>
  <c r="BC196" i="67"/>
  <c r="GA196" i="67"/>
  <c r="AS196" i="67"/>
  <c r="BT196" i="67"/>
  <c r="GR196" i="67"/>
  <c r="F46" i="11"/>
  <c r="O46" i="11"/>
  <c r="G48" i="11"/>
  <c r="I48" i="11"/>
  <c r="O48" i="11"/>
  <c r="G46" i="11"/>
  <c r="N46" i="11"/>
  <c r="P47" i="11"/>
  <c r="H47" i="11"/>
  <c r="M48" i="11"/>
  <c r="F48" i="11"/>
  <c r="N48" i="11"/>
  <c r="I47" i="11"/>
  <c r="H46" i="11"/>
  <c r="J47" i="11"/>
  <c r="J46" i="11"/>
  <c r="K47" i="11"/>
  <c r="L46" i="11"/>
  <c r="K46" i="11"/>
  <c r="M47" i="11"/>
  <c r="M46" i="11"/>
  <c r="G47" i="11"/>
  <c r="N47" i="11"/>
  <c r="F47" i="11"/>
  <c r="O47" i="11"/>
  <c r="GV115" i="67"/>
  <c r="GV129" i="67"/>
  <c r="DT182" i="67"/>
  <c r="GF129" i="67"/>
  <c r="GF115" i="67"/>
  <c r="EJ129" i="67"/>
  <c r="EZ129" i="67"/>
  <c r="FP75" i="67"/>
  <c r="HE21" i="67"/>
  <c r="AE21" i="71" s="1"/>
  <c r="HE182" i="67"/>
  <c r="AE184" i="71" s="1"/>
  <c r="HE43" i="67"/>
  <c r="AE43" i="71" s="1"/>
  <c r="GX188" i="67"/>
  <c r="X190" i="71" s="1"/>
  <c r="HE39" i="67"/>
  <c r="AE39" i="71" s="1"/>
  <c r="HE106" i="67"/>
  <c r="AE106" i="71" s="1"/>
  <c r="HE92" i="67"/>
  <c r="AE92" i="71" s="1"/>
  <c r="HE119" i="67"/>
  <c r="AE119" i="71" s="1"/>
  <c r="HE24" i="67"/>
  <c r="AE24" i="71" s="1"/>
  <c r="HE115" i="67"/>
  <c r="AE115" i="71" s="1"/>
  <c r="GX141" i="67"/>
  <c r="X141" i="71" s="1"/>
  <c r="HE140" i="67"/>
  <c r="AE140" i="71" s="1"/>
  <c r="GX156" i="67"/>
  <c r="X158" i="71" s="1"/>
  <c r="HE129" i="67"/>
  <c r="AE129" i="71" s="1"/>
  <c r="GX187" i="67"/>
  <c r="X189" i="71" s="1"/>
  <c r="GX9" i="67"/>
  <c r="X9" i="71" s="1"/>
  <c r="GX119" i="67"/>
  <c r="X119" i="71" s="1"/>
  <c r="GX38" i="67"/>
  <c r="X38" i="71" s="1"/>
  <c r="HE90" i="67"/>
  <c r="AE90" i="71" s="1"/>
  <c r="HE91" i="67"/>
  <c r="AE91" i="71" s="1"/>
  <c r="GX102" i="67"/>
  <c r="X102" i="71" s="1"/>
  <c r="HE41" i="67"/>
  <c r="AE41" i="71" s="1"/>
  <c r="GX83" i="67"/>
  <c r="X83" i="71" s="1"/>
  <c r="GX147" i="67"/>
  <c r="X147" i="71" s="1"/>
  <c r="HE88" i="67"/>
  <c r="AE88" i="71" s="1"/>
  <c r="HE12" i="67"/>
  <c r="AE12" i="71" s="1"/>
  <c r="HE10" i="67"/>
  <c r="AE10" i="71" s="1"/>
  <c r="HE132" i="67"/>
  <c r="AE132" i="71" s="1"/>
  <c r="HE154" i="67"/>
  <c r="AE156" i="71" s="1"/>
  <c r="HE178" i="67"/>
  <c r="AE180" i="71" s="1"/>
  <c r="GX72" i="67"/>
  <c r="X72" i="71" s="1"/>
  <c r="HE27" i="67"/>
  <c r="AE27" i="71" s="1"/>
  <c r="HE53" i="67"/>
  <c r="AE53" i="71" s="1"/>
  <c r="HE141" i="67"/>
  <c r="AE141" i="71" s="1"/>
  <c r="HE80" i="67"/>
  <c r="AE80" i="71" s="1"/>
  <c r="HE128" i="67"/>
  <c r="AE128" i="71" s="1"/>
  <c r="GX17" i="67"/>
  <c r="X17" i="71" s="1"/>
  <c r="GX179" i="67"/>
  <c r="X181" i="71" s="1"/>
  <c r="HE139" i="67"/>
  <c r="AE139" i="71" s="1"/>
  <c r="HE134" i="67"/>
  <c r="AE134" i="71" s="1"/>
  <c r="HE125" i="67"/>
  <c r="AE125" i="71" s="1"/>
  <c r="HE31" i="67"/>
  <c r="AE31" i="71" s="1"/>
  <c r="HE169" i="67"/>
  <c r="AE171" i="71" s="1"/>
  <c r="HE190" i="67"/>
  <c r="AE192" i="71" s="1"/>
  <c r="HE25" i="67"/>
  <c r="AE25" i="71" s="1"/>
  <c r="HE49" i="67"/>
  <c r="AE49" i="71" s="1"/>
  <c r="GX19" i="67"/>
  <c r="X19" i="71" s="1"/>
  <c r="HE75" i="67"/>
  <c r="AE75" i="71" s="1"/>
  <c r="HE114" i="67"/>
  <c r="AE114" i="71" s="1"/>
  <c r="HE54" i="67"/>
  <c r="AE54" i="71" s="1"/>
  <c r="HE18" i="67"/>
  <c r="AE18" i="71" s="1"/>
  <c r="HE188" i="67"/>
  <c r="AE190" i="71" s="1"/>
  <c r="HE158" i="67"/>
  <c r="AE160" i="71" s="1"/>
  <c r="HE46" i="67"/>
  <c r="AE46" i="71" s="1"/>
  <c r="HE138" i="67"/>
  <c r="AE138" i="71" s="1"/>
  <c r="HE107" i="67"/>
  <c r="AE107" i="71" s="1"/>
  <c r="GX154" i="67"/>
  <c r="X156" i="71" s="1"/>
  <c r="HE64" i="67"/>
  <c r="AE64" i="71" s="1"/>
  <c r="HE162" i="67"/>
  <c r="AE164" i="71" s="1"/>
  <c r="GX174" i="67"/>
  <c r="X176" i="71" s="1"/>
  <c r="GX51" i="67"/>
  <c r="X51" i="71" s="1"/>
  <c r="HE143" i="67"/>
  <c r="AE143" i="71" s="1"/>
  <c r="GX113" i="67"/>
  <c r="X113" i="71" s="1"/>
  <c r="GX135" i="67"/>
  <c r="X135" i="71" s="1"/>
  <c r="GX137" i="67"/>
  <c r="X137" i="71" s="1"/>
  <c r="HE79" i="67"/>
  <c r="AE79" i="71" s="1"/>
  <c r="HE126" i="67"/>
  <c r="AE126" i="71" s="1"/>
  <c r="GX126" i="67"/>
  <c r="X126" i="71" s="1"/>
  <c r="HE34" i="67"/>
  <c r="AE34" i="71" s="1"/>
  <c r="HE56" i="67"/>
  <c r="AE56" i="71" s="1"/>
  <c r="GX140" i="67"/>
  <c r="X140" i="71" s="1"/>
  <c r="HE174" i="67"/>
  <c r="AE176" i="71" s="1"/>
  <c r="HE60" i="67"/>
  <c r="AE60" i="71" s="1"/>
  <c r="HE146" i="67"/>
  <c r="AE146" i="71" s="1"/>
  <c r="HE163" i="67"/>
  <c r="AE165" i="71" s="1"/>
  <c r="HE81" i="67"/>
  <c r="AE81" i="71" s="1"/>
  <c r="HE45" i="67"/>
  <c r="AE45" i="71" s="1"/>
  <c r="GX79" i="67"/>
  <c r="X79" i="71" s="1"/>
  <c r="GX80" i="67"/>
  <c r="X80" i="71" s="1"/>
  <c r="HE101" i="67"/>
  <c r="AE101" i="71" s="1"/>
  <c r="HE167" i="67"/>
  <c r="AE169" i="71" s="1"/>
  <c r="GX107" i="67"/>
  <c r="X107" i="71" s="1"/>
  <c r="HE86" i="67"/>
  <c r="AE86" i="71" s="1"/>
  <c r="HE20" i="67"/>
  <c r="AE20" i="71" s="1"/>
  <c r="FP39" i="67"/>
  <c r="EJ187" i="67"/>
  <c r="EJ164" i="67"/>
  <c r="FP83" i="67"/>
  <c r="DT123" i="67"/>
  <c r="GV85" i="67"/>
  <c r="GV161" i="67"/>
  <c r="FP192" i="67"/>
  <c r="GV178" i="67"/>
  <c r="FP107" i="67"/>
  <c r="FP119" i="67"/>
  <c r="FP189" i="67"/>
  <c r="FP89" i="67"/>
  <c r="DT76" i="67"/>
  <c r="DT107" i="67"/>
  <c r="GF178" i="67"/>
  <c r="GF85" i="67"/>
  <c r="GF161" i="67"/>
  <c r="FP63" i="67"/>
  <c r="FP52" i="67"/>
  <c r="EZ41" i="67"/>
  <c r="FP23" i="67"/>
  <c r="FP156" i="67"/>
  <c r="GV166" i="67"/>
  <c r="FP164" i="67"/>
  <c r="FP187" i="67"/>
  <c r="FP50" i="67"/>
  <c r="GF39" i="67"/>
  <c r="FP109" i="67"/>
  <c r="EZ164" i="67"/>
  <c r="GV156" i="67"/>
  <c r="FP60" i="67"/>
  <c r="DT156" i="67"/>
  <c r="GF156" i="67"/>
  <c r="EZ187" i="67"/>
  <c r="GF107" i="67"/>
  <c r="GF164" i="67"/>
  <c r="DT85" i="67"/>
  <c r="GF159" i="67"/>
  <c r="GF187" i="67"/>
  <c r="EJ39" i="67"/>
  <c r="GV63" i="67"/>
  <c r="EJ41" i="67"/>
  <c r="GV107" i="67"/>
  <c r="GV164" i="67"/>
  <c r="EJ85" i="67"/>
  <c r="GV159" i="67"/>
  <c r="GV187" i="67"/>
  <c r="GV90" i="67"/>
  <c r="GV13" i="67"/>
  <c r="EJ163" i="67"/>
  <c r="EZ142" i="67"/>
  <c r="DT159" i="67"/>
  <c r="GV52" i="67"/>
  <c r="DT164" i="67"/>
  <c r="DT187" i="67"/>
  <c r="FP154" i="67"/>
  <c r="FP33" i="67"/>
  <c r="FP181" i="67"/>
  <c r="FP64" i="67"/>
  <c r="FP65" i="67"/>
  <c r="FP135" i="67"/>
  <c r="GV182" i="67"/>
  <c r="GV179" i="67"/>
  <c r="GV175" i="67"/>
  <c r="GV126" i="67"/>
  <c r="EJ77" i="67"/>
  <c r="GV193" i="67"/>
  <c r="FP166" i="67"/>
  <c r="GV25" i="67"/>
  <c r="EJ90" i="67"/>
  <c r="GV27" i="67"/>
  <c r="EJ75" i="67"/>
  <c r="GV163" i="67"/>
  <c r="EJ177" i="67"/>
  <c r="EJ192" i="67"/>
  <c r="GF14" i="67"/>
  <c r="GF41" i="67"/>
  <c r="EJ33" i="67"/>
  <c r="EJ63" i="67"/>
  <c r="GV41" i="67"/>
  <c r="GV39" i="67"/>
  <c r="EJ125" i="67"/>
  <c r="EJ145" i="67"/>
  <c r="GV134" i="67"/>
  <c r="GV76" i="67"/>
  <c r="GV123" i="67"/>
  <c r="EJ83" i="67"/>
  <c r="EZ156" i="67"/>
  <c r="GV78" i="67"/>
  <c r="EZ119" i="67"/>
  <c r="GV188" i="67"/>
  <c r="EJ42" i="67"/>
  <c r="GV128" i="67"/>
  <c r="EJ27" i="67"/>
  <c r="GV75" i="67"/>
  <c r="GV83" i="67"/>
  <c r="EJ13" i="67"/>
  <c r="FP106" i="67"/>
  <c r="FP79" i="67"/>
  <c r="FP160" i="67"/>
  <c r="FP191" i="67"/>
  <c r="FP58" i="67"/>
  <c r="DT151" i="67"/>
  <c r="EJ78" i="67"/>
  <c r="GV192" i="67"/>
  <c r="GV33" i="67"/>
  <c r="EJ109" i="67"/>
  <c r="GV181" i="67"/>
  <c r="GV119" i="67"/>
  <c r="DT142" i="67"/>
  <c r="GV87" i="67"/>
  <c r="EJ89" i="67"/>
  <c r="GV162" i="67"/>
  <c r="DT144" i="67"/>
  <c r="DT96" i="67"/>
  <c r="DT155" i="67"/>
  <c r="EJ104" i="67"/>
  <c r="GV55" i="67"/>
  <c r="DT134" i="67"/>
  <c r="GV23" i="67"/>
  <c r="EJ76" i="67"/>
  <c r="GV151" i="67"/>
  <c r="GV144" i="67"/>
  <c r="EJ68" i="67"/>
  <c r="GV146" i="67"/>
  <c r="GV131" i="67"/>
  <c r="EJ79" i="67"/>
  <c r="GV71" i="67"/>
  <c r="GV46" i="67"/>
  <c r="EJ191" i="67"/>
  <c r="GV135" i="67"/>
  <c r="GV86" i="67"/>
  <c r="GV56" i="67"/>
  <c r="GV137" i="67"/>
  <c r="GV177" i="67"/>
  <c r="GV65" i="67"/>
  <c r="GV88" i="67"/>
  <c r="GV99" i="67"/>
  <c r="EJ67" i="67"/>
  <c r="GV145" i="67"/>
  <c r="EJ101" i="67"/>
  <c r="GV170" i="67"/>
  <c r="GV50" i="67"/>
  <c r="FP185" i="67"/>
  <c r="EJ36" i="67"/>
  <c r="EJ58" i="67"/>
  <c r="EJ26" i="67"/>
  <c r="DT178" i="67"/>
  <c r="EJ65" i="67"/>
  <c r="GV143" i="67"/>
  <c r="GV168" i="67"/>
  <c r="GV67" i="67"/>
  <c r="GV104" i="67"/>
  <c r="GV101" i="67"/>
  <c r="EJ170" i="67"/>
  <c r="EJ50" i="67"/>
  <c r="EJ55" i="67"/>
  <c r="GV109" i="67"/>
  <c r="EJ181" i="67"/>
  <c r="FP68" i="67"/>
  <c r="GV185" i="67"/>
  <c r="GV117" i="67"/>
  <c r="EJ189" i="67"/>
  <c r="EJ154" i="67"/>
  <c r="EJ60" i="67"/>
  <c r="GV132" i="67"/>
  <c r="EJ116" i="67"/>
  <c r="FP98" i="67"/>
  <c r="GF155" i="67"/>
  <c r="FP51" i="67"/>
  <c r="DT65" i="67"/>
  <c r="GF76" i="67"/>
  <c r="GF123" i="67"/>
  <c r="GV64" i="67"/>
  <c r="GF36" i="67"/>
  <c r="GF66" i="67"/>
  <c r="DT179" i="67"/>
  <c r="GF42" i="67"/>
  <c r="GF106" i="67"/>
  <c r="DT126" i="67"/>
  <c r="GF94" i="67"/>
  <c r="GF77" i="67"/>
  <c r="GF25" i="67"/>
  <c r="DT90" i="67"/>
  <c r="DT75" i="67"/>
  <c r="GF163" i="67"/>
  <c r="DT177" i="67"/>
  <c r="DT52" i="67"/>
  <c r="GF51" i="67"/>
  <c r="GF143" i="67"/>
  <c r="DT88" i="67"/>
  <c r="DT99" i="67"/>
  <c r="GF168" i="67"/>
  <c r="GF67" i="67"/>
  <c r="GF104" i="67"/>
  <c r="DT50" i="67"/>
  <c r="EJ151" i="67"/>
  <c r="EZ178" i="67"/>
  <c r="EZ161" i="67"/>
  <c r="GV14" i="67"/>
  <c r="DT145" i="67"/>
  <c r="GV26" i="67"/>
  <c r="EZ182" i="67"/>
  <c r="EZ175" i="67"/>
  <c r="EZ126" i="67"/>
  <c r="GF78" i="67"/>
  <c r="DT33" i="67"/>
  <c r="DT181" i="67"/>
  <c r="DT119" i="67"/>
  <c r="DT185" i="67"/>
  <c r="GF142" i="67"/>
  <c r="GF89" i="67"/>
  <c r="DT117" i="67"/>
  <c r="GF189" i="67"/>
  <c r="DT13" i="67"/>
  <c r="DT162" i="67"/>
  <c r="EJ106" i="67"/>
  <c r="EJ94" i="67"/>
  <c r="EJ25" i="67"/>
  <c r="DT71" i="67"/>
  <c r="FP48" i="67"/>
  <c r="GF186" i="67"/>
  <c r="GF116" i="67"/>
  <c r="GF68" i="67"/>
  <c r="DT146" i="67"/>
  <c r="GF105" i="67"/>
  <c r="DT131" i="67"/>
  <c r="GF79" i="67"/>
  <c r="GF91" i="67"/>
  <c r="DT46" i="67"/>
  <c r="GF191" i="67"/>
  <c r="EJ113" i="67"/>
  <c r="DT193" i="67"/>
  <c r="EZ55" i="67"/>
  <c r="EZ78" i="67"/>
  <c r="EZ109" i="67"/>
  <c r="EZ89" i="67"/>
  <c r="EZ189" i="67"/>
  <c r="EZ154" i="67"/>
  <c r="EZ60" i="67"/>
  <c r="EZ39" i="67"/>
  <c r="EZ23" i="67"/>
  <c r="EZ128" i="67"/>
  <c r="EZ46" i="67"/>
  <c r="EZ56" i="67"/>
  <c r="EZ137" i="67"/>
  <c r="EJ52" i="67"/>
  <c r="GF60" i="67"/>
  <c r="EZ86" i="67"/>
  <c r="EJ134" i="67"/>
  <c r="EJ107" i="67"/>
  <c r="EJ159" i="67"/>
  <c r="EZ14" i="67"/>
  <c r="EJ96" i="67"/>
  <c r="EJ155" i="67"/>
  <c r="GV125" i="67"/>
  <c r="EJ143" i="67"/>
  <c r="EJ168" i="67"/>
  <c r="EZ25" i="67"/>
  <c r="EZ163" i="67"/>
  <c r="EZ143" i="67"/>
  <c r="EZ76" i="67"/>
  <c r="EJ142" i="67"/>
  <c r="GF48" i="67"/>
  <c r="FP32" i="67"/>
  <c r="FP188" i="67"/>
  <c r="FP179" i="67"/>
  <c r="FP126" i="67"/>
  <c r="FP131" i="67"/>
  <c r="EJ105" i="67"/>
  <c r="GV171" i="67"/>
  <c r="EJ160" i="67"/>
  <c r="EZ13" i="67"/>
  <c r="GV113" i="67"/>
  <c r="EZ26" i="67"/>
  <c r="EZ134" i="67"/>
  <c r="EZ27" i="67"/>
  <c r="EJ115" i="67"/>
  <c r="EZ10" i="67"/>
  <c r="EJ126" i="67"/>
  <c r="EJ156" i="67"/>
  <c r="EJ135" i="67"/>
  <c r="FP30" i="67"/>
  <c r="GF109" i="67"/>
  <c r="FP24" i="67"/>
  <c r="DT64" i="67"/>
  <c r="FP167" i="67"/>
  <c r="GF154" i="67"/>
  <c r="FP93" i="67"/>
  <c r="FP184" i="67"/>
  <c r="GF99" i="67"/>
  <c r="DT67" i="67"/>
  <c r="GF55" i="67"/>
  <c r="GF23" i="67"/>
  <c r="GF151" i="67"/>
  <c r="DT192" i="67"/>
  <c r="DT87" i="67"/>
  <c r="DT14" i="67"/>
  <c r="GF63" i="67"/>
  <c r="GF90" i="67"/>
  <c r="DT27" i="67"/>
  <c r="GF75" i="67"/>
  <c r="GF135" i="67"/>
  <c r="DT163" i="67"/>
  <c r="GF177" i="67"/>
  <c r="GF52" i="67"/>
  <c r="GF83" i="67"/>
  <c r="GF125" i="67"/>
  <c r="GF65" i="67"/>
  <c r="DT143" i="67"/>
  <c r="GF88" i="67"/>
  <c r="DT168" i="67"/>
  <c r="GF145" i="67"/>
  <c r="DT101" i="67"/>
  <c r="GF170" i="67"/>
  <c r="DT26" i="67"/>
  <c r="GF50" i="67"/>
  <c r="EZ37" i="67"/>
  <c r="EJ123" i="67"/>
  <c r="EZ107" i="67"/>
  <c r="EZ159" i="67"/>
  <c r="EZ36" i="67"/>
  <c r="EJ186" i="67"/>
  <c r="EJ157" i="67"/>
  <c r="GV103" i="67"/>
  <c r="EZ9" i="67"/>
  <c r="EJ91" i="67"/>
  <c r="EZ48" i="67"/>
  <c r="EJ80" i="67"/>
  <c r="GV140" i="67"/>
  <c r="GV148" i="67"/>
  <c r="EZ58" i="67"/>
  <c r="GV133" i="67"/>
  <c r="GV20" i="67"/>
  <c r="EZ35" i="67"/>
  <c r="EJ72" i="67"/>
  <c r="GV110" i="67"/>
  <c r="EZ44" i="67"/>
  <c r="DT51" i="67"/>
  <c r="DT104" i="67"/>
  <c r="EZ8" i="67"/>
  <c r="EJ37" i="67"/>
  <c r="EZ123" i="67"/>
  <c r="DT78" i="67"/>
  <c r="GF147" i="67"/>
  <c r="FP165" i="67"/>
  <c r="FP82" i="67"/>
  <c r="FP38" i="67"/>
  <c r="DT89" i="67"/>
  <c r="GF117" i="67"/>
  <c r="FP73" i="67"/>
  <c r="FP19" i="67"/>
  <c r="FP61" i="67"/>
  <c r="GF132" i="67"/>
  <c r="FP12" i="67"/>
  <c r="FP108" i="67"/>
  <c r="FP70" i="67"/>
  <c r="CN182" i="67"/>
  <c r="EJ66" i="67"/>
  <c r="EZ116" i="67"/>
  <c r="EZ68" i="67"/>
  <c r="EZ42" i="67"/>
  <c r="EZ94" i="67"/>
  <c r="E46" i="11"/>
  <c r="EZ79" i="67"/>
  <c r="EZ157" i="67"/>
  <c r="EZ160" i="67"/>
  <c r="EZ91" i="67"/>
  <c r="EZ191" i="67"/>
  <c r="EZ80" i="67"/>
  <c r="GF192" i="67"/>
  <c r="GF33" i="67"/>
  <c r="DT109" i="67"/>
  <c r="GF181" i="67"/>
  <c r="GF119" i="67"/>
  <c r="GF185" i="67"/>
  <c r="GF64" i="67"/>
  <c r="GF87" i="67"/>
  <c r="DT189" i="67"/>
  <c r="FP122" i="67"/>
  <c r="FP9" i="67"/>
  <c r="FP174" i="67"/>
  <c r="FP72" i="67"/>
  <c r="FP153" i="67"/>
  <c r="DT83" i="67"/>
  <c r="FP44" i="67"/>
  <c r="GF101" i="67"/>
  <c r="DT55" i="67"/>
  <c r="GF134" i="67"/>
  <c r="GV190" i="67"/>
  <c r="EJ11" i="67"/>
  <c r="EJ93" i="67"/>
  <c r="DT41" i="67"/>
  <c r="DT39" i="67"/>
  <c r="GF157" i="67"/>
  <c r="GF160" i="67"/>
  <c r="GF9" i="67"/>
  <c r="GF27" i="67"/>
  <c r="GF80" i="67"/>
  <c r="GF13" i="67"/>
  <c r="DT86" i="67"/>
  <c r="GF58" i="67"/>
  <c r="DT56" i="67"/>
  <c r="GF72" i="67"/>
  <c r="DT170" i="67"/>
  <c r="GF26" i="67"/>
  <c r="GF8" i="67"/>
  <c r="DT23" i="67"/>
  <c r="EZ16" i="67"/>
  <c r="EZ81" i="67"/>
  <c r="EJ45" i="67"/>
  <c r="EZ141" i="67"/>
  <c r="EZ167" i="67"/>
  <c r="EZ11" i="67"/>
  <c r="EZ172" i="67"/>
  <c r="EJ22" i="67"/>
  <c r="EZ93" i="67"/>
  <c r="EZ62" i="67"/>
  <c r="GV10" i="67"/>
  <c r="GF182" i="67"/>
  <c r="EJ166" i="67"/>
  <c r="GF144" i="67"/>
  <c r="GF188" i="67"/>
  <c r="GF179" i="67"/>
  <c r="GF171" i="67"/>
  <c r="GF10" i="67"/>
  <c r="GF175" i="67"/>
  <c r="GF126" i="67"/>
  <c r="GF128" i="67"/>
  <c r="GF103" i="67"/>
  <c r="GF114" i="67"/>
  <c r="DT25" i="67"/>
  <c r="GF71" i="67"/>
  <c r="GF46" i="67"/>
  <c r="FP140" i="67"/>
  <c r="GF86" i="67"/>
  <c r="GF183" i="67"/>
  <c r="GF124" i="67"/>
  <c r="GF133" i="67"/>
  <c r="GF20" i="67"/>
  <c r="GF113" i="67"/>
  <c r="GF56" i="67"/>
  <c r="GF137" i="67"/>
  <c r="GF193" i="67"/>
  <c r="GF43" i="67"/>
  <c r="FP110" i="67"/>
  <c r="GF31" i="67"/>
  <c r="EJ51" i="67"/>
  <c r="GF21" i="67"/>
  <c r="GV102" i="67"/>
  <c r="EZ192" i="67"/>
  <c r="EZ181" i="67"/>
  <c r="EZ190" i="67"/>
  <c r="EZ147" i="67"/>
  <c r="EZ185" i="67"/>
  <c r="GV114" i="67"/>
  <c r="GV183" i="67"/>
  <c r="GV124" i="67"/>
  <c r="EJ14" i="67"/>
  <c r="EZ166" i="67"/>
  <c r="EZ186" i="67"/>
  <c r="EZ96" i="67"/>
  <c r="EZ105" i="67"/>
  <c r="EZ106" i="67"/>
  <c r="EJ9" i="67"/>
  <c r="EZ155" i="67"/>
  <c r="EJ48" i="67"/>
  <c r="EZ152" i="67"/>
  <c r="EZ174" i="67"/>
  <c r="EJ35" i="67"/>
  <c r="EZ72" i="67"/>
  <c r="EZ120" i="67"/>
  <c r="EJ44" i="67"/>
  <c r="EZ51" i="67"/>
  <c r="EZ168" i="67"/>
  <c r="EZ67" i="67"/>
  <c r="EZ104" i="67"/>
  <c r="EZ101" i="67"/>
  <c r="EZ111" i="67"/>
  <c r="EJ8" i="67"/>
  <c r="GF190" i="67"/>
  <c r="FP147" i="67"/>
  <c r="FP130" i="67"/>
  <c r="GF166" i="67"/>
  <c r="FP36" i="67"/>
  <c r="EZ66" i="67"/>
  <c r="EZ77" i="67"/>
  <c r="FP25" i="67"/>
  <c r="GF152" i="67"/>
  <c r="FP80" i="67"/>
  <c r="FP163" i="67"/>
  <c r="GF120" i="67"/>
  <c r="FP143" i="67"/>
  <c r="FP168" i="67"/>
  <c r="GF111" i="67"/>
  <c r="GF37" i="67"/>
  <c r="EJ23" i="67"/>
  <c r="EZ30" i="67"/>
  <c r="EJ178" i="67"/>
  <c r="EJ16" i="67"/>
  <c r="EJ74" i="67"/>
  <c r="EZ24" i="67"/>
  <c r="GV147" i="67"/>
  <c r="EJ139" i="67"/>
  <c r="EJ81" i="67"/>
  <c r="GV165" i="67"/>
  <c r="GV53" i="67"/>
  <c r="GV82" i="67"/>
  <c r="EZ45" i="67"/>
  <c r="EJ161" i="67"/>
  <c r="GV38" i="67"/>
  <c r="EZ40" i="67"/>
  <c r="EJ112" i="67"/>
  <c r="GV153" i="67"/>
  <c r="EZ34" i="67"/>
  <c r="EJ141" i="67"/>
  <c r="GV73" i="67"/>
  <c r="GV121" i="67"/>
  <c r="EJ15" i="67"/>
  <c r="GV98" i="67"/>
  <c r="EJ167" i="67"/>
  <c r="EZ47" i="67"/>
  <c r="GV127" i="67"/>
  <c r="EJ95" i="67"/>
  <c r="GV19" i="67"/>
  <c r="EJ100" i="67"/>
  <c r="GV169" i="67"/>
  <c r="EZ49" i="67"/>
  <c r="GV130" i="67"/>
  <c r="EJ173" i="67"/>
  <c r="EJ172" i="67"/>
  <c r="EJ92" i="67"/>
  <c r="GV118" i="67"/>
  <c r="EZ22" i="67"/>
  <c r="GV61" i="67"/>
  <c r="GV12" i="67"/>
  <c r="GF96" i="67"/>
  <c r="EJ188" i="67"/>
  <c r="EJ175" i="67"/>
  <c r="EJ128" i="67"/>
  <c r="FP155" i="67"/>
  <c r="GF174" i="67"/>
  <c r="GF35" i="67"/>
  <c r="EJ137" i="67"/>
  <c r="GF44" i="67"/>
  <c r="FP101" i="67"/>
  <c r="EJ102" i="67"/>
  <c r="GV37" i="67"/>
  <c r="EJ30" i="67"/>
  <c r="EZ74" i="67"/>
  <c r="EJ24" i="67"/>
  <c r="EZ139" i="67"/>
  <c r="EJ40" i="67"/>
  <c r="EZ112" i="67"/>
  <c r="EJ34" i="67"/>
  <c r="EZ150" i="67"/>
  <c r="EZ15" i="67"/>
  <c r="EJ47" i="67"/>
  <c r="EZ95" i="67"/>
  <c r="EZ100" i="67"/>
  <c r="EJ49" i="67"/>
  <c r="EZ173" i="67"/>
  <c r="EZ92" i="67"/>
  <c r="EZ69" i="67"/>
  <c r="EZ184" i="67"/>
  <c r="EZ18" i="67"/>
  <c r="EZ158" i="67"/>
  <c r="EJ28" i="67"/>
  <c r="EZ136" i="67"/>
  <c r="EZ32" i="67"/>
  <c r="EZ180" i="67"/>
  <c r="EZ138" i="67"/>
  <c r="EZ149" i="67"/>
  <c r="EJ120" i="67"/>
  <c r="EJ182" i="67"/>
  <c r="GV36" i="67"/>
  <c r="GV186" i="67"/>
  <c r="GV66" i="67"/>
  <c r="EJ144" i="67"/>
  <c r="GV96" i="67"/>
  <c r="GV116" i="67"/>
  <c r="GV68" i="67"/>
  <c r="EJ146" i="67"/>
  <c r="GV105" i="67"/>
  <c r="EJ131" i="67"/>
  <c r="EJ179" i="67"/>
  <c r="EJ171" i="67"/>
  <c r="GV42" i="67"/>
  <c r="GV106" i="67"/>
  <c r="GV94" i="67"/>
  <c r="GV77" i="67"/>
  <c r="GV79" i="67"/>
  <c r="GV157" i="67"/>
  <c r="EJ103" i="67"/>
  <c r="EJ114" i="67"/>
  <c r="GV160" i="67"/>
  <c r="GV9" i="67"/>
  <c r="GV91" i="67"/>
  <c r="EJ71" i="67"/>
  <c r="GV155" i="67"/>
  <c r="EJ46" i="67"/>
  <c r="GV191" i="67"/>
  <c r="GV48" i="67"/>
  <c r="GV152" i="67"/>
  <c r="GV80" i="67"/>
  <c r="EJ140" i="67"/>
  <c r="EJ148" i="67"/>
  <c r="EJ86" i="67"/>
  <c r="GV58" i="67"/>
  <c r="EJ183" i="67"/>
  <c r="EJ124" i="67"/>
  <c r="GV174" i="67"/>
  <c r="EJ133" i="67"/>
  <c r="EZ20" i="67"/>
  <c r="GV35" i="67"/>
  <c r="EJ56" i="67"/>
  <c r="EZ52" i="67"/>
  <c r="GV72" i="67"/>
  <c r="EJ193" i="67"/>
  <c r="GV120" i="67"/>
  <c r="EZ43" i="67"/>
  <c r="EJ110" i="67"/>
  <c r="EZ31" i="67"/>
  <c r="GV44" i="67"/>
  <c r="GV51" i="67"/>
  <c r="EJ88" i="67"/>
  <c r="EJ99" i="67"/>
  <c r="EJ21" i="67"/>
  <c r="GV111" i="67"/>
  <c r="GV8" i="67"/>
  <c r="EZ102" i="67"/>
  <c r="EZ151" i="67"/>
  <c r="FP74" i="67"/>
  <c r="GF139" i="67"/>
  <c r="EZ85" i="67"/>
  <c r="FP141" i="67"/>
  <c r="FP150" i="67"/>
  <c r="FP95" i="67"/>
  <c r="GF100" i="67"/>
  <c r="FP22" i="67"/>
  <c r="FP158" i="67"/>
  <c r="FP28" i="67"/>
  <c r="FP149" i="67"/>
  <c r="EJ152" i="67"/>
  <c r="GV43" i="67"/>
  <c r="GV31" i="67"/>
  <c r="EZ115" i="67"/>
  <c r="EZ144" i="67"/>
  <c r="EZ188" i="67"/>
  <c r="EZ146" i="67"/>
  <c r="EZ131" i="67"/>
  <c r="EZ179" i="67"/>
  <c r="EZ171" i="67"/>
  <c r="EJ10" i="67"/>
  <c r="EZ103" i="67"/>
  <c r="EZ114" i="67"/>
  <c r="EZ63" i="67"/>
  <c r="EZ90" i="67"/>
  <c r="EZ71" i="67"/>
  <c r="EZ75" i="67"/>
  <c r="GF140" i="67"/>
  <c r="EZ148" i="67"/>
  <c r="EZ135" i="67"/>
  <c r="EZ183" i="67"/>
  <c r="EZ124" i="67"/>
  <c r="EZ133" i="67"/>
  <c r="EJ20" i="67"/>
  <c r="EZ113" i="67"/>
  <c r="EZ177" i="67"/>
  <c r="EZ193" i="67"/>
  <c r="EZ83" i="67"/>
  <c r="EJ43" i="67"/>
  <c r="EZ110" i="67"/>
  <c r="EJ31" i="67"/>
  <c r="EZ125" i="67"/>
  <c r="EZ88" i="67"/>
  <c r="EZ99" i="67"/>
  <c r="EZ145" i="67"/>
  <c r="EZ21" i="67"/>
  <c r="EZ170" i="67"/>
  <c r="EZ50" i="67"/>
  <c r="GF102" i="67"/>
  <c r="GF30" i="67"/>
  <c r="GF16" i="67"/>
  <c r="GF74" i="67"/>
  <c r="GF24" i="67"/>
  <c r="FP139" i="67"/>
  <c r="FP138" i="67"/>
  <c r="EJ174" i="67"/>
  <c r="GV21" i="67"/>
  <c r="EJ111" i="67"/>
  <c r="GF146" i="67"/>
  <c r="GF131" i="67"/>
  <c r="FP171" i="67"/>
  <c r="FP10" i="67"/>
  <c r="FP103" i="67"/>
  <c r="FP46" i="67"/>
  <c r="EZ140" i="67"/>
  <c r="GF148" i="67"/>
  <c r="FP124" i="67"/>
  <c r="FP20" i="67"/>
  <c r="FP113" i="67"/>
  <c r="FP56" i="67"/>
  <c r="FP137" i="67"/>
  <c r="GF110" i="67"/>
  <c r="EZ65" i="67"/>
  <c r="FP102" i="67"/>
  <c r="GV30" i="67"/>
  <c r="EZ33" i="67"/>
  <c r="GV16" i="67"/>
  <c r="GV74" i="67"/>
  <c r="EJ119" i="67"/>
  <c r="GV24" i="67"/>
  <c r="EJ190" i="67"/>
  <c r="EJ147" i="67"/>
  <c r="GV139" i="67"/>
  <c r="EJ185" i="67"/>
  <c r="EJ69" i="67"/>
  <c r="EJ184" i="67"/>
  <c r="GV122" i="67"/>
  <c r="EJ18" i="67"/>
  <c r="EJ62" i="67"/>
  <c r="GV84" i="67"/>
  <c r="EZ28" i="67"/>
  <c r="GV176" i="67"/>
  <c r="GV57" i="67"/>
  <c r="EJ136" i="67"/>
  <c r="GV54" i="67"/>
  <c r="EJ32" i="67"/>
  <c r="GV108" i="67"/>
  <c r="GV59" i="67"/>
  <c r="EJ138" i="67"/>
  <c r="GV70" i="67"/>
  <c r="EJ149" i="67"/>
  <c r="GV29" i="67"/>
  <c r="GF138" i="67"/>
  <c r="GF81" i="67"/>
  <c r="GF45" i="67"/>
  <c r="EJ87" i="67"/>
  <c r="EJ162" i="67"/>
  <c r="GF40" i="67"/>
  <c r="GF112" i="67"/>
  <c r="GF34" i="67"/>
  <c r="GF141" i="67"/>
  <c r="GF150" i="67"/>
  <c r="EJ121" i="67"/>
  <c r="GF15" i="67"/>
  <c r="GF167" i="67"/>
  <c r="GF47" i="67"/>
  <c r="GF95" i="67"/>
  <c r="EJ169" i="67"/>
  <c r="GF49" i="67"/>
  <c r="GF173" i="67"/>
  <c r="GF11" i="67"/>
  <c r="GF172" i="67"/>
  <c r="GF92" i="67"/>
  <c r="GF22" i="67"/>
  <c r="GF93" i="67"/>
  <c r="GF69" i="67"/>
  <c r="GF184" i="67"/>
  <c r="GF18" i="67"/>
  <c r="GF62" i="67"/>
  <c r="GF158" i="67"/>
  <c r="GF28" i="67"/>
  <c r="GF136" i="67"/>
  <c r="GF32" i="67"/>
  <c r="GF180" i="67"/>
  <c r="GF149" i="67"/>
  <c r="GV81" i="67"/>
  <c r="EJ165" i="67"/>
  <c r="EZ53" i="67"/>
  <c r="EJ82" i="67"/>
  <c r="GV45" i="67"/>
  <c r="EJ64" i="67"/>
  <c r="GV142" i="67"/>
  <c r="EJ38" i="67"/>
  <c r="GV89" i="67"/>
  <c r="GV40" i="67"/>
  <c r="EJ117" i="67"/>
  <c r="GV189" i="67"/>
  <c r="GV112" i="67"/>
  <c r="EJ153" i="67"/>
  <c r="GV34" i="67"/>
  <c r="GV141" i="67"/>
  <c r="EJ73" i="67"/>
  <c r="GV150" i="67"/>
  <c r="GV15" i="67"/>
  <c r="EJ98" i="67"/>
  <c r="GV167" i="67"/>
  <c r="GV47" i="67"/>
  <c r="EJ127" i="67"/>
  <c r="GV95" i="67"/>
  <c r="EZ19" i="67"/>
  <c r="GV100" i="67"/>
  <c r="GV49" i="67"/>
  <c r="EJ130" i="67"/>
  <c r="GV173" i="67"/>
  <c r="GV11" i="67"/>
  <c r="GV154" i="67"/>
  <c r="GV172" i="67"/>
  <c r="GV92" i="67"/>
  <c r="GV60" i="67"/>
  <c r="EJ118" i="67"/>
  <c r="GV22" i="67"/>
  <c r="EJ61" i="67"/>
  <c r="GV93" i="67"/>
  <c r="EJ132" i="67"/>
  <c r="EZ12" i="67"/>
  <c r="GV69" i="67"/>
  <c r="GV184" i="67"/>
  <c r="EJ122" i="67"/>
  <c r="GV18" i="67"/>
  <c r="GV62" i="67"/>
  <c r="EJ84" i="67"/>
  <c r="GV158" i="67"/>
  <c r="GV28" i="67"/>
  <c r="EJ176" i="67"/>
  <c r="EZ57" i="67"/>
  <c r="GV136" i="67"/>
  <c r="EJ54" i="67"/>
  <c r="GV32" i="67"/>
  <c r="EJ108" i="67"/>
  <c r="GV180" i="67"/>
  <c r="EJ59" i="67"/>
  <c r="GV138" i="67"/>
  <c r="EJ70" i="67"/>
  <c r="GV149" i="67"/>
  <c r="EJ29" i="67"/>
  <c r="EZ165" i="67"/>
  <c r="EJ53" i="67"/>
  <c r="EZ82" i="67"/>
  <c r="EZ64" i="67"/>
  <c r="EZ87" i="67"/>
  <c r="EZ38" i="67"/>
  <c r="EZ162" i="67"/>
  <c r="EZ117" i="67"/>
  <c r="EZ153" i="67"/>
  <c r="EZ73" i="67"/>
  <c r="EZ121" i="67"/>
  <c r="EZ98" i="67"/>
  <c r="EZ127" i="67"/>
  <c r="EJ19" i="67"/>
  <c r="EZ169" i="67"/>
  <c r="EZ130" i="67"/>
  <c r="EZ118" i="67"/>
  <c r="EZ61" i="67"/>
  <c r="EZ132" i="67"/>
  <c r="EJ12" i="67"/>
  <c r="EZ122" i="67"/>
  <c r="EZ84" i="67"/>
  <c r="EZ176" i="67"/>
  <c r="EJ57" i="67"/>
  <c r="EZ54" i="67"/>
  <c r="EZ108" i="67"/>
  <c r="EZ59" i="67"/>
  <c r="EZ70" i="67"/>
  <c r="EZ29" i="67"/>
  <c r="FP118" i="67"/>
  <c r="GF162" i="67"/>
  <c r="GF98" i="67"/>
  <c r="GF130" i="67"/>
  <c r="GF122" i="67"/>
  <c r="GF165" i="67"/>
  <c r="GF53" i="67"/>
  <c r="GF82" i="67"/>
  <c r="GF38" i="67"/>
  <c r="GF153" i="67"/>
  <c r="GF73" i="67"/>
  <c r="EJ150" i="67"/>
  <c r="GF121" i="67"/>
  <c r="GF127" i="67"/>
  <c r="GF19" i="67"/>
  <c r="GF169" i="67"/>
  <c r="GF118" i="67"/>
  <c r="GF61" i="67"/>
  <c r="GF12" i="67"/>
  <c r="GF84" i="67"/>
  <c r="EJ158" i="67"/>
  <c r="GF176" i="67"/>
  <c r="GF57" i="67"/>
  <c r="GF54" i="67"/>
  <c r="GF108" i="67"/>
  <c r="EJ180" i="67"/>
  <c r="GF59" i="67"/>
  <c r="GF70" i="67"/>
  <c r="GF29" i="67"/>
  <c r="FP104" i="67"/>
  <c r="DT171" i="67"/>
  <c r="DT148" i="67"/>
  <c r="DT133" i="67"/>
  <c r="DT20" i="67"/>
  <c r="DT110" i="67"/>
  <c r="DT103" i="67"/>
  <c r="DT102" i="67"/>
  <c r="DT150" i="67"/>
  <c r="DT158" i="67"/>
  <c r="DT180" i="67"/>
  <c r="DT10" i="67"/>
  <c r="DT129" i="67"/>
  <c r="DT114" i="67"/>
  <c r="DT140" i="67"/>
  <c r="DT135" i="67"/>
  <c r="DT183" i="67"/>
  <c r="DT124" i="67"/>
  <c r="DT43" i="67"/>
  <c r="DT31" i="67"/>
  <c r="DT21" i="67"/>
  <c r="DT188" i="67"/>
  <c r="DT175" i="67"/>
  <c r="DT128" i="67"/>
  <c r="DT63" i="67"/>
  <c r="DT113" i="67"/>
  <c r="DT137" i="67"/>
  <c r="DT125" i="67"/>
  <c r="DT73" i="67"/>
  <c r="DT19" i="67"/>
  <c r="DT61" i="67"/>
  <c r="DT12" i="67"/>
  <c r="DT84" i="67"/>
  <c r="DT57" i="67"/>
  <c r="DT108" i="67"/>
  <c r="DT59" i="67"/>
  <c r="DT190" i="67"/>
  <c r="DT147" i="67"/>
  <c r="DT165" i="67"/>
  <c r="DT53" i="67"/>
  <c r="DT82" i="67"/>
  <c r="DT38" i="67"/>
  <c r="DT153" i="67"/>
  <c r="DT98" i="67"/>
  <c r="DT127" i="67"/>
  <c r="DT130" i="67"/>
  <c r="DT118" i="67"/>
  <c r="DT132" i="67"/>
  <c r="DT122" i="67"/>
  <c r="DT176" i="67"/>
  <c r="DT54" i="67"/>
  <c r="DT70" i="67"/>
  <c r="DT29" i="67"/>
  <c r="DT115" i="67"/>
  <c r="DT66" i="67"/>
  <c r="DT68" i="67"/>
  <c r="DT105" i="67"/>
  <c r="DT77" i="67"/>
  <c r="DT79" i="67"/>
  <c r="DT9" i="67"/>
  <c r="DT80" i="67"/>
  <c r="DT58" i="67"/>
  <c r="DT72" i="67"/>
  <c r="DT8" i="67"/>
  <c r="DT37" i="67"/>
  <c r="DT121" i="67"/>
  <c r="DT169" i="67"/>
  <c r="DT36" i="67"/>
  <c r="DT186" i="67"/>
  <c r="DT42" i="67"/>
  <c r="DT106" i="67"/>
  <c r="DT94" i="67"/>
  <c r="DT157" i="67"/>
  <c r="DT160" i="67"/>
  <c r="DT91" i="67"/>
  <c r="DT191" i="67"/>
  <c r="DT48" i="67"/>
  <c r="DT152" i="67"/>
  <c r="DT174" i="67"/>
  <c r="DT35" i="67"/>
  <c r="DT120" i="67"/>
  <c r="DT44" i="67"/>
  <c r="DT111" i="67"/>
  <c r="DT166" i="67"/>
  <c r="DT116" i="67"/>
  <c r="DT81" i="67"/>
  <c r="DT15" i="67"/>
  <c r="DT100" i="67"/>
  <c r="DT11" i="67"/>
  <c r="DT92" i="67"/>
  <c r="DT60" i="67"/>
  <c r="DT93" i="67"/>
  <c r="DT69" i="67"/>
  <c r="DT62" i="67"/>
  <c r="DT30" i="67"/>
  <c r="DT16" i="67"/>
  <c r="DT74" i="67"/>
  <c r="DT24" i="67"/>
  <c r="DT139" i="67"/>
  <c r="DT45" i="67"/>
  <c r="DT161" i="67"/>
  <c r="DT40" i="67"/>
  <c r="DT112" i="67"/>
  <c r="DT34" i="67"/>
  <c r="DT141" i="67"/>
  <c r="DT167" i="67"/>
  <c r="DT47" i="67"/>
  <c r="DT95" i="67"/>
  <c r="DT49" i="67"/>
  <c r="DT173" i="67"/>
  <c r="DT154" i="67"/>
  <c r="DT172" i="67"/>
  <c r="DT22" i="67"/>
  <c r="DT184" i="67"/>
  <c r="DT18" i="67"/>
  <c r="DT28" i="67"/>
  <c r="DT136" i="67"/>
  <c r="DT32" i="67"/>
  <c r="DT138" i="67"/>
  <c r="DT149" i="67"/>
  <c r="AB142" i="67"/>
  <c r="AB132" i="67"/>
  <c r="AB13" i="67"/>
  <c r="AR91" i="67"/>
  <c r="BX177" i="67"/>
  <c r="CN71" i="67"/>
  <c r="AR185" i="67"/>
  <c r="BX14" i="67"/>
  <c r="AR182" i="67"/>
  <c r="AB71" i="67"/>
  <c r="AB59" i="67"/>
  <c r="BH41" i="67"/>
  <c r="BH71" i="67"/>
  <c r="BX39" i="67"/>
  <c r="BX131" i="67"/>
  <c r="CN131" i="67"/>
  <c r="CY196" i="67"/>
  <c r="CZ196" i="67"/>
  <c r="CO196" i="67"/>
  <c r="CN175" i="67"/>
  <c r="AR160" i="67"/>
  <c r="BX145" i="67"/>
  <c r="BX170" i="67"/>
  <c r="HI25" i="67"/>
  <c r="AK25" i="71" s="1"/>
  <c r="HI86" i="67"/>
  <c r="AK86" i="71" s="1"/>
  <c r="HI32" i="67"/>
  <c r="AK32" i="71" s="1"/>
  <c r="HH57" i="67"/>
  <c r="AN57" i="71" s="1"/>
  <c r="HI111" i="67"/>
  <c r="AK111" i="71" s="1"/>
  <c r="AR71" i="67"/>
  <c r="HH172" i="67"/>
  <c r="AN174" i="71" s="1"/>
  <c r="HH82" i="67"/>
  <c r="AN82" i="71" s="1"/>
  <c r="HI12" i="67"/>
  <c r="AK12" i="71" s="1"/>
  <c r="CN125" i="67"/>
  <c r="BX88" i="67"/>
  <c r="CN23" i="67"/>
  <c r="CN78" i="67"/>
  <c r="CN109" i="67"/>
  <c r="AB94" i="67"/>
  <c r="HH102" i="67"/>
  <c r="AN102" i="71" s="1"/>
  <c r="AB43" i="67"/>
  <c r="AR107" i="67"/>
  <c r="AR192" i="67"/>
  <c r="AR181" i="67"/>
  <c r="AR119" i="67"/>
  <c r="AR177" i="67"/>
  <c r="HI136" i="67"/>
  <c r="AK136" i="71" s="1"/>
  <c r="HH121" i="67"/>
  <c r="AN121" i="71" s="1"/>
  <c r="HI51" i="67"/>
  <c r="AK51" i="71" s="1"/>
  <c r="HI190" i="67"/>
  <c r="AK192" i="71" s="1"/>
  <c r="HH22" i="67"/>
  <c r="AN22" i="71" s="1"/>
  <c r="HH145" i="67"/>
  <c r="AN145" i="71" s="1"/>
  <c r="HI76" i="67"/>
  <c r="AK76" i="71" s="1"/>
  <c r="HI186" i="67"/>
  <c r="AK188" i="71" s="1"/>
  <c r="HI115" i="67"/>
  <c r="AK115" i="71" s="1"/>
  <c r="HH159" i="67"/>
  <c r="AN161" i="71" s="1"/>
  <c r="HH45" i="67"/>
  <c r="AN45" i="71" s="1"/>
  <c r="HH187" i="67"/>
  <c r="AN189" i="71" s="1"/>
  <c r="HH46" i="67"/>
  <c r="AN46" i="71" s="1"/>
  <c r="HI45" i="67"/>
  <c r="AK45" i="71" s="1"/>
  <c r="HI15" i="67"/>
  <c r="AK15" i="71" s="1"/>
  <c r="HH178" i="67"/>
  <c r="AN180" i="71" s="1"/>
  <c r="HI40" i="67"/>
  <c r="AK40" i="71" s="1"/>
  <c r="HI165" i="67"/>
  <c r="AK167" i="71" s="1"/>
  <c r="HI119" i="67"/>
  <c r="AK119" i="71" s="1"/>
  <c r="HH89" i="67"/>
  <c r="AN89" i="71" s="1"/>
  <c r="HI20" i="67"/>
  <c r="AK20" i="71" s="1"/>
  <c r="HI143" i="67"/>
  <c r="AK143" i="71" s="1"/>
  <c r="HH67" i="67"/>
  <c r="AN67" i="71" s="1"/>
  <c r="HI121" i="67"/>
  <c r="AK121" i="71" s="1"/>
  <c r="HH91" i="67"/>
  <c r="AN91" i="71" s="1"/>
  <c r="HI22" i="67"/>
  <c r="AK22" i="71" s="1"/>
  <c r="HI145" i="67"/>
  <c r="AK145" i="71" s="1"/>
  <c r="HI159" i="67"/>
  <c r="AK161" i="71" s="1"/>
  <c r="HI79" i="67"/>
  <c r="AK79" i="71" s="1"/>
  <c r="HI139" i="67"/>
  <c r="AK139" i="71" s="1"/>
  <c r="HI124" i="67"/>
  <c r="AK124" i="71" s="1"/>
  <c r="HI48" i="67"/>
  <c r="AK48" i="71" s="1"/>
  <c r="HI162" i="67"/>
  <c r="AK164" i="71" s="1"/>
  <c r="HH11" i="67"/>
  <c r="AN11" i="71" s="1"/>
  <c r="HI65" i="67"/>
  <c r="AK65" i="71" s="1"/>
  <c r="HI193" i="67"/>
  <c r="AK193" i="71" s="1"/>
  <c r="HI89" i="67"/>
  <c r="AK89" i="71" s="1"/>
  <c r="HI129" i="67"/>
  <c r="AK129" i="71" s="1"/>
  <c r="HI192" i="67"/>
  <c r="AK153" i="71" s="1"/>
  <c r="HI78" i="67"/>
  <c r="AK78" i="71" s="1"/>
  <c r="HI101" i="67"/>
  <c r="AK101" i="71" s="1"/>
  <c r="HI17" i="67"/>
  <c r="AK17" i="71" s="1"/>
  <c r="HI131" i="67"/>
  <c r="AK131" i="71" s="1"/>
  <c r="HI179" i="67"/>
  <c r="AK181" i="71" s="1"/>
  <c r="HH53" i="67"/>
  <c r="AN53" i="71" s="1"/>
  <c r="HH30" i="67"/>
  <c r="AN30" i="71" s="1"/>
  <c r="HI85" i="67"/>
  <c r="AK85" i="71" s="1"/>
  <c r="HI171" i="67"/>
  <c r="AK173" i="71" s="1"/>
  <c r="HH19" i="67"/>
  <c r="AN19" i="71" s="1"/>
  <c r="HI73" i="67"/>
  <c r="AK73" i="71" s="1"/>
  <c r="HH125" i="67"/>
  <c r="AN125" i="71" s="1"/>
  <c r="HI184" i="67"/>
  <c r="AK186" i="71" s="1"/>
  <c r="HH124" i="67"/>
  <c r="AN124" i="71" s="1"/>
  <c r="HH148" i="67"/>
  <c r="AN148" i="71" s="1"/>
  <c r="HH80" i="67"/>
  <c r="AN80" i="71" s="1"/>
  <c r="HH65" i="67"/>
  <c r="AN65" i="71" s="1"/>
  <c r="HH193" i="67"/>
  <c r="AN193" i="71" s="1"/>
  <c r="HH52" i="67"/>
  <c r="AN52" i="71" s="1"/>
  <c r="HH61" i="67"/>
  <c r="AN61" i="71" s="1"/>
  <c r="HI150" i="67"/>
  <c r="AK150" i="71" s="1"/>
  <c r="HI99" i="67"/>
  <c r="AK99" i="71" s="1"/>
  <c r="HI175" i="67"/>
  <c r="AK177" i="71" s="1"/>
  <c r="HI107" i="67"/>
  <c r="AK107" i="71" s="1"/>
  <c r="HI148" i="67"/>
  <c r="AK148" i="71" s="1"/>
  <c r="HI77" i="67"/>
  <c r="AK77" i="71" s="1"/>
  <c r="HH33" i="67"/>
  <c r="AN33" i="71" s="1"/>
  <c r="HH58" i="67"/>
  <c r="AN58" i="71" s="1"/>
  <c r="HI112" i="67"/>
  <c r="AK112" i="71" s="1"/>
  <c r="HI90" i="67"/>
  <c r="AK90" i="71" s="1"/>
  <c r="HI167" i="67"/>
  <c r="AK169" i="71" s="1"/>
  <c r="HH55" i="67"/>
  <c r="AN55" i="71" s="1"/>
  <c r="HH153" i="67"/>
  <c r="AN155" i="71" s="1"/>
  <c r="BX135" i="67"/>
  <c r="HI58" i="67"/>
  <c r="AK58" i="71" s="1"/>
  <c r="HI97" i="67"/>
  <c r="AK97" i="71" s="1"/>
  <c r="HH37" i="67"/>
  <c r="AN37" i="71" s="1"/>
  <c r="HI63" i="67"/>
  <c r="AK63" i="71" s="1"/>
  <c r="HI54" i="67"/>
  <c r="AK54" i="71" s="1"/>
  <c r="HH26" i="67"/>
  <c r="AN26" i="71" s="1"/>
  <c r="HI80" i="67"/>
  <c r="AK80" i="71" s="1"/>
  <c r="HI96" i="67"/>
  <c r="AK96" i="71" s="1"/>
  <c r="HI189" i="67"/>
  <c r="AK191" i="71" s="1"/>
  <c r="HI46" i="67"/>
  <c r="AK46" i="71" s="1"/>
  <c r="HI31" i="67"/>
  <c r="AK31" i="71" s="1"/>
  <c r="HH32" i="67"/>
  <c r="AN32" i="71" s="1"/>
  <c r="HI88" i="67"/>
  <c r="AK88" i="71" s="1"/>
  <c r="HI41" i="67"/>
  <c r="AK41" i="71" s="1"/>
  <c r="HI173" i="67"/>
  <c r="AK175" i="71" s="1"/>
  <c r="HI181" i="67"/>
  <c r="AK183" i="71" s="1"/>
  <c r="HH51" i="67"/>
  <c r="AN51" i="71" s="1"/>
  <c r="HI105" i="67"/>
  <c r="AK105" i="71" s="1"/>
  <c r="HI130" i="67"/>
  <c r="AK130" i="71" s="1"/>
  <c r="HI133" i="67"/>
  <c r="AK133" i="71" s="1"/>
  <c r="HH63" i="67"/>
  <c r="AN63" i="71" s="1"/>
  <c r="HI142" i="67"/>
  <c r="AK142" i="71" s="1"/>
  <c r="HI21" i="67"/>
  <c r="AK21" i="71" s="1"/>
  <c r="HI191" i="67"/>
  <c r="AK152" i="71" s="1"/>
  <c r="HI125" i="67"/>
  <c r="AK125" i="71" s="1"/>
  <c r="HI126" i="67"/>
  <c r="AK126" i="71" s="1"/>
  <c r="HI106" i="67"/>
  <c r="AK106" i="71" s="1"/>
  <c r="HI147" i="67"/>
  <c r="AK147" i="71" s="1"/>
  <c r="HI52" i="67"/>
  <c r="AK52" i="71" s="1"/>
  <c r="HI134" i="67"/>
  <c r="AK134" i="71" s="1"/>
  <c r="HI104" i="67"/>
  <c r="AK104" i="71" s="1"/>
  <c r="HI61" i="67"/>
  <c r="AK61" i="71" s="1"/>
  <c r="HI87" i="67"/>
  <c r="AK87" i="71" s="1"/>
  <c r="HI72" i="67"/>
  <c r="AK72" i="71" s="1"/>
  <c r="BX63" i="67"/>
  <c r="BX90" i="67"/>
  <c r="BX123" i="67"/>
  <c r="HI19" i="67"/>
  <c r="AK19" i="71" s="1"/>
  <c r="HI144" i="67"/>
  <c r="AK144" i="71" s="1"/>
  <c r="HI183" i="67"/>
  <c r="AK185" i="71" s="1"/>
  <c r="HI177" i="67"/>
  <c r="AK179" i="71" s="1"/>
  <c r="HI50" i="67"/>
  <c r="AK50" i="71" s="1"/>
  <c r="HI123" i="67"/>
  <c r="AK123" i="71" s="1"/>
  <c r="BX160" i="67"/>
  <c r="HI39" i="67"/>
  <c r="AK39" i="71" s="1"/>
  <c r="HH50" i="67"/>
  <c r="AN50" i="71" s="1"/>
  <c r="HI47" i="67"/>
  <c r="AK47" i="71" s="1"/>
  <c r="HH9" i="67"/>
  <c r="AN9" i="71" s="1"/>
  <c r="HH60" i="67"/>
  <c r="AN60" i="71" s="1"/>
  <c r="HI109" i="67"/>
  <c r="AK109" i="71" s="1"/>
  <c r="HH135" i="67"/>
  <c r="AN135" i="71" s="1"/>
  <c r="HH34" i="67"/>
  <c r="AN34" i="71" s="1"/>
  <c r="HH156" i="67"/>
  <c r="AN158" i="71" s="1"/>
  <c r="HH75" i="67"/>
  <c r="AN75" i="71" s="1"/>
  <c r="HH98" i="67"/>
  <c r="AN98" i="71" s="1"/>
  <c r="HH139" i="67"/>
  <c r="AN139" i="71" s="1"/>
  <c r="HH123" i="67"/>
  <c r="AN123" i="71" s="1"/>
  <c r="HH146" i="67"/>
  <c r="AN146" i="71" s="1"/>
  <c r="HI56" i="67"/>
  <c r="AK56" i="71" s="1"/>
  <c r="HH142" i="67"/>
  <c r="AN142" i="71" s="1"/>
  <c r="HH42" i="67"/>
  <c r="AN42" i="71" s="1"/>
  <c r="HH174" i="67"/>
  <c r="AN176" i="71" s="1"/>
  <c r="HH83" i="67"/>
  <c r="AN83" i="71" s="1"/>
  <c r="HI13" i="67"/>
  <c r="AK13" i="71" s="1"/>
  <c r="HH106" i="67"/>
  <c r="AN106" i="71" s="1"/>
  <c r="HH188" i="67"/>
  <c r="AN190" i="71" s="1"/>
  <c r="BX26" i="67"/>
  <c r="BX107" i="67"/>
  <c r="HI137" i="67"/>
  <c r="AK137" i="71" s="1"/>
  <c r="HI36" i="67"/>
  <c r="AK36" i="71" s="1"/>
  <c r="HI158" i="67"/>
  <c r="AK160" i="71" s="1"/>
  <c r="HH79" i="67"/>
  <c r="AN79" i="71" s="1"/>
  <c r="HH133" i="67"/>
  <c r="AN133" i="71" s="1"/>
  <c r="HH110" i="67"/>
  <c r="AN110" i="71" s="1"/>
  <c r="HI70" i="67"/>
  <c r="AK70" i="71" s="1"/>
  <c r="HH72" i="67"/>
  <c r="AN72" i="71" s="1"/>
  <c r="HH87" i="67"/>
  <c r="AN87" i="71" s="1"/>
  <c r="HH140" i="67"/>
  <c r="AN140" i="71" s="1"/>
  <c r="HH149" i="67"/>
  <c r="AN149" i="71" s="1"/>
  <c r="HH103" i="67"/>
  <c r="AN103" i="71" s="1"/>
  <c r="HH128" i="67"/>
  <c r="AN128" i="71" s="1"/>
  <c r="HH111" i="67"/>
  <c r="AN111" i="71" s="1"/>
  <c r="HH136" i="67"/>
  <c r="AN136" i="71" s="1"/>
  <c r="HI66" i="67"/>
  <c r="AK66" i="71" s="1"/>
  <c r="HH190" i="67"/>
  <c r="AN192" i="71" s="1"/>
  <c r="HH76" i="67"/>
  <c r="AN76" i="71" s="1"/>
  <c r="HH186" i="67"/>
  <c r="AN188" i="71" s="1"/>
  <c r="HH25" i="67"/>
  <c r="AN25" i="71" s="1"/>
  <c r="HH170" i="67"/>
  <c r="AN172" i="71" s="1"/>
  <c r="HH161" i="67"/>
  <c r="AN163" i="71" s="1"/>
  <c r="HH77" i="67"/>
  <c r="AN77" i="71" s="1"/>
  <c r="HH68" i="67"/>
  <c r="AN68" i="71" s="1"/>
  <c r="HH166" i="67"/>
  <c r="AN168" i="71" s="1"/>
  <c r="HH39" i="67"/>
  <c r="AN39" i="71" s="1"/>
  <c r="HI11" i="67"/>
  <c r="AK11" i="71" s="1"/>
  <c r="HI34" i="67"/>
  <c r="AK34" i="71" s="1"/>
  <c r="HH97" i="67"/>
  <c r="AN97" i="71" s="1"/>
  <c r="HH90" i="67"/>
  <c r="AN90" i="71" s="1"/>
  <c r="HH130" i="67"/>
  <c r="AN130" i="71" s="1"/>
  <c r="HH167" i="67"/>
  <c r="AN169" i="71" s="1"/>
  <c r="HH69" i="67"/>
  <c r="AN69" i="71" s="1"/>
  <c r="HH96" i="67"/>
  <c r="AN96" i="71" s="1"/>
  <c r="HH118" i="67"/>
  <c r="AN118" i="71" s="1"/>
  <c r="HH100" i="67"/>
  <c r="AN100" i="71" s="1"/>
  <c r="HH117" i="67"/>
  <c r="AN117" i="71" s="1"/>
  <c r="HH126" i="67"/>
  <c r="AN126" i="71" s="1"/>
  <c r="HI23" i="67"/>
  <c r="AK23" i="71" s="1"/>
  <c r="HH54" i="67"/>
  <c r="AN54" i="71" s="1"/>
  <c r="HH132" i="67"/>
  <c r="AN132" i="71" s="1"/>
  <c r="HI8" i="67"/>
  <c r="AK8" i="71" s="1"/>
  <c r="HH115" i="67"/>
  <c r="AN115" i="71" s="1"/>
  <c r="HH40" i="67"/>
  <c r="AN40" i="71" s="1"/>
  <c r="HH165" i="67"/>
  <c r="AN167" i="71" s="1"/>
  <c r="HI95" i="67"/>
  <c r="AK95" i="71" s="1"/>
  <c r="HH119" i="67"/>
  <c r="AN119" i="71" s="1"/>
  <c r="HI49" i="67"/>
  <c r="AK49" i="71" s="1"/>
  <c r="HI163" i="67"/>
  <c r="AK165" i="71" s="1"/>
  <c r="HH20" i="67"/>
  <c r="AN20" i="71" s="1"/>
  <c r="HH143" i="67"/>
  <c r="AN143" i="71" s="1"/>
  <c r="HI74" i="67"/>
  <c r="AK74" i="71" s="1"/>
  <c r="HH59" i="67"/>
  <c r="AN59" i="71" s="1"/>
  <c r="HH176" i="67"/>
  <c r="AN178" i="71" s="1"/>
  <c r="HI113" i="67"/>
  <c r="AK113" i="71" s="1"/>
  <c r="HH84" i="67"/>
  <c r="AN84" i="71" s="1"/>
  <c r="HI138" i="67"/>
  <c r="AK138" i="71" s="1"/>
  <c r="HI132" i="67"/>
  <c r="AK132" i="71" s="1"/>
  <c r="HI161" i="67"/>
  <c r="AK163" i="71" s="1"/>
  <c r="HH31" i="67"/>
  <c r="AN31" i="71" s="1"/>
  <c r="HI169" i="67"/>
  <c r="AK171" i="71" s="1"/>
  <c r="HI102" i="67"/>
  <c r="AK102" i="71" s="1"/>
  <c r="HI57" i="67"/>
  <c r="AK57" i="71" s="1"/>
  <c r="HI59" i="67"/>
  <c r="AK59" i="71" s="1"/>
  <c r="HI84" i="67"/>
  <c r="AK84" i="71" s="1"/>
  <c r="HH56" i="67"/>
  <c r="AN56" i="71" s="1"/>
  <c r="HI110" i="67"/>
  <c r="AK110" i="71" s="1"/>
  <c r="HI28" i="67"/>
  <c r="AK28" i="71" s="1"/>
  <c r="HH13" i="67"/>
  <c r="AN13" i="71" s="1"/>
  <c r="HI188" i="67"/>
  <c r="AK190" i="71" s="1"/>
  <c r="HI135" i="67"/>
  <c r="AK135" i="71" s="1"/>
  <c r="HH44" i="67"/>
  <c r="AN44" i="71" s="1"/>
  <c r="HI160" i="67"/>
  <c r="AK162" i="71" s="1"/>
  <c r="HI53" i="67"/>
  <c r="AK53" i="71" s="1"/>
  <c r="HI108" i="67"/>
  <c r="AK108" i="71" s="1"/>
  <c r="HI100" i="67"/>
  <c r="AK100" i="71" s="1"/>
  <c r="HI94" i="67"/>
  <c r="AK94" i="71" s="1"/>
  <c r="HH112" i="67"/>
  <c r="AN112" i="71" s="1"/>
  <c r="HI83" i="67"/>
  <c r="AK83" i="71" s="1"/>
  <c r="HH114" i="67"/>
  <c r="AN114" i="71" s="1"/>
  <c r="HI185" i="67"/>
  <c r="AK187" i="71" s="1"/>
  <c r="HH78" i="67"/>
  <c r="AN78" i="71" s="1"/>
  <c r="HH116" i="67"/>
  <c r="AN116" i="71" s="1"/>
  <c r="HI146" i="67"/>
  <c r="AK146" i="71" s="1"/>
  <c r="HH24" i="67"/>
  <c r="AN24" i="71" s="1"/>
  <c r="HH168" i="67"/>
  <c r="AN170" i="71" s="1"/>
  <c r="HH141" i="67"/>
  <c r="AN141" i="71" s="1"/>
  <c r="HH120" i="67"/>
  <c r="AN120" i="71" s="1"/>
  <c r="HI166" i="67"/>
  <c r="AK168" i="71" s="1"/>
  <c r="HH122" i="67"/>
  <c r="AN122" i="71" s="1"/>
  <c r="HI69" i="67"/>
  <c r="AK69" i="71" s="1"/>
  <c r="HI155" i="67"/>
  <c r="AK157" i="71" s="1"/>
  <c r="HH181" i="67"/>
  <c r="AN183" i="71" s="1"/>
  <c r="HI157" i="67"/>
  <c r="AK159" i="71" s="1"/>
  <c r="HI122" i="67"/>
  <c r="AK122" i="71" s="1"/>
  <c r="HH177" i="67"/>
  <c r="AN179" i="71" s="1"/>
  <c r="HH8" i="67"/>
  <c r="AN8" i="71" s="1"/>
  <c r="HH101" i="67"/>
  <c r="AN101" i="71" s="1"/>
  <c r="HH152" i="67"/>
  <c r="AN154" i="71" s="1"/>
  <c r="HH155" i="67"/>
  <c r="AN157" i="71" s="1"/>
  <c r="HH175" i="67"/>
  <c r="AN177" i="71" s="1"/>
  <c r="HH157" i="67"/>
  <c r="AN159" i="71" s="1"/>
  <c r="HH92" i="67"/>
  <c r="AN92" i="71" s="1"/>
  <c r="HH94" i="67"/>
  <c r="AN94" i="71" s="1"/>
  <c r="HH66" i="67"/>
  <c r="AN66" i="71" s="1"/>
  <c r="HH70" i="67"/>
  <c r="AN70" i="71" s="1"/>
  <c r="HI117" i="67"/>
  <c r="AK117" i="71" s="1"/>
  <c r="HH85" i="67"/>
  <c r="AN85" i="71" s="1"/>
  <c r="HH109" i="67"/>
  <c r="AN109" i="71" s="1"/>
  <c r="HH88" i="67"/>
  <c r="AN88" i="71" s="1"/>
  <c r="HI18" i="67"/>
  <c r="AK18" i="71" s="1"/>
  <c r="HH173" i="67"/>
  <c r="AN175" i="71" s="1"/>
  <c r="HI120" i="67"/>
  <c r="AK120" i="71" s="1"/>
  <c r="HH105" i="67"/>
  <c r="AN105" i="71" s="1"/>
  <c r="HI153" i="67"/>
  <c r="AK155" i="71" s="1"/>
  <c r="HH147" i="67"/>
  <c r="AN147" i="71" s="1"/>
  <c r="HH182" i="67"/>
  <c r="AN184" i="71" s="1"/>
  <c r="HH93" i="67"/>
  <c r="AN93" i="71" s="1"/>
  <c r="HH47" i="67"/>
  <c r="AN47" i="71" s="1"/>
  <c r="HH95" i="67"/>
  <c r="AN95" i="71" s="1"/>
  <c r="HH49" i="67"/>
  <c r="AN49" i="71" s="1"/>
  <c r="HH163" i="67"/>
  <c r="AN165" i="71" s="1"/>
  <c r="HH74" i="67"/>
  <c r="AN74" i="71" s="1"/>
  <c r="HI128" i="67"/>
  <c r="AK128" i="71" s="1"/>
  <c r="HH113" i="67"/>
  <c r="AN113" i="71" s="1"/>
  <c r="HE84" i="67"/>
  <c r="AE84" i="71" s="1"/>
  <c r="HH14" i="67"/>
  <c r="AN14" i="71" s="1"/>
  <c r="HH138" i="67"/>
  <c r="AN138" i="71" s="1"/>
  <c r="HI68" i="67"/>
  <c r="AK68" i="71" s="1"/>
  <c r="HH160" i="67"/>
  <c r="AN162" i="71" s="1"/>
  <c r="HI152" i="67"/>
  <c r="AK154" i="71" s="1"/>
  <c r="HI174" i="67"/>
  <c r="AK176" i="71" s="1"/>
  <c r="HH134" i="67"/>
  <c r="AN134" i="71" s="1"/>
  <c r="HH150" i="67"/>
  <c r="AN150" i="71" s="1"/>
  <c r="HH191" i="67"/>
  <c r="AN152" i="71" s="1"/>
  <c r="HH86" i="67"/>
  <c r="AN86" i="71" s="1"/>
  <c r="HI14" i="67"/>
  <c r="AK14" i="71" s="1"/>
  <c r="HI154" i="67"/>
  <c r="AK156" i="71" s="1"/>
  <c r="HH23" i="67"/>
  <c r="AN23" i="71" s="1"/>
  <c r="HI178" i="67"/>
  <c r="AK180" i="71" s="1"/>
  <c r="HH48" i="67"/>
  <c r="AN48" i="71" s="1"/>
  <c r="HH162" i="67"/>
  <c r="AN164" i="71" s="1"/>
  <c r="HH127" i="67"/>
  <c r="AN127" i="71" s="1"/>
  <c r="HI172" i="67"/>
  <c r="AK174" i="71" s="1"/>
  <c r="HH28" i="67"/>
  <c r="AN28" i="71" s="1"/>
  <c r="HH151" i="67"/>
  <c r="AN151" i="71" s="1"/>
  <c r="HI82" i="67"/>
  <c r="AK82" i="71" s="1"/>
  <c r="HH129" i="67"/>
  <c r="AN129" i="71" s="1"/>
  <c r="HI176" i="67"/>
  <c r="AK178" i="71" s="1"/>
  <c r="HH192" i="67"/>
  <c r="AN153" i="71" s="1"/>
  <c r="HI93" i="67"/>
  <c r="AK93" i="71" s="1"/>
  <c r="HH169" i="67"/>
  <c r="AN171" i="71" s="1"/>
  <c r="HH164" i="67"/>
  <c r="AN166" i="71" s="1"/>
  <c r="HH171" i="67"/>
  <c r="AN173" i="71" s="1"/>
  <c r="HH73" i="67"/>
  <c r="AN73" i="71" s="1"/>
  <c r="HH184" i="67"/>
  <c r="AN186" i="71" s="1"/>
  <c r="HI127" i="67"/>
  <c r="AK127" i="71" s="1"/>
  <c r="HI151" i="67"/>
  <c r="AK151" i="71" s="1"/>
  <c r="HH137" i="67"/>
  <c r="AN137" i="71" s="1"/>
  <c r="HI67" i="67"/>
  <c r="AK67" i="71" s="1"/>
  <c r="HH36" i="67"/>
  <c r="AN36" i="71" s="1"/>
  <c r="HH158" i="67"/>
  <c r="AN160" i="71" s="1"/>
  <c r="HI91" i="67"/>
  <c r="AK91" i="71" s="1"/>
  <c r="HI71" i="67"/>
  <c r="AK71" i="71" s="1"/>
  <c r="HI92" i="67"/>
  <c r="AK92" i="71" s="1"/>
  <c r="HH154" i="67"/>
  <c r="AN156" i="71" s="1"/>
  <c r="HH179" i="67"/>
  <c r="AN181" i="71" s="1"/>
  <c r="HI24" i="67"/>
  <c r="AK24" i="71" s="1"/>
  <c r="HH99" i="67"/>
  <c r="AN99" i="71" s="1"/>
  <c r="HH108" i="67"/>
  <c r="AN108" i="71" s="1"/>
  <c r="HI116" i="67"/>
  <c r="AK116" i="71" s="1"/>
  <c r="HH64" i="67"/>
  <c r="AN64" i="71" s="1"/>
  <c r="HH180" i="67"/>
  <c r="AN182" i="71" s="1"/>
  <c r="HI118" i="67"/>
  <c r="AK118" i="71" s="1"/>
  <c r="HH81" i="67"/>
  <c r="AN81" i="71" s="1"/>
  <c r="HH104" i="67"/>
  <c r="AN104" i="71" s="1"/>
  <c r="HI156" i="67"/>
  <c r="AK158" i="71" s="1"/>
  <c r="HH21" i="67"/>
  <c r="AN21" i="71" s="1"/>
  <c r="HH144" i="67"/>
  <c r="AN144" i="71" s="1"/>
  <c r="HI75" i="67"/>
  <c r="AK75" i="71" s="1"/>
  <c r="HH185" i="67"/>
  <c r="AN187" i="71" s="1"/>
  <c r="HI98" i="67"/>
  <c r="AK98" i="71" s="1"/>
  <c r="HH131" i="67"/>
  <c r="AN131" i="71" s="1"/>
  <c r="HH107" i="67"/>
  <c r="AN107" i="71" s="1"/>
  <c r="HH10" i="67"/>
  <c r="AN10" i="71" s="1"/>
  <c r="HI140" i="67"/>
  <c r="AK140" i="71" s="1"/>
  <c r="HI170" i="67"/>
  <c r="AK172" i="71" s="1"/>
  <c r="HH18" i="67"/>
  <c r="AN18" i="71" s="1"/>
  <c r="HI55" i="67"/>
  <c r="AK55" i="71" s="1"/>
  <c r="HI33" i="67"/>
  <c r="AK33" i="71" s="1"/>
  <c r="HI35" i="67"/>
  <c r="AK35" i="71" s="1"/>
  <c r="HH15" i="67"/>
  <c r="AN15" i="71" s="1"/>
  <c r="HI141" i="67"/>
  <c r="AK141" i="71" s="1"/>
  <c r="HH41" i="67"/>
  <c r="AN41" i="71" s="1"/>
  <c r="HI60" i="67"/>
  <c r="AK60" i="71" s="1"/>
  <c r="HI187" i="67"/>
  <c r="AK189" i="71" s="1"/>
  <c r="HH62" i="67"/>
  <c r="AN62" i="71" s="1"/>
  <c r="HI26" i="67"/>
  <c r="AK26" i="71" s="1"/>
  <c r="HI149" i="67"/>
  <c r="AK149" i="71" s="1"/>
  <c r="HI103" i="67"/>
  <c r="AK103" i="71" s="1"/>
  <c r="HI43" i="67"/>
  <c r="AK43" i="71" s="1"/>
  <c r="HH16" i="67"/>
  <c r="AN16" i="71" s="1"/>
  <c r="HI42" i="67"/>
  <c r="AK42" i="71" s="1"/>
  <c r="HH29" i="67"/>
  <c r="AN29" i="71" s="1"/>
  <c r="HI30" i="67"/>
  <c r="AK30" i="71" s="1"/>
  <c r="HI27" i="67"/>
  <c r="AK27" i="71" s="1"/>
  <c r="HI37" i="67"/>
  <c r="AK37" i="71" s="1"/>
  <c r="HI164" i="67"/>
  <c r="AK166" i="71" s="1"/>
  <c r="HI62" i="67"/>
  <c r="AK62" i="71" s="1"/>
  <c r="HI64" i="67"/>
  <c r="AK64" i="71" s="1"/>
  <c r="HI180" i="67"/>
  <c r="AK182" i="71" s="1"/>
  <c r="HI44" i="67"/>
  <c r="AK44" i="71" s="1"/>
  <c r="HI114" i="67"/>
  <c r="AK114" i="71" s="1"/>
  <c r="HI168" i="67"/>
  <c r="AK170" i="71" s="1"/>
  <c r="HI182" i="67"/>
  <c r="AK184" i="71" s="1"/>
  <c r="HH17" i="67"/>
  <c r="AN17" i="71" s="1"/>
  <c r="HI38" i="67"/>
  <c r="AK38" i="71" s="1"/>
  <c r="HH12" i="67"/>
  <c r="AN12" i="71" s="1"/>
  <c r="HH38" i="67"/>
  <c r="AN38" i="71" s="1"/>
  <c r="HH43" i="67"/>
  <c r="AN43" i="71" s="1"/>
  <c r="HI9" i="67"/>
  <c r="AK9" i="71" s="1"/>
  <c r="HI10" i="67"/>
  <c r="AK10" i="71" s="1"/>
  <c r="HH35" i="67"/>
  <c r="AN35" i="71" s="1"/>
  <c r="HI29" i="67"/>
  <c r="AK29" i="71" s="1"/>
  <c r="HI16" i="67"/>
  <c r="AK16" i="71" s="1"/>
  <c r="HH183" i="67"/>
  <c r="AN185" i="71" s="1"/>
  <c r="HH71" i="67"/>
  <c r="AN71" i="71" s="1"/>
  <c r="BH170" i="67"/>
  <c r="BH52" i="67"/>
  <c r="AB77" i="67"/>
  <c r="AR99" i="67"/>
  <c r="CN188" i="67"/>
  <c r="CN146" i="67"/>
  <c r="AB117" i="67"/>
  <c r="AB168" i="67"/>
  <c r="AR76" i="67"/>
  <c r="AR13" i="67"/>
  <c r="AR66" i="67"/>
  <c r="AR145" i="67"/>
  <c r="AR170" i="67"/>
  <c r="BX185" i="67"/>
  <c r="AR36" i="67"/>
  <c r="BH27" i="67"/>
  <c r="BX52" i="67"/>
  <c r="BX75" i="67"/>
  <c r="BX83" i="67"/>
  <c r="BH104" i="67"/>
  <c r="HE28" i="67"/>
  <c r="AE28" i="71" s="1"/>
  <c r="CN185" i="67"/>
  <c r="BX142" i="67"/>
  <c r="BX161" i="67"/>
  <c r="HE51" i="67"/>
  <c r="AE51" i="71" s="1"/>
  <c r="HE63" i="67"/>
  <c r="AE63" i="71" s="1"/>
  <c r="BX163" i="67"/>
  <c r="BX67" i="67"/>
  <c r="BX134" i="67"/>
  <c r="AR159" i="67"/>
  <c r="BX86" i="67"/>
  <c r="BX113" i="67"/>
  <c r="BX137" i="67"/>
  <c r="BX65" i="67"/>
  <c r="BX151" i="67"/>
  <c r="BX77" i="67"/>
  <c r="BX146" i="67"/>
  <c r="BX188" i="67"/>
  <c r="BX171" i="67"/>
  <c r="CN91" i="67"/>
  <c r="AR77" i="67"/>
  <c r="AR134" i="67"/>
  <c r="AR123" i="67"/>
  <c r="HE170" i="67"/>
  <c r="AE172" i="71" s="1"/>
  <c r="HE100" i="67"/>
  <c r="AE100" i="71" s="1"/>
  <c r="HE187" i="67"/>
  <c r="AE189" i="71" s="1"/>
  <c r="HE136" i="67"/>
  <c r="AE136" i="71" s="1"/>
  <c r="HE192" i="67"/>
  <c r="AE153" i="71" s="1"/>
  <c r="HE168" i="67"/>
  <c r="AE170" i="71" s="1"/>
  <c r="HE57" i="67"/>
  <c r="AE57" i="71" s="1"/>
  <c r="HE142" i="67"/>
  <c r="AE142" i="71" s="1"/>
  <c r="CN25" i="67"/>
  <c r="BX27" i="67"/>
  <c r="BH85" i="67"/>
  <c r="BX193" i="67"/>
  <c r="BX99" i="67"/>
  <c r="BX51" i="67"/>
  <c r="AR14" i="67"/>
  <c r="BH131" i="67"/>
  <c r="AB47" i="67"/>
  <c r="BX41" i="67"/>
  <c r="AR39" i="67"/>
  <c r="CN64" i="67"/>
  <c r="CN87" i="67"/>
  <c r="BX159" i="67"/>
  <c r="BX187" i="67"/>
  <c r="CN162" i="67"/>
  <c r="CN189" i="67"/>
  <c r="AB67" i="67"/>
  <c r="BX50" i="67"/>
  <c r="BH164" i="67"/>
  <c r="CN83" i="67"/>
  <c r="AR46" i="67"/>
  <c r="BX164" i="67"/>
  <c r="BX119" i="67"/>
  <c r="BX60" i="67"/>
  <c r="BH187" i="67"/>
  <c r="AR52" i="67"/>
  <c r="AR50" i="67"/>
  <c r="AB184" i="67"/>
  <c r="AB122" i="67"/>
  <c r="AB159" i="67"/>
  <c r="AB90" i="67"/>
  <c r="AB87" i="67"/>
  <c r="AB154" i="67"/>
  <c r="AB60" i="67"/>
  <c r="BX154" i="67"/>
  <c r="AB42" i="67"/>
  <c r="AB89" i="67"/>
  <c r="BH66" i="67"/>
  <c r="BH42" i="67"/>
  <c r="AR90" i="67"/>
  <c r="BH46" i="67"/>
  <c r="AR58" i="67"/>
  <c r="BH107" i="67"/>
  <c r="AR164" i="67"/>
  <c r="AB155" i="67"/>
  <c r="AR63" i="67"/>
  <c r="BH58" i="67"/>
  <c r="BH143" i="67"/>
  <c r="BH168" i="67"/>
  <c r="BH26" i="67"/>
  <c r="BX76" i="67"/>
  <c r="BX89" i="67"/>
  <c r="BX117" i="67"/>
  <c r="AB50" i="67"/>
  <c r="AR135" i="67"/>
  <c r="BH145" i="67"/>
  <c r="BH50" i="67"/>
  <c r="AB161" i="67"/>
  <c r="AB141" i="67"/>
  <c r="AB156" i="67"/>
  <c r="AB38" i="67"/>
  <c r="AB150" i="67"/>
  <c r="AB56" i="67"/>
  <c r="AB162" i="67"/>
  <c r="HE176" i="67"/>
  <c r="AE178" i="71" s="1"/>
  <c r="AB118" i="67"/>
  <c r="AB85" i="67"/>
  <c r="AB83" i="67"/>
  <c r="AB12" i="67"/>
  <c r="AB40" i="67"/>
  <c r="AB115" i="67"/>
  <c r="AB185" i="67"/>
  <c r="AB55" i="67"/>
  <c r="AB48" i="67"/>
  <c r="AB15" i="67"/>
  <c r="AB37" i="67"/>
  <c r="AB193" i="67"/>
  <c r="CN39" i="67"/>
  <c r="AR163" i="67"/>
  <c r="AR143" i="67"/>
  <c r="AR168" i="67"/>
  <c r="BH67" i="67"/>
  <c r="AR101" i="67"/>
  <c r="BH192" i="67"/>
  <c r="AR33" i="67"/>
  <c r="BH181" i="67"/>
  <c r="AR85" i="67"/>
  <c r="AR161" i="67"/>
  <c r="AB95" i="67"/>
  <c r="AB72" i="67"/>
  <c r="CN36" i="67"/>
  <c r="AB187" i="67"/>
  <c r="AB19" i="67"/>
  <c r="AB74" i="67"/>
  <c r="AB75" i="67"/>
  <c r="AR41" i="67"/>
  <c r="BH13" i="67"/>
  <c r="AR51" i="67"/>
  <c r="AR104" i="67"/>
  <c r="BH101" i="67"/>
  <c r="AB135" i="67"/>
  <c r="AB172" i="67"/>
  <c r="AB69" i="67"/>
  <c r="AB133" i="67"/>
  <c r="AB98" i="67"/>
  <c r="HI81" i="67"/>
  <c r="AK81" i="71" s="1"/>
  <c r="CN13" i="67"/>
  <c r="AR55" i="67"/>
  <c r="BH23" i="67"/>
  <c r="AR78" i="67"/>
  <c r="AR109" i="67"/>
  <c r="BH64" i="67"/>
  <c r="AR87" i="67"/>
  <c r="BH159" i="67"/>
  <c r="BH162" i="67"/>
  <c r="AR189" i="67"/>
  <c r="AB36" i="67"/>
  <c r="AB180" i="67"/>
  <c r="AB91" i="67"/>
  <c r="CN115" i="67"/>
  <c r="AB32" i="67"/>
  <c r="HH27" i="67"/>
  <c r="AN27" i="71" s="1"/>
  <c r="CN68" i="67"/>
  <c r="AB18" i="67"/>
  <c r="HH189" i="67"/>
  <c r="AN191" i="71" s="1"/>
  <c r="AB24" i="67"/>
  <c r="AB22" i="67"/>
  <c r="AB138" i="67"/>
  <c r="AB152" i="67"/>
  <c r="AB11" i="67"/>
  <c r="CN41" i="67"/>
  <c r="BH36" i="67"/>
  <c r="BH39" i="67"/>
  <c r="BH179" i="67"/>
  <c r="AR175" i="67"/>
  <c r="AR155" i="67"/>
  <c r="AR27" i="67"/>
  <c r="CN46" i="67"/>
  <c r="AR75" i="67"/>
  <c r="AR83" i="67"/>
  <c r="BH125" i="67"/>
  <c r="BH65" i="67"/>
  <c r="AR88" i="67"/>
  <c r="AR23" i="67"/>
  <c r="AR151" i="67"/>
  <c r="AR178" i="67"/>
  <c r="BH87" i="67"/>
  <c r="AR162" i="67"/>
  <c r="BH189" i="67"/>
  <c r="AR132" i="67"/>
  <c r="AB114" i="67"/>
  <c r="AB176" i="67"/>
  <c r="AB53" i="67"/>
  <c r="AB136" i="67"/>
  <c r="CN105" i="67"/>
  <c r="CN106" i="67"/>
  <c r="CN79" i="67"/>
  <c r="AB64" i="67"/>
  <c r="AB189" i="67"/>
  <c r="AB153" i="67"/>
  <c r="AB93" i="67"/>
  <c r="AB179" i="67"/>
  <c r="AB119" i="67"/>
  <c r="BH14" i="67"/>
  <c r="AR131" i="67"/>
  <c r="AR179" i="67"/>
  <c r="AR126" i="67"/>
  <c r="BH75" i="67"/>
  <c r="BH193" i="67"/>
  <c r="BX55" i="67"/>
  <c r="BX78" i="67"/>
  <c r="BX109" i="67"/>
  <c r="AR187" i="67"/>
  <c r="AB112" i="67"/>
  <c r="CN137" i="67"/>
  <c r="AB41" i="67"/>
  <c r="AB49" i="67"/>
  <c r="AR42" i="67"/>
  <c r="BH171" i="67"/>
  <c r="BX132" i="67"/>
  <c r="BX124" i="67"/>
  <c r="BX110" i="67"/>
  <c r="AB149" i="67"/>
  <c r="CN102" i="67"/>
  <c r="AB102" i="67"/>
  <c r="AB99" i="67"/>
  <c r="AB63" i="67"/>
  <c r="CN81" i="67"/>
  <c r="CN122" i="67"/>
  <c r="CN128" i="67"/>
  <c r="BX155" i="67"/>
  <c r="BX178" i="67"/>
  <c r="AR106" i="67"/>
  <c r="AR94" i="67"/>
  <c r="AR67" i="67"/>
  <c r="BX192" i="67"/>
  <c r="BX33" i="67"/>
  <c r="BX181" i="67"/>
  <c r="BX85" i="67"/>
  <c r="BX66" i="67"/>
  <c r="CN51" i="67"/>
  <c r="CN143" i="67"/>
  <c r="CN168" i="67"/>
  <c r="BX101" i="67"/>
  <c r="BX111" i="67"/>
  <c r="AB134" i="67"/>
  <c r="CN76" i="67"/>
  <c r="CN192" i="67"/>
  <c r="CN67" i="67"/>
  <c r="CN181" i="67"/>
  <c r="AB181" i="67"/>
  <c r="CN164" i="67"/>
  <c r="CN119" i="67"/>
  <c r="CN85" i="67"/>
  <c r="CN89" i="67"/>
  <c r="CN117" i="67"/>
  <c r="CN154" i="67"/>
  <c r="CN60" i="67"/>
  <c r="CN184" i="67"/>
  <c r="CN66" i="67"/>
  <c r="AB96" i="67"/>
  <c r="CN116" i="67"/>
  <c r="AB82" i="67"/>
  <c r="CN77" i="67"/>
  <c r="BX143" i="67"/>
  <c r="BX104" i="67"/>
  <c r="BH151" i="67"/>
  <c r="BH178" i="67"/>
  <c r="AR146" i="67"/>
  <c r="AR171" i="67"/>
  <c r="CN48" i="67"/>
  <c r="AR113" i="67"/>
  <c r="AR56" i="67"/>
  <c r="AR137" i="67"/>
  <c r="AR193" i="67"/>
  <c r="BH99" i="67"/>
  <c r="BX168" i="67"/>
  <c r="BH55" i="67"/>
  <c r="BH78" i="67"/>
  <c r="BH109" i="67"/>
  <c r="AR64" i="67"/>
  <c r="AR166" i="67"/>
  <c r="AR186" i="67"/>
  <c r="AR144" i="67"/>
  <c r="AR188" i="67"/>
  <c r="AR129" i="67"/>
  <c r="AR128" i="67"/>
  <c r="AR25" i="67"/>
  <c r="AR86" i="67"/>
  <c r="BH56" i="67"/>
  <c r="BH83" i="67"/>
  <c r="AR125" i="67"/>
  <c r="AR65" i="67"/>
  <c r="BH88" i="67"/>
  <c r="BX23" i="67"/>
  <c r="BX87" i="67"/>
  <c r="BX162" i="67"/>
  <c r="BX189" i="67"/>
  <c r="AB30" i="67"/>
  <c r="AB78" i="67"/>
  <c r="HB44" i="67"/>
  <c r="AB44" i="71" s="1"/>
  <c r="BX166" i="67"/>
  <c r="HB150" i="67"/>
  <c r="AB150" i="71" s="1"/>
  <c r="BX186" i="67"/>
  <c r="HB21" i="67"/>
  <c r="AB21" i="71" s="1"/>
  <c r="HA54" i="67"/>
  <c r="AA54" i="71" s="1"/>
  <c r="HA108" i="67"/>
  <c r="AA108" i="71" s="1"/>
  <c r="HA70" i="67"/>
  <c r="AA70" i="71" s="1"/>
  <c r="HB157" i="67"/>
  <c r="AB159" i="71" s="1"/>
  <c r="HB53" i="67"/>
  <c r="AB53" i="71" s="1"/>
  <c r="HB105" i="67"/>
  <c r="AB105" i="71" s="1"/>
  <c r="HB172" i="67"/>
  <c r="AB174" i="71" s="1"/>
  <c r="HB84" i="67"/>
  <c r="AB84" i="71" s="1"/>
  <c r="HA115" i="67"/>
  <c r="AA115" i="71" s="1"/>
  <c r="HB180" i="67"/>
  <c r="AB182" i="71" s="1"/>
  <c r="HA68" i="67"/>
  <c r="AA68" i="71" s="1"/>
  <c r="HA16" i="67"/>
  <c r="AA16" i="71" s="1"/>
  <c r="HA43" i="67"/>
  <c r="AA43" i="71" s="1"/>
  <c r="HB120" i="67"/>
  <c r="AB120" i="71" s="1"/>
  <c r="HB147" i="67"/>
  <c r="AB147" i="71" s="1"/>
  <c r="HB149" i="67"/>
  <c r="AB149" i="71" s="1"/>
  <c r="HB96" i="67"/>
  <c r="AB96" i="71" s="1"/>
  <c r="HA152" i="67"/>
  <c r="AA154" i="71" s="1"/>
  <c r="HA105" i="67"/>
  <c r="AA105" i="71" s="1"/>
  <c r="HA91" i="67"/>
  <c r="AA91" i="71" s="1"/>
  <c r="HB131" i="67"/>
  <c r="AB131" i="71" s="1"/>
  <c r="HB133" i="67"/>
  <c r="AB133" i="71" s="1"/>
  <c r="HB174" i="67"/>
  <c r="AB176" i="71" s="1"/>
  <c r="HB91" i="67"/>
  <c r="AB91" i="71" s="1"/>
  <c r="GX155" i="67"/>
  <c r="X157" i="71" s="1"/>
  <c r="HB158" i="67"/>
  <c r="AB160" i="71" s="1"/>
  <c r="HA38" i="67"/>
  <c r="AA38" i="71" s="1"/>
  <c r="HA66" i="67"/>
  <c r="AA66" i="71" s="1"/>
  <c r="HB136" i="67"/>
  <c r="AB136" i="71" s="1"/>
  <c r="HB108" i="67"/>
  <c r="AB108" i="71" s="1"/>
  <c r="HB70" i="67"/>
  <c r="AB70" i="71" s="1"/>
  <c r="HB9" i="67"/>
  <c r="AB9" i="71" s="1"/>
  <c r="GX75" i="67"/>
  <c r="X75" i="71" s="1"/>
  <c r="HA62" i="67"/>
  <c r="AA62" i="71" s="1"/>
  <c r="CN140" i="67"/>
  <c r="CN148" i="67"/>
  <c r="HA183" i="67"/>
  <c r="AA185" i="71" s="1"/>
  <c r="HB66" i="67"/>
  <c r="AB66" i="71" s="1"/>
  <c r="HA48" i="67"/>
  <c r="AA48" i="71" s="1"/>
  <c r="HB116" i="67"/>
  <c r="AB116" i="71" s="1"/>
  <c r="HA79" i="67"/>
  <c r="AA79" i="71" s="1"/>
  <c r="CN183" i="67"/>
  <c r="HA42" i="67"/>
  <c r="AA42" i="71" s="1"/>
  <c r="CN124" i="67"/>
  <c r="GX124" i="67"/>
  <c r="X124" i="71" s="1"/>
  <c r="HA156" i="67"/>
  <c r="AA158" i="71" s="1"/>
  <c r="HB72" i="67"/>
  <c r="AB72" i="71" s="1"/>
  <c r="HA165" i="67"/>
  <c r="AA167" i="71" s="1"/>
  <c r="HB61" i="67"/>
  <c r="AB61" i="71" s="1"/>
  <c r="HA31" i="67"/>
  <c r="AA31" i="71" s="1"/>
  <c r="HA175" i="67"/>
  <c r="AA177" i="71" s="1"/>
  <c r="HB97" i="67"/>
  <c r="AB97" i="71" s="1"/>
  <c r="HA84" i="67"/>
  <c r="AA84" i="71" s="1"/>
  <c r="HA57" i="67"/>
  <c r="AA57" i="71" s="1"/>
  <c r="HB169" i="67"/>
  <c r="AB171" i="71" s="1"/>
  <c r="HB130" i="67"/>
  <c r="AB130" i="71" s="1"/>
  <c r="HA69" i="67"/>
  <c r="AA69" i="71" s="1"/>
  <c r="HB114" i="67"/>
  <c r="AB114" i="71" s="1"/>
  <c r="HA97" i="67"/>
  <c r="AA97" i="71" s="1"/>
  <c r="HB176" i="67"/>
  <c r="AB178" i="71" s="1"/>
  <c r="HA116" i="67"/>
  <c r="AA116" i="71" s="1"/>
  <c r="HB59" i="67"/>
  <c r="AB59" i="71" s="1"/>
  <c r="AB57" i="67"/>
  <c r="BX144" i="67"/>
  <c r="BH96" i="67"/>
  <c r="BH106" i="67"/>
  <c r="BH94" i="67"/>
  <c r="HA148" i="67"/>
  <c r="AA148" i="71" s="1"/>
  <c r="CN14" i="67"/>
  <c r="HB167" i="67"/>
  <c r="AB169" i="71" s="1"/>
  <c r="HB127" i="67"/>
  <c r="AB127" i="71" s="1"/>
  <c r="HB24" i="67"/>
  <c r="AB24" i="71" s="1"/>
  <c r="HA59" i="67"/>
  <c r="AA59" i="71" s="1"/>
  <c r="HB69" i="67"/>
  <c r="AB69" i="71" s="1"/>
  <c r="HA80" i="67"/>
  <c r="AA80" i="71" s="1"/>
  <c r="HA9" i="67"/>
  <c r="AA9" i="71" s="1"/>
  <c r="HB57" i="67"/>
  <c r="AB57" i="71" s="1"/>
  <c r="AB167" i="67"/>
  <c r="AB131" i="67"/>
  <c r="AB108" i="67"/>
  <c r="AB16" i="67"/>
  <c r="AB128" i="67"/>
  <c r="AB9" i="67"/>
  <c r="BH182" i="67"/>
  <c r="BH115" i="67"/>
  <c r="BX44" i="67"/>
  <c r="HA61" i="67"/>
  <c r="AA61" i="71" s="1"/>
  <c r="HA155" i="67"/>
  <c r="AA157" i="71" s="1"/>
  <c r="HB8" i="67"/>
  <c r="AB8" i="71" s="1"/>
  <c r="HA139" i="67"/>
  <c r="AA139" i="71" s="1"/>
  <c r="HA45" i="67"/>
  <c r="AA45" i="71" s="1"/>
  <c r="HA51" i="67"/>
  <c r="AA51" i="71" s="1"/>
  <c r="HA143" i="67"/>
  <c r="AA143" i="71" s="1"/>
  <c r="HB56" i="67"/>
  <c r="AB56" i="71" s="1"/>
  <c r="HB25" i="67"/>
  <c r="AB25" i="71" s="1"/>
  <c r="HA22" i="67"/>
  <c r="AA22" i="71" s="1"/>
  <c r="HA168" i="67"/>
  <c r="AA170" i="71" s="1"/>
  <c r="HB86" i="67"/>
  <c r="AB86" i="71" s="1"/>
  <c r="HA67" i="67"/>
  <c r="AA67" i="71" s="1"/>
  <c r="HA104" i="67"/>
  <c r="AA104" i="71" s="1"/>
  <c r="HB137" i="67"/>
  <c r="AB137" i="71" s="1"/>
  <c r="GX181" i="67"/>
  <c r="X183" i="71" s="1"/>
  <c r="HA101" i="67"/>
  <c r="AA101" i="71" s="1"/>
  <c r="HB14" i="67"/>
  <c r="AB14" i="71" s="1"/>
  <c r="HB163" i="67"/>
  <c r="AB165" i="71" s="1"/>
  <c r="HB155" i="67"/>
  <c r="AB157" i="71" s="1"/>
  <c r="HB16" i="67"/>
  <c r="AB16" i="71" s="1"/>
  <c r="HA36" i="67"/>
  <c r="AA36" i="71" s="1"/>
  <c r="HB75" i="67"/>
  <c r="AB75" i="71" s="1"/>
  <c r="HA44" i="67"/>
  <c r="AA44" i="71" s="1"/>
  <c r="HB185" i="67"/>
  <c r="AB187" i="71" s="1"/>
  <c r="HA27" i="67"/>
  <c r="AA27" i="71" s="1"/>
  <c r="HB118" i="67"/>
  <c r="AB118" i="71" s="1"/>
  <c r="HA55" i="67"/>
  <c r="AA55" i="71" s="1"/>
  <c r="HA23" i="67"/>
  <c r="AA23" i="71" s="1"/>
  <c r="HB125" i="67"/>
  <c r="AB125" i="71" s="1"/>
  <c r="HA151" i="67"/>
  <c r="AA151" i="71" s="1"/>
  <c r="HB65" i="67"/>
  <c r="AB65" i="71" s="1"/>
  <c r="HB88" i="67"/>
  <c r="AB88" i="71" s="1"/>
  <c r="HA33" i="67"/>
  <c r="AA33" i="71" s="1"/>
  <c r="HA178" i="67"/>
  <c r="AA180" i="71" s="1"/>
  <c r="HB99" i="67"/>
  <c r="AB99" i="71" s="1"/>
  <c r="HA192" i="67"/>
  <c r="AA153" i="71" s="1"/>
  <c r="HB67" i="67"/>
  <c r="AB67" i="71" s="1"/>
  <c r="HB104" i="67"/>
  <c r="AB104" i="71" s="1"/>
  <c r="HA181" i="67"/>
  <c r="AA183" i="71" s="1"/>
  <c r="HB101" i="67"/>
  <c r="AB101" i="71" s="1"/>
  <c r="HA158" i="67"/>
  <c r="AA160" i="71" s="1"/>
  <c r="HB98" i="67"/>
  <c r="AB98" i="71" s="1"/>
  <c r="HB47" i="67"/>
  <c r="AB47" i="71" s="1"/>
  <c r="HA34" i="67"/>
  <c r="AA34" i="71" s="1"/>
  <c r="HA138" i="67"/>
  <c r="AA138" i="71" s="1"/>
  <c r="HB173" i="67"/>
  <c r="AB175" i="71" s="1"/>
  <c r="HA92" i="67"/>
  <c r="AA92" i="71" s="1"/>
  <c r="HA140" i="67"/>
  <c r="AA140" i="71" s="1"/>
  <c r="HA74" i="67"/>
  <c r="AA74" i="71" s="1"/>
  <c r="BX42" i="67"/>
  <c r="HA166" i="67"/>
  <c r="AA168" i="71" s="1"/>
  <c r="HB54" i="67"/>
  <c r="AB54" i="71" s="1"/>
  <c r="HA40" i="67"/>
  <c r="AA40" i="71" s="1"/>
  <c r="HA146" i="67"/>
  <c r="AA146" i="71" s="1"/>
  <c r="HB42" i="67"/>
  <c r="AB42" i="71" s="1"/>
  <c r="HB80" i="67"/>
  <c r="AB80" i="71" s="1"/>
  <c r="CN156" i="67"/>
  <c r="HB186" i="67"/>
  <c r="AB188" i="71" s="1"/>
  <c r="HA129" i="67"/>
  <c r="AA129" i="71" s="1"/>
  <c r="CN63" i="67"/>
  <c r="HB188" i="67"/>
  <c r="AB190" i="71" s="1"/>
  <c r="CN90" i="67"/>
  <c r="HB146" i="67"/>
  <c r="AB146" i="71" s="1"/>
  <c r="HA114" i="67"/>
  <c r="AA114" i="71" s="1"/>
  <c r="HA8" i="67"/>
  <c r="AA8" i="71" s="1"/>
  <c r="HB17" i="67"/>
  <c r="AB17" i="71" s="1"/>
  <c r="HB29" i="67"/>
  <c r="AB29" i="71" s="1"/>
  <c r="HB62" i="67"/>
  <c r="AB62" i="71" s="1"/>
  <c r="HA124" i="67"/>
  <c r="AA124" i="71" s="1"/>
  <c r="HA182" i="67"/>
  <c r="AA184" i="71" s="1"/>
  <c r="HB10" i="67"/>
  <c r="AB10" i="71" s="1"/>
  <c r="HA186" i="67"/>
  <c r="AA188" i="71" s="1"/>
  <c r="HA96" i="67"/>
  <c r="AA96" i="71" s="1"/>
  <c r="HA188" i="67"/>
  <c r="AA190" i="71" s="1"/>
  <c r="HB74" i="67"/>
  <c r="AB74" i="71" s="1"/>
  <c r="HB153" i="67"/>
  <c r="AB155" i="71" s="1"/>
  <c r="HA110" i="67"/>
  <c r="AA110" i="71" s="1"/>
  <c r="HA112" i="67"/>
  <c r="AA112" i="71" s="1"/>
  <c r="HB71" i="67"/>
  <c r="AB71" i="71" s="1"/>
  <c r="HB38" i="67"/>
  <c r="AB38" i="71" s="1"/>
  <c r="HA77" i="67"/>
  <c r="AA77" i="71" s="1"/>
  <c r="GX58" i="67"/>
  <c r="X58" i="71" s="1"/>
  <c r="HB40" i="67"/>
  <c r="AB40" i="71" s="1"/>
  <c r="HA19" i="67"/>
  <c r="AA19" i="71" s="1"/>
  <c r="HA81" i="67"/>
  <c r="AA81" i="71" s="1"/>
  <c r="HB43" i="67"/>
  <c r="AB43" i="71" s="1"/>
  <c r="HB141" i="67"/>
  <c r="AB141" i="71" s="1"/>
  <c r="HA15" i="67"/>
  <c r="AA15" i="71" s="1"/>
  <c r="HA102" i="67"/>
  <c r="AA102" i="71" s="1"/>
  <c r="HA133" i="67"/>
  <c r="AA133" i="71" s="1"/>
  <c r="HA106" i="67"/>
  <c r="AA106" i="71" s="1"/>
  <c r="HB20" i="67"/>
  <c r="AB20" i="71" s="1"/>
  <c r="HB166" i="67"/>
  <c r="AB168" i="71" s="1"/>
  <c r="HA46" i="67"/>
  <c r="AA46" i="71" s="1"/>
  <c r="HB73" i="67"/>
  <c r="AB73" i="71" s="1"/>
  <c r="HA176" i="67"/>
  <c r="AA178" i="71" s="1"/>
  <c r="BX96" i="67"/>
  <c r="HA136" i="67"/>
  <c r="AA136" i="71" s="1"/>
  <c r="HA180" i="67"/>
  <c r="AA182" i="71" s="1"/>
  <c r="HA103" i="67"/>
  <c r="AA103" i="71" s="1"/>
  <c r="HB165" i="67"/>
  <c r="AB167" i="71" s="1"/>
  <c r="HB82" i="67"/>
  <c r="AB82" i="71" s="1"/>
  <c r="HB171" i="67"/>
  <c r="AB173" i="71" s="1"/>
  <c r="HB32" i="67"/>
  <c r="AB32" i="71" s="1"/>
  <c r="HA144" i="67"/>
  <c r="AA144" i="71" s="1"/>
  <c r="HB34" i="67"/>
  <c r="AB34" i="71" s="1"/>
  <c r="HB138" i="67"/>
  <c r="AB138" i="71" s="1"/>
  <c r="AB186" i="67"/>
  <c r="AB14" i="67"/>
  <c r="AB106" i="67"/>
  <c r="AB103" i="67"/>
  <c r="AB143" i="67"/>
  <c r="AB54" i="67"/>
  <c r="BH186" i="67"/>
  <c r="BH144" i="67"/>
  <c r="BH188" i="67"/>
  <c r="BH10" i="67"/>
  <c r="BH126" i="67"/>
  <c r="HB112" i="67"/>
  <c r="AB112" i="71" s="1"/>
  <c r="HA10" i="67"/>
  <c r="AA10" i="71" s="1"/>
  <c r="HB121" i="67"/>
  <c r="AB121" i="71" s="1"/>
  <c r="HA32" i="67"/>
  <c r="AA32" i="71" s="1"/>
  <c r="HB95" i="67"/>
  <c r="AB95" i="71" s="1"/>
  <c r="HB100" i="67"/>
  <c r="AB100" i="71" s="1"/>
  <c r="HB49" i="67"/>
  <c r="AB49" i="71" s="1"/>
  <c r="HB35" i="67"/>
  <c r="AB35" i="71" s="1"/>
  <c r="HA18" i="67"/>
  <c r="AA18" i="71" s="1"/>
  <c r="HA28" i="67"/>
  <c r="AA28" i="71" s="1"/>
  <c r="HA20" i="67"/>
  <c r="AA20" i="71" s="1"/>
  <c r="AB188" i="67"/>
  <c r="AB73" i="67"/>
  <c r="AB130" i="67"/>
  <c r="AB158" i="67"/>
  <c r="AB66" i="67"/>
  <c r="AB175" i="67"/>
  <c r="BH146" i="67"/>
  <c r="BX31" i="67"/>
  <c r="BX21" i="67"/>
  <c r="HA149" i="67"/>
  <c r="AA149" i="71" s="1"/>
  <c r="HB30" i="67"/>
  <c r="AB30" i="71" s="1"/>
  <c r="HB103" i="67"/>
  <c r="AB103" i="71" s="1"/>
  <c r="HB37" i="67"/>
  <c r="AB37" i="71" s="1"/>
  <c r="HA88" i="67"/>
  <c r="AA88" i="71" s="1"/>
  <c r="HB135" i="67"/>
  <c r="AB135" i="71" s="1"/>
  <c r="GX30" i="67"/>
  <c r="X30" i="71" s="1"/>
  <c r="HA99" i="67"/>
  <c r="AA99" i="71" s="1"/>
  <c r="HB12" i="67"/>
  <c r="AB12" i="71" s="1"/>
  <c r="HB160" i="67"/>
  <c r="AB162" i="71" s="1"/>
  <c r="HA145" i="67"/>
  <c r="AA145" i="71" s="1"/>
  <c r="HB58" i="67"/>
  <c r="AB58" i="71" s="1"/>
  <c r="HB63" i="67"/>
  <c r="AB63" i="71" s="1"/>
  <c r="HA26" i="67"/>
  <c r="AA26" i="71" s="1"/>
  <c r="HB90" i="67"/>
  <c r="AB90" i="71" s="1"/>
  <c r="HB139" i="67"/>
  <c r="AB139" i="71" s="1"/>
  <c r="GX74" i="67"/>
  <c r="X74" i="71" s="1"/>
  <c r="HA190" i="67"/>
  <c r="AA192" i="71" s="1"/>
  <c r="HA50" i="67"/>
  <c r="AA50" i="71" s="1"/>
  <c r="HA179" i="67"/>
  <c r="AA181" i="71" s="1"/>
  <c r="HB50" i="67"/>
  <c r="AB50" i="71" s="1"/>
  <c r="HB15" i="67"/>
  <c r="AB15" i="71" s="1"/>
  <c r="HA118" i="67"/>
  <c r="AA118" i="71" s="1"/>
  <c r="GX82" i="67"/>
  <c r="X82" i="71" s="1"/>
  <c r="HA134" i="67"/>
  <c r="AA134" i="71" s="1"/>
  <c r="HB45" i="67"/>
  <c r="AB45" i="71" s="1"/>
  <c r="HB51" i="67"/>
  <c r="AB51" i="71" s="1"/>
  <c r="HA76" i="67"/>
  <c r="AA76" i="71" s="1"/>
  <c r="HA123" i="67"/>
  <c r="AA123" i="71" s="1"/>
  <c r="HB143" i="67"/>
  <c r="AB143" i="71" s="1"/>
  <c r="HA107" i="67"/>
  <c r="AA107" i="71" s="1"/>
  <c r="HB22" i="67"/>
  <c r="AB22" i="71" s="1"/>
  <c r="HB168" i="67"/>
  <c r="AB170" i="71" s="1"/>
  <c r="HA78" i="67"/>
  <c r="AA78" i="71" s="1"/>
  <c r="HB145" i="67"/>
  <c r="AB145" i="71" s="1"/>
  <c r="HA109" i="67"/>
  <c r="AA109" i="71" s="1"/>
  <c r="HB26" i="67"/>
  <c r="AB26" i="71" s="1"/>
  <c r="HB170" i="67"/>
  <c r="AB172" i="71" s="1"/>
  <c r="HB190" i="67"/>
  <c r="AB192" i="71" s="1"/>
  <c r="HA126" i="67"/>
  <c r="AA126" i="71" s="1"/>
  <c r="HB115" i="67"/>
  <c r="AB115" i="71" s="1"/>
  <c r="HA191" i="67"/>
  <c r="AA152" i="71" s="1"/>
  <c r="GX52" i="67"/>
  <c r="X52" i="71" s="1"/>
  <c r="HB18" i="67"/>
  <c r="AB18" i="71" s="1"/>
  <c r="HB52" i="67"/>
  <c r="AB52" i="71" s="1"/>
  <c r="HB36" i="67"/>
  <c r="AB36" i="71" s="1"/>
  <c r="HA37" i="67"/>
  <c r="AA37" i="71" s="1"/>
  <c r="HB106" i="67"/>
  <c r="AB106" i="71" s="1"/>
  <c r="GX65" i="67"/>
  <c r="X65" i="71" s="1"/>
  <c r="HA135" i="67"/>
  <c r="AA135" i="71" s="1"/>
  <c r="HB46" i="67"/>
  <c r="AB46" i="71" s="1"/>
  <c r="HB94" i="67"/>
  <c r="AB94" i="71" s="1"/>
  <c r="HA12" i="67"/>
  <c r="AA12" i="71" s="1"/>
  <c r="HA160" i="67"/>
  <c r="AA162" i="71" s="1"/>
  <c r="HB77" i="67"/>
  <c r="AB77" i="71" s="1"/>
  <c r="HB129" i="67"/>
  <c r="AB129" i="71" s="1"/>
  <c r="HA58" i="67"/>
  <c r="AA58" i="71" s="1"/>
  <c r="HA63" i="67"/>
  <c r="AA63" i="71" s="1"/>
  <c r="HB128" i="67"/>
  <c r="AB128" i="71" s="1"/>
  <c r="HA90" i="67"/>
  <c r="AA90" i="71" s="1"/>
  <c r="HA177" i="67"/>
  <c r="AA179" i="71" s="1"/>
  <c r="HB152" i="67"/>
  <c r="AB154" i="71" s="1"/>
  <c r="HA30" i="67"/>
  <c r="AA30" i="71" s="1"/>
  <c r="HB156" i="67"/>
  <c r="AB158" i="71" s="1"/>
  <c r="HA72" i="67"/>
  <c r="AA72" i="71" s="1"/>
  <c r="HA82" i="67"/>
  <c r="AA82" i="71" s="1"/>
  <c r="BH103" i="67"/>
  <c r="BH191" i="67"/>
  <c r="AR48" i="67"/>
  <c r="BH79" i="67"/>
  <c r="HB111" i="67"/>
  <c r="AB111" i="71" s="1"/>
  <c r="HA75" i="67"/>
  <c r="AA75" i="71" s="1"/>
  <c r="HA29" i="67"/>
  <c r="AA29" i="71" s="1"/>
  <c r="BX150" i="67"/>
  <c r="HA64" i="67"/>
  <c r="AA64" i="71" s="1"/>
  <c r="HA87" i="67"/>
  <c r="AA87" i="71" s="1"/>
  <c r="HB134" i="67"/>
  <c r="AB134" i="71" s="1"/>
  <c r="BX167" i="67"/>
  <c r="GX167" i="67"/>
  <c r="X169" i="71" s="1"/>
  <c r="HA85" i="67"/>
  <c r="AA85" i="71" s="1"/>
  <c r="HA161" i="67"/>
  <c r="AA163" i="71" s="1"/>
  <c r="HB151" i="67"/>
  <c r="AB151" i="71" s="1"/>
  <c r="BX95" i="67"/>
  <c r="HB33" i="67"/>
  <c r="AB33" i="71" s="1"/>
  <c r="HB178" i="67"/>
  <c r="AB180" i="71" s="1"/>
  <c r="HA13" i="67"/>
  <c r="AA13" i="71" s="1"/>
  <c r="HA162" i="67"/>
  <c r="AA164" i="71" s="1"/>
  <c r="HB78" i="67"/>
  <c r="AB78" i="71" s="1"/>
  <c r="HA41" i="67"/>
  <c r="AA41" i="71" s="1"/>
  <c r="HA189" i="67"/>
  <c r="AA191" i="71" s="1"/>
  <c r="HB109" i="67"/>
  <c r="AB109" i="71" s="1"/>
  <c r="HB83" i="67"/>
  <c r="AB83" i="71" s="1"/>
  <c r="HB110" i="67"/>
  <c r="AB110" i="71" s="1"/>
  <c r="HA185" i="67"/>
  <c r="AA187" i="71" s="1"/>
  <c r="GX22" i="67"/>
  <c r="X22" i="71" s="1"/>
  <c r="HA119" i="67"/>
  <c r="AA119" i="71" s="1"/>
  <c r="HB28" i="67"/>
  <c r="AB28" i="71" s="1"/>
  <c r="HA120" i="67"/>
  <c r="AA120" i="71" s="1"/>
  <c r="HA132" i="67"/>
  <c r="AA132" i="71" s="1"/>
  <c r="HB184" i="67"/>
  <c r="AB186" i="71" s="1"/>
  <c r="HB140" i="67"/>
  <c r="AB140" i="71" s="1"/>
  <c r="HA73" i="67"/>
  <c r="AA73" i="71" s="1"/>
  <c r="HA121" i="67"/>
  <c r="AA121" i="71" s="1"/>
  <c r="HB142" i="67"/>
  <c r="AB142" i="71" s="1"/>
  <c r="HA98" i="67"/>
  <c r="AA98" i="71" s="1"/>
  <c r="HB11" i="67"/>
  <c r="AB11" i="71" s="1"/>
  <c r="HB159" i="67"/>
  <c r="AB161" i="71" s="1"/>
  <c r="HA127" i="67"/>
  <c r="AA127" i="71" s="1"/>
  <c r="HB39" i="67"/>
  <c r="AB39" i="71" s="1"/>
  <c r="HB187" i="67"/>
  <c r="AB189" i="71" s="1"/>
  <c r="GX108" i="67"/>
  <c r="X108" i="71" s="1"/>
  <c r="HA24" i="67"/>
  <c r="AA24" i="71" s="1"/>
  <c r="HA169" i="67"/>
  <c r="AA171" i="71" s="1"/>
  <c r="HB89" i="67"/>
  <c r="AB89" i="71" s="1"/>
  <c r="HA49" i="67"/>
  <c r="AA49" i="71" s="1"/>
  <c r="HA173" i="67"/>
  <c r="AA175" i="71" s="1"/>
  <c r="HB117" i="67"/>
  <c r="AB117" i="71" s="1"/>
  <c r="HB193" i="67"/>
  <c r="AB193" i="71" s="1"/>
  <c r="HB60" i="67"/>
  <c r="AB60" i="71" s="1"/>
  <c r="HA154" i="67"/>
  <c r="AA156" i="71" s="1"/>
  <c r="HB132" i="67"/>
  <c r="AB132" i="71" s="1"/>
  <c r="HA131" i="67"/>
  <c r="AA131" i="71" s="1"/>
  <c r="HB122" i="67"/>
  <c r="AB122" i="71" s="1"/>
  <c r="HA94" i="67"/>
  <c r="AA94" i="71" s="1"/>
  <c r="HB144" i="67"/>
  <c r="AB144" i="71" s="1"/>
  <c r="HA128" i="67"/>
  <c r="AA128" i="71" s="1"/>
  <c r="HB68" i="67"/>
  <c r="AB68" i="71" s="1"/>
  <c r="HB183" i="67"/>
  <c r="AB185" i="71" s="1"/>
  <c r="HA172" i="67"/>
  <c r="AA174" i="71" s="1"/>
  <c r="HA153" i="67"/>
  <c r="AA155" i="71" s="1"/>
  <c r="HA111" i="67"/>
  <c r="AA111" i="71" s="1"/>
  <c r="HB179" i="67"/>
  <c r="AB181" i="71" s="1"/>
  <c r="HA71" i="67"/>
  <c r="AA71" i="71" s="1"/>
  <c r="HA53" i="67"/>
  <c r="AA53" i="71" s="1"/>
  <c r="GX44" i="67"/>
  <c r="X44" i="71" s="1"/>
  <c r="HA113" i="67"/>
  <c r="AA113" i="71" s="1"/>
  <c r="HB31" i="67"/>
  <c r="AB31" i="71" s="1"/>
  <c r="HB175" i="67"/>
  <c r="AB177" i="71" s="1"/>
  <c r="HA56" i="67"/>
  <c r="AA56" i="71" s="1"/>
  <c r="HA25" i="67"/>
  <c r="AA25" i="71" s="1"/>
  <c r="HB126" i="67"/>
  <c r="AB126" i="71" s="1"/>
  <c r="HA86" i="67"/>
  <c r="AA86" i="71" s="1"/>
  <c r="HB191" i="67"/>
  <c r="AB152" i="71" s="1"/>
  <c r="HA137" i="67"/>
  <c r="AA137" i="71" s="1"/>
  <c r="HB48" i="67"/>
  <c r="AB48" i="71" s="1"/>
  <c r="GX101" i="67"/>
  <c r="X101" i="71" s="1"/>
  <c r="HA14" i="67"/>
  <c r="AA14" i="71" s="1"/>
  <c r="HA163" i="67"/>
  <c r="AA165" i="71" s="1"/>
  <c r="HB79" i="67"/>
  <c r="AB79" i="71" s="1"/>
  <c r="HA193" i="67"/>
  <c r="AA193" i="71" s="1"/>
  <c r="HB182" i="67"/>
  <c r="AB184" i="71" s="1"/>
  <c r="HA17" i="67"/>
  <c r="AA17" i="71" s="1"/>
  <c r="BH129" i="67"/>
  <c r="BH128" i="67"/>
  <c r="BH9" i="67"/>
  <c r="AR20" i="67"/>
  <c r="BH91" i="67"/>
  <c r="HB93" i="67"/>
  <c r="AB93" i="71" s="1"/>
  <c r="HB164" i="67"/>
  <c r="AB166" i="71" s="1"/>
  <c r="BX153" i="67"/>
  <c r="HB148" i="67"/>
  <c r="AB148" i="71" s="1"/>
  <c r="GX73" i="67"/>
  <c r="X73" i="71" s="1"/>
  <c r="HA142" i="67"/>
  <c r="AA142" i="71" s="1"/>
  <c r="HB55" i="67"/>
  <c r="AB55" i="71" s="1"/>
  <c r="HB23" i="67"/>
  <c r="AB23" i="71" s="1"/>
  <c r="HA11" i="67"/>
  <c r="AA11" i="71" s="1"/>
  <c r="HA159" i="67"/>
  <c r="AA161" i="71" s="1"/>
  <c r="HB76" i="67"/>
  <c r="AB76" i="71" s="1"/>
  <c r="HB123" i="67"/>
  <c r="AB123" i="71" s="1"/>
  <c r="BX127" i="67"/>
  <c r="HA39" i="67"/>
  <c r="AA39" i="71" s="1"/>
  <c r="HA187" i="67"/>
  <c r="AA189" i="71" s="1"/>
  <c r="HB107" i="67"/>
  <c r="AB107" i="71" s="1"/>
  <c r="HA89" i="67"/>
  <c r="AA89" i="71" s="1"/>
  <c r="HB192" i="67"/>
  <c r="AB153" i="71" s="1"/>
  <c r="BX49" i="67"/>
  <c r="HA117" i="67"/>
  <c r="AA117" i="71" s="1"/>
  <c r="HB181" i="67"/>
  <c r="AB183" i="71" s="1"/>
  <c r="HB92" i="67"/>
  <c r="AB92" i="71" s="1"/>
  <c r="HA122" i="67"/>
  <c r="AA122" i="71" s="1"/>
  <c r="HA141" i="67"/>
  <c r="AA141" i="71" s="1"/>
  <c r="HB124" i="67"/>
  <c r="AB124" i="71" s="1"/>
  <c r="HB19" i="67"/>
  <c r="AB19" i="71" s="1"/>
  <c r="HB154" i="67"/>
  <c r="AB156" i="71" s="1"/>
  <c r="HB119" i="67"/>
  <c r="AB119" i="71" s="1"/>
  <c r="HA60" i="67"/>
  <c r="AA60" i="71" s="1"/>
  <c r="CN12" i="67"/>
  <c r="GX12" i="67"/>
  <c r="X12" i="71" s="1"/>
  <c r="HA164" i="67"/>
  <c r="AA166" i="71" s="1"/>
  <c r="HA35" i="67"/>
  <c r="AA35" i="71" s="1"/>
  <c r="HA147" i="67"/>
  <c r="AA147" i="71" s="1"/>
  <c r="GX122" i="67"/>
  <c r="X122" i="71" s="1"/>
  <c r="HA171" i="67"/>
  <c r="AA173" i="71" s="1"/>
  <c r="HB102" i="67"/>
  <c r="AB102" i="71" s="1"/>
  <c r="HA150" i="67"/>
  <c r="AA150" i="71" s="1"/>
  <c r="HB64" i="67"/>
  <c r="AB64" i="71" s="1"/>
  <c r="HB87" i="67"/>
  <c r="AB87" i="71" s="1"/>
  <c r="HA21" i="67"/>
  <c r="AA21" i="71" s="1"/>
  <c r="HA167" i="67"/>
  <c r="AA169" i="71" s="1"/>
  <c r="HB85" i="67"/>
  <c r="AB85" i="71" s="1"/>
  <c r="HB161" i="67"/>
  <c r="AB163" i="71" s="1"/>
  <c r="HA47" i="67"/>
  <c r="AA47" i="71" s="1"/>
  <c r="HA95" i="67"/>
  <c r="AA95" i="71" s="1"/>
  <c r="HA100" i="67"/>
  <c r="AA100" i="71" s="1"/>
  <c r="HB13" i="67"/>
  <c r="AB13" i="71" s="1"/>
  <c r="HB162" i="67"/>
  <c r="AB164" i="71" s="1"/>
  <c r="HA130" i="67"/>
  <c r="AA130" i="71" s="1"/>
  <c r="HB41" i="67"/>
  <c r="AB41" i="71" s="1"/>
  <c r="HB189" i="67"/>
  <c r="AB191" i="71" s="1"/>
  <c r="HA184" i="67"/>
  <c r="AA186" i="71" s="1"/>
  <c r="HA93" i="67"/>
  <c r="AA93" i="71" s="1"/>
  <c r="HB81" i="67"/>
  <c r="AB81" i="71" s="1"/>
  <c r="HB27" i="67"/>
  <c r="AB27" i="71" s="1"/>
  <c r="HA157" i="67"/>
  <c r="AA159" i="71" s="1"/>
  <c r="HA83" i="67"/>
  <c r="AA83" i="71" s="1"/>
  <c r="AB182" i="67"/>
  <c r="AB166" i="67"/>
  <c r="AB144" i="67"/>
  <c r="AB39" i="67"/>
  <c r="AB116" i="67"/>
  <c r="AB68" i="67"/>
  <c r="AB146" i="67"/>
  <c r="AB105" i="67"/>
  <c r="AB171" i="67"/>
  <c r="AB10" i="67"/>
  <c r="AB126" i="67"/>
  <c r="AB129" i="67"/>
  <c r="AB79" i="67"/>
  <c r="AB157" i="67"/>
  <c r="AB160" i="67"/>
  <c r="GX160" i="67"/>
  <c r="X162" i="71" s="1"/>
  <c r="AB27" i="67"/>
  <c r="AB46" i="67"/>
  <c r="AB191" i="67"/>
  <c r="AB80" i="67"/>
  <c r="AB148" i="67"/>
  <c r="AB174" i="67"/>
  <c r="HA174" i="67"/>
  <c r="AA176" i="71" s="1"/>
  <c r="AB23" i="67"/>
  <c r="GX23" i="67"/>
  <c r="X23" i="71" s="1"/>
  <c r="AB125" i="67"/>
  <c r="HA125" i="67"/>
  <c r="AA125" i="71" s="1"/>
  <c r="AB113" i="67"/>
  <c r="HB113" i="67"/>
  <c r="AB113" i="71" s="1"/>
  <c r="AB76" i="67"/>
  <c r="AB151" i="67"/>
  <c r="AB123" i="67"/>
  <c r="AB65" i="67"/>
  <c r="HA65" i="67"/>
  <c r="AA65" i="71" s="1"/>
  <c r="AB107" i="67"/>
  <c r="AB178" i="67"/>
  <c r="AB192" i="67"/>
  <c r="AB33" i="67"/>
  <c r="GX33" i="67"/>
  <c r="X33" i="71" s="1"/>
  <c r="AB109" i="67"/>
  <c r="AB170" i="67"/>
  <c r="HA170" i="67"/>
  <c r="AA172" i="71" s="1"/>
  <c r="AB177" i="67"/>
  <c r="HB177" i="67"/>
  <c r="AB179" i="71" s="1"/>
  <c r="AB164" i="67"/>
  <c r="GX164" i="67"/>
  <c r="X166" i="71" s="1"/>
  <c r="AB52" i="67"/>
  <c r="HA52" i="67"/>
  <c r="AA52" i="71" s="1"/>
  <c r="AB139" i="67"/>
  <c r="AB81" i="67"/>
  <c r="BX126" i="67"/>
  <c r="CN9" i="67"/>
  <c r="AB86" i="67"/>
  <c r="AB183" i="67"/>
  <c r="CN133" i="67"/>
  <c r="CN20" i="67"/>
  <c r="CN113" i="67"/>
  <c r="AB31" i="67"/>
  <c r="CN177" i="67"/>
  <c r="CN52" i="67"/>
  <c r="CN43" i="67"/>
  <c r="BX129" i="67"/>
  <c r="AB121" i="67"/>
  <c r="AB100" i="67"/>
  <c r="AB92" i="67"/>
  <c r="AB62" i="67"/>
  <c r="AB147" i="67"/>
  <c r="AB140" i="67"/>
  <c r="AB20" i="67"/>
  <c r="AB124" i="67"/>
  <c r="CN171" i="67"/>
  <c r="CN10" i="67"/>
  <c r="BX175" i="67"/>
  <c r="AB25" i="67"/>
  <c r="AB120" i="67"/>
  <c r="AB165" i="67"/>
  <c r="AB169" i="67"/>
  <c r="AB70" i="67"/>
  <c r="AB84" i="67"/>
  <c r="AR8" i="67"/>
  <c r="GG196" i="67"/>
  <c r="CJ196" i="67"/>
  <c r="AB51" i="67"/>
  <c r="CN190" i="67"/>
  <c r="AB190" i="67"/>
  <c r="CN147" i="67"/>
  <c r="AB44" i="67"/>
  <c r="CN157" i="67"/>
  <c r="CN103" i="67"/>
  <c r="CN114" i="67"/>
  <c r="BX191" i="67"/>
  <c r="CN152" i="67"/>
  <c r="CN80" i="67"/>
  <c r="AB110" i="67"/>
  <c r="CN58" i="67"/>
  <c r="AB58" i="67"/>
  <c r="CN163" i="67"/>
  <c r="AB163" i="67"/>
  <c r="CN174" i="67"/>
  <c r="CN35" i="67"/>
  <c r="CN72" i="67"/>
  <c r="AB111" i="67"/>
  <c r="CN120" i="67"/>
  <c r="BX94" i="67"/>
  <c r="AB45" i="67"/>
  <c r="AB61" i="67"/>
  <c r="AB21" i="67"/>
  <c r="AB34" i="67"/>
  <c r="AB173" i="67"/>
  <c r="AB28" i="67"/>
  <c r="AB8" i="67"/>
  <c r="AB127" i="67"/>
  <c r="AB29" i="67"/>
  <c r="AB137" i="67"/>
  <c r="AB101" i="67"/>
  <c r="AB35" i="67"/>
  <c r="AB88" i="67"/>
  <c r="AB104" i="67"/>
  <c r="EK196" i="67"/>
  <c r="CN30" i="67"/>
  <c r="AB145" i="67"/>
  <c r="AB26" i="67"/>
  <c r="CN74" i="67"/>
  <c r="CN139" i="67"/>
  <c r="CN82" i="67"/>
  <c r="AR115" i="67"/>
  <c r="AR116" i="67"/>
  <c r="BH68" i="67"/>
  <c r="BH105" i="67"/>
  <c r="CN179" i="67"/>
  <c r="AR79" i="67"/>
  <c r="BH157" i="67"/>
  <c r="BH156" i="67"/>
  <c r="AR114" i="67"/>
  <c r="BH63" i="67"/>
  <c r="CN155" i="67"/>
  <c r="CN27" i="67"/>
  <c r="AR152" i="67"/>
  <c r="AR80" i="67"/>
  <c r="CN75" i="67"/>
  <c r="CN86" i="67"/>
  <c r="AR174" i="67"/>
  <c r="BH35" i="67"/>
  <c r="CN56" i="67"/>
  <c r="BH72" i="67"/>
  <c r="CN193" i="67"/>
  <c r="AR120" i="67"/>
  <c r="CN110" i="67"/>
  <c r="BX125" i="67"/>
  <c r="CN65" i="67"/>
  <c r="CN88" i="67"/>
  <c r="CN145" i="67"/>
  <c r="CN170" i="67"/>
  <c r="DU196" i="67"/>
  <c r="BH37" i="67"/>
  <c r="CN55" i="67"/>
  <c r="BH134" i="67"/>
  <c r="BH123" i="67"/>
  <c r="CN16" i="67"/>
  <c r="CN24" i="67"/>
  <c r="AR190" i="67"/>
  <c r="AR147" i="67"/>
  <c r="CN165" i="67"/>
  <c r="CN53" i="67"/>
  <c r="BH45" i="67"/>
  <c r="AR142" i="67"/>
  <c r="BH161" i="67"/>
  <c r="CN38" i="67"/>
  <c r="BH89" i="67"/>
  <c r="AR96" i="67"/>
  <c r="BH116" i="67"/>
  <c r="AR68" i="67"/>
  <c r="AR105" i="67"/>
  <c r="BH77" i="67"/>
  <c r="AR157" i="67"/>
  <c r="AR103" i="67"/>
  <c r="AR156" i="67"/>
  <c r="BH114" i="67"/>
  <c r="BH90" i="67"/>
  <c r="CN191" i="67"/>
  <c r="BH48" i="67"/>
  <c r="BH152" i="67"/>
  <c r="BH80" i="67"/>
  <c r="BH163" i="67"/>
  <c r="BH174" i="67"/>
  <c r="AR35" i="67"/>
  <c r="AR72" i="67"/>
  <c r="BH120" i="67"/>
  <c r="CN31" i="67"/>
  <c r="BH44" i="67"/>
  <c r="BH51" i="67"/>
  <c r="CN99" i="67"/>
  <c r="CN104" i="67"/>
  <c r="CN21" i="67"/>
  <c r="AR111" i="67"/>
  <c r="AR26" i="67"/>
  <c r="CN50" i="67"/>
  <c r="BH8" i="67"/>
  <c r="FA196" i="67"/>
  <c r="AR37" i="67"/>
  <c r="BH76" i="67"/>
  <c r="BH119" i="67"/>
  <c r="BH190" i="67"/>
  <c r="BH147" i="67"/>
  <c r="BH185" i="67"/>
  <c r="AR45" i="67"/>
  <c r="BH142" i="67"/>
  <c r="AR89" i="67"/>
  <c r="BX182" i="67"/>
  <c r="BX115" i="67"/>
  <c r="BX116" i="67"/>
  <c r="BX105" i="67"/>
  <c r="BX106" i="67"/>
  <c r="CN94" i="67"/>
  <c r="BX79" i="67"/>
  <c r="BX157" i="67"/>
  <c r="BX103" i="67"/>
  <c r="BX156" i="67"/>
  <c r="BX114" i="67"/>
  <c r="CI196" i="67"/>
  <c r="BX71" i="67"/>
  <c r="BX46" i="67"/>
  <c r="AR191" i="67"/>
  <c r="BX48" i="67"/>
  <c r="BX152" i="67"/>
  <c r="BX80" i="67"/>
  <c r="BX13" i="67"/>
  <c r="BX58" i="67"/>
  <c r="BX174" i="67"/>
  <c r="BX35" i="67"/>
  <c r="BX72" i="67"/>
  <c r="BX120" i="67"/>
  <c r="AR44" i="67"/>
  <c r="BH111" i="67"/>
  <c r="BX8" i="67"/>
  <c r="FQ196" i="67"/>
  <c r="BX37" i="67"/>
  <c r="CN134" i="67"/>
  <c r="CN123" i="67"/>
  <c r="BX190" i="67"/>
  <c r="BX147" i="67"/>
  <c r="BX45" i="67"/>
  <c r="CN142" i="67"/>
  <c r="CN161" i="67"/>
  <c r="BH33" i="67"/>
  <c r="BX112" i="67"/>
  <c r="BX34" i="67"/>
  <c r="BX141" i="67"/>
  <c r="CN150" i="67"/>
  <c r="BH15" i="67"/>
  <c r="CN167" i="67"/>
  <c r="BX47" i="67"/>
  <c r="AR95" i="67"/>
  <c r="BX100" i="67"/>
  <c r="BX130" i="67"/>
  <c r="AR11" i="67"/>
  <c r="CN112" i="67"/>
  <c r="CN141" i="67"/>
  <c r="CN15" i="67"/>
  <c r="CN100" i="67"/>
  <c r="CN130" i="67"/>
  <c r="CN11" i="67"/>
  <c r="CN172" i="67"/>
  <c r="CN92" i="67"/>
  <c r="CN93" i="67"/>
  <c r="CN69" i="67"/>
  <c r="CN18" i="67"/>
  <c r="CN62" i="67"/>
  <c r="BX158" i="67"/>
  <c r="CN28" i="67"/>
  <c r="BX176" i="67"/>
  <c r="CN57" i="67"/>
  <c r="BX54" i="67"/>
  <c r="CN108" i="67"/>
  <c r="CN138" i="67"/>
  <c r="BH166" i="67"/>
  <c r="CN96" i="67"/>
  <c r="CN42" i="67"/>
  <c r="BH25" i="67"/>
  <c r="BH160" i="67"/>
  <c r="AR140" i="67"/>
  <c r="AR148" i="67"/>
  <c r="BH135" i="67"/>
  <c r="BH86" i="67"/>
  <c r="AR183" i="67"/>
  <c r="BH124" i="67"/>
  <c r="BH133" i="67"/>
  <c r="BH43" i="67"/>
  <c r="CN101" i="67"/>
  <c r="CN111" i="67"/>
  <c r="CN8" i="67"/>
  <c r="BY196" i="67"/>
  <c r="BH102" i="67"/>
  <c r="CN37" i="67"/>
  <c r="AR30" i="67"/>
  <c r="CN107" i="67"/>
  <c r="CN33" i="67"/>
  <c r="BH16" i="67"/>
  <c r="AR74" i="67"/>
  <c r="AR24" i="67"/>
  <c r="AR139" i="67"/>
  <c r="AR81" i="67"/>
  <c r="BH165" i="67"/>
  <c r="AR53" i="67"/>
  <c r="AR82" i="67"/>
  <c r="CN45" i="67"/>
  <c r="BH38" i="67"/>
  <c r="BH40" i="67"/>
  <c r="AR153" i="67"/>
  <c r="CN34" i="67"/>
  <c r="AR73" i="67"/>
  <c r="AR121" i="67"/>
  <c r="BH98" i="67"/>
  <c r="CN47" i="67"/>
  <c r="BH127" i="67"/>
  <c r="AR19" i="67"/>
  <c r="AR169" i="67"/>
  <c r="AR49" i="67"/>
  <c r="AR173" i="67"/>
  <c r="BX10" i="67"/>
  <c r="BH175" i="67"/>
  <c r="CN160" i="67"/>
  <c r="AR9" i="67"/>
  <c r="BH155" i="67"/>
  <c r="BH140" i="67"/>
  <c r="BH148" i="67"/>
  <c r="BH183" i="67"/>
  <c r="AR124" i="67"/>
  <c r="AR133" i="67"/>
  <c r="BH20" i="67"/>
  <c r="BH113" i="67"/>
  <c r="BH137" i="67"/>
  <c r="BH177" i="67"/>
  <c r="AR43" i="67"/>
  <c r="AR110" i="67"/>
  <c r="BH31" i="67"/>
  <c r="CN44" i="67"/>
  <c r="AR21" i="67"/>
  <c r="CN26" i="67"/>
  <c r="DE196" i="67"/>
  <c r="AR102" i="67"/>
  <c r="BH30" i="67"/>
  <c r="AR16" i="67"/>
  <c r="BH74" i="67"/>
  <c r="BH24" i="67"/>
  <c r="BH139" i="67"/>
  <c r="BH81" i="67"/>
  <c r="AR165" i="67"/>
  <c r="BH53" i="67"/>
  <c r="BH82" i="67"/>
  <c r="AR38" i="67"/>
  <c r="CN187" i="67"/>
  <c r="AR40" i="67"/>
  <c r="BH153" i="67"/>
  <c r="BH73" i="67"/>
  <c r="BH121" i="67"/>
  <c r="AR98" i="67"/>
  <c r="CN127" i="67"/>
  <c r="BH19" i="67"/>
  <c r="BH169" i="67"/>
  <c r="BH49" i="67"/>
  <c r="BH173" i="67"/>
  <c r="CN166" i="67"/>
  <c r="BX36" i="67"/>
  <c r="CN186" i="67"/>
  <c r="CN144" i="67"/>
  <c r="BX179" i="67"/>
  <c r="AR10" i="67"/>
  <c r="CN126" i="67"/>
  <c r="CN129" i="67"/>
  <c r="BX128" i="67"/>
  <c r="BX68" i="67"/>
  <c r="BX25" i="67"/>
  <c r="BX9" i="67"/>
  <c r="BX91" i="67"/>
  <c r="BX140" i="67"/>
  <c r="BX148" i="67"/>
  <c r="CN135" i="67"/>
  <c r="BX183" i="67"/>
  <c r="BX133" i="67"/>
  <c r="BX20" i="67"/>
  <c r="BX56" i="67"/>
  <c r="BX43" i="67"/>
  <c r="BH110" i="67"/>
  <c r="AR31" i="67"/>
  <c r="BH21" i="67"/>
  <c r="BX102" i="67"/>
  <c r="CN151" i="67"/>
  <c r="BX30" i="67"/>
  <c r="CN178" i="67"/>
  <c r="BX16" i="67"/>
  <c r="BX74" i="67"/>
  <c r="BX24" i="67"/>
  <c r="BX139" i="67"/>
  <c r="BX81" i="67"/>
  <c r="BX165" i="67"/>
  <c r="BX53" i="67"/>
  <c r="BX82" i="67"/>
  <c r="BX64" i="67"/>
  <c r="CN159" i="67"/>
  <c r="BX38" i="67"/>
  <c r="BX40" i="67"/>
  <c r="BX73" i="67"/>
  <c r="BX121" i="67"/>
  <c r="BX98" i="67"/>
  <c r="AR127" i="67"/>
  <c r="BX19" i="67"/>
  <c r="BX169" i="67"/>
  <c r="BX173" i="67"/>
  <c r="CN73" i="67"/>
  <c r="CN121" i="67"/>
  <c r="CN98" i="67"/>
  <c r="CN19" i="67"/>
  <c r="CN169" i="67"/>
  <c r="CN173" i="67"/>
  <c r="CN118" i="67"/>
  <c r="CN61" i="67"/>
  <c r="CN84" i="67"/>
  <c r="CN136" i="67"/>
  <c r="CN180" i="67"/>
  <c r="CN59" i="67"/>
  <c r="CN70" i="67"/>
  <c r="CN40" i="67"/>
  <c r="AR117" i="67"/>
  <c r="AR112" i="67"/>
  <c r="CN153" i="67"/>
  <c r="BH34" i="67"/>
  <c r="AR141" i="67"/>
  <c r="AR150" i="67"/>
  <c r="AR15" i="67"/>
  <c r="BH167" i="67"/>
  <c r="BH47" i="67"/>
  <c r="BH95" i="67"/>
  <c r="BH100" i="67"/>
  <c r="CN49" i="67"/>
  <c r="AR130" i="67"/>
  <c r="BH11" i="67"/>
  <c r="AR154" i="67"/>
  <c r="AR172" i="67"/>
  <c r="AR92" i="67"/>
  <c r="AR60" i="67"/>
  <c r="AR22" i="67"/>
  <c r="BH93" i="67"/>
  <c r="CN132" i="67"/>
  <c r="BH69" i="67"/>
  <c r="BH184" i="67"/>
  <c r="BH18" i="67"/>
  <c r="BH62" i="67"/>
  <c r="BH158" i="67"/>
  <c r="AR28" i="67"/>
  <c r="AR176" i="67"/>
  <c r="AR57" i="67"/>
  <c r="BX136" i="67"/>
  <c r="BH54" i="67"/>
  <c r="CN32" i="67"/>
  <c r="AR108" i="67"/>
  <c r="AR138" i="67"/>
  <c r="AR149" i="67"/>
  <c r="BH117" i="67"/>
  <c r="BH112" i="67"/>
  <c r="AR34" i="67"/>
  <c r="BH141" i="67"/>
  <c r="BH150" i="67"/>
  <c r="BX15" i="67"/>
  <c r="AR167" i="67"/>
  <c r="AR47" i="67"/>
  <c r="CN95" i="67"/>
  <c r="AR100" i="67"/>
  <c r="BH130" i="67"/>
  <c r="BX11" i="67"/>
  <c r="BH154" i="67"/>
  <c r="BH172" i="67"/>
  <c r="BH92" i="67"/>
  <c r="BH60" i="67"/>
  <c r="BH22" i="67"/>
  <c r="AR93" i="67"/>
  <c r="AR69" i="67"/>
  <c r="AR184" i="67"/>
  <c r="AR18" i="67"/>
  <c r="AR62" i="67"/>
  <c r="AR158" i="67"/>
  <c r="BH28" i="67"/>
  <c r="BH176" i="67"/>
  <c r="BH57" i="67"/>
  <c r="AR54" i="67"/>
  <c r="BH108" i="67"/>
  <c r="BH138" i="67"/>
  <c r="BH149" i="67"/>
  <c r="BX172" i="67"/>
  <c r="BX92" i="67"/>
  <c r="BX22" i="67"/>
  <c r="BX93" i="67"/>
  <c r="BX69" i="67"/>
  <c r="BX184" i="67"/>
  <c r="BX18" i="67"/>
  <c r="BX62" i="67"/>
  <c r="CN158" i="67"/>
  <c r="BX28" i="67"/>
  <c r="CN176" i="67"/>
  <c r="BX57" i="67"/>
  <c r="BX108" i="67"/>
  <c r="BX138" i="67"/>
  <c r="BX149" i="67"/>
  <c r="CN149" i="67"/>
  <c r="AR118" i="67"/>
  <c r="CN22" i="67"/>
  <c r="BH61" i="67"/>
  <c r="BH132" i="67"/>
  <c r="BH12" i="67"/>
  <c r="AR122" i="67"/>
  <c r="AR84" i="67"/>
  <c r="AR136" i="67"/>
  <c r="CN54" i="67"/>
  <c r="BH32" i="67"/>
  <c r="AR180" i="67"/>
  <c r="AR59" i="67"/>
  <c r="AR70" i="67"/>
  <c r="BH29" i="67"/>
  <c r="BH118" i="67"/>
  <c r="AR61" i="67"/>
  <c r="BX12" i="67"/>
  <c r="BH122" i="67"/>
  <c r="BH84" i="67"/>
  <c r="BH136" i="67"/>
  <c r="AR32" i="67"/>
  <c r="BH180" i="67"/>
  <c r="BH59" i="67"/>
  <c r="BH70" i="67"/>
  <c r="AR29" i="67"/>
  <c r="BX118" i="67"/>
  <c r="BX61" i="67"/>
  <c r="AR12" i="67"/>
  <c r="BX122" i="67"/>
  <c r="BX84" i="67"/>
  <c r="BX32" i="67"/>
  <c r="BX180" i="67"/>
  <c r="BX59" i="67"/>
  <c r="BX70" i="67"/>
  <c r="BX29" i="67"/>
  <c r="CN29" i="67"/>
  <c r="K196" i="67"/>
  <c r="M74" i="11" l="1"/>
  <c r="O74" i="11"/>
  <c r="F74" i="11"/>
  <c r="L74" i="11"/>
  <c r="G74" i="11"/>
  <c r="I74" i="11"/>
  <c r="H74" i="11"/>
  <c r="K74" i="11"/>
  <c r="E74" i="11"/>
  <c r="P74" i="11"/>
  <c r="AH195" i="71"/>
  <c r="AO195" i="71"/>
  <c r="GX191" i="67"/>
  <c r="X152" i="71" s="1"/>
  <c r="HE33" i="67"/>
  <c r="AE33" i="71" s="1"/>
  <c r="GX139" i="67"/>
  <c r="X139" i="71" s="1"/>
  <c r="GX153" i="67"/>
  <c r="X155" i="71" s="1"/>
  <c r="GX109" i="67"/>
  <c r="X109" i="71" s="1"/>
  <c r="HE165" i="67"/>
  <c r="AE167" i="71" s="1"/>
  <c r="HE156" i="67"/>
  <c r="AE158" i="71" s="1"/>
  <c r="HE117" i="67"/>
  <c r="AE117" i="71" s="1"/>
  <c r="GX143" i="67"/>
  <c r="X143" i="71" s="1"/>
  <c r="HE68" i="67"/>
  <c r="AE68" i="71" s="1"/>
  <c r="HE133" i="67"/>
  <c r="AE133" i="71" s="1"/>
  <c r="GX24" i="67"/>
  <c r="X24" i="71" s="1"/>
  <c r="GX10" i="67"/>
  <c r="X10" i="71" s="1"/>
  <c r="GX32" i="67"/>
  <c r="X32" i="71" s="1"/>
  <c r="HE123" i="67"/>
  <c r="AE123" i="71" s="1"/>
  <c r="HE113" i="67"/>
  <c r="AE113" i="71" s="1"/>
  <c r="HE9" i="67"/>
  <c r="AE9" i="71" s="1"/>
  <c r="HE131" i="67"/>
  <c r="AE131" i="71" s="1"/>
  <c r="GX150" i="67"/>
  <c r="X150" i="71" s="1"/>
  <c r="HE111" i="67"/>
  <c r="AE111" i="71" s="1"/>
  <c r="GX98" i="67"/>
  <c r="X98" i="71" s="1"/>
  <c r="GX185" i="67"/>
  <c r="X187" i="71" s="1"/>
  <c r="HE85" i="67"/>
  <c r="AE85" i="71" s="1"/>
  <c r="HE157" i="67"/>
  <c r="AE159" i="71" s="1"/>
  <c r="GX61" i="67"/>
  <c r="X61" i="71" s="1"/>
  <c r="GX64" i="67"/>
  <c r="X64" i="71" s="1"/>
  <c r="HE69" i="67"/>
  <c r="AE69" i="71" s="1"/>
  <c r="GX89" i="67"/>
  <c r="X89" i="71" s="1"/>
  <c r="GX60" i="67"/>
  <c r="X60" i="71" s="1"/>
  <c r="GX20" i="67"/>
  <c r="X20" i="71" s="1"/>
  <c r="GX39" i="67"/>
  <c r="X39" i="71" s="1"/>
  <c r="GX93" i="67"/>
  <c r="X93" i="71" s="1"/>
  <c r="GX103" i="67"/>
  <c r="X103" i="71" s="1"/>
  <c r="GX70" i="67"/>
  <c r="X70" i="71" s="1"/>
  <c r="GX149" i="67"/>
  <c r="X149" i="71" s="1"/>
  <c r="GX28" i="67"/>
  <c r="X28" i="71" s="1"/>
  <c r="GX56" i="67"/>
  <c r="X56" i="71" s="1"/>
  <c r="GX163" i="67"/>
  <c r="X165" i="71" s="1"/>
  <c r="HE179" i="67"/>
  <c r="AE181" i="71" s="1"/>
  <c r="HE16" i="67"/>
  <c r="AE16" i="71" s="1"/>
  <c r="HE148" i="67"/>
  <c r="AE148" i="71" s="1"/>
  <c r="GX138" i="67"/>
  <c r="X138" i="71" s="1"/>
  <c r="GX158" i="67"/>
  <c r="X160" i="71" s="1"/>
  <c r="HE103" i="67"/>
  <c r="AE103" i="71" s="1"/>
  <c r="HE89" i="67"/>
  <c r="AE89" i="71" s="1"/>
  <c r="HE95" i="67"/>
  <c r="AE95" i="71" s="1"/>
  <c r="HE116" i="67"/>
  <c r="AE116" i="71" s="1"/>
  <c r="GX171" i="67"/>
  <c r="X173" i="71" s="1"/>
  <c r="GX184" i="67"/>
  <c r="X186" i="71" s="1"/>
  <c r="GX130" i="67"/>
  <c r="X130" i="71" s="1"/>
  <c r="GX95" i="67"/>
  <c r="X95" i="71" s="1"/>
  <c r="GX46" i="67"/>
  <c r="X46" i="71" s="1"/>
  <c r="GX106" i="67"/>
  <c r="X106" i="71" s="1"/>
  <c r="GX168" i="67"/>
  <c r="X170" i="71" s="1"/>
  <c r="GX50" i="67"/>
  <c r="X50" i="71" s="1"/>
  <c r="CQ196" i="67"/>
  <c r="GX110" i="67"/>
  <c r="X110" i="71" s="1"/>
  <c r="GX189" i="67"/>
  <c r="X191" i="71" s="1"/>
  <c r="HE71" i="67"/>
  <c r="AE71" i="71" s="1"/>
  <c r="GX166" i="67"/>
  <c r="X168" i="71" s="1"/>
  <c r="GX63" i="67"/>
  <c r="X63" i="71" s="1"/>
  <c r="HE17" i="67"/>
  <c r="AE17" i="71" s="1"/>
  <c r="GX192" i="67"/>
  <c r="X153" i="71" s="1"/>
  <c r="GX165" i="67"/>
  <c r="X167" i="71" s="1"/>
  <c r="GX25" i="67"/>
  <c r="X25" i="71" s="1"/>
  <c r="GX68" i="67"/>
  <c r="X68" i="71" s="1"/>
  <c r="GX97" i="67"/>
  <c r="X97" i="71" s="1"/>
  <c r="GX48" i="67"/>
  <c r="X48" i="71" s="1"/>
  <c r="GX36" i="67"/>
  <c r="X36" i="71" s="1"/>
  <c r="GX131" i="67"/>
  <c r="X131" i="71" s="1"/>
  <c r="HH196" i="67"/>
  <c r="HA196" i="67"/>
  <c r="HI196" i="67"/>
  <c r="HB196" i="67"/>
  <c r="GX104" i="67"/>
  <c r="X104" i="71" s="1"/>
  <c r="GX118" i="67"/>
  <c r="X118" i="71" s="1"/>
  <c r="D4" i="74" l="1"/>
  <c r="N61" i="11"/>
  <c r="J60" i="11"/>
  <c r="N60" i="11"/>
  <c r="J59" i="11"/>
  <c r="E27" i="11"/>
  <c r="E59" i="11" s="1"/>
  <c r="N59" i="11"/>
  <c r="J58" i="11"/>
  <c r="E26" i="11"/>
  <c r="E58" i="11" s="1"/>
  <c r="D30" i="11"/>
  <c r="N58" i="11"/>
  <c r="J57" i="11"/>
  <c r="E25" i="11"/>
  <c r="E57" i="11" s="1"/>
  <c r="N57" i="11"/>
  <c r="J56" i="11"/>
  <c r="E24" i="11"/>
  <c r="E56" i="11" s="1"/>
  <c r="N56" i="11"/>
  <c r="E23" i="11"/>
  <c r="E55" i="11" s="1"/>
  <c r="N55" i="11"/>
  <c r="Q105" i="11"/>
  <c r="D18" i="11"/>
  <c r="S56" i="11" l="1"/>
  <c r="F50" i="11"/>
  <c r="N50" i="11"/>
  <c r="G50" i="11"/>
  <c r="O50" i="11"/>
  <c r="H50" i="11"/>
  <c r="P50" i="11"/>
  <c r="I50" i="11"/>
  <c r="J50" i="11"/>
  <c r="L50" i="11"/>
  <c r="M50" i="11"/>
  <c r="K50" i="11"/>
  <c r="J61" i="11"/>
  <c r="J55" i="11"/>
  <c r="E60" i="11"/>
  <c r="E61" i="11"/>
  <c r="R18" i="11"/>
  <c r="Q70" i="11"/>
  <c r="S143" i="77" s="1"/>
  <c r="S169" i="77" s="1"/>
  <c r="R30" i="11"/>
  <c r="E62" i="11"/>
  <c r="Q81" i="11"/>
  <c r="R20" i="11"/>
  <c r="S105" i="11"/>
  <c r="R22" i="11"/>
  <c r="R21" i="11"/>
  <c r="R27" i="11"/>
  <c r="R28" i="11"/>
  <c r="R26" i="11"/>
  <c r="R23" i="11"/>
  <c r="R29" i="11"/>
  <c r="E50" i="11"/>
  <c r="S92" i="11"/>
  <c r="Q92" i="11"/>
  <c r="P109" i="11"/>
  <c r="S64" i="11" l="1"/>
  <c r="Q64" i="11"/>
  <c r="Q66" i="11"/>
  <c r="Q55" i="11"/>
  <c r="S55" i="11"/>
  <c r="S107" i="11" l="1"/>
  <c r="S94" i="11"/>
  <c r="E109" i="11" l="1"/>
  <c r="F83" i="11"/>
  <c r="G83" i="11"/>
  <c r="D5" i="11" l="1"/>
  <c r="D5" i="74" l="1"/>
  <c r="E5" i="77"/>
  <c r="N109" i="11"/>
  <c r="S91" i="11" l="1"/>
  <c r="Q91" i="11"/>
  <c r="Q95" i="11"/>
  <c r="S95" i="11"/>
  <c r="Q97" i="11"/>
  <c r="S97" i="11"/>
  <c r="M109" i="11"/>
  <c r="H195" i="71" l="1"/>
  <c r="I195" i="71"/>
  <c r="J195" i="71"/>
  <c r="DD122" i="67" l="1"/>
  <c r="HJ100" i="67"/>
  <c r="AM100" i="71" s="1"/>
  <c r="HC122" i="67"/>
  <c r="AC122" i="71" s="1"/>
  <c r="DD176" i="67" l="1"/>
  <c r="HJ150" i="67"/>
  <c r="AM150" i="71" s="1"/>
  <c r="DD98" i="67"/>
  <c r="HJ81" i="67"/>
  <c r="AM81" i="71" s="1"/>
  <c r="DD166" i="67"/>
  <c r="HJ141" i="67"/>
  <c r="AM141" i="71" s="1"/>
  <c r="DD62" i="67"/>
  <c r="HJ55" i="67"/>
  <c r="AM55" i="71" s="1"/>
  <c r="DD65" i="67"/>
  <c r="HJ57" i="67"/>
  <c r="AM57" i="71" s="1"/>
  <c r="DD136" i="67"/>
  <c r="HJ112" i="67"/>
  <c r="AM112" i="71" s="1"/>
  <c r="DD35" i="67"/>
  <c r="HJ30" i="67"/>
  <c r="AM30" i="71" s="1"/>
  <c r="DD162" i="67"/>
  <c r="HJ137" i="67"/>
  <c r="AM137" i="71" s="1"/>
  <c r="DD171" i="67"/>
  <c r="HJ146" i="67"/>
  <c r="AM146" i="71" s="1"/>
  <c r="DD134" i="67"/>
  <c r="HJ110" i="67"/>
  <c r="AM110" i="71" s="1"/>
  <c r="DD90" i="67"/>
  <c r="HJ76" i="67"/>
  <c r="AM76" i="71" s="1"/>
  <c r="DD182" i="67"/>
  <c r="HJ152" i="67"/>
  <c r="AM154" i="71" s="1"/>
  <c r="DD80" i="67"/>
  <c r="HJ69" i="67"/>
  <c r="AM69" i="71" s="1"/>
  <c r="DD185" i="67"/>
  <c r="HJ154" i="67"/>
  <c r="AM156" i="71" s="1"/>
  <c r="DD161" i="67"/>
  <c r="HJ184" i="67"/>
  <c r="AM186" i="71" s="1"/>
  <c r="DD39" i="67"/>
  <c r="HJ34" i="67"/>
  <c r="AM34" i="71" s="1"/>
  <c r="DD107" i="67"/>
  <c r="HJ89" i="67"/>
  <c r="AM89" i="71" s="1"/>
  <c r="DD87" i="67"/>
  <c r="HJ171" i="67"/>
  <c r="AM173" i="71" s="1"/>
  <c r="DD23" i="67"/>
  <c r="HJ162" i="67"/>
  <c r="AM164" i="71" s="1"/>
  <c r="DD143" i="67"/>
  <c r="HJ119" i="67"/>
  <c r="AM119" i="71" s="1"/>
  <c r="DD127" i="67"/>
  <c r="HJ104" i="67"/>
  <c r="AM104" i="71" s="1"/>
  <c r="DD93" i="67"/>
  <c r="HJ79" i="67"/>
  <c r="AM79" i="71" s="1"/>
  <c r="DD177" i="67"/>
  <c r="HJ186" i="67"/>
  <c r="AM188" i="71" s="1"/>
  <c r="DD37" i="67"/>
  <c r="HJ32" i="67"/>
  <c r="AM32" i="71" s="1"/>
  <c r="DD110" i="67"/>
  <c r="HJ92" i="67"/>
  <c r="AM92" i="71" s="1"/>
  <c r="DD154" i="67"/>
  <c r="HJ131" i="67"/>
  <c r="AM131" i="71" s="1"/>
  <c r="DD146" i="67"/>
  <c r="HJ122" i="67"/>
  <c r="AM122" i="71" s="1"/>
  <c r="DD112" i="67"/>
  <c r="HJ94" i="67"/>
  <c r="AM94" i="71" s="1"/>
  <c r="DD131" i="67"/>
  <c r="HJ107" i="67"/>
  <c r="AM107" i="71" s="1"/>
  <c r="DD165" i="67"/>
  <c r="HJ140" i="67"/>
  <c r="AM140" i="71" s="1"/>
  <c r="DD104" i="67"/>
  <c r="HJ176" i="67"/>
  <c r="AM178" i="71" s="1"/>
  <c r="DD159" i="67"/>
  <c r="HJ135" i="67"/>
  <c r="AM135" i="71" s="1"/>
  <c r="DD84" i="67"/>
  <c r="HJ72" i="67"/>
  <c r="AM72" i="71" s="1"/>
  <c r="DD184" i="67"/>
  <c r="HJ188" i="67"/>
  <c r="AM190" i="71" s="1"/>
  <c r="DD54" i="67"/>
  <c r="HJ166" i="67"/>
  <c r="AM168" i="71" s="1"/>
  <c r="DD73" i="67"/>
  <c r="HJ64" i="67"/>
  <c r="AM64" i="71" s="1"/>
  <c r="DD117" i="67"/>
  <c r="HJ98" i="67"/>
  <c r="AM98" i="71" s="1"/>
  <c r="DD130" i="67"/>
  <c r="HJ106" i="67"/>
  <c r="AM106" i="71" s="1"/>
  <c r="DD32" i="67"/>
  <c r="HJ27" i="67"/>
  <c r="AM27" i="71" s="1"/>
  <c r="DD140" i="67"/>
  <c r="HJ116" i="67"/>
  <c r="AM116" i="71" s="1"/>
  <c r="DD180" i="67"/>
  <c r="HJ191" i="67"/>
  <c r="AM152" i="71" s="1"/>
  <c r="DD11" i="67"/>
  <c r="HJ11" i="67"/>
  <c r="AM11" i="71" s="1"/>
  <c r="DD89" i="67"/>
  <c r="HJ75" i="67"/>
  <c r="AM75" i="71" s="1"/>
  <c r="DD40" i="67"/>
  <c r="HJ35" i="67"/>
  <c r="AM35" i="71" s="1"/>
  <c r="DD124" i="67"/>
  <c r="HJ101" i="67"/>
  <c r="AM101" i="71" s="1"/>
  <c r="DD42" i="67"/>
  <c r="HJ37" i="67"/>
  <c r="AM37" i="71" s="1"/>
  <c r="DD59" i="67"/>
  <c r="HJ52" i="67"/>
  <c r="AM52" i="71" s="1"/>
  <c r="DD8" i="67"/>
  <c r="HJ8" i="67"/>
  <c r="AM8" i="71" s="1"/>
  <c r="DD15" i="67"/>
  <c r="HJ15" i="67"/>
  <c r="AM15" i="71" s="1"/>
  <c r="DD137" i="67"/>
  <c r="HJ113" i="67"/>
  <c r="AM113" i="71" s="1"/>
  <c r="DD55" i="67"/>
  <c r="HJ48" i="67"/>
  <c r="AM48" i="71" s="1"/>
  <c r="DD173" i="67"/>
  <c r="HJ185" i="67"/>
  <c r="AM187" i="71" s="1"/>
  <c r="DD56" i="67"/>
  <c r="HJ49" i="67"/>
  <c r="AM49" i="71" s="1"/>
  <c r="DD31" i="67"/>
  <c r="HJ26" i="67"/>
  <c r="AM26" i="71" s="1"/>
  <c r="DD178" i="67"/>
  <c r="HJ151" i="67"/>
  <c r="AM151" i="71" s="1"/>
  <c r="DD28" i="67"/>
  <c r="HJ24" i="67"/>
  <c r="AM24" i="71" s="1"/>
  <c r="DD86" i="67"/>
  <c r="HJ74" i="67"/>
  <c r="AM74" i="71" s="1"/>
  <c r="DD20" i="67"/>
  <c r="HJ18" i="67"/>
  <c r="AM18" i="71" s="1"/>
  <c r="DD81" i="67"/>
  <c r="HJ70" i="67"/>
  <c r="AM70" i="71" s="1"/>
  <c r="DD91" i="67"/>
  <c r="HJ77" i="67"/>
  <c r="AM77" i="71" s="1"/>
  <c r="DD132" i="67"/>
  <c r="HJ108" i="67"/>
  <c r="AM108" i="71" s="1"/>
  <c r="DD41" i="67"/>
  <c r="HJ36" i="67"/>
  <c r="AM36" i="71" s="1"/>
  <c r="DD52" i="67"/>
  <c r="HJ46" i="67"/>
  <c r="AM46" i="71" s="1"/>
  <c r="DD50" i="67"/>
  <c r="HJ45" i="67"/>
  <c r="AM45" i="71" s="1"/>
  <c r="HJ16" i="67"/>
  <c r="AM16" i="71" s="1"/>
  <c r="DD72" i="67"/>
  <c r="HJ63" i="67"/>
  <c r="AM63" i="71" s="1"/>
  <c r="DD19" i="67"/>
  <c r="HJ17" i="67"/>
  <c r="AM17" i="71" s="1"/>
  <c r="DD24" i="67"/>
  <c r="HJ21" i="67"/>
  <c r="AM21" i="71" s="1"/>
  <c r="DD34" i="67"/>
  <c r="HJ29" i="67"/>
  <c r="AM29" i="71" s="1"/>
  <c r="DD16" i="67"/>
  <c r="HJ161" i="67"/>
  <c r="AM163" i="71" s="1"/>
  <c r="DD102" i="67"/>
  <c r="HJ85" i="67"/>
  <c r="AM85" i="71" s="1"/>
  <c r="DD63" i="67"/>
  <c r="HJ190" i="67"/>
  <c r="AM192" i="71" s="1"/>
  <c r="DD190" i="67"/>
  <c r="HJ159" i="67"/>
  <c r="AM161" i="71" s="1"/>
  <c r="DD95" i="67"/>
  <c r="HJ174" i="67"/>
  <c r="AM176" i="71" s="1"/>
  <c r="DD29" i="67"/>
  <c r="HJ164" i="67"/>
  <c r="AM166" i="71" s="1"/>
  <c r="DD135" i="67"/>
  <c r="HJ111" i="67"/>
  <c r="AM111" i="71" s="1"/>
  <c r="DD186" i="67"/>
  <c r="HJ155" i="67"/>
  <c r="AM157" i="71" s="1"/>
  <c r="DD21" i="67"/>
  <c r="HJ19" i="67"/>
  <c r="AM19" i="71" s="1"/>
  <c r="DD125" i="67"/>
  <c r="HJ102" i="67"/>
  <c r="AM102" i="71" s="1"/>
  <c r="DD10" i="67"/>
  <c r="HJ10" i="67"/>
  <c r="AM10" i="71" s="1"/>
  <c r="DD164" i="67"/>
  <c r="HJ139" i="67"/>
  <c r="AM139" i="71" s="1"/>
  <c r="DD94" i="67"/>
  <c r="HJ173" i="67"/>
  <c r="AM175" i="71" s="1"/>
  <c r="DD61" i="67"/>
  <c r="HJ54" i="67"/>
  <c r="AM54" i="71" s="1"/>
  <c r="DD69" i="67"/>
  <c r="HJ61" i="67"/>
  <c r="AM61" i="71" s="1"/>
  <c r="DD192" i="67"/>
  <c r="HJ129" i="67"/>
  <c r="AM129" i="71" s="1"/>
  <c r="DD48" i="67"/>
  <c r="HJ43" i="67"/>
  <c r="AM43" i="71" s="1"/>
  <c r="DD193" i="67"/>
  <c r="HJ160" i="67"/>
  <c r="AM162" i="71" s="1"/>
  <c r="DD152" i="67"/>
  <c r="HJ130" i="67"/>
  <c r="AM130" i="71" s="1"/>
  <c r="DD71" i="67"/>
  <c r="HJ62" i="67"/>
  <c r="AM62" i="71" s="1"/>
  <c r="DD147" i="67"/>
  <c r="HJ123" i="67"/>
  <c r="AM123" i="71" s="1"/>
  <c r="DD189" i="67"/>
  <c r="HJ158" i="67"/>
  <c r="AM160" i="71" s="1"/>
  <c r="DD113" i="67"/>
  <c r="HJ95" i="67"/>
  <c r="AM95" i="71" s="1"/>
  <c r="DD51" i="67"/>
  <c r="HJ165" i="67"/>
  <c r="AM167" i="71" s="1"/>
  <c r="DD77" i="67"/>
  <c r="HJ66" i="67"/>
  <c r="AM66" i="71" s="1"/>
  <c r="DD169" i="67"/>
  <c r="HJ144" i="67"/>
  <c r="AM144" i="71" s="1"/>
  <c r="DD88" i="67"/>
  <c r="HJ172" i="67"/>
  <c r="AM174" i="71" s="1"/>
  <c r="DD129" i="67"/>
  <c r="HJ181" i="67"/>
  <c r="AM183" i="71" s="1"/>
  <c r="DD126" i="67"/>
  <c r="HJ103" i="67"/>
  <c r="AM103" i="71" s="1"/>
  <c r="DD187" i="67"/>
  <c r="HJ156" i="67"/>
  <c r="AM158" i="71" s="1"/>
  <c r="DD12" i="67"/>
  <c r="HJ12" i="67"/>
  <c r="AM12" i="71" s="1"/>
  <c r="DD85" i="67"/>
  <c r="HJ73" i="67"/>
  <c r="AM73" i="71" s="1"/>
  <c r="DD64" i="67"/>
  <c r="HJ56" i="67"/>
  <c r="AM56" i="71" s="1"/>
  <c r="DD18" i="67"/>
  <c r="HJ189" i="67"/>
  <c r="AM191" i="71" s="1"/>
  <c r="DD139" i="67"/>
  <c r="HJ115" i="67"/>
  <c r="AM115" i="71" s="1"/>
  <c r="DD109" i="67"/>
  <c r="HJ91" i="67"/>
  <c r="AM91" i="71" s="1"/>
  <c r="DD138" i="67"/>
  <c r="HJ114" i="67"/>
  <c r="AM114" i="71" s="1"/>
  <c r="DD116" i="67"/>
  <c r="HJ97" i="67"/>
  <c r="AM97" i="71" s="1"/>
  <c r="DD163" i="67"/>
  <c r="HJ138" i="67"/>
  <c r="AM138" i="71" s="1"/>
  <c r="DD141" i="67"/>
  <c r="HJ117" i="67"/>
  <c r="AM117" i="71" s="1"/>
  <c r="DD105" i="67"/>
  <c r="HJ87" i="67"/>
  <c r="AM87" i="71" s="1"/>
  <c r="DD38" i="67"/>
  <c r="HJ33" i="67"/>
  <c r="AM33" i="71" s="1"/>
  <c r="DD36" i="67"/>
  <c r="HJ31" i="67"/>
  <c r="AM31" i="71" s="1"/>
  <c r="DD149" i="67"/>
  <c r="HJ125" i="67"/>
  <c r="AM125" i="71" s="1"/>
  <c r="DD119" i="67"/>
  <c r="HJ179" i="67"/>
  <c r="AM181" i="71" s="1"/>
  <c r="DD99" i="67"/>
  <c r="HJ82" i="67"/>
  <c r="AM82" i="71" s="1"/>
  <c r="DD49" i="67"/>
  <c r="HJ44" i="67"/>
  <c r="AM44" i="71" s="1"/>
  <c r="DD78" i="67"/>
  <c r="HJ67" i="67"/>
  <c r="AM67" i="71" s="1"/>
  <c r="DD133" i="67"/>
  <c r="HJ109" i="67"/>
  <c r="AM109" i="71" s="1"/>
  <c r="DD44" i="67"/>
  <c r="HJ39" i="67"/>
  <c r="AM39" i="71" s="1"/>
  <c r="DD175" i="67"/>
  <c r="HJ149" i="67"/>
  <c r="AM149" i="71" s="1"/>
  <c r="DD75" i="67"/>
  <c r="HJ169" i="67"/>
  <c r="AM171" i="71" s="1"/>
  <c r="DD103" i="67"/>
  <c r="HJ86" i="67"/>
  <c r="AM86" i="71" s="1"/>
  <c r="DD100" i="67"/>
  <c r="HJ83" i="67"/>
  <c r="AM83" i="71" s="1"/>
  <c r="DD74" i="67"/>
  <c r="HJ168" i="67"/>
  <c r="AM170" i="71" s="1"/>
  <c r="DD179" i="67"/>
  <c r="HJ187" i="67"/>
  <c r="AM189" i="71" s="1"/>
  <c r="DD13" i="67"/>
  <c r="HJ13" i="67"/>
  <c r="AM13" i="71" s="1"/>
  <c r="DD172" i="67"/>
  <c r="HJ147" i="67"/>
  <c r="AM147" i="71" s="1"/>
  <c r="DD79" i="67"/>
  <c r="HJ68" i="67"/>
  <c r="AM68" i="71" s="1"/>
  <c r="DD120" i="67"/>
  <c r="HJ99" i="67"/>
  <c r="AM99" i="71" s="1"/>
  <c r="DD26" i="67"/>
  <c r="HJ22" i="67"/>
  <c r="AM22" i="71" s="1"/>
  <c r="DD118" i="67"/>
  <c r="HJ178" i="67"/>
  <c r="AM180" i="71" s="1"/>
  <c r="DD158" i="67"/>
  <c r="HJ134" i="67"/>
  <c r="AM134" i="71" s="1"/>
  <c r="DD115" i="67"/>
  <c r="HJ96" i="67"/>
  <c r="AM96" i="71" s="1"/>
  <c r="DD76" i="67"/>
  <c r="HJ65" i="67"/>
  <c r="AM65" i="71" s="1"/>
  <c r="DD45" i="67"/>
  <c r="HJ40" i="67"/>
  <c r="AM40" i="71" s="1"/>
  <c r="DD142" i="67"/>
  <c r="HJ118" i="67"/>
  <c r="AM118" i="71" s="1"/>
  <c r="DD27" i="67"/>
  <c r="HJ23" i="67"/>
  <c r="AM23" i="71" s="1"/>
  <c r="DD67" i="67"/>
  <c r="HJ59" i="67"/>
  <c r="AM59" i="71" s="1"/>
  <c r="DD83" i="67"/>
  <c r="HJ71" i="67"/>
  <c r="AM71" i="71" s="1"/>
  <c r="DD168" i="67"/>
  <c r="HJ143" i="67"/>
  <c r="AM143" i="71" s="1"/>
  <c r="DD111" i="67"/>
  <c r="HJ93" i="67"/>
  <c r="AM93" i="71" s="1"/>
  <c r="DD181" i="67"/>
  <c r="HJ192" i="67"/>
  <c r="AM153" i="71" s="1"/>
  <c r="DD47" i="67"/>
  <c r="HJ42" i="67"/>
  <c r="AM42" i="71" s="1"/>
  <c r="DD25" i="67"/>
  <c r="HJ163" i="67"/>
  <c r="AM165" i="71" s="1"/>
  <c r="DD183" i="67"/>
  <c r="HJ153" i="67"/>
  <c r="AM155" i="71" s="1"/>
  <c r="DD43" i="67"/>
  <c r="HJ38" i="67"/>
  <c r="AM38" i="71" s="1"/>
  <c r="DD14" i="67"/>
  <c r="HJ14" i="67"/>
  <c r="AM14" i="71" s="1"/>
  <c r="DD92" i="67"/>
  <c r="HJ78" i="67"/>
  <c r="AM78" i="71" s="1"/>
  <c r="DD128" i="67"/>
  <c r="HJ105" i="67"/>
  <c r="AM105" i="71" s="1"/>
  <c r="DD145" i="67"/>
  <c r="HJ121" i="67"/>
  <c r="AM121" i="71" s="1"/>
  <c r="DD155" i="67"/>
  <c r="HJ132" i="67"/>
  <c r="AM132" i="71" s="1"/>
  <c r="DD153" i="67"/>
  <c r="HJ182" i="67"/>
  <c r="AM184" i="71" s="1"/>
  <c r="DD46" i="67"/>
  <c r="HJ41" i="67"/>
  <c r="AM41" i="71" s="1"/>
  <c r="DD160" i="67"/>
  <c r="HJ136" i="67"/>
  <c r="AM136" i="71" s="1"/>
  <c r="DD191" i="67"/>
  <c r="HJ128" i="67"/>
  <c r="AM128" i="71" s="1"/>
  <c r="DD151" i="67"/>
  <c r="HJ127" i="67"/>
  <c r="AM127" i="71" s="1"/>
  <c r="DD82" i="67"/>
  <c r="HJ170" i="67"/>
  <c r="AM172" i="71" s="1"/>
  <c r="DD114" i="67"/>
  <c r="HJ177" i="67"/>
  <c r="AM179" i="71" s="1"/>
  <c r="DD123" i="67"/>
  <c r="HJ193" i="67"/>
  <c r="AM193" i="71" s="1"/>
  <c r="DD150" i="67"/>
  <c r="HJ126" i="67"/>
  <c r="AM126" i="71" s="1"/>
  <c r="DD101" i="67"/>
  <c r="HJ84" i="67"/>
  <c r="AM84" i="71" s="1"/>
  <c r="DD60" i="67"/>
  <c r="HJ53" i="67"/>
  <c r="AM53" i="71" s="1"/>
  <c r="DD58" i="67"/>
  <c r="HJ51" i="67"/>
  <c r="AM51" i="71" s="1"/>
  <c r="DD157" i="67"/>
  <c r="HJ183" i="67"/>
  <c r="AM185" i="71" s="1"/>
  <c r="DD22" i="67"/>
  <c r="HJ20" i="67"/>
  <c r="AM20" i="71" s="1"/>
  <c r="DD96" i="67"/>
  <c r="HJ175" i="67"/>
  <c r="AM177" i="71" s="1"/>
  <c r="DD121" i="67"/>
  <c r="HJ180" i="67"/>
  <c r="AM182" i="71" s="1"/>
  <c r="DD30" i="67"/>
  <c r="HJ25" i="67"/>
  <c r="AM25" i="71" s="1"/>
  <c r="DD33" i="67"/>
  <c r="HJ28" i="67"/>
  <c r="AM28" i="71" s="1"/>
  <c r="DD57" i="67"/>
  <c r="HJ50" i="67"/>
  <c r="AM50" i="71" s="1"/>
  <c r="DD144" i="67"/>
  <c r="HJ120" i="67"/>
  <c r="AM120" i="71" s="1"/>
  <c r="DD188" i="67"/>
  <c r="HJ157" i="67"/>
  <c r="AM159" i="71" s="1"/>
  <c r="DD156" i="67"/>
  <c r="HJ133" i="67"/>
  <c r="AM133" i="71" s="1"/>
  <c r="DD108" i="67"/>
  <c r="HJ90" i="67"/>
  <c r="AM90" i="71" s="1"/>
  <c r="DD174" i="67"/>
  <c r="HJ148" i="67"/>
  <c r="AM148" i="71" s="1"/>
  <c r="DD170" i="67"/>
  <c r="HJ145" i="67"/>
  <c r="AM145" i="71" s="1"/>
  <c r="DD148" i="67"/>
  <c r="HJ124" i="67"/>
  <c r="AM124" i="71" s="1"/>
  <c r="DD68" i="67"/>
  <c r="HJ60" i="67"/>
  <c r="AM60" i="71" s="1"/>
  <c r="DD106" i="67"/>
  <c r="HJ88" i="67"/>
  <c r="AM88" i="71" s="1"/>
  <c r="DD53" i="67"/>
  <c r="HJ47" i="67"/>
  <c r="AM47" i="71" s="1"/>
  <c r="DD9" i="67"/>
  <c r="HJ9" i="67"/>
  <c r="AM9" i="71" s="1"/>
  <c r="DD66" i="67"/>
  <c r="HJ58" i="67"/>
  <c r="AM58" i="71" s="1"/>
  <c r="HJ80" i="67"/>
  <c r="AM80" i="71" s="1"/>
  <c r="DD167" i="67"/>
  <c r="HJ142" i="67"/>
  <c r="AM142" i="71" s="1"/>
  <c r="DD70" i="67"/>
  <c r="HJ167" i="67"/>
  <c r="AM169" i="71" s="1"/>
  <c r="U195" i="71"/>
  <c r="HC138" i="67"/>
  <c r="AC138" i="71" s="1"/>
  <c r="HC58" i="67"/>
  <c r="AC58" i="71" s="1"/>
  <c r="HC69" i="67"/>
  <c r="AC69" i="71" s="1"/>
  <c r="HC192" i="67"/>
  <c r="AC153" i="71" s="1"/>
  <c r="HC48" i="67"/>
  <c r="AC48" i="71" s="1"/>
  <c r="HC140" i="67"/>
  <c r="AC140" i="71" s="1"/>
  <c r="HC180" i="67"/>
  <c r="AC182" i="71" s="1"/>
  <c r="HC83" i="67"/>
  <c r="AC83" i="71" s="1"/>
  <c r="HC10" i="67"/>
  <c r="AC10" i="71" s="1"/>
  <c r="HC159" i="67"/>
  <c r="AC161" i="71" s="1"/>
  <c r="HC168" i="67"/>
  <c r="AC170" i="71" s="1"/>
  <c r="HC84" i="67"/>
  <c r="AC84" i="71" s="1"/>
  <c r="HC116" i="67"/>
  <c r="AC116" i="71" s="1"/>
  <c r="HC161" i="67"/>
  <c r="AC163" i="71" s="1"/>
  <c r="HC39" i="67"/>
  <c r="AC39" i="71" s="1"/>
  <c r="HC107" i="67"/>
  <c r="AC107" i="71" s="1"/>
  <c r="HC87" i="67"/>
  <c r="AC87" i="71" s="1"/>
  <c r="HC23" i="67"/>
  <c r="AC23" i="71" s="1"/>
  <c r="HC143" i="67"/>
  <c r="AC143" i="71" s="1"/>
  <c r="HC127" i="67"/>
  <c r="AC127" i="71" s="1"/>
  <c r="HC93" i="67"/>
  <c r="AC93" i="71" s="1"/>
  <c r="HC177" i="67"/>
  <c r="AC179" i="71" s="1"/>
  <c r="HC37" i="67"/>
  <c r="AC37" i="71" s="1"/>
  <c r="HC106" i="67"/>
  <c r="AC106" i="71" s="1"/>
  <c r="HC53" i="67"/>
  <c r="AC53" i="71" s="1"/>
  <c r="HC9" i="67"/>
  <c r="AC9" i="71" s="1"/>
  <c r="HC66" i="67"/>
  <c r="AC66" i="71" s="1"/>
  <c r="HC97" i="67"/>
  <c r="AC97" i="71" s="1"/>
  <c r="HC167" i="67"/>
  <c r="AC169" i="71" s="1"/>
  <c r="HC70" i="67"/>
  <c r="AC70" i="71" s="1"/>
  <c r="HC176" i="67"/>
  <c r="AC178" i="71" s="1"/>
  <c r="HC182" i="67"/>
  <c r="AC184" i="71" s="1"/>
  <c r="HC35" i="67"/>
  <c r="AC35" i="71" s="1"/>
  <c r="HC148" i="67"/>
  <c r="AC148" i="71" s="1"/>
  <c r="HC60" i="67"/>
  <c r="AC60" i="71" s="1"/>
  <c r="HC157" i="67"/>
  <c r="AC159" i="71" s="1"/>
  <c r="HC25" i="67"/>
  <c r="AC25" i="71" s="1"/>
  <c r="HC105" i="67"/>
  <c r="AC105" i="71" s="1"/>
  <c r="HC61" i="67"/>
  <c r="AC61" i="71" s="1"/>
  <c r="HC17" i="67"/>
  <c r="AC17" i="71" s="1"/>
  <c r="HC11" i="67"/>
  <c r="AC11" i="71" s="1"/>
  <c r="HC89" i="67"/>
  <c r="AC89" i="71" s="1"/>
  <c r="HC40" i="67"/>
  <c r="AC40" i="71" s="1"/>
  <c r="HC124" i="67"/>
  <c r="AC124" i="71" s="1"/>
  <c r="HC42" i="67"/>
  <c r="AC42" i="71" s="1"/>
  <c r="HC59" i="67"/>
  <c r="AC59" i="71" s="1"/>
  <c r="DA196" i="67"/>
  <c r="HC8" i="67"/>
  <c r="AC8" i="71" s="1"/>
  <c r="HC111" i="67"/>
  <c r="AC111" i="71" s="1"/>
  <c r="HC164" i="67"/>
  <c r="AC166" i="71" s="1"/>
  <c r="HC181" i="67"/>
  <c r="AC183" i="71" s="1"/>
  <c r="HC184" i="67"/>
  <c r="AC186" i="71" s="1"/>
  <c r="HC110" i="67"/>
  <c r="AC110" i="71" s="1"/>
  <c r="HC154" i="67"/>
  <c r="AC156" i="71" s="1"/>
  <c r="HC146" i="67"/>
  <c r="AC146" i="71" s="1"/>
  <c r="HC112" i="67"/>
  <c r="AC112" i="71" s="1"/>
  <c r="HC131" i="67"/>
  <c r="AC131" i="71" s="1"/>
  <c r="HC80" i="67"/>
  <c r="AC80" i="71" s="1"/>
  <c r="HC156" i="67"/>
  <c r="AC158" i="71" s="1"/>
  <c r="HC170" i="67"/>
  <c r="AC172" i="71" s="1"/>
  <c r="HC183" i="67"/>
  <c r="AC185" i="71" s="1"/>
  <c r="HC43" i="67"/>
  <c r="AC43" i="71" s="1"/>
  <c r="HC193" i="67"/>
  <c r="AC193" i="71" s="1"/>
  <c r="HC152" i="67"/>
  <c r="AC154" i="71" s="1"/>
  <c r="HC141" i="67"/>
  <c r="AC141" i="71" s="1"/>
  <c r="HC72" i="67"/>
  <c r="AC72" i="71" s="1"/>
  <c r="HC19" i="67"/>
  <c r="AC19" i="71" s="1"/>
  <c r="HC24" i="67"/>
  <c r="AC24" i="71" s="1"/>
  <c r="HC15" i="67"/>
  <c r="AC15" i="71" s="1"/>
  <c r="HC137" i="67"/>
  <c r="AC137" i="71" s="1"/>
  <c r="HC55" i="67"/>
  <c r="AC55" i="71" s="1"/>
  <c r="HC173" i="67"/>
  <c r="AC175" i="71" s="1"/>
  <c r="HC56" i="67"/>
  <c r="AC56" i="71" s="1"/>
  <c r="HC31" i="67"/>
  <c r="AC31" i="71" s="1"/>
  <c r="HC178" i="67"/>
  <c r="AC180" i="71" s="1"/>
  <c r="HC28" i="67"/>
  <c r="AC28" i="71" s="1"/>
  <c r="HC86" i="67"/>
  <c r="AC86" i="71" s="1"/>
  <c r="HC20" i="67"/>
  <c r="AC20" i="71" s="1"/>
  <c r="HC54" i="67"/>
  <c r="AC54" i="71" s="1"/>
  <c r="HC73" i="67"/>
  <c r="AC73" i="71" s="1"/>
  <c r="HC104" i="67"/>
  <c r="AC104" i="71" s="1"/>
  <c r="HC134" i="67"/>
  <c r="AC134" i="71" s="1"/>
  <c r="HC174" i="67"/>
  <c r="AC176" i="71" s="1"/>
  <c r="HC68" i="67"/>
  <c r="AC68" i="71" s="1"/>
  <c r="HC98" i="67"/>
  <c r="AC98" i="71" s="1"/>
  <c r="HC96" i="67"/>
  <c r="AC96" i="71" s="1"/>
  <c r="HC38" i="67"/>
  <c r="AC38" i="71" s="1"/>
  <c r="HC36" i="67"/>
  <c r="AC36" i="71" s="1"/>
  <c r="HC149" i="67"/>
  <c r="AC149" i="71" s="1"/>
  <c r="HC119" i="67"/>
  <c r="AC119" i="71" s="1"/>
  <c r="HC71" i="67"/>
  <c r="AC71" i="71" s="1"/>
  <c r="HC147" i="67"/>
  <c r="AC147" i="71" s="1"/>
  <c r="HC189" i="67"/>
  <c r="AC191" i="71" s="1"/>
  <c r="HC34" i="67"/>
  <c r="AC34" i="71" s="1"/>
  <c r="HC16" i="67"/>
  <c r="AC16" i="71" s="1"/>
  <c r="HC102" i="67"/>
  <c r="AC102" i="71" s="1"/>
  <c r="HC63" i="67"/>
  <c r="AC63" i="71" s="1"/>
  <c r="HC190" i="67"/>
  <c r="AC192" i="71" s="1"/>
  <c r="HC81" i="67"/>
  <c r="AC81" i="71" s="1"/>
  <c r="HC91" i="67"/>
  <c r="AC91" i="71" s="1"/>
  <c r="HC132" i="67"/>
  <c r="AC132" i="71" s="1"/>
  <c r="HC41" i="67"/>
  <c r="AC41" i="71" s="1"/>
  <c r="HC52" i="67"/>
  <c r="AC52" i="71" s="1"/>
  <c r="HC50" i="67"/>
  <c r="AC50" i="71" s="1"/>
  <c r="HC47" i="67"/>
  <c r="AC47" i="71" s="1"/>
  <c r="HC90" i="67"/>
  <c r="AC90" i="71" s="1"/>
  <c r="HC14" i="67"/>
  <c r="AC14" i="71" s="1"/>
  <c r="HC92" i="67"/>
  <c r="AC92" i="71" s="1"/>
  <c r="HC99" i="67"/>
  <c r="AC99" i="71" s="1"/>
  <c r="HC49" i="67"/>
  <c r="AC49" i="71" s="1"/>
  <c r="HC78" i="67"/>
  <c r="AC78" i="71" s="1"/>
  <c r="HC133" i="67"/>
  <c r="AC133" i="71" s="1"/>
  <c r="HC44" i="67"/>
  <c r="AC44" i="71" s="1"/>
  <c r="HC175" i="67"/>
  <c r="AC177" i="71" s="1"/>
  <c r="HC75" i="67"/>
  <c r="AC75" i="71" s="1"/>
  <c r="HC113" i="67"/>
  <c r="AC113" i="71" s="1"/>
  <c r="HC51" i="67"/>
  <c r="AC51" i="71" s="1"/>
  <c r="HC77" i="67"/>
  <c r="AC77" i="71" s="1"/>
  <c r="HC169" i="67"/>
  <c r="AC171" i="71" s="1"/>
  <c r="HC88" i="67"/>
  <c r="AC88" i="71" s="1"/>
  <c r="HC129" i="67"/>
  <c r="AC129" i="71" s="1"/>
  <c r="HC126" i="67"/>
  <c r="AC126" i="71" s="1"/>
  <c r="HC187" i="67"/>
  <c r="AC189" i="71" s="1"/>
  <c r="HC12" i="67"/>
  <c r="AC12" i="71" s="1"/>
  <c r="HC85" i="67"/>
  <c r="AC85" i="71" s="1"/>
  <c r="HC64" i="67"/>
  <c r="AC64" i="71" s="1"/>
  <c r="HC95" i="67"/>
  <c r="AC95" i="71" s="1"/>
  <c r="HC29" i="67"/>
  <c r="AC29" i="71" s="1"/>
  <c r="HC135" i="67"/>
  <c r="AC135" i="71" s="1"/>
  <c r="HC186" i="67"/>
  <c r="AC188" i="71" s="1"/>
  <c r="HC21" i="67"/>
  <c r="AC21" i="71" s="1"/>
  <c r="HC163" i="67"/>
  <c r="AC165" i="71" s="1"/>
  <c r="HC67" i="67"/>
  <c r="AC67" i="71" s="1"/>
  <c r="HC185" i="67"/>
  <c r="AC187" i="71" s="1"/>
  <c r="HC165" i="67"/>
  <c r="AC167" i="71" s="1"/>
  <c r="HC27" i="67"/>
  <c r="AC27" i="71" s="1"/>
  <c r="HC125" i="67"/>
  <c r="AC125" i="71" s="1"/>
  <c r="HC22" i="67"/>
  <c r="AC22" i="71" s="1"/>
  <c r="HC121" i="67"/>
  <c r="AC121" i="71" s="1"/>
  <c r="HC166" i="67"/>
  <c r="AC168" i="71" s="1"/>
  <c r="HC30" i="67"/>
  <c r="AC30" i="71" s="1"/>
  <c r="HC62" i="67"/>
  <c r="AC62" i="71" s="1"/>
  <c r="HC128" i="67"/>
  <c r="AC128" i="71" s="1"/>
  <c r="HC145" i="67"/>
  <c r="AC145" i="71" s="1"/>
  <c r="HC155" i="67"/>
  <c r="AC157" i="71" s="1"/>
  <c r="HC153" i="67"/>
  <c r="AC155" i="71" s="1"/>
  <c r="HC103" i="67"/>
  <c r="AC103" i="71" s="1"/>
  <c r="HC100" i="67"/>
  <c r="AC100" i="71" s="1"/>
  <c r="HC74" i="67"/>
  <c r="AC74" i="71" s="1"/>
  <c r="HC179" i="67"/>
  <c r="AC181" i="71" s="1"/>
  <c r="HC13" i="67"/>
  <c r="AC13" i="71" s="1"/>
  <c r="HC172" i="67"/>
  <c r="AC174" i="71" s="1"/>
  <c r="HC79" i="67"/>
  <c r="AC79" i="71" s="1"/>
  <c r="HC120" i="67"/>
  <c r="AC120" i="71" s="1"/>
  <c r="HC18" i="67"/>
  <c r="AC18" i="71" s="1"/>
  <c r="HC139" i="67"/>
  <c r="AC139" i="71" s="1"/>
  <c r="HC109" i="67"/>
  <c r="AC109" i="71" s="1"/>
  <c r="HC94" i="67"/>
  <c r="AC94" i="71" s="1"/>
  <c r="HC32" i="67"/>
  <c r="AC32" i="71" s="1"/>
  <c r="HC108" i="67"/>
  <c r="AC108" i="71" s="1"/>
  <c r="HC117" i="67"/>
  <c r="AC117" i="71" s="1"/>
  <c r="HC130" i="67"/>
  <c r="AC130" i="71" s="1"/>
  <c r="HC162" i="67"/>
  <c r="AC164" i="71" s="1"/>
  <c r="HC171" i="67"/>
  <c r="AC173" i="71" s="1"/>
  <c r="HC65" i="67"/>
  <c r="AC65" i="71" s="1"/>
  <c r="HC33" i="67"/>
  <c r="AC33" i="71" s="1"/>
  <c r="HC57" i="67"/>
  <c r="AC57" i="71" s="1"/>
  <c r="HC144" i="67"/>
  <c r="AC144" i="71" s="1"/>
  <c r="HC136" i="67"/>
  <c r="AC136" i="71" s="1"/>
  <c r="HC188" i="67"/>
  <c r="AC190" i="71" s="1"/>
  <c r="HC46" i="67"/>
  <c r="AC46" i="71" s="1"/>
  <c r="HC160" i="67"/>
  <c r="AC162" i="71" s="1"/>
  <c r="HC191" i="67"/>
  <c r="AC152" i="71" s="1"/>
  <c r="HC151" i="67"/>
  <c r="AC151" i="71" s="1"/>
  <c r="HC82" i="67"/>
  <c r="AC82" i="71" s="1"/>
  <c r="HC114" i="67"/>
  <c r="AC114" i="71" s="1"/>
  <c r="HC123" i="67"/>
  <c r="AC123" i="71" s="1"/>
  <c r="HC150" i="67"/>
  <c r="AC150" i="71" s="1"/>
  <c r="HC101" i="67"/>
  <c r="AC101" i="71" s="1"/>
  <c r="HC26" i="67"/>
  <c r="AC26" i="71" s="1"/>
  <c r="HC118" i="67"/>
  <c r="AC118" i="71" s="1"/>
  <c r="HC158" i="67"/>
  <c r="AC160" i="71" s="1"/>
  <c r="HC115" i="67"/>
  <c r="AC115" i="71" s="1"/>
  <c r="HC76" i="67"/>
  <c r="AC76" i="71" s="1"/>
  <c r="HC45" i="67"/>
  <c r="AC45" i="71" s="1"/>
  <c r="HC142" i="67"/>
  <c r="AC142" i="71" s="1"/>
  <c r="J74" i="11" l="1"/>
  <c r="HJ196" i="67"/>
  <c r="HC196" i="67"/>
  <c r="O195" i="71" l="1"/>
  <c r="I193" i="68" l="1"/>
  <c r="J193" i="68"/>
  <c r="H193" i="68"/>
  <c r="DX136" i="61" l="1"/>
  <c r="DX130" i="61"/>
  <c r="J196" i="67"/>
  <c r="I196" i="67"/>
  <c r="DX133" i="61" l="1"/>
  <c r="DX62" i="61"/>
  <c r="DX87" i="61"/>
  <c r="DX94" i="61"/>
  <c r="DX12" i="61"/>
  <c r="DX28" i="61"/>
  <c r="DX16" i="61"/>
  <c r="DX98" i="61"/>
  <c r="DX55" i="61"/>
  <c r="DX45" i="61"/>
  <c r="DX93" i="61"/>
  <c r="DX137" i="61"/>
  <c r="DX138" i="61"/>
  <c r="DX17" i="61"/>
  <c r="DX65" i="61"/>
  <c r="DX25" i="61"/>
  <c r="DX92" i="61"/>
  <c r="DX27" i="61"/>
  <c r="DX33" i="61"/>
  <c r="DX105" i="61"/>
  <c r="DX56" i="61"/>
  <c r="DX31" i="61"/>
  <c r="DX66" i="61"/>
  <c r="DX59" i="61"/>
  <c r="DX90" i="61"/>
  <c r="DX82" i="61"/>
  <c r="DX95" i="61"/>
  <c r="DX70" i="61"/>
  <c r="DX48" i="61"/>
  <c r="DX36" i="61"/>
  <c r="DX73" i="61"/>
  <c r="DX21" i="61"/>
  <c r="DX104" i="61"/>
  <c r="DX71" i="61"/>
  <c r="DX107" i="61"/>
  <c r="DX135" i="61"/>
  <c r="DX10" i="61"/>
  <c r="DX51" i="61"/>
  <c r="DX35" i="61"/>
  <c r="DX81" i="61"/>
  <c r="DX24" i="61"/>
  <c r="DX43" i="61"/>
  <c r="DX111" i="61"/>
  <c r="DX91" i="61"/>
  <c r="DX18" i="61"/>
  <c r="DX58" i="61"/>
  <c r="DX100" i="61"/>
  <c r="DX53" i="61"/>
  <c r="DX20" i="61"/>
  <c r="DX127" i="61"/>
  <c r="DX30" i="61"/>
  <c r="DX41" i="61"/>
  <c r="DX115" i="61"/>
  <c r="DX83" i="61"/>
  <c r="DX129" i="61"/>
  <c r="DX117" i="61"/>
  <c r="DX47" i="61"/>
  <c r="DX119" i="61"/>
  <c r="DX9" i="61"/>
  <c r="DX121" i="61"/>
  <c r="DX88" i="61"/>
  <c r="DX118" i="61"/>
  <c r="DX77" i="61"/>
  <c r="DX86" i="61"/>
  <c r="DX132" i="61"/>
  <c r="DX120" i="61"/>
  <c r="DX110" i="61"/>
  <c r="DX140" i="61"/>
  <c r="DX123" i="61"/>
  <c r="DX142" i="61" l="1"/>
  <c r="DX143" i="61" l="1"/>
  <c r="DX144" i="61" l="1"/>
  <c r="DX145" i="61" l="1"/>
  <c r="Q94" i="11"/>
  <c r="Q99" i="11"/>
  <c r="Q100" i="11"/>
  <c r="Q107" i="11"/>
  <c r="Q108" i="11"/>
  <c r="DX146" i="61" l="1"/>
  <c r="DX148" i="61" l="1"/>
  <c r="DX147" i="61"/>
  <c r="DX151" i="61" l="1"/>
  <c r="DX153" i="61" l="1"/>
  <c r="S195" i="71"/>
  <c r="DX158" i="61" l="1"/>
  <c r="DX161" i="61" l="1"/>
  <c r="DX162" i="61" l="1"/>
  <c r="DX164" i="61" l="1"/>
  <c r="DX165" i="61" l="1"/>
  <c r="DX166" i="61" l="1"/>
  <c r="CB194" i="49" l="1"/>
  <c r="CE194" i="49"/>
  <c r="Q115" i="11" l="1"/>
  <c r="DX170" i="61" l="1"/>
  <c r="R65" i="11"/>
  <c r="D49" i="11"/>
  <c r="E135" i="11" s="1"/>
  <c r="S108" i="11"/>
  <c r="S100" i="11"/>
  <c r="S99" i="11"/>
  <c r="R74" i="11"/>
  <c r="J59" i="77" l="1"/>
  <c r="S59" i="77" s="1"/>
  <c r="T59" i="77" s="1"/>
  <c r="R110" i="11"/>
  <c r="L59" i="77" l="1"/>
  <c r="DX172" i="61"/>
  <c r="E132" i="11"/>
  <c r="J21" i="77" l="1"/>
  <c r="L21" i="77" s="1"/>
  <c r="J23" i="77"/>
  <c r="DX173" i="61"/>
  <c r="S21" i="77" l="1"/>
  <c r="T21" i="77" s="1"/>
  <c r="S23" i="77"/>
  <c r="T23" i="77" s="1"/>
  <c r="L23" i="77"/>
  <c r="DX175" i="61" l="1"/>
  <c r="E133" i="11" l="1"/>
  <c r="J79" i="77" l="1"/>
  <c r="S79" i="77" s="1"/>
  <c r="DX178" i="61"/>
  <c r="F32" i="11"/>
  <c r="F37" i="11" s="1"/>
  <c r="E32" i="11"/>
  <c r="E37" i="11" s="1"/>
  <c r="G37" i="11"/>
  <c r="O32" i="11"/>
  <c r="O37" i="11" s="1"/>
  <c r="N32" i="11"/>
  <c r="N37" i="11" s="1"/>
  <c r="J32" i="11"/>
  <c r="J37" i="11" s="1"/>
  <c r="P32" i="11"/>
  <c r="P37" i="11" s="1"/>
  <c r="I32" i="11"/>
  <c r="I37" i="11" s="1"/>
  <c r="J82" i="77" l="1"/>
  <c r="J94" i="77" s="1"/>
  <c r="J96" i="77" s="1"/>
  <c r="J121" i="77" s="1"/>
  <c r="L121" i="77" s="1"/>
  <c r="L79" i="77"/>
  <c r="L82" i="77" s="1"/>
  <c r="L94" i="77" s="1"/>
  <c r="L96" i="77" s="1"/>
  <c r="T79" i="77"/>
  <c r="T82" i="77" s="1"/>
  <c r="S82" i="77"/>
  <c r="S94" i="77" s="1"/>
  <c r="S96" i="77" s="1"/>
  <c r="DX179" i="61" l="1"/>
  <c r="F216" i="77"/>
  <c r="S121" i="77"/>
  <c r="S104" i="11"/>
  <c r="Q89" i="11"/>
  <c r="O83" i="11"/>
  <c r="D15" i="11"/>
  <c r="S82" i="11"/>
  <c r="D14" i="11"/>
  <c r="S103" i="11"/>
  <c r="D16" i="11"/>
  <c r="M83" i="11"/>
  <c r="M110" i="11" s="1"/>
  <c r="M111" i="11" s="1"/>
  <c r="P83" i="11"/>
  <c r="L83" i="11"/>
  <c r="R36" i="11"/>
  <c r="K32" i="11"/>
  <c r="K37" i="11" s="1"/>
  <c r="N83" i="11"/>
  <c r="P110" i="11" l="1"/>
  <c r="P111" i="11" s="1"/>
  <c r="DX181" i="61"/>
  <c r="U121" i="77"/>
  <c r="T121" i="77"/>
  <c r="R15" i="11"/>
  <c r="R16" i="11"/>
  <c r="R14" i="11"/>
  <c r="R33" i="11"/>
  <c r="R34" i="11"/>
  <c r="S98" i="11"/>
  <c r="S102" i="11"/>
  <c r="L109" i="11"/>
  <c r="L110" i="11" s="1"/>
  <c r="L111" i="11" s="1"/>
  <c r="F109" i="11"/>
  <c r="F110" i="11" s="1"/>
  <c r="F111" i="11" s="1"/>
  <c r="K109" i="11"/>
  <c r="J109" i="11"/>
  <c r="H83" i="11"/>
  <c r="G109" i="11"/>
  <c r="G110" i="11" s="1"/>
  <c r="G111" i="11" s="1"/>
  <c r="Q88" i="11"/>
  <c r="I109" i="11"/>
  <c r="K83" i="11"/>
  <c r="H109" i="11"/>
  <c r="Q101" i="11"/>
  <c r="Q68" i="11"/>
  <c r="E136" i="11" s="1"/>
  <c r="Q87" i="11"/>
  <c r="E128" i="11" s="1"/>
  <c r="S88" i="11"/>
  <c r="L32" i="11"/>
  <c r="L37" i="11" s="1"/>
  <c r="Q102" i="11"/>
  <c r="Q86" i="11"/>
  <c r="Q98" i="11"/>
  <c r="E130" i="11" s="1"/>
  <c r="S81" i="11"/>
  <c r="S54" i="11"/>
  <c r="Q104" i="11"/>
  <c r="S86" i="11"/>
  <c r="Q85" i="11"/>
  <c r="Q50" i="11"/>
  <c r="D17" i="11"/>
  <c r="R17" i="11" s="1"/>
  <c r="S101" i="11"/>
  <c r="S53" i="11"/>
  <c r="Q103" i="11"/>
  <c r="S89" i="11"/>
  <c r="Q53" i="11"/>
  <c r="Q82" i="11"/>
  <c r="S68" i="11"/>
  <c r="Q54" i="11"/>
  <c r="S85" i="11"/>
  <c r="S87" i="11"/>
  <c r="H37" i="11"/>
  <c r="J16" i="77" l="1"/>
  <c r="L16" i="77" s="1"/>
  <c r="J60" i="77"/>
  <c r="L60" i="77" s="1"/>
  <c r="J19" i="77"/>
  <c r="S19" i="77" s="1"/>
  <c r="T19" i="77" s="1"/>
  <c r="K110" i="11"/>
  <c r="K111" i="11" s="1"/>
  <c r="O15" i="74"/>
  <c r="O21" i="74" s="1"/>
  <c r="O30" i="74" s="1"/>
  <c r="O34" i="74" s="1"/>
  <c r="H110" i="11"/>
  <c r="H111" i="11" s="1"/>
  <c r="L15" i="74"/>
  <c r="L21" i="74" s="1"/>
  <c r="L30" i="74" s="1"/>
  <c r="L34" i="74" s="1"/>
  <c r="P49" i="11"/>
  <c r="P65" i="11" s="1"/>
  <c r="I49" i="11"/>
  <c r="I65" i="11" s="1"/>
  <c r="H49" i="11"/>
  <c r="H65" i="11" s="1"/>
  <c r="E49" i="11"/>
  <c r="F49" i="11"/>
  <c r="F65" i="11" s="1"/>
  <c r="L49" i="11"/>
  <c r="L65" i="11" s="1"/>
  <c r="J49" i="11"/>
  <c r="J65" i="11" s="1"/>
  <c r="M49" i="11"/>
  <c r="M65" i="11" s="1"/>
  <c r="N49" i="11"/>
  <c r="G49" i="11"/>
  <c r="G65" i="11" s="1"/>
  <c r="K49" i="11"/>
  <c r="K65" i="11" s="1"/>
  <c r="Q61" i="11"/>
  <c r="E131" i="11"/>
  <c r="D32" i="11"/>
  <c r="D37" i="11" s="1"/>
  <c r="S57" i="11"/>
  <c r="Q60" i="11"/>
  <c r="Q52" i="11"/>
  <c r="S61" i="11"/>
  <c r="S60" i="11"/>
  <c r="Q62" i="11"/>
  <c r="S62" i="11"/>
  <c r="S58" i="11"/>
  <c r="Q58" i="11"/>
  <c r="Q56" i="11"/>
  <c r="S59" i="11"/>
  <c r="Q59" i="11"/>
  <c r="Q57" i="11"/>
  <c r="S52" i="11"/>
  <c r="L19" i="77" l="1"/>
  <c r="S16" i="77"/>
  <c r="T16" i="77" s="1"/>
  <c r="S60" i="77"/>
  <c r="T60" i="77" s="1"/>
  <c r="J20" i="77"/>
  <c r="L20" i="77" s="1"/>
  <c r="E65" i="11"/>
  <c r="G69" i="11"/>
  <c r="G72" i="11" s="1"/>
  <c r="L69" i="11"/>
  <c r="L72" i="11" s="1"/>
  <c r="F69" i="11"/>
  <c r="F72" i="11" s="1"/>
  <c r="P69" i="11"/>
  <c r="P72" i="11" s="1"/>
  <c r="K69" i="11"/>
  <c r="K72" i="11" s="1"/>
  <c r="H69" i="11"/>
  <c r="H72" i="11" s="1"/>
  <c r="M69" i="11"/>
  <c r="M72" i="11" s="1"/>
  <c r="I69" i="11"/>
  <c r="S50" i="11"/>
  <c r="DX182" i="61"/>
  <c r="J15" i="74"/>
  <c r="J21" i="74" s="1"/>
  <c r="J30" i="74" s="1"/>
  <c r="J34" i="74" s="1"/>
  <c r="E15" i="74"/>
  <c r="E21" i="74" s="1"/>
  <c r="E30" i="74" s="1"/>
  <c r="E34" i="74" s="1"/>
  <c r="F15" i="74"/>
  <c r="F21" i="74" s="1"/>
  <c r="F30" i="74" s="1"/>
  <c r="F34" i="74" s="1"/>
  <c r="K15" i="74"/>
  <c r="K21" i="74" s="1"/>
  <c r="K30" i="74" s="1"/>
  <c r="K34" i="74" s="1"/>
  <c r="G15" i="74"/>
  <c r="G21" i="74" s="1"/>
  <c r="G30" i="74" s="1"/>
  <c r="G34" i="74" s="1"/>
  <c r="S20" i="77" l="1"/>
  <c r="T20" i="77" s="1"/>
  <c r="E69" i="11"/>
  <c r="E72" i="11" s="1"/>
  <c r="J69" i="11"/>
  <c r="J72" i="11" s="1"/>
  <c r="S66" i="11"/>
  <c r="J83" i="11"/>
  <c r="DX183" i="61"/>
  <c r="J110" i="11" l="1"/>
  <c r="J111" i="11" s="1"/>
  <c r="I72" i="11"/>
  <c r="S70" i="11"/>
  <c r="DX184" i="61"/>
  <c r="E83" i="11"/>
  <c r="E110" i="11" s="1"/>
  <c r="E111" i="11" s="1"/>
  <c r="I15" i="74" l="1"/>
  <c r="I21" i="74" s="1"/>
  <c r="I30" i="74" s="1"/>
  <c r="I34" i="74" s="1"/>
  <c r="DX185" i="61"/>
  <c r="D15" i="74"/>
  <c r="D21" i="74" s="1"/>
  <c r="D30" i="74" s="1"/>
  <c r="D34" i="74" s="1"/>
  <c r="D35" i="74" l="1"/>
  <c r="E33" i="74" s="1"/>
  <c r="E35" i="74" s="1"/>
  <c r="F33" i="74" s="1"/>
  <c r="F35" i="74" s="1"/>
  <c r="G33" i="74" s="1"/>
  <c r="G35" i="74" s="1"/>
  <c r="H33" i="74" s="1"/>
  <c r="DX189" i="61" l="1"/>
  <c r="DX192" i="61" l="1"/>
  <c r="I83" i="11"/>
  <c r="I110" i="11" s="1"/>
  <c r="I111" i="11" s="1"/>
  <c r="DX193" i="61" l="1"/>
  <c r="H15" i="74"/>
  <c r="H21" i="74" s="1"/>
  <c r="H30" i="74" s="1"/>
  <c r="H34" i="74" s="1"/>
  <c r="H35" i="74" s="1"/>
  <c r="I33" i="74" s="1"/>
  <c r="I35" i="74" s="1"/>
  <c r="J33" i="74" s="1"/>
  <c r="J35" i="74" s="1"/>
  <c r="K33" i="74" s="1"/>
  <c r="K35" i="74" s="1"/>
  <c r="L33" i="74" s="1"/>
  <c r="L35" i="74" s="1"/>
  <c r="M33" i="74" s="1"/>
  <c r="E129" i="11"/>
  <c r="Q83" i="11"/>
  <c r="J17" i="77" l="1"/>
  <c r="S17" i="77" l="1"/>
  <c r="L17" i="77"/>
  <c r="T17" i="77" l="1"/>
  <c r="M195" i="71" l="1"/>
  <c r="DW195" i="61"/>
  <c r="AN21" i="68" l="1"/>
  <c r="AN149" i="68"/>
  <c r="AN111" i="68"/>
  <c r="AN91" i="68" l="1"/>
  <c r="AN75" i="68"/>
  <c r="AN46" i="68"/>
  <c r="AN189" i="68"/>
  <c r="AN36" i="68"/>
  <c r="AN55" i="68"/>
  <c r="AN177" i="68"/>
  <c r="AN56" i="68"/>
  <c r="AN13" i="68"/>
  <c r="AN170" i="68"/>
  <c r="AN132" i="68"/>
  <c r="AN78" i="68"/>
  <c r="AN25" i="68" l="1"/>
  <c r="AN76" i="68"/>
  <c r="AN38" i="68"/>
  <c r="AN39" i="68" l="1"/>
  <c r="AN145" i="68"/>
  <c r="AN139" i="68"/>
  <c r="AN104" i="68"/>
  <c r="AN105" i="68"/>
  <c r="AN84" i="68" l="1"/>
  <c r="AH193" i="68" l="1"/>
  <c r="AN193" i="68" s="1"/>
  <c r="AN28" i="68"/>
  <c r="W194" i="49" l="1"/>
  <c r="CA194" i="49" l="1"/>
  <c r="X194" i="49" l="1"/>
  <c r="AP100" i="71"/>
  <c r="AP190" i="71"/>
  <c r="AP31" i="71"/>
  <c r="Y194" i="49"/>
  <c r="BZ194" i="49"/>
  <c r="Z194" i="49"/>
  <c r="AP91" i="71" l="1"/>
  <c r="AI195" i="71" l="1"/>
  <c r="CC194" i="49"/>
  <c r="HE82" i="67" l="1"/>
  <c r="AE82" i="71" s="1"/>
  <c r="DX194" i="61"/>
  <c r="HE180" i="67"/>
  <c r="AE182" i="71" s="1"/>
  <c r="HE145" i="67"/>
  <c r="AE145" i="71" s="1"/>
  <c r="AP145" i="71" s="1"/>
  <c r="HE121" i="67"/>
  <c r="AE121" i="71" s="1"/>
  <c r="DX177" i="61"/>
  <c r="HE59" i="67"/>
  <c r="AE59" i="71" s="1"/>
  <c r="HE97" i="67"/>
  <c r="AE97" i="71" s="1"/>
  <c r="HE184" i="67"/>
  <c r="AE186" i="71" s="1"/>
  <c r="DX84" i="61"/>
  <c r="HE66" i="67"/>
  <c r="AE66" i="71" s="1"/>
  <c r="DX149" i="61"/>
  <c r="HE193" i="67"/>
  <c r="AE193" i="71" s="1"/>
  <c r="HE104" i="67" l="1"/>
  <c r="AE104" i="71" s="1"/>
  <c r="HE112" i="67"/>
  <c r="AE112" i="71" s="1"/>
  <c r="HE185" i="67"/>
  <c r="AE187" i="71" s="1"/>
  <c r="HE73" i="67"/>
  <c r="AE73" i="71" s="1"/>
  <c r="HE102" i="67"/>
  <c r="AE102" i="71" s="1"/>
  <c r="HE70" i="67"/>
  <c r="AE70" i="71" s="1"/>
  <c r="HE127" i="67"/>
  <c r="AE127" i="71" s="1"/>
  <c r="HE74" i="67"/>
  <c r="AE74" i="71" s="1"/>
  <c r="HE153" i="67"/>
  <c r="AE155" i="71" s="1"/>
  <c r="HE189" i="67"/>
  <c r="AE191" i="71" s="1"/>
  <c r="HE15" i="67"/>
  <c r="AE15" i="71" s="1"/>
  <c r="HE144" i="67"/>
  <c r="AE144" i="71" s="1"/>
  <c r="HE149" i="67"/>
  <c r="AE149" i="71" s="1"/>
  <c r="HE14" i="67"/>
  <c r="AE14" i="71" s="1"/>
  <c r="HE87" i="67"/>
  <c r="AE87" i="71" s="1"/>
  <c r="HE152" i="67"/>
  <c r="AE154" i="71" s="1"/>
  <c r="HE77" i="67"/>
  <c r="AE77" i="71" s="1"/>
  <c r="HE105" i="67"/>
  <c r="AE105" i="71" s="1"/>
  <c r="HE186" i="67"/>
  <c r="AE188" i="71" s="1"/>
  <c r="HE32" i="67"/>
  <c r="AE32" i="71" s="1"/>
  <c r="HE120" i="67"/>
  <c r="AE120" i="71" s="1"/>
  <c r="R25" i="11"/>
  <c r="HE72" i="67"/>
  <c r="AE72" i="71" s="1"/>
  <c r="HE30" i="67"/>
  <c r="AE30" i="71" s="1"/>
  <c r="AP30" i="71" s="1"/>
  <c r="HE159" i="67"/>
  <c r="AE161" i="71" s="1"/>
  <c r="HE96" i="67"/>
  <c r="AE96" i="71" s="1"/>
  <c r="HE147" i="67"/>
  <c r="AE147" i="71" s="1"/>
  <c r="HE22" i="67"/>
  <c r="AE22" i="71" s="1"/>
  <c r="HE177" i="67"/>
  <c r="AE179" i="71" s="1"/>
  <c r="HE62" i="67"/>
  <c r="AE62" i="71" s="1"/>
  <c r="HE13" i="67"/>
  <c r="AE13" i="71" s="1"/>
  <c r="DX116" i="61"/>
  <c r="DX131" i="61"/>
  <c r="DX68" i="61"/>
  <c r="DX106" i="61"/>
  <c r="DX74" i="61"/>
  <c r="HE130" i="67"/>
  <c r="AE130" i="71" s="1"/>
  <c r="DX103" i="61"/>
  <c r="DX97" i="61"/>
  <c r="HE191" i="67"/>
  <c r="AE152" i="71" s="1"/>
  <c r="HE65" i="67"/>
  <c r="AE65" i="71" s="1"/>
  <c r="DX39" i="61"/>
  <c r="DX126" i="61"/>
  <c r="DX102" i="61"/>
  <c r="HE36" i="67"/>
  <c r="AE36" i="71" s="1"/>
  <c r="DX19" i="61"/>
  <c r="DX187" i="61"/>
  <c r="HE124" i="67"/>
  <c r="AE124" i="71" s="1"/>
  <c r="HE11" i="67"/>
  <c r="AE11" i="71" s="1"/>
  <c r="HE151" i="67"/>
  <c r="AE151" i="71" s="1"/>
  <c r="HE171" i="67"/>
  <c r="AE173" i="71" s="1"/>
  <c r="AP173" i="71" s="1"/>
  <c r="HE135" i="67"/>
  <c r="AE135" i="71" s="1"/>
  <c r="HE29" i="67"/>
  <c r="AE29" i="71" s="1"/>
  <c r="HE164" i="67"/>
  <c r="AE166" i="71" s="1"/>
  <c r="DX114" i="61"/>
  <c r="DX109" i="61"/>
  <c r="HE47" i="67"/>
  <c r="AE47" i="71" s="1"/>
  <c r="DX42" i="61"/>
  <c r="DX46" i="61"/>
  <c r="HE118" i="67"/>
  <c r="AE118" i="71" s="1"/>
  <c r="HE55" i="67"/>
  <c r="AE55" i="71" s="1"/>
  <c r="HE122" i="67"/>
  <c r="AE122" i="71" s="1"/>
  <c r="DX156" i="61"/>
  <c r="DX186" i="61"/>
  <c r="DX14" i="61"/>
  <c r="DX160" i="61"/>
  <c r="DX180" i="61"/>
  <c r="DX159" i="61"/>
  <c r="DX99" i="61"/>
  <c r="HE67" i="67"/>
  <c r="AE67" i="71" s="1"/>
  <c r="HE44" i="67"/>
  <c r="AE44" i="71" s="1"/>
  <c r="DX34" i="61"/>
  <c r="HE181" i="67"/>
  <c r="AE183" i="71" s="1"/>
  <c r="DX96" i="61"/>
  <c r="HE155" i="67"/>
  <c r="AE157" i="71" s="1"/>
  <c r="DX85" i="61"/>
  <c r="DX167" i="61"/>
  <c r="HE109" i="67"/>
  <c r="AE109" i="71" s="1"/>
  <c r="DX57" i="61"/>
  <c r="HE23" i="67"/>
  <c r="AE23" i="71" s="1"/>
  <c r="DX67" i="61"/>
  <c r="HE78" i="67"/>
  <c r="AE78" i="71" s="1"/>
  <c r="DX11" i="61"/>
  <c r="DX191" i="61"/>
  <c r="HE137" i="67"/>
  <c r="AE137" i="71" s="1"/>
  <c r="DX69" i="61"/>
  <c r="HE8" i="67"/>
  <c r="AE8" i="71" s="1"/>
  <c r="DX174" i="61"/>
  <c r="HE52" i="67"/>
  <c r="AE52" i="71" s="1"/>
  <c r="HE93" i="67"/>
  <c r="AE93" i="71" s="1"/>
  <c r="DX134" i="61"/>
  <c r="DX26" i="61"/>
  <c r="DX101" i="61"/>
  <c r="DX113" i="61"/>
  <c r="DX23" i="61"/>
  <c r="DX38" i="61"/>
  <c r="HE19" i="67"/>
  <c r="AE19" i="71" s="1"/>
  <c r="HE38" i="67"/>
  <c r="AE38" i="71" s="1"/>
  <c r="DX128" i="61"/>
  <c r="DX139" i="61"/>
  <c r="DX29" i="61"/>
  <c r="DX169" i="61"/>
  <c r="GX18" i="67"/>
  <c r="X18" i="71" s="1"/>
  <c r="FP18" i="67"/>
  <c r="HE50" i="67"/>
  <c r="AE50" i="71" s="1"/>
  <c r="DX152" i="61"/>
  <c r="DX15" i="61"/>
  <c r="DX72" i="61"/>
  <c r="DX32" i="61"/>
  <c r="DX75" i="61"/>
  <c r="DX163" i="61"/>
  <c r="DX122" i="61"/>
  <c r="HE26" i="67"/>
  <c r="AE26" i="71" s="1"/>
  <c r="DX61" i="61"/>
  <c r="GX99" i="67"/>
  <c r="X99" i="71" s="1"/>
  <c r="FP99" i="67"/>
  <c r="DX78" i="61"/>
  <c r="DX80" i="61"/>
  <c r="HE161" i="67"/>
  <c r="AE163" i="71" s="1"/>
  <c r="HE108" i="67"/>
  <c r="AE108" i="71" s="1"/>
  <c r="HE35" i="67"/>
  <c r="AE35" i="71" s="1"/>
  <c r="DX141" i="61"/>
  <c r="HE173" i="67"/>
  <c r="AE175" i="71" s="1"/>
  <c r="DX52" i="61"/>
  <c r="DX64" i="61"/>
  <c r="DX188" i="61"/>
  <c r="DX124" i="61"/>
  <c r="DX125" i="61"/>
  <c r="HE76" i="67"/>
  <c r="AE76" i="71" s="1"/>
  <c r="GX169" i="67"/>
  <c r="X171" i="71" s="1"/>
  <c r="FP169" i="67"/>
  <c r="DX112" i="61"/>
  <c r="DX40" i="61"/>
  <c r="HE150" i="67"/>
  <c r="AE150" i="71" s="1"/>
  <c r="DX171" i="61"/>
  <c r="DX108" i="61"/>
  <c r="DX8" i="61"/>
  <c r="DV195" i="61"/>
  <c r="HE40" i="67"/>
  <c r="AE40" i="71" s="1"/>
  <c r="DX79" i="61"/>
  <c r="DX63" i="61"/>
  <c r="DX50" i="61"/>
  <c r="DX89" i="61"/>
  <c r="DX168" i="61"/>
  <c r="HE99" i="67"/>
  <c r="AE99" i="71" s="1"/>
  <c r="DX190" i="61"/>
  <c r="DX22" i="61"/>
  <c r="HE94" i="67"/>
  <c r="AE94" i="71" s="1"/>
  <c r="DX157" i="61"/>
  <c r="HE58" i="67"/>
  <c r="AE58" i="71" s="1"/>
  <c r="HE37" i="67"/>
  <c r="AE37" i="71" s="1"/>
  <c r="HE98" i="67"/>
  <c r="AE98" i="71" s="1"/>
  <c r="DX176" i="61"/>
  <c r="DX44" i="61"/>
  <c r="DX54" i="61"/>
  <c r="DX76" i="61"/>
  <c r="DX49" i="61"/>
  <c r="DX154" i="61"/>
  <c r="HE61" i="67"/>
  <c r="AE61" i="71" s="1"/>
  <c r="HE83" i="67"/>
  <c r="AE83" i="71" s="1"/>
  <c r="HE160" i="67"/>
  <c r="AE162" i="71" s="1"/>
  <c r="AP162" i="71" s="1"/>
  <c r="DX150" i="61"/>
  <c r="DX60" i="61"/>
  <c r="HE183" i="67"/>
  <c r="AE185" i="71" s="1"/>
  <c r="HE172" i="67"/>
  <c r="AE174" i="71" s="1"/>
  <c r="HE42" i="67"/>
  <c r="AE42" i="71" s="1"/>
  <c r="DX155" i="61"/>
  <c r="DX13" i="61"/>
  <c r="DX37" i="61"/>
  <c r="HE110" i="67"/>
  <c r="AE110" i="71" s="1"/>
  <c r="FP96" i="67" l="1"/>
  <c r="HE175" i="67"/>
  <c r="AE177" i="71" s="1"/>
  <c r="HE48" i="67"/>
  <c r="AE48" i="71" s="1"/>
  <c r="R24" i="11"/>
  <c r="Q63" i="11"/>
  <c r="M32" i="11"/>
  <c r="M37" i="11" s="1"/>
  <c r="FP170" i="67"/>
  <c r="GX170" i="67"/>
  <c r="X172" i="71" s="1"/>
  <c r="FP91" i="67"/>
  <c r="GX91" i="67"/>
  <c r="X91" i="71" s="1"/>
  <c r="FP128" i="67"/>
  <c r="GX128" i="67"/>
  <c r="X128" i="71" s="1"/>
  <c r="FP114" i="67"/>
  <c r="GX114" i="67"/>
  <c r="X114" i="71" s="1"/>
  <c r="FP81" i="67"/>
  <c r="GX81" i="67"/>
  <c r="X81" i="71" s="1"/>
  <c r="FP145" i="67"/>
  <c r="GX145" i="67"/>
  <c r="X145" i="71" s="1"/>
  <c r="DX195" i="61"/>
  <c r="FP67" i="67"/>
  <c r="GX67" i="67"/>
  <c r="X67" i="71" s="1"/>
  <c r="FP85" i="67"/>
  <c r="GX85" i="67"/>
  <c r="X85" i="71" s="1"/>
  <c r="L195" i="71"/>
  <c r="FP26" i="67"/>
  <c r="GX26" i="67"/>
  <c r="X26" i="71" s="1"/>
  <c r="FP71" i="67"/>
  <c r="GX71" i="67"/>
  <c r="X71" i="71" s="1"/>
  <c r="FP37" i="67"/>
  <c r="GX37" i="67"/>
  <c r="X37" i="71" s="1"/>
  <c r="FP136" i="67"/>
  <c r="GX136" i="67"/>
  <c r="X136" i="71" s="1"/>
  <c r="FP177" i="67"/>
  <c r="GX177" i="67"/>
  <c r="X179" i="71" s="1"/>
  <c r="GX96" i="67"/>
  <c r="X96" i="71" s="1"/>
  <c r="FP151" i="67"/>
  <c r="GX151" i="67"/>
  <c r="X151" i="71" s="1"/>
  <c r="FP172" i="67"/>
  <c r="GX172" i="67"/>
  <c r="X174" i="71" s="1"/>
  <c r="FP161" i="67"/>
  <c r="GX161" i="67"/>
  <c r="X163" i="71" s="1"/>
  <c r="FP15" i="67"/>
  <c r="GX15" i="67"/>
  <c r="X15" i="71" s="1"/>
  <c r="FP182" i="67"/>
  <c r="GX182" i="67"/>
  <c r="X184" i="71" s="1"/>
  <c r="FP123" i="67"/>
  <c r="GX123" i="67"/>
  <c r="X123" i="71" s="1"/>
  <c r="FP14" i="67"/>
  <c r="GX14" i="67"/>
  <c r="X14" i="71" s="1"/>
  <c r="FP175" i="67"/>
  <c r="GX175" i="67"/>
  <c r="X177" i="71" s="1"/>
  <c r="FP190" i="67"/>
  <c r="GX190" i="67"/>
  <c r="X192" i="71" s="1"/>
  <c r="FP77" i="67"/>
  <c r="GX77" i="67"/>
  <c r="X77" i="71" s="1"/>
  <c r="FP127" i="67"/>
  <c r="GX127" i="67"/>
  <c r="X127" i="71" s="1"/>
  <c r="FP115" i="67"/>
  <c r="GX115" i="67"/>
  <c r="X115" i="71" s="1"/>
  <c r="GX35" i="67"/>
  <c r="X35" i="71" s="1"/>
  <c r="FP35" i="67"/>
  <c r="FP116" i="67"/>
  <c r="GX116" i="67"/>
  <c r="X116" i="71" s="1"/>
  <c r="FP86" i="67"/>
  <c r="GX86" i="67"/>
  <c r="X86" i="71" s="1"/>
  <c r="FP13" i="67"/>
  <c r="GX13" i="67"/>
  <c r="X13" i="71" s="1"/>
  <c r="GX183" i="67"/>
  <c r="X185" i="71" s="1"/>
  <c r="FP183" i="67"/>
  <c r="FP125" i="67"/>
  <c r="GX125" i="67"/>
  <c r="X125" i="71" s="1"/>
  <c r="FP84" i="67"/>
  <c r="GX84" i="67"/>
  <c r="X84" i="71" s="1"/>
  <c r="FP144" i="67"/>
  <c r="GX144" i="67"/>
  <c r="X144" i="71" s="1"/>
  <c r="FP105" i="67"/>
  <c r="GX105" i="67"/>
  <c r="X105" i="71" s="1"/>
  <c r="FP121" i="67"/>
  <c r="GX121" i="67"/>
  <c r="X121" i="71" s="1"/>
  <c r="FP173" i="67"/>
  <c r="GX173" i="67"/>
  <c r="X175" i="71" s="1"/>
  <c r="R32" i="11" l="1"/>
  <c r="R37" i="11" s="1"/>
  <c r="FP55" i="67"/>
  <c r="GX55" i="67"/>
  <c r="X55" i="71" s="1"/>
  <c r="GX54" i="67"/>
  <c r="X54" i="71" s="1"/>
  <c r="HE166" i="67"/>
  <c r="AE168" i="71" s="1"/>
  <c r="FP54" i="67"/>
  <c r="S63" i="11"/>
  <c r="N65" i="11"/>
  <c r="FP94" i="67"/>
  <c r="GX94" i="67"/>
  <c r="X94" i="71" s="1"/>
  <c r="FP41" i="67"/>
  <c r="GX41" i="67"/>
  <c r="X41" i="71" s="1"/>
  <c r="FP92" i="67"/>
  <c r="GX92" i="67"/>
  <c r="X92" i="71" s="1"/>
  <c r="FP129" i="67"/>
  <c r="GX129" i="67"/>
  <c r="X129" i="71" s="1"/>
  <c r="FP47" i="67"/>
  <c r="GX47" i="67"/>
  <c r="X47" i="71" s="1"/>
  <c r="FP87" i="67"/>
  <c r="GX87" i="67"/>
  <c r="X87" i="71" s="1"/>
  <c r="FP16" i="67"/>
  <c r="GX16" i="67"/>
  <c r="X16" i="71" s="1"/>
  <c r="FP133" i="67"/>
  <c r="GX133" i="67"/>
  <c r="X133" i="71" s="1"/>
  <c r="FP132" i="67"/>
  <c r="GX132" i="67"/>
  <c r="X132" i="71" s="1"/>
  <c r="GX31" i="67"/>
  <c r="X31" i="71" s="1"/>
  <c r="FP31" i="67"/>
  <c r="FP40" i="67"/>
  <c r="GX40" i="67"/>
  <c r="X40" i="71" s="1"/>
  <c r="GX120" i="67"/>
  <c r="X120" i="71" s="1"/>
  <c r="FP120" i="67"/>
  <c r="FP90" i="67"/>
  <c r="GX90" i="67"/>
  <c r="X90" i="71" s="1"/>
  <c r="FP178" i="67"/>
  <c r="GX178" i="67"/>
  <c r="X180" i="71" s="1"/>
  <c r="FP8" i="67"/>
  <c r="GX8" i="67"/>
  <c r="X8" i="71" s="1"/>
  <c r="FP69" i="67"/>
  <c r="GX69" i="67"/>
  <c r="X69" i="71" s="1"/>
  <c r="FP162" i="67"/>
  <c r="GX162" i="67"/>
  <c r="X164" i="71" s="1"/>
  <c r="FP159" i="67"/>
  <c r="GX159" i="67"/>
  <c r="X161" i="71" s="1"/>
  <c r="FP146" i="67"/>
  <c r="GX146" i="67"/>
  <c r="X146" i="71" s="1"/>
  <c r="FP112" i="67"/>
  <c r="GX112" i="67"/>
  <c r="X112" i="71" s="1"/>
  <c r="FP27" i="67"/>
  <c r="GX27" i="67"/>
  <c r="X27" i="71" s="1"/>
  <c r="FP142" i="67"/>
  <c r="GX142" i="67"/>
  <c r="X142" i="71" s="1"/>
  <c r="GX176" i="67"/>
  <c r="X178" i="71" s="1"/>
  <c r="FP176" i="67"/>
  <c r="FP49" i="67"/>
  <c r="GX49" i="67"/>
  <c r="X49" i="71" s="1"/>
  <c r="FP193" i="67"/>
  <c r="GX193" i="67"/>
  <c r="X193" i="71" s="1"/>
  <c r="FP45" i="67"/>
  <c r="GX45" i="67"/>
  <c r="X45" i="71" s="1"/>
  <c r="FP21" i="67"/>
  <c r="GX21" i="67"/>
  <c r="X21" i="71" s="1"/>
  <c r="FP134" i="67"/>
  <c r="GX134" i="67"/>
  <c r="X134" i="71" s="1"/>
  <c r="FP53" i="67"/>
  <c r="GX53" i="67"/>
  <c r="X53" i="71" s="1"/>
  <c r="FP43" i="67"/>
  <c r="GX43" i="67"/>
  <c r="X43" i="71" s="1"/>
  <c r="FP100" i="67"/>
  <c r="GX100" i="67"/>
  <c r="X100" i="71" s="1"/>
  <c r="FP34" i="67"/>
  <c r="GX34" i="67"/>
  <c r="X34" i="71" s="1"/>
  <c r="GX157" i="67"/>
  <c r="X159" i="71" s="1"/>
  <c r="FP157" i="67"/>
  <c r="FP152" i="67"/>
  <c r="GX152" i="67"/>
  <c r="X154" i="71" s="1"/>
  <c r="FP78" i="67"/>
  <c r="GX78" i="67"/>
  <c r="X78" i="71" s="1"/>
  <c r="FP11" i="67"/>
  <c r="GX11" i="67"/>
  <c r="X11" i="71" s="1"/>
  <c r="FP180" i="67"/>
  <c r="GX180" i="67"/>
  <c r="X182" i="71" s="1"/>
  <c r="FP62" i="67"/>
  <c r="GX62" i="67"/>
  <c r="X62" i="71" s="1"/>
  <c r="FP66" i="67"/>
  <c r="GX66" i="67"/>
  <c r="X66" i="71" s="1"/>
  <c r="FP117" i="67"/>
  <c r="GX117" i="67"/>
  <c r="X117" i="71" s="1"/>
  <c r="FP76" i="67"/>
  <c r="GX76" i="67"/>
  <c r="X76" i="71" s="1"/>
  <c r="FP57" i="67"/>
  <c r="GX57" i="67"/>
  <c r="X57" i="71" s="1"/>
  <c r="FP186" i="67"/>
  <c r="GX186" i="67"/>
  <c r="X188" i="71" s="1"/>
  <c r="FP59" i="67"/>
  <c r="GX59" i="67"/>
  <c r="X59" i="71" s="1"/>
  <c r="FP88" i="67"/>
  <c r="GX88" i="67"/>
  <c r="X88" i="71" s="1"/>
  <c r="GX29" i="67"/>
  <c r="X29" i="71" s="1"/>
  <c r="FP29" i="67"/>
  <c r="GX42" i="67"/>
  <c r="X42" i="71" s="1"/>
  <c r="FP42" i="67"/>
  <c r="FP148" i="67"/>
  <c r="GX148" i="67"/>
  <c r="X148" i="71" s="1"/>
  <c r="FP111" i="67"/>
  <c r="GX111" i="67"/>
  <c r="X111" i="71" s="1"/>
  <c r="N74" i="11" l="1"/>
  <c r="S74" i="11" s="1"/>
  <c r="Q47" i="11"/>
  <c r="E134" i="11" s="1"/>
  <c r="S47" i="11"/>
  <c r="S46" i="11"/>
  <c r="HE196" i="67"/>
  <c r="N69" i="11"/>
  <c r="GX196" i="67"/>
  <c r="J48" i="77" l="1"/>
  <c r="L48" i="77" s="1"/>
  <c r="Q46" i="11"/>
  <c r="Q71" i="11"/>
  <c r="S71" i="11"/>
  <c r="AM195" i="71"/>
  <c r="AK195" i="71"/>
  <c r="AN195" i="71"/>
  <c r="Q48" i="11"/>
  <c r="E137" i="11" s="1"/>
  <c r="S48" i="11"/>
  <c r="S49" i="11" s="1"/>
  <c r="O49" i="11"/>
  <c r="O65" i="11" s="1"/>
  <c r="S65" i="11" s="1"/>
  <c r="AC195" i="71"/>
  <c r="AA195" i="71"/>
  <c r="AB195" i="71"/>
  <c r="Y195" i="71"/>
  <c r="X195" i="71"/>
  <c r="N110" i="11"/>
  <c r="N111" i="11" s="1"/>
  <c r="N72" i="11"/>
  <c r="S48" i="77" l="1"/>
  <c r="T48" i="77" s="1"/>
  <c r="J64" i="77"/>
  <c r="J69" i="77" s="1"/>
  <c r="Q49" i="11"/>
  <c r="O69" i="11"/>
  <c r="Q65" i="11"/>
  <c r="Q69" i="11" s="1"/>
  <c r="Q74" i="11" s="1"/>
  <c r="M15" i="74"/>
  <c r="M21" i="74" s="1"/>
  <c r="M30" i="74" s="1"/>
  <c r="M34" i="74" s="1"/>
  <c r="M35" i="74" s="1"/>
  <c r="N33" i="74" s="1"/>
  <c r="L64" i="77" l="1"/>
  <c r="L69" i="77" s="1"/>
  <c r="S64" i="77"/>
  <c r="T64" i="77" s="1"/>
  <c r="O72" i="11"/>
  <c r="S69" i="11"/>
  <c r="U194" i="49"/>
  <c r="S69" i="77" l="1"/>
  <c r="U64" i="77" s="1"/>
  <c r="AP104" i="71"/>
  <c r="CG100" i="49"/>
  <c r="AP137" i="71"/>
  <c r="CG133" i="49"/>
  <c r="AP59" i="71"/>
  <c r="CG57" i="49"/>
  <c r="CG37" i="49"/>
  <c r="AP39" i="71"/>
  <c r="CG32" i="49"/>
  <c r="AP34" i="71"/>
  <c r="CG67" i="49"/>
  <c r="AP69" i="71"/>
  <c r="CG8" i="49"/>
  <c r="AP98" i="71"/>
  <c r="CG95" i="49"/>
  <c r="AP118" i="71"/>
  <c r="CG114" i="49"/>
  <c r="CG70" i="49"/>
  <c r="AP72" i="71"/>
  <c r="AP117" i="71"/>
  <c r="CG113" i="49"/>
  <c r="CG82" i="49"/>
  <c r="AP84" i="71"/>
  <c r="AP142" i="71"/>
  <c r="CG138" i="49"/>
  <c r="AP189" i="71"/>
  <c r="CG182" i="49"/>
  <c r="AP136" i="71"/>
  <c r="CG132" i="49"/>
  <c r="AP184" i="71"/>
  <c r="CG177" i="49"/>
  <c r="CG188" i="49"/>
  <c r="CG165" i="49"/>
  <c r="AP171" i="71"/>
  <c r="CG157" i="49"/>
  <c r="AP163" i="71"/>
  <c r="CG163" i="49"/>
  <c r="AP169" i="71"/>
  <c r="CG130" i="49"/>
  <c r="AP134" i="71"/>
  <c r="CG52" i="49"/>
  <c r="AP54" i="71"/>
  <c r="AP53" i="71"/>
  <c r="CG51" i="49"/>
  <c r="AP123" i="71"/>
  <c r="CG119" i="49"/>
  <c r="CG152" i="49"/>
  <c r="AP157" i="71"/>
  <c r="AP90" i="71"/>
  <c r="CG88" i="49"/>
  <c r="CG77" i="49"/>
  <c r="AP79" i="71"/>
  <c r="CG30" i="49"/>
  <c r="AP32" i="71"/>
  <c r="AP153" i="71"/>
  <c r="CG148" i="49"/>
  <c r="CG72" i="49"/>
  <c r="AP74" i="71"/>
  <c r="CG162" i="49"/>
  <c r="AP168" i="71"/>
  <c r="AP140" i="71"/>
  <c r="CG136" i="49"/>
  <c r="CG189" i="49"/>
  <c r="AP58" i="71"/>
  <c r="CG56" i="49"/>
  <c r="CG150" i="49"/>
  <c r="AP155" i="71"/>
  <c r="CG62" i="49"/>
  <c r="AP64" i="71"/>
  <c r="CG11" i="49"/>
  <c r="AP11" i="71"/>
  <c r="CG180" i="49"/>
  <c r="AP187" i="71"/>
  <c r="CG192" i="49"/>
  <c r="AP127" i="71"/>
  <c r="CG123" i="49"/>
  <c r="CG44" i="49"/>
  <c r="AP46" i="71"/>
  <c r="AP148" i="71"/>
  <c r="CG143" i="49"/>
  <c r="AP62" i="71"/>
  <c r="CG60" i="49"/>
  <c r="CG74" i="49"/>
  <c r="AP76" i="71"/>
  <c r="AP165" i="71"/>
  <c r="CG159" i="49"/>
  <c r="AP35" i="71"/>
  <c r="CG33" i="49"/>
  <c r="CG145" i="49"/>
  <c r="AP150" i="71"/>
  <c r="CG50" i="49"/>
  <c r="AP52" i="71"/>
  <c r="CG169" i="49"/>
  <c r="AP176" i="71"/>
  <c r="AP151" i="71"/>
  <c r="CG146" i="49"/>
  <c r="AP86" i="71"/>
  <c r="CG84" i="49"/>
  <c r="AP65" i="71"/>
  <c r="CG63" i="49"/>
  <c r="AP181" i="71"/>
  <c r="CG174" i="49"/>
  <c r="AP18" i="71"/>
  <c r="CG18" i="49"/>
  <c r="AP71" i="71"/>
  <c r="BY194" i="49"/>
  <c r="CG69" i="49"/>
  <c r="CG186" i="49"/>
  <c r="AP194" i="71"/>
  <c r="AP20" i="71"/>
  <c r="CG20" i="49"/>
  <c r="CG78" i="49"/>
  <c r="AP80" i="71"/>
  <c r="AP129" i="71"/>
  <c r="CG125" i="49"/>
  <c r="CG112" i="49"/>
  <c r="AP116" i="71"/>
  <c r="CG96" i="49"/>
  <c r="AP99" i="71"/>
  <c r="CG147" i="49"/>
  <c r="AP152" i="71"/>
  <c r="CG76" i="49"/>
  <c r="AP78" i="71"/>
  <c r="CG121" i="49"/>
  <c r="AP125" i="71"/>
  <c r="CG104" i="49"/>
  <c r="AP108" i="71"/>
  <c r="CG108" i="49"/>
  <c r="AP112" i="71"/>
  <c r="CG48" i="49"/>
  <c r="AP50" i="71"/>
  <c r="AP146" i="71"/>
  <c r="CG141" i="49"/>
  <c r="CG23" i="49"/>
  <c r="AP23" i="71"/>
  <c r="AP77" i="71"/>
  <c r="CG75" i="49"/>
  <c r="AP110" i="71"/>
  <c r="CG106" i="49"/>
  <c r="AP87" i="71"/>
  <c r="CG85" i="49"/>
  <c r="CG26" i="49"/>
  <c r="AP26" i="71"/>
  <c r="AP43" i="71"/>
  <c r="CG41" i="49"/>
  <c r="AP115" i="71"/>
  <c r="CG111" i="49"/>
  <c r="AP119" i="71"/>
  <c r="CG115" i="49"/>
  <c r="CG181" i="49"/>
  <c r="AP188" i="71"/>
  <c r="CG35" i="49"/>
  <c r="AP37" i="71"/>
  <c r="CG183" i="49"/>
  <c r="AP191" i="71"/>
  <c r="AP147" i="71"/>
  <c r="CG142" i="49"/>
  <c r="CG97" i="49"/>
  <c r="AP101" i="71"/>
  <c r="CG98" i="49"/>
  <c r="AP102" i="71"/>
  <c r="CG29" i="49"/>
  <c r="AP29" i="71"/>
  <c r="CG87" i="49"/>
  <c r="AP89" i="71"/>
  <c r="CG19" i="49"/>
  <c r="AP19" i="71"/>
  <c r="AP143" i="71"/>
  <c r="CG139" i="49"/>
  <c r="AP73" i="71"/>
  <c r="CG71" i="49"/>
  <c r="AP164" i="71"/>
  <c r="CG158" i="49"/>
  <c r="AP16" i="71"/>
  <c r="CG16" i="49"/>
  <c r="AP95" i="71"/>
  <c r="CG92" i="49"/>
  <c r="AP10" i="71"/>
  <c r="CG10" i="49"/>
  <c r="CG47" i="49"/>
  <c r="AP49" i="71"/>
  <c r="CG154" i="49"/>
  <c r="AP159" i="71"/>
  <c r="AP182" i="71"/>
  <c r="CG175" i="49"/>
  <c r="CG83" i="49"/>
  <c r="AP85" i="71"/>
  <c r="AP24" i="71"/>
  <c r="CG24" i="49"/>
  <c r="CG170" i="49"/>
  <c r="AP177" i="71"/>
  <c r="AP9" i="71"/>
  <c r="CG9" i="49"/>
  <c r="CG110" i="49"/>
  <c r="AP114" i="71"/>
  <c r="CG93" i="49"/>
  <c r="AP96" i="71"/>
  <c r="AP185" i="71"/>
  <c r="CG178" i="49"/>
  <c r="AP55" i="71"/>
  <c r="CG53" i="49"/>
  <c r="AP48" i="71"/>
  <c r="CG46" i="49"/>
  <c r="CG94" i="49"/>
  <c r="AP28" i="71"/>
  <c r="CG28" i="49"/>
  <c r="AP135" i="71"/>
  <c r="CG131" i="49"/>
  <c r="AP66" i="71"/>
  <c r="CG64" i="49"/>
  <c r="CG102" i="49"/>
  <c r="AP106" i="71"/>
  <c r="CG14" i="49"/>
  <c r="AP14" i="71"/>
  <c r="AP94" i="71"/>
  <c r="CG91" i="49"/>
  <c r="CG151" i="49"/>
  <c r="AP156" i="71"/>
  <c r="CG124" i="49"/>
  <c r="AP128" i="71"/>
  <c r="CG191" i="49"/>
  <c r="AP172" i="71"/>
  <c r="CG166" i="49"/>
  <c r="AP166" i="71"/>
  <c r="CG160" i="49"/>
  <c r="AP138" i="71"/>
  <c r="CG134" i="49"/>
  <c r="AP111" i="71"/>
  <c r="CG107" i="49"/>
  <c r="CG17" i="49"/>
  <c r="AP158" i="71"/>
  <c r="CG153" i="49"/>
  <c r="AP193" i="71"/>
  <c r="CG185" i="49"/>
  <c r="AP130" i="71"/>
  <c r="CG126" i="49"/>
  <c r="AP179" i="71"/>
  <c r="CG172" i="49"/>
  <c r="CG187" i="49"/>
  <c r="AP105" i="71"/>
  <c r="CG101" i="49"/>
  <c r="AP12" i="71"/>
  <c r="CG12" i="49"/>
  <c r="AP120" i="71"/>
  <c r="CG116" i="49"/>
  <c r="O109" i="11"/>
  <c r="S90" i="11"/>
  <c r="Q90" i="11"/>
  <c r="CG118" i="49"/>
  <c r="AP122" i="71"/>
  <c r="CG55" i="49"/>
  <c r="AP57" i="71"/>
  <c r="CG105" i="49"/>
  <c r="AP109" i="71"/>
  <c r="CG42" i="49"/>
  <c r="AP44" i="71"/>
  <c r="AP161" i="71"/>
  <c r="CG156" i="49"/>
  <c r="AP93" i="71"/>
  <c r="CG90" i="49"/>
  <c r="CG173" i="49"/>
  <c r="AP180" i="71"/>
  <c r="AP33" i="71"/>
  <c r="CG31" i="49"/>
  <c r="CG127" i="49"/>
  <c r="AP131" i="71"/>
  <c r="AP107" i="71"/>
  <c r="CG103" i="49"/>
  <c r="AP83" i="71"/>
  <c r="CG81" i="49"/>
  <c r="CG13" i="49"/>
  <c r="AP13" i="71"/>
  <c r="CG73" i="49"/>
  <c r="AP75" i="71"/>
  <c r="CG36" i="49"/>
  <c r="AP38" i="71"/>
  <c r="AP25" i="71"/>
  <c r="CG25" i="49"/>
  <c r="CG38" i="49"/>
  <c r="AP40" i="71"/>
  <c r="CG58" i="49"/>
  <c r="AP60" i="71"/>
  <c r="CG155" i="49"/>
  <c r="AP160" i="71"/>
  <c r="AP81" i="71"/>
  <c r="CG79" i="49"/>
  <c r="AP88" i="71"/>
  <c r="CG86" i="49"/>
  <c r="AP56" i="71"/>
  <c r="CG54" i="49"/>
  <c r="AV194" i="49"/>
  <c r="CG59" i="49"/>
  <c r="AP61" i="71"/>
  <c r="CG99" i="49"/>
  <c r="AP103" i="71"/>
  <c r="AP51" i="71"/>
  <c r="CG49" i="49"/>
  <c r="CG167" i="49"/>
  <c r="AP174" i="71"/>
  <c r="CG179" i="49"/>
  <c r="AP186" i="71"/>
  <c r="CG120" i="49"/>
  <c r="AP124" i="71"/>
  <c r="AP192" i="71"/>
  <c r="CG184" i="49"/>
  <c r="AP170" i="71"/>
  <c r="CG164" i="49"/>
  <c r="AP144" i="71"/>
  <c r="CG140" i="49"/>
  <c r="CG193" i="49"/>
  <c r="CG109" i="49"/>
  <c r="AP113" i="71"/>
  <c r="AP36" i="71"/>
  <c r="CG34" i="49"/>
  <c r="AP27" i="71"/>
  <c r="CG27" i="49"/>
  <c r="CG149" i="49"/>
  <c r="AP154" i="71"/>
  <c r="CG135" i="49"/>
  <c r="AP139" i="71"/>
  <c r="AP70" i="71"/>
  <c r="CG68" i="49"/>
  <c r="CG66" i="49"/>
  <c r="AP68" i="71"/>
  <c r="AP45" i="71"/>
  <c r="CG43" i="49"/>
  <c r="CG161" i="49"/>
  <c r="AP167" i="71"/>
  <c r="CG61" i="49"/>
  <c r="AP63" i="71"/>
  <c r="AP133" i="71"/>
  <c r="CG129" i="49"/>
  <c r="AP92" i="71"/>
  <c r="CG89" i="49"/>
  <c r="AP121" i="71"/>
  <c r="CG117" i="49"/>
  <c r="AP41" i="71"/>
  <c r="CG39" i="49"/>
  <c r="CG137" i="49"/>
  <c r="AP141" i="71"/>
  <c r="CG40" i="49"/>
  <c r="AP42" i="71"/>
  <c r="AP175" i="71"/>
  <c r="CG168" i="49"/>
  <c r="AP183" i="71"/>
  <c r="CG176" i="49"/>
  <c r="CG190" i="49"/>
  <c r="CG65" i="49"/>
  <c r="AP67" i="71"/>
  <c r="CG15" i="49"/>
  <c r="AP15" i="71"/>
  <c r="CG122" i="49"/>
  <c r="AP126" i="71"/>
  <c r="AP178" i="71"/>
  <c r="CG171" i="49"/>
  <c r="AP47" i="71"/>
  <c r="CG45" i="49"/>
  <c r="CG144" i="49"/>
  <c r="AP149" i="71"/>
  <c r="AP21" i="71"/>
  <c r="CG21" i="49"/>
  <c r="AP132" i="71"/>
  <c r="CG128" i="49"/>
  <c r="CG22" i="49"/>
  <c r="AP22" i="71"/>
  <c r="AP82" i="71"/>
  <c r="CG80" i="49"/>
  <c r="U43" i="77" l="1"/>
  <c r="U53" i="77"/>
  <c r="U37" i="77"/>
  <c r="U52" i="77"/>
  <c r="U107" i="77"/>
  <c r="U103" i="77"/>
  <c r="U84" i="77"/>
  <c r="U55" i="77"/>
  <c r="U39" i="77"/>
  <c r="U38" i="77"/>
  <c r="U54" i="77"/>
  <c r="U36" i="77"/>
  <c r="U88" i="77"/>
  <c r="U46" i="77"/>
  <c r="U62" i="77"/>
  <c r="U47" i="77"/>
  <c r="U80" i="77"/>
  <c r="F202" i="77"/>
  <c r="U91" i="77"/>
  <c r="U86" i="77"/>
  <c r="U60" i="77"/>
  <c r="U32" i="77"/>
  <c r="U51" i="77"/>
  <c r="U35" i="77"/>
  <c r="U63" i="77"/>
  <c r="U57" i="77"/>
  <c r="U58" i="77"/>
  <c r="U89" i="77"/>
  <c r="U45" i="77"/>
  <c r="U87" i="77"/>
  <c r="U44" i="77"/>
  <c r="U56" i="77"/>
  <c r="U61" i="77"/>
  <c r="U66" i="77"/>
  <c r="U49" i="77"/>
  <c r="U40" i="77"/>
  <c r="U102" i="77"/>
  <c r="U79" i="77"/>
  <c r="U50" i="77"/>
  <c r="U106" i="77"/>
  <c r="U90" i="77"/>
  <c r="U34" i="77"/>
  <c r="U65" i="77"/>
  <c r="U59" i="77"/>
  <c r="U85" i="77"/>
  <c r="U33" i="77"/>
  <c r="U67" i="77"/>
  <c r="U41" i="77"/>
  <c r="U42" i="77"/>
  <c r="U68" i="77"/>
  <c r="U81" i="77"/>
  <c r="U48" i="77"/>
  <c r="CG194" i="49"/>
  <c r="AP8" i="71"/>
  <c r="AE195" i="71"/>
  <c r="Q109" i="11"/>
  <c r="Q110" i="11" s="1"/>
  <c r="Q111" i="11" s="1"/>
  <c r="E127" i="11"/>
  <c r="O110" i="11"/>
  <c r="S109" i="11"/>
  <c r="O111" i="11" l="1"/>
  <c r="S111" i="11" s="1"/>
  <c r="N15" i="74"/>
  <c r="N21" i="74" s="1"/>
  <c r="N30" i="74" s="1"/>
  <c r="N34" i="74" s="1"/>
  <c r="N35" i="74" s="1"/>
  <c r="O33" i="74" s="1"/>
  <c r="O35" i="74" s="1"/>
  <c r="S110" i="11"/>
  <c r="E138" i="11"/>
  <c r="J15" i="77"/>
  <c r="L15" i="77" l="1"/>
  <c r="L30" i="77" s="1"/>
  <c r="L71" i="77" s="1"/>
  <c r="L73" i="77" s="1"/>
  <c r="S15" i="77"/>
  <c r="J30" i="77"/>
  <c r="J71" i="77" s="1"/>
  <c r="J73" i="77" s="1"/>
  <c r="J119" i="77" s="1"/>
  <c r="J124" i="77" l="1"/>
  <c r="L119" i="77"/>
  <c r="L124" i="77" s="1"/>
  <c r="S30" i="77"/>
  <c r="U15" i="77" s="1"/>
  <c r="T15" i="77"/>
  <c r="U28" i="77" l="1"/>
  <c r="S71" i="77"/>
  <c r="S73" i="77" s="1"/>
  <c r="S119" i="77" s="1"/>
  <c r="U26" i="77"/>
  <c r="F201" i="77"/>
  <c r="F203" i="77" s="1"/>
  <c r="F206" i="77" s="1"/>
  <c r="F210" i="77" s="1"/>
  <c r="F214" i="77" s="1"/>
  <c r="F218" i="77" s="1"/>
  <c r="U22" i="77"/>
  <c r="U29" i="77"/>
  <c r="U25" i="77"/>
  <c r="U17" i="77"/>
  <c r="U18" i="77"/>
  <c r="U21" i="77"/>
  <c r="U23" i="77"/>
  <c r="U16" i="77"/>
  <c r="U27" i="77"/>
  <c r="U19" i="77"/>
  <c r="U20" i="77"/>
  <c r="U24" i="77"/>
  <c r="S124" i="77" l="1"/>
  <c r="S171" i="77" s="1"/>
  <c r="T119" i="77"/>
  <c r="U119" i="77"/>
  <c r="AM17" i="62" l="1"/>
  <c r="AK17" i="67"/>
  <c r="BA17" i="67" s="1"/>
  <c r="AI17" i="62"/>
  <c r="J195" i="62"/>
  <c r="AI97" i="62"/>
  <c r="AM97" i="62"/>
  <c r="AK97" i="67"/>
  <c r="BA97" i="67" s="1"/>
  <c r="AR97" i="67" l="1"/>
  <c r="ES97" i="67"/>
  <c r="EZ97" i="67" s="1"/>
  <c r="FY97" i="67"/>
  <c r="GF97" i="67" s="1"/>
  <c r="GO97" i="67"/>
  <c r="GV97" i="67" s="1"/>
  <c r="FI97" i="67"/>
  <c r="FP97" i="67" s="1"/>
  <c r="EC97" i="67"/>
  <c r="EJ97" i="67" s="1"/>
  <c r="DM97" i="67"/>
  <c r="DT97" i="67" s="1"/>
  <c r="CW97" i="67"/>
  <c r="DD97" i="67" s="1"/>
  <c r="CG97" i="67"/>
  <c r="CN97" i="67" s="1"/>
  <c r="BH97" i="67"/>
  <c r="BQ97" i="67"/>
  <c r="BX97" i="67" s="1"/>
  <c r="FY17" i="67"/>
  <c r="FI17" i="67"/>
  <c r="FP17" i="67" s="1"/>
  <c r="GO17" i="67"/>
  <c r="ES17" i="67"/>
  <c r="ES196" i="67" s="1"/>
  <c r="EC17" i="67"/>
  <c r="EJ17" i="67" s="1"/>
  <c r="DM17" i="67"/>
  <c r="DT17" i="67" s="1"/>
  <c r="CW17" i="67"/>
  <c r="BQ17" i="67"/>
  <c r="BQ196" i="67" s="1"/>
  <c r="BA196" i="67"/>
  <c r="CG17" i="67"/>
  <c r="AK196" i="67"/>
  <c r="U196" i="67"/>
  <c r="AN17" i="62"/>
  <c r="AI195" i="62"/>
  <c r="HG97" i="67"/>
  <c r="AG97" i="71" s="1"/>
  <c r="AP97" i="71" s="1"/>
  <c r="AB97" i="67"/>
  <c r="DD17" i="67"/>
  <c r="AR17" i="67"/>
  <c r="Q97" i="71"/>
  <c r="AN97" i="62"/>
  <c r="HG17" i="67"/>
  <c r="AG17" i="71" s="1"/>
  <c r="AB17" i="67"/>
  <c r="Q17" i="71"/>
  <c r="AM195" i="62"/>
  <c r="GO196" i="67" l="1"/>
  <c r="BH17" i="67"/>
  <c r="BH196" i="67" s="1"/>
  <c r="FP196" i="67"/>
  <c r="CG196" i="67"/>
  <c r="AR196" i="67"/>
  <c r="EC196" i="67"/>
  <c r="EJ196" i="67"/>
  <c r="GV17" i="67"/>
  <c r="GV196" i="67" s="1"/>
  <c r="FY196" i="67"/>
  <c r="DT196" i="67"/>
  <c r="GZ17" i="67"/>
  <c r="Z17" i="71" s="1"/>
  <c r="BX17" i="67"/>
  <c r="BX196" i="67" s="1"/>
  <c r="GF17" i="67"/>
  <c r="GF196" i="67" s="1"/>
  <c r="DM196" i="67"/>
  <c r="EZ17" i="67"/>
  <c r="EZ196" i="67" s="1"/>
  <c r="FI196" i="67"/>
  <c r="DD196" i="67"/>
  <c r="CW196" i="67"/>
  <c r="CN17" i="67"/>
  <c r="CN196" i="67" s="1"/>
  <c r="GZ97" i="67"/>
  <c r="Z97" i="71" s="1"/>
  <c r="AG195" i="71"/>
  <c r="AP17" i="71"/>
  <c r="AP195" i="71" s="1"/>
  <c r="Q195" i="71"/>
  <c r="HG196" i="67"/>
  <c r="AF195" i="71"/>
  <c r="AB196" i="67"/>
  <c r="GZ196" i="67" l="1"/>
  <c r="Z195" i="7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tc={5D546243-3F4B-4EE7-826C-933D75525B08}</author>
  </authors>
  <commentList>
    <comment ref="AX153" authorId="0" shapeId="0" xr:uid="{5D546243-3F4B-4EE7-826C-933D75525B08}">
      <text>
        <t>[Threaded comment]
Your version of Excel allows you to read this threaded comment; however, any edits to it will get removed if the file is opened in a newer version of Excel. Learn more: https://go.microsoft.com/fwlink/?linkid=870924
Comment:
    Paid direct to academy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tc={619E54DE-CAA8-417C-A6F8-136704DB38BB}</author>
    <author>tc={B40ED99A-303D-497F-84B6-D58176A6F6F1}</author>
    <author>tc={4BA1BC9C-7AD3-44ED-9220-739F7A5BD03A}</author>
  </authors>
  <commentList>
    <comment ref="Z56" authorId="0" shapeId="0" xr:uid="{619E54DE-CAA8-417C-A6F8-136704DB38BB}">
      <text>
        <t>[Threaded comment]
Your version of Excel allows you to read this threaded comment; however, any edits to it will get removed if the file is opened in a newer version of Excel. Learn more: https://go.microsoft.com/fwlink/?linkid=870924
Comment:
    Reimbursement of Redundancy Costs</t>
      </text>
    </comment>
    <comment ref="Z91" authorId="1" shapeId="0" xr:uid="{B40ED99A-303D-497F-84B6-D58176A6F6F1}">
      <text>
        <t>[Threaded comment]
Your version of Excel allows you to read this threaded comment; however, any edits to it will get removed if the file is opened in a newer version of Excel. Learn more: https://go.microsoft.com/fwlink/?linkid=870924
Comment:
    Court Injunction</t>
      </text>
    </comment>
    <comment ref="Y106" authorId="2" shapeId="0" xr:uid="{4BA1BC9C-7AD3-44ED-9220-739F7A5BD03A}">
      <text>
        <t>[Threaded comment]
Your version of Excel allows you to read this threaded comment; however, any edits to it will get removed if the file is opened in a newer version of Excel. Learn more: https://go.microsoft.com/fwlink/?linkid=870924
Comment:
    Remaining 3/12 to be added in 26/27 cash sheet
Reply:
    Energy costs</t>
      </text>
    </comment>
  </commentList>
</comments>
</file>

<file path=xl/sharedStrings.xml><?xml version="1.0" encoding="utf-8"?>
<sst xmlns="http://schemas.openxmlformats.org/spreadsheetml/2006/main" count="7634" uniqueCount="1131">
  <si>
    <t>2025/26 Control Check and Total CFR</t>
  </si>
  <si>
    <t>MONTHLY INSTALMENT CONTROL</t>
  </si>
  <si>
    <t>School Budget Share</t>
  </si>
  <si>
    <t>Early Years</t>
  </si>
  <si>
    <t>High Needs</t>
  </si>
  <si>
    <t>Post 16</t>
  </si>
  <si>
    <t>Deductions</t>
  </si>
  <si>
    <t>ALL SHOULD BE NIL</t>
  </si>
  <si>
    <t>Schools block budget share (before de-delegation)</t>
  </si>
  <si>
    <t>De-delegation</t>
  </si>
  <si>
    <t>NNDR</t>
  </si>
  <si>
    <t>Indicative Early Years Funding*</t>
  </si>
  <si>
    <t>Early Years DAF</t>
  </si>
  <si>
    <t>Sixth Form Funding</t>
  </si>
  <si>
    <t>Insurance</t>
  </si>
  <si>
    <t>Actuals</t>
  </si>
  <si>
    <t>DfE #</t>
  </si>
  <si>
    <t>URN</t>
  </si>
  <si>
    <t>Cost centre</t>
  </si>
  <si>
    <t>School</t>
  </si>
  <si>
    <t>Phase</t>
  </si>
  <si>
    <t>School Type</t>
  </si>
  <si>
    <t>I01</t>
  </si>
  <si>
    <t>E27</t>
  </si>
  <si>
    <t>E17</t>
  </si>
  <si>
    <t>I03</t>
  </si>
  <si>
    <t>I02</t>
  </si>
  <si>
    <t>E23</t>
  </si>
  <si>
    <t>I05</t>
  </si>
  <si>
    <t>I06</t>
  </si>
  <si>
    <t>I08b</t>
  </si>
  <si>
    <t>E22</t>
  </si>
  <si>
    <t>C101</t>
  </si>
  <si>
    <t>Total</t>
  </si>
  <si>
    <t>AX001</t>
  </si>
  <si>
    <t>Adderley Nursery School</t>
  </si>
  <si>
    <t>Nursery</t>
  </si>
  <si>
    <t>AX085</t>
  </si>
  <si>
    <t>Adderley Primary School</t>
  </si>
  <si>
    <t>Primary</t>
  </si>
  <si>
    <t>AX002</t>
  </si>
  <si>
    <t>Al-Furqan Primary School</t>
  </si>
  <si>
    <t>AX087</t>
  </si>
  <si>
    <t>Allens Croft Nursery School</t>
  </si>
  <si>
    <t>AX004</t>
  </si>
  <si>
    <t>Allens Croft Primary School</t>
  </si>
  <si>
    <t>AX006</t>
  </si>
  <si>
    <t>Anderton Park Primary School</t>
  </si>
  <si>
    <t>AX007</t>
  </si>
  <si>
    <t>Anglesey Primary School</t>
  </si>
  <si>
    <t>AX008</t>
  </si>
  <si>
    <t>Arden Primary School</t>
  </si>
  <si>
    <t>AX00C</t>
  </si>
  <si>
    <t>Barford Primary School</t>
  </si>
  <si>
    <t>AX00E</t>
  </si>
  <si>
    <t>Baskerville School</t>
  </si>
  <si>
    <t>Special</t>
  </si>
  <si>
    <t>AX00F</t>
  </si>
  <si>
    <t>Beaufort School</t>
  </si>
  <si>
    <t>AX04L</t>
  </si>
  <si>
    <t>Beeches Infant School</t>
  </si>
  <si>
    <t>AX04M</t>
  </si>
  <si>
    <t>Beeches Junior School</t>
  </si>
  <si>
    <t>AX00G</t>
  </si>
  <si>
    <t>Bellfield Infant School (NC)</t>
  </si>
  <si>
    <t>AX00H</t>
  </si>
  <si>
    <t>Bellfield Junior School</t>
  </si>
  <si>
    <t>AX00J</t>
  </si>
  <si>
    <t>Bells Farm Primary School</t>
  </si>
  <si>
    <t>AX08C</t>
  </si>
  <si>
    <t>Bishop Challoner Catholic College</t>
  </si>
  <si>
    <t>Secondary</t>
  </si>
  <si>
    <t>AX00Q</t>
  </si>
  <si>
    <t>Blakesley Hall Primary School</t>
  </si>
  <si>
    <t>AX00R</t>
  </si>
  <si>
    <t>Bloomsbury Nursery School</t>
  </si>
  <si>
    <t>AX08G</t>
  </si>
  <si>
    <t>Boldmere Infant School and Nursery</t>
  </si>
  <si>
    <t>AX00T</t>
  </si>
  <si>
    <t>Boldmere Junior School</t>
  </si>
  <si>
    <t>AX00U</t>
  </si>
  <si>
    <t>Bordesley Green East Nursery School</t>
  </si>
  <si>
    <t>AX08J</t>
  </si>
  <si>
    <t>Bordesley Green Girls' School &amp; Sixth Form</t>
  </si>
  <si>
    <t>AX08H</t>
  </si>
  <si>
    <t>Bordesley Green Primary School</t>
  </si>
  <si>
    <t>AX00X</t>
  </si>
  <si>
    <t>Bournville Village Primary</t>
  </si>
  <si>
    <t>AX00Y</t>
  </si>
  <si>
    <t>Braidwood School for the Deaf</t>
  </si>
  <si>
    <t>AX00Z</t>
  </si>
  <si>
    <t>Brearley Nursery School</t>
  </si>
  <si>
    <t>AX013</t>
  </si>
  <si>
    <t>Calshot Primary School</t>
  </si>
  <si>
    <t>AX08U</t>
  </si>
  <si>
    <t>Cardinal Wiseman Catholic School</t>
  </si>
  <si>
    <t>AX014</t>
  </si>
  <si>
    <t>Castle Vale Nursery School</t>
  </si>
  <si>
    <t>AX015</t>
  </si>
  <si>
    <t>Chad Vale Primary School</t>
  </si>
  <si>
    <t>AX017</t>
  </si>
  <si>
    <t>Cherry Oak School</t>
  </si>
  <si>
    <t>AX018</t>
  </si>
  <si>
    <t>Cherry Orchard Primary School</t>
  </si>
  <si>
    <t>AX08W</t>
  </si>
  <si>
    <t>Chilcote Primary School</t>
  </si>
  <si>
    <t>AX01A</t>
  </si>
  <si>
    <t>Christ Church CofE Controlled Primary School and Nursery</t>
  </si>
  <si>
    <t>AX019</t>
  </si>
  <si>
    <t>Christ The King Catholic Primary School</t>
  </si>
  <si>
    <t>AX073</t>
  </si>
  <si>
    <t>City of Birmingham School</t>
  </si>
  <si>
    <t>Pupil referral unit</t>
  </si>
  <si>
    <t>AX01B</t>
  </si>
  <si>
    <t>Clifton Primary School</t>
  </si>
  <si>
    <t>AX01D</t>
  </si>
  <si>
    <t>Cofton Primary School</t>
  </si>
  <si>
    <t>AX01E</t>
  </si>
  <si>
    <t>Colebourne Primary School</t>
  </si>
  <si>
    <t>AX091</t>
  </si>
  <si>
    <t>Colmers School and Sixth Form College</t>
  </si>
  <si>
    <t>AX092</t>
  </si>
  <si>
    <t>Colmore Infant and Nursery School</t>
  </si>
  <si>
    <t>AX093</t>
  </si>
  <si>
    <t>Colmore Junior School</t>
  </si>
  <si>
    <t>AX01G</t>
  </si>
  <si>
    <t>Coppice Primary School</t>
  </si>
  <si>
    <t>AX01H</t>
  </si>
  <si>
    <t>Corpus Christi Catholic Primary School</t>
  </si>
  <si>
    <t>AX01J</t>
  </si>
  <si>
    <t>Cotteridge Primary School</t>
  </si>
  <si>
    <t>AX01Q</t>
  </si>
  <si>
    <t>Edith Cadbury Nursery School</t>
  </si>
  <si>
    <t>AX01R</t>
  </si>
  <si>
    <t>Elms Farm Community Primary School</t>
  </si>
  <si>
    <t>AX01T</t>
  </si>
  <si>
    <t>English Martyrs' Catholic Primary School</t>
  </si>
  <si>
    <t>AX01X</t>
  </si>
  <si>
    <t>Featherstone Nursery School</t>
  </si>
  <si>
    <t>AX01W</t>
  </si>
  <si>
    <t>Featherstone Primary School</t>
  </si>
  <si>
    <t>AX01Z</t>
  </si>
  <si>
    <t>Forestdale Primary School</t>
  </si>
  <si>
    <t>AX020</t>
  </si>
  <si>
    <t>Four Oaks Primary School</t>
  </si>
  <si>
    <t>AX021</t>
  </si>
  <si>
    <t>Fox Hollies School</t>
  </si>
  <si>
    <t>AX023</t>
  </si>
  <si>
    <t>Garretts Green Nursery School</t>
  </si>
  <si>
    <t>AX025</t>
  </si>
  <si>
    <t>George Dixon Primary School</t>
  </si>
  <si>
    <t>AX026</t>
  </si>
  <si>
    <t>Gilbertstone Primary School</t>
  </si>
  <si>
    <t>AX027</t>
  </si>
  <si>
    <t>Glenmead Primary School</t>
  </si>
  <si>
    <t>AX028</t>
  </si>
  <si>
    <t>Goodway Nursery School</t>
  </si>
  <si>
    <t>AX029</t>
  </si>
  <si>
    <t>Gracelands Nursery School</t>
  </si>
  <si>
    <t>AX02C</t>
  </si>
  <si>
    <t>Grendon Primary School</t>
  </si>
  <si>
    <t>AX02D</t>
  </si>
  <si>
    <t>Grove School</t>
  </si>
  <si>
    <t>AX02F</t>
  </si>
  <si>
    <t>Gunter Primary School</t>
  </si>
  <si>
    <t>AX02G</t>
  </si>
  <si>
    <t>Hall Green Infant School</t>
  </si>
  <si>
    <t>AX02H</t>
  </si>
  <si>
    <t>Hall Green Junior School</t>
  </si>
  <si>
    <t>AX02K</t>
  </si>
  <si>
    <t>Hamilton School</t>
  </si>
  <si>
    <t>AX02L</t>
  </si>
  <si>
    <t>Harborne Primary School</t>
  </si>
  <si>
    <t>AX09P</t>
  </si>
  <si>
    <t>Harper Bell Seventh-Day Adventist School</t>
  </si>
  <si>
    <t>AX02M</t>
  </si>
  <si>
    <t>Hawthorn Primary School</t>
  </si>
  <si>
    <t>AX02P</t>
  </si>
  <si>
    <t>Highfield Nursery School</t>
  </si>
  <si>
    <t>AX02R</t>
  </si>
  <si>
    <t>Highters Heath Nursery School</t>
  </si>
  <si>
    <t>AX0A1</t>
  </si>
  <si>
    <t>Hodge Hill College</t>
  </si>
  <si>
    <t>AX0A2</t>
  </si>
  <si>
    <t>Hodge Hill Girls' School</t>
  </si>
  <si>
    <t>AX02U</t>
  </si>
  <si>
    <t>Holly Hill Methodist CofE Infant School</t>
  </si>
  <si>
    <t>AX02V</t>
  </si>
  <si>
    <t>Hollyfield Primary School</t>
  </si>
  <si>
    <t>AX0A4</t>
  </si>
  <si>
    <t>Holte School</t>
  </si>
  <si>
    <t>AX02Y</t>
  </si>
  <si>
    <t>Holy Family Catholic Primary School</t>
  </si>
  <si>
    <t>AX0A7</t>
  </si>
  <si>
    <t>Jakeman Nursery School</t>
  </si>
  <si>
    <t>AX032</t>
  </si>
  <si>
    <t>James Watt Primary School</t>
  </si>
  <si>
    <t>AX035</t>
  </si>
  <si>
    <t>King David Junior and Infant School</t>
  </si>
  <si>
    <t>AX037</t>
  </si>
  <si>
    <t>Kings Heath Primary School</t>
  </si>
  <si>
    <t>AX036</t>
  </si>
  <si>
    <t>Kings Heath Secondary School</t>
  </si>
  <si>
    <t>AX03A</t>
  </si>
  <si>
    <t>Kings Norton Nursery School</t>
  </si>
  <si>
    <t>AX03B</t>
  </si>
  <si>
    <t>Kingsland Primary School (NC)</t>
  </si>
  <si>
    <t>AX03C</t>
  </si>
  <si>
    <t>Kingsthorne Primary School</t>
  </si>
  <si>
    <t>AX03D</t>
  </si>
  <si>
    <t>Kitwell Primary School</t>
  </si>
  <si>
    <t>AX03E</t>
  </si>
  <si>
    <t>Ladypool Primary School</t>
  </si>
  <si>
    <t>AX03G</t>
  </si>
  <si>
    <t>Langley School</t>
  </si>
  <si>
    <t>AX03J</t>
  </si>
  <si>
    <t>Lillian de Lissa Nursery School</t>
  </si>
  <si>
    <t>AX03K</t>
  </si>
  <si>
    <t>Lindsworth School</t>
  </si>
  <si>
    <t>AX03L</t>
  </si>
  <si>
    <t>Little Sutton Primary School</t>
  </si>
  <si>
    <t>AX03M</t>
  </si>
  <si>
    <t>Longwill Primary School for Deaf Children</t>
  </si>
  <si>
    <t>AX0AN</t>
  </si>
  <si>
    <t>Lozells Junior and Infant School and Nursery</t>
  </si>
  <si>
    <t>AX03N</t>
  </si>
  <si>
    <t>Lyndon Green Infant School</t>
  </si>
  <si>
    <t>AX03P</t>
  </si>
  <si>
    <t>Lyndon Green Junior School</t>
  </si>
  <si>
    <t>AX03Q</t>
  </si>
  <si>
    <t>Maney Hill Primary School</t>
  </si>
  <si>
    <t>AX03R</t>
  </si>
  <si>
    <t>Mapledene Primary School</t>
  </si>
  <si>
    <t>AX03W</t>
  </si>
  <si>
    <t>Marsh Hill Nursery School</t>
  </si>
  <si>
    <t>AX03V</t>
  </si>
  <si>
    <t>Marsh Hill Primary School</t>
  </si>
  <si>
    <t>AX040</t>
  </si>
  <si>
    <t>Minworth Junior and Infant School</t>
  </si>
  <si>
    <t>AX041</t>
  </si>
  <si>
    <t>Moor Hall Primary School</t>
  </si>
  <si>
    <t>AX042</t>
  </si>
  <si>
    <t>Moseley Church of England Primary School</t>
  </si>
  <si>
    <t>AX0AW</t>
  </si>
  <si>
    <t>Moseley School and Sixth Form</t>
  </si>
  <si>
    <t>AX044</t>
  </si>
  <si>
    <t>Nelson Mandela School</t>
  </si>
  <si>
    <t>AX043</t>
  </si>
  <si>
    <t>Nelson Primary School</t>
  </si>
  <si>
    <t>AX045</t>
  </si>
  <si>
    <t>New Hall Primary School</t>
  </si>
  <si>
    <t>AX047</t>
  </si>
  <si>
    <t>Newtown Nursery School</t>
  </si>
  <si>
    <t>AX04B</t>
  </si>
  <si>
    <t>Osborne Nursery School</t>
  </si>
  <si>
    <t>AX04D</t>
  </si>
  <si>
    <t>Our Lady and St Rose of Lima Catholic Primary School</t>
  </si>
  <si>
    <t>AX04E</t>
  </si>
  <si>
    <t>Our Lady of Lourdes Catholic Primary School</t>
  </si>
  <si>
    <t>AX04J</t>
  </si>
  <si>
    <t>Park Hill Primary School</t>
  </si>
  <si>
    <t>AX04K</t>
  </si>
  <si>
    <t>Penns Primary School</t>
  </si>
  <si>
    <t>AX04N</t>
  </si>
  <si>
    <t>Perry Beeches Nursery School</t>
  </si>
  <si>
    <t>AX04Q</t>
  </si>
  <si>
    <t>Priestley Smith School</t>
  </si>
  <si>
    <t>AX0BD</t>
  </si>
  <si>
    <t>Queensbridge School</t>
  </si>
  <si>
    <t>AX04V</t>
  </si>
  <si>
    <t>Raddlebarn Primary School</t>
  </si>
  <si>
    <t>AX04W</t>
  </si>
  <si>
    <t>Redhill Primary School</t>
  </si>
  <si>
    <t>AX04X</t>
  </si>
  <si>
    <t>Rednal Hill Infant School</t>
  </si>
  <si>
    <t>AX04Y</t>
  </si>
  <si>
    <t>Rednal Hill Junior School</t>
  </si>
  <si>
    <t>AX04Z</t>
  </si>
  <si>
    <t>Regents Park Community Primary School</t>
  </si>
  <si>
    <t>AX052</t>
  </si>
  <si>
    <t>Rubery Nursery School</t>
  </si>
  <si>
    <t>AX053</t>
  </si>
  <si>
    <t>Selly Oak Nursery School</t>
  </si>
  <si>
    <t>AX0BK</t>
  </si>
  <si>
    <t>Selly Oak Trust School</t>
  </si>
  <si>
    <t>AX0BL</t>
  </si>
  <si>
    <t>Selly Park Girls' School</t>
  </si>
  <si>
    <t>AX054</t>
  </si>
  <si>
    <t>Severne Junior Infant and Nursery School</t>
  </si>
  <si>
    <t>AX055</t>
  </si>
  <si>
    <t>Shaw Hill Primary School</t>
  </si>
  <si>
    <t>AX056</t>
  </si>
  <si>
    <t>Shenley Fields Nursery School</t>
  </si>
  <si>
    <t>AX0BR</t>
  </si>
  <si>
    <t>Sladefield Infant School</t>
  </si>
  <si>
    <t>AX059</t>
  </si>
  <si>
    <t>Somerville Primary (NC) School</t>
  </si>
  <si>
    <t>AX05A</t>
  </si>
  <si>
    <t>Springfield House Community Special School</t>
  </si>
  <si>
    <t>AX061</t>
  </si>
  <si>
    <t>SS John &amp; Monica Catholic Primary School</t>
  </si>
  <si>
    <t>AX05C</t>
  </si>
  <si>
    <t>St Alban's Catholic Primary School</t>
  </si>
  <si>
    <t>AX05E</t>
  </si>
  <si>
    <t>St Anne's Catholic Primary School</t>
  </si>
  <si>
    <t>AX05H</t>
  </si>
  <si>
    <t>St Benedict's Primary School</t>
  </si>
  <si>
    <t>AX05J</t>
  </si>
  <si>
    <t>St Bernadette's Catholic Primary School</t>
  </si>
  <si>
    <t>AX05K</t>
  </si>
  <si>
    <t>St Bernard's Catholic Primary School</t>
  </si>
  <si>
    <t>AX05L</t>
  </si>
  <si>
    <t>St Catherine of Siena Catholic Primary School</t>
  </si>
  <si>
    <t>AX05P</t>
  </si>
  <si>
    <t>St Cuthbert's Catholic Primary School</t>
  </si>
  <si>
    <t>AX05Q</t>
  </si>
  <si>
    <t>St Dunstan's Catholic Primary School</t>
  </si>
  <si>
    <t>AX05U</t>
  </si>
  <si>
    <t>St Edward's Catholic Primary School</t>
  </si>
  <si>
    <t>AX05Y</t>
  </si>
  <si>
    <t>St Gerard's Catholic Primary School</t>
  </si>
  <si>
    <t>AX05Z</t>
  </si>
  <si>
    <t>St James Church of England Primary School, Handsworth</t>
  </si>
  <si>
    <t>AX063</t>
  </si>
  <si>
    <t>St John Wall Catholic School</t>
  </si>
  <si>
    <t>AX066</t>
  </si>
  <si>
    <t>St Jude's Catholic Primary School</t>
  </si>
  <si>
    <t>AX067</t>
  </si>
  <si>
    <t>St Laurence Church Infant School</t>
  </si>
  <si>
    <t>AX068</t>
  </si>
  <si>
    <t>St Laurence Church Junior School</t>
  </si>
  <si>
    <t>AX069</t>
  </si>
  <si>
    <t>St Margaret Mary Catholic Primary School</t>
  </si>
  <si>
    <t>AX06B</t>
  </si>
  <si>
    <t>St Martin de Porres Catholic Primary School</t>
  </si>
  <si>
    <t>AX06E</t>
  </si>
  <si>
    <t>St Mary's Catholic Primary School</t>
  </si>
  <si>
    <t>AX06D</t>
  </si>
  <si>
    <t>St Mary's Church of England Primary School</t>
  </si>
  <si>
    <t>AX06F</t>
  </si>
  <si>
    <t>St Matthew's CofE Primary School</t>
  </si>
  <si>
    <t>AX06H</t>
  </si>
  <si>
    <t>St Patrick and St Edmund's Catholic Primary School</t>
  </si>
  <si>
    <t>AX0C4</t>
  </si>
  <si>
    <t>St Paul's School for Girls</t>
  </si>
  <si>
    <t>AX06L</t>
  </si>
  <si>
    <t>St Peters CofE Primary School</t>
  </si>
  <si>
    <t>AX06N</t>
  </si>
  <si>
    <t>St Saviour's C of E Primary School</t>
  </si>
  <si>
    <t>AX06R</t>
  </si>
  <si>
    <t>St Thomas Centre Nursery School</t>
  </si>
  <si>
    <t>AX06W</t>
  </si>
  <si>
    <t>Stanville Primary School</t>
  </si>
  <si>
    <t>AX06Y</t>
  </si>
  <si>
    <t>Stechford Primary School</t>
  </si>
  <si>
    <t>AX072</t>
  </si>
  <si>
    <t>Sundridge Primary School</t>
  </si>
  <si>
    <t>AX01M</t>
  </si>
  <si>
    <t>The Dame Ellen Pinsent School</t>
  </si>
  <si>
    <t>AX04P</t>
  </si>
  <si>
    <t>The Pines School</t>
  </si>
  <si>
    <t>AX075</t>
  </si>
  <si>
    <t>Thornton Primary School</t>
  </si>
  <si>
    <t>AX07A</t>
  </si>
  <si>
    <t>Uffculme School</t>
  </si>
  <si>
    <t>AX0CG</t>
  </si>
  <si>
    <t>Victoria School</t>
  </si>
  <si>
    <t>AX0CH</t>
  </si>
  <si>
    <t>Walmley Infant School</t>
  </si>
  <si>
    <t>AX0CJ</t>
  </si>
  <si>
    <t>Walmley Junior School</t>
  </si>
  <si>
    <t>AX07B</t>
  </si>
  <si>
    <t>Ward End Primary School</t>
  </si>
  <si>
    <t>AX07D</t>
  </si>
  <si>
    <t>Washwood Heath Nursery School</t>
  </si>
  <si>
    <t>AX07E</t>
  </si>
  <si>
    <t>Water Mill Primary School</t>
  </si>
  <si>
    <t>AX0CL</t>
  </si>
  <si>
    <t>Welford Primary School</t>
  </si>
  <si>
    <t>AX07H</t>
  </si>
  <si>
    <t>Welsh House Farm Community School and Special Needs Resources Base</t>
  </si>
  <si>
    <t>AX07J</t>
  </si>
  <si>
    <t>Weoley Castle Nursery School</t>
  </si>
  <si>
    <t>AX07K</t>
  </si>
  <si>
    <t>West Heath Nursery School</t>
  </si>
  <si>
    <t>AX07L</t>
  </si>
  <si>
    <t>West Heath Primary School</t>
  </si>
  <si>
    <t>AX07P</t>
  </si>
  <si>
    <t>Wheelers Lane Primary School</t>
  </si>
  <si>
    <t>AX07N</t>
  </si>
  <si>
    <t>Wheelers Lane Technology College</t>
  </si>
  <si>
    <t>AX07Q</t>
  </si>
  <si>
    <t>Whitehouse Common Primary School</t>
  </si>
  <si>
    <t>AX07T</t>
  </si>
  <si>
    <t>William Murdoch Primary School</t>
  </si>
  <si>
    <t>AX07U</t>
  </si>
  <si>
    <t>Woodcock Hill Primary School</t>
  </si>
  <si>
    <t>AX07V</t>
  </si>
  <si>
    <t>Woodgate Primary School</t>
  </si>
  <si>
    <t>AX07X</t>
  </si>
  <si>
    <t>World's End Infant and Nursery School</t>
  </si>
  <si>
    <t>AX0CQ</t>
  </si>
  <si>
    <t>World's End Junior School</t>
  </si>
  <si>
    <t>AX07Y</t>
  </si>
  <si>
    <t>Wylde Green Primary School</t>
  </si>
  <si>
    <t>AX080</t>
  </si>
  <si>
    <t>Yardley Primary School</t>
  </si>
  <si>
    <t>AX081</t>
  </si>
  <si>
    <t>Yardley Wood Community Primary School</t>
  </si>
  <si>
    <t>AX083</t>
  </si>
  <si>
    <t>Yorkmead Junior and Infant School</t>
  </si>
  <si>
    <t>2026/27 LA Statement of Funding and Provisional School Budget Payment Schedule</t>
  </si>
  <si>
    <t>DfE Number</t>
  </si>
  <si>
    <t>Cost Centre</t>
  </si>
  <si>
    <t>Schools Name</t>
  </si>
  <si>
    <t>1. 2025/26 LA STATEMENT OF FUNDING</t>
  </si>
  <si>
    <t xml:space="preserve">LA Confirmed Funding Allocations: </t>
  </si>
  <si>
    <t>2026/27 Initial Funding Allocation</t>
  </si>
  <si>
    <t>Apr 26 Adjustments</t>
  </si>
  <si>
    <t>May 26 Adjustments</t>
  </si>
  <si>
    <t>Jun 26 Adjustments</t>
  </si>
  <si>
    <t>Jul 26 Adjustments</t>
  </si>
  <si>
    <t>Aug 26 Adjustments</t>
  </si>
  <si>
    <t>Sept 26 Adjustments</t>
  </si>
  <si>
    <t>Oct 26 Adjustments</t>
  </si>
  <si>
    <t>Nov 26 Adjustments</t>
  </si>
  <si>
    <t>Dec 26 Adjustments</t>
  </si>
  <si>
    <t>Jan 27 Adjustments</t>
  </si>
  <si>
    <t>Feb 27 Adjustments</t>
  </si>
  <si>
    <t xml:space="preserve">Mar 27 Adjustments </t>
  </si>
  <si>
    <t>Year-End Adjustments</t>
  </si>
  <si>
    <t xml:space="preserve">Total </t>
  </si>
  <si>
    <t xml:space="preserve">Schools block budget share </t>
  </si>
  <si>
    <t>NNDR 2026/27**</t>
  </si>
  <si>
    <t>De-Delegation</t>
  </si>
  <si>
    <t>Schools block budget share (after NNDR &amp; De-Delegation)</t>
  </si>
  <si>
    <t>High Needs Place Funding Pre-16</t>
  </si>
  <si>
    <t>High Needs Place Funding Post-16</t>
  </si>
  <si>
    <t>High Needs Indicative Top up Funding*</t>
  </si>
  <si>
    <t>High Needs Resource Base Place Funding</t>
  </si>
  <si>
    <t>High Needs Resource Base Top-up Funding</t>
  </si>
  <si>
    <t>EY Under 2 YO Indicative per term</t>
  </si>
  <si>
    <t>Spring indicative TBC (based on Spr 26 actuals)</t>
  </si>
  <si>
    <t>EY 2 YO Indicative per term</t>
  </si>
  <si>
    <t>EY 3-4 YO Indicative per term</t>
  </si>
  <si>
    <t>EY EYPP Indicative per term</t>
  </si>
  <si>
    <t>EY FSM Indicative per term</t>
  </si>
  <si>
    <t>EY Deprivation Indicative per term</t>
  </si>
  <si>
    <t>EY DAF Indicative per term</t>
  </si>
  <si>
    <t>EY Maintained Supplementary</t>
  </si>
  <si>
    <t>Total LA Funding</t>
  </si>
  <si>
    <t>Add: Sixth Form Funding 25/26 (4/12ths)</t>
  </si>
  <si>
    <t>Add: Sixth Form Funding 26/27 (8/12ths)</t>
  </si>
  <si>
    <t>Less Excluded Pupils</t>
  </si>
  <si>
    <t>Less BCC Insurance / ESFA RPA</t>
  </si>
  <si>
    <t>Estimated funding to be paid to the school</t>
  </si>
  <si>
    <t>2. Estimated Monthly School Budget Payment Schedule</t>
  </si>
  <si>
    <t>CFR code</t>
  </si>
  <si>
    <t>Total to date</t>
  </si>
  <si>
    <t>Estimated</t>
  </si>
  <si>
    <t>Actual</t>
  </si>
  <si>
    <t>final adj</t>
  </si>
  <si>
    <t>High Needs Top up Funding</t>
  </si>
  <si>
    <t>High Needs Resource Base Top up Funding</t>
  </si>
  <si>
    <t>EY Under 2 YO 80% Indicative</t>
  </si>
  <si>
    <t>EY 2 YO 80% Indicative</t>
  </si>
  <si>
    <t>EY 3-4 YO 80% Indicative</t>
  </si>
  <si>
    <t>EY EYPP 80% Indicative</t>
  </si>
  <si>
    <t>EY FSM 80% Indicative</t>
  </si>
  <si>
    <t>EY Deprivation 80% Indicative</t>
  </si>
  <si>
    <t>EY DAF 80% Indicative</t>
  </si>
  <si>
    <t>EY End of Term Adjustment*</t>
  </si>
  <si>
    <t>Total Budget Share Funding</t>
  </si>
  <si>
    <t>Add: Sixth Form Funding</t>
  </si>
  <si>
    <t xml:space="preserve">       </t>
  </si>
  <si>
    <t>LA monthly payment</t>
  </si>
  <si>
    <t>Cash Advances</t>
  </si>
  <si>
    <t>Other Adjustments</t>
  </si>
  <si>
    <t xml:space="preserve">Payments without grants </t>
  </si>
  <si>
    <t>BARCLAYS INTEREST AND CHARGES</t>
  </si>
  <si>
    <t>Barclays Interest Received</t>
  </si>
  <si>
    <t>Barclays Charges Incurred</t>
  </si>
  <si>
    <t>Total Barclays Interest and Charges</t>
  </si>
  <si>
    <t>OTHER DSG FUNDING</t>
  </si>
  <si>
    <t>Falling Rolls</t>
  </si>
  <si>
    <t>Growth Funding</t>
  </si>
  <si>
    <t>Total Other DSG Funding</t>
  </si>
  <si>
    <t>GRANTS</t>
  </si>
  <si>
    <t>School Budget Support Grant (SBSG)</t>
  </si>
  <si>
    <t>Teachers' pay additional grant</t>
  </si>
  <si>
    <t>Teacher's Pension Employer Contribution (16-19) Grant</t>
  </si>
  <si>
    <t>TPECG Special Mar 2025 Correction</t>
  </si>
  <si>
    <t>TPAG Special March 25 Correction</t>
  </si>
  <si>
    <t>Early Years National Insurance Contributions Teachers Pay</t>
  </si>
  <si>
    <t>Early Years Expansion Grant</t>
  </si>
  <si>
    <t>Early Years Budget Grant (EYBG)</t>
  </si>
  <si>
    <t xml:space="preserve">Pre-16 National Insurance Constributions </t>
  </si>
  <si>
    <t>16-19 Bursery Fund</t>
  </si>
  <si>
    <t>Post-16 Schools Budget Grant</t>
  </si>
  <si>
    <t>Post-16 National Insurance Contributions</t>
  </si>
  <si>
    <t>Core School Budget Grant (CSBG) Special</t>
  </si>
  <si>
    <t>Pupil Premium Funding (To be confirmed by DfE/EFA)</t>
  </si>
  <si>
    <t>Inclusive of Deprivation, Service Child and Post LAC.</t>
  </si>
  <si>
    <t>Early Career Mentor backfill grant</t>
  </si>
  <si>
    <t>Early Career Framework Mentor time off timetable</t>
  </si>
  <si>
    <t>National Professional Qualifications</t>
  </si>
  <si>
    <t>PE and Sports Grant (To be confirmed by DfE/EFA)</t>
  </si>
  <si>
    <t>Universal Infant Free School Meals 24/25 Final</t>
  </si>
  <si>
    <t>Universal Infant Free School Meals 25/26 Provisional</t>
  </si>
  <si>
    <t>Breakfast club early adopters grant</t>
  </si>
  <si>
    <t>Initial Teacher Training (ITT) Mentoring</t>
  </si>
  <si>
    <t>LA Capital income one off payment</t>
  </si>
  <si>
    <t>CI01</t>
  </si>
  <si>
    <t>Devolved Formula Capital</t>
  </si>
  <si>
    <t>Total Other Confirmed Funding Allocations</t>
  </si>
  <si>
    <t>Final  Payment for month after all adjustments</t>
  </si>
  <si>
    <t>Adjustments to be made</t>
  </si>
  <si>
    <t>Please note that the payment schedule will be updated to reflect:</t>
  </si>
  <si>
    <t>* High needs top-up and Early Years funding allocations will be updated in-year based on actual numbers. For Early Years, please look at Early Years Calculator published with the full details of each Early Years factor.</t>
  </si>
  <si>
    <t>** NNDR in budget plan for 2025/26, this is not actual bill amount, you should amend it according to your actual budget in both I01 and E17</t>
  </si>
  <si>
    <t>**** Please note VAT is paid a month in arreas. The VAT paid in April 24 is for claim relating to March 24</t>
  </si>
  <si>
    <t>The calculation of the provisional monthly instalment figure is based on confirmed LA funding allocations.</t>
  </si>
  <si>
    <t xml:space="preserve">Totals PER CFR </t>
  </si>
  <si>
    <t>Funds delegated by the local authority (LA)</t>
  </si>
  <si>
    <t>Funding for sixth form students</t>
  </si>
  <si>
    <t>High needs top-up funding</t>
  </si>
  <si>
    <t>Pupil Premium</t>
  </si>
  <si>
    <t>Other government grants</t>
  </si>
  <si>
    <t>Capital Income</t>
  </si>
  <si>
    <t xml:space="preserve">NNDR </t>
  </si>
  <si>
    <t>Insurance premiums (BCC or RPA)</t>
  </si>
  <si>
    <t>Bought-in professional services - curriculum(De-Delegation and ESG)</t>
  </si>
  <si>
    <t>Total CFR to date</t>
  </si>
  <si>
    <t>3. One off payments outside of schedule</t>
  </si>
  <si>
    <t xml:space="preserve">Actual </t>
  </si>
  <si>
    <t xml:space="preserve"> </t>
  </si>
  <si>
    <t>FOR SCHOOL USE</t>
  </si>
  <si>
    <t>12 Month Cash Flow Report Statement</t>
  </si>
  <si>
    <t>Select beginning period in Cell D12</t>
  </si>
  <si>
    <t>Commentary &amp; any additional information</t>
  </si>
  <si>
    <t>Estimated or Actual</t>
  </si>
  <si>
    <t>Income from BCC</t>
  </si>
  <si>
    <t>Adjustments to Income from BCC</t>
  </si>
  <si>
    <t>Other Income</t>
  </si>
  <si>
    <t>Total Income</t>
  </si>
  <si>
    <t>Salary Expenditure</t>
  </si>
  <si>
    <t>Other Expenditure</t>
  </si>
  <si>
    <t>Total Expenditure</t>
  </si>
  <si>
    <t>Net Income / Expenditure</t>
  </si>
  <si>
    <t>Cash at Bank</t>
  </si>
  <si>
    <t>Bank Balance b/f</t>
  </si>
  <si>
    <t>Bank Balance c/f (Cash)</t>
  </si>
  <si>
    <t>Cash Advance Required</t>
  </si>
  <si>
    <t>Inputted Cash Advance will increase c/f for the respective month</t>
  </si>
  <si>
    <t>Request for Cash Advance (if required):</t>
  </si>
  <si>
    <t>Date Completed (dd/mm/yyyy)</t>
  </si>
  <si>
    <t>Name Completed By</t>
  </si>
  <si>
    <t>Position</t>
  </si>
  <si>
    <t>Headteacher Name</t>
  </si>
  <si>
    <t>Headteacher Signature</t>
  </si>
  <si>
    <t>Chair of Governors Name</t>
  </si>
  <si>
    <t>Chair of Governors Signature</t>
  </si>
  <si>
    <t>All cash advance requests must be supported by a completed 12-month cash flow statement, signed by the School's Headteacher and Chair of Governors.</t>
  </si>
  <si>
    <r>
      <t xml:space="preserve">Requests should be sent to </t>
    </r>
    <r>
      <rPr>
        <u/>
        <sz val="12"/>
        <color theme="3"/>
        <rFont val="Calibri"/>
        <family val="2"/>
        <scheme val="minor"/>
      </rPr>
      <t>SchoolsFinance@Birmingham.gov.uk</t>
    </r>
    <r>
      <rPr>
        <sz val="12"/>
        <color theme="1"/>
        <rFont val="Calibri"/>
        <family val="2"/>
        <scheme val="minor"/>
      </rPr>
      <t xml:space="preserve"> with subject [Cash Advance Request - DfE Number - School Name]. This should be submitted in Excel format, and a signed PDF version where necessary. </t>
    </r>
  </si>
  <si>
    <t xml:space="preserve">The school will be notified if the request has been approved, following which Schools Finance will arrange a cash advance from the school's monthly school budget. </t>
  </si>
  <si>
    <t xml:space="preserve">The school will continue to receive their future monthly school budget instalments and Schools Finance will liaise with the school regarding the timing of the recoupment of the cash advance. </t>
  </si>
  <si>
    <t xml:space="preserve">Note </t>
  </si>
  <si>
    <t>Schools that bank with Barclays under the corporate umbrella do not have to request a cash advance as the account can be used in an overdraft. However, Schools Finance still require a 12-month cash flow statement to support income and expenditure forecasts.</t>
  </si>
  <si>
    <t xml:space="preserve">Schools in deficit must submit a recovery plan in support of the cash flow statement. </t>
  </si>
  <si>
    <t>Monthly Monitoring 2026/27</t>
  </si>
  <si>
    <t>SCHOOLS FINANCE</t>
  </si>
  <si>
    <t>Title</t>
  </si>
  <si>
    <t xml:space="preserve">2024-25 Outturn 
</t>
  </si>
  <si>
    <t xml:space="preserve">2025-26 School Budget Plan Approved - Original
</t>
  </si>
  <si>
    <t xml:space="preserve">2025-26 School Budget Plan virements 
</t>
  </si>
  <si>
    <t xml:space="preserve">2025-26 School Budget Plan Approved after virements Revised
</t>
  </si>
  <si>
    <t>Cash Sheet
YTD</t>
  </si>
  <si>
    <t xml:space="preserve">Non Cash Sheet 
YTD </t>
  </si>
  <si>
    <t>2025-26 
Actual Year to Date 
Position 
(£)</t>
  </si>
  <si>
    <t>Debtors</t>
  </si>
  <si>
    <t>Creditors</t>
  </si>
  <si>
    <t>Payment in Advance</t>
  </si>
  <si>
    <t>Income in Advance</t>
  </si>
  <si>
    <t>Accruals</t>
  </si>
  <si>
    <t xml:space="preserve">2026-27
Actual Year to Date 
Position </t>
  </si>
  <si>
    <t>% Actual against budget</t>
  </si>
  <si>
    <t xml:space="preserve"> % Actual compared to Total Exp/Inc </t>
  </si>
  <si>
    <t xml:space="preserve">2025-26 Forecast Year End Position at Q1    </t>
  </si>
  <si>
    <t xml:space="preserve">Budget - Forecast Variance  </t>
  </si>
  <si>
    <t xml:space="preserve">Commentary &amp; any additional information </t>
  </si>
  <si>
    <t>Post submission changes
Position (inc Accruals) 
(£)</t>
  </si>
  <si>
    <t>Revised 2018/19 position
(£)</t>
  </si>
  <si>
    <t>Notes (Optional)</t>
  </si>
  <si>
    <t>(£)</t>
  </si>
  <si>
    <t>REVENUE ACCOUNTS:</t>
  </si>
  <si>
    <t>Opening Revenue Balance [surplus/(deficit)]</t>
  </si>
  <si>
    <t>School Manual Input until Opening Balances are confirmed by BCC</t>
  </si>
  <si>
    <t>Income (revenue)</t>
  </si>
  <si>
    <t>I01x: Early years funds delegated by the LA</t>
  </si>
  <si>
    <t>I01: Funds delegated by the LA</t>
  </si>
  <si>
    <t>I02: Funding for sixth form students</t>
  </si>
  <si>
    <t>I03: High needs top: up funding (Not Special Schools)</t>
  </si>
  <si>
    <t>I04: Funding for minority ethnic pupils</t>
  </si>
  <si>
    <t>I04</t>
  </si>
  <si>
    <t>Funding for minority ethnic pupils</t>
  </si>
  <si>
    <t>I05: Pupil premium</t>
  </si>
  <si>
    <t>I06: Other government grants</t>
  </si>
  <si>
    <t>I07: Other grants and payments received</t>
  </si>
  <si>
    <t>I07</t>
  </si>
  <si>
    <t>Other grants and payments received</t>
  </si>
  <si>
    <t>I08a: Income from letting premises</t>
  </si>
  <si>
    <t>I08a</t>
  </si>
  <si>
    <t>Income from letting premises</t>
  </si>
  <si>
    <t>I08b: Income: facilities and services</t>
  </si>
  <si>
    <t>Other income from facilities and services</t>
  </si>
  <si>
    <t>I09: Income: catering</t>
  </si>
  <si>
    <t>I09</t>
  </si>
  <si>
    <t>Income from catering</t>
  </si>
  <si>
    <t>I10: Receipts: supply teacher insurance claims</t>
  </si>
  <si>
    <t>I10</t>
  </si>
  <si>
    <t>Receipts from supply teacher insurance claims</t>
  </si>
  <si>
    <t>I11: Receipts: other insurance claims</t>
  </si>
  <si>
    <t>I11</t>
  </si>
  <si>
    <t>Receipts from other insurance claims</t>
  </si>
  <si>
    <t>I12: Income: contributions to visits, etc</t>
  </si>
  <si>
    <t>I12</t>
  </si>
  <si>
    <t>Income from contributions to visits</t>
  </si>
  <si>
    <t>I13: Donations/private funds</t>
  </si>
  <si>
    <t>I13</t>
  </si>
  <si>
    <t>Donations and/or voluntary funds</t>
  </si>
  <si>
    <t xml:space="preserve">I15: Pupil focused extended school funding and/or grants </t>
  </si>
  <si>
    <t>I15</t>
  </si>
  <si>
    <t>Pupil-focused extended school funding or grants</t>
  </si>
  <si>
    <t>Total Income (revenue)</t>
  </si>
  <si>
    <t>Expenditure (Revenue)</t>
  </si>
  <si>
    <t>E01: Teaching staff</t>
  </si>
  <si>
    <t>E01</t>
  </si>
  <si>
    <t>Teaching staff</t>
  </si>
  <si>
    <t>E02: Supply teaching staff</t>
  </si>
  <si>
    <t>E02</t>
  </si>
  <si>
    <t>Supply teaching staff</t>
  </si>
  <si>
    <t>E03: Education support staff</t>
  </si>
  <si>
    <t>E03</t>
  </si>
  <si>
    <t>Education support staff</t>
  </si>
  <si>
    <t>E04: Premises staff</t>
  </si>
  <si>
    <t>E04</t>
  </si>
  <si>
    <t>Premises staff</t>
  </si>
  <si>
    <t>E05: Administrative &amp; clerical staff</t>
  </si>
  <si>
    <t>E05</t>
  </si>
  <si>
    <t>Administrative and clerical staff</t>
  </si>
  <si>
    <t>E06: Catering staff</t>
  </si>
  <si>
    <t>E06</t>
  </si>
  <si>
    <t>Catering staff</t>
  </si>
  <si>
    <t>E07: Cost of other staff</t>
  </si>
  <si>
    <t>E07</t>
  </si>
  <si>
    <t>Cost of other staff</t>
  </si>
  <si>
    <t>E08: Indirect employee expenses</t>
  </si>
  <si>
    <t>E08</t>
  </si>
  <si>
    <t>Indirect employee expenses</t>
  </si>
  <si>
    <t>E09: Staff development &amp; training</t>
  </si>
  <si>
    <t>E09</t>
  </si>
  <si>
    <t>Staff development and training</t>
  </si>
  <si>
    <t>E10: Supply teacher insurance</t>
  </si>
  <si>
    <t>E10</t>
  </si>
  <si>
    <t>Supply teacher insurance</t>
  </si>
  <si>
    <t>E11: Staff related insurance</t>
  </si>
  <si>
    <t>E11</t>
  </si>
  <si>
    <t>Staff related insurance</t>
  </si>
  <si>
    <t>E12: Building maintenance &amp; improvement</t>
  </si>
  <si>
    <t>E12</t>
  </si>
  <si>
    <t>Building maintenance and improvement</t>
  </si>
  <si>
    <t>E13: Grounds maintenance &amp; improvement</t>
  </si>
  <si>
    <t>E13</t>
  </si>
  <si>
    <t>Grounds maintenance and improvement</t>
  </si>
  <si>
    <t>E14: Cleaning &amp; caretaking</t>
  </si>
  <si>
    <t>E14</t>
  </si>
  <si>
    <t>Cleaning and caretaking</t>
  </si>
  <si>
    <t>E15: Water &amp; sewerage</t>
  </si>
  <si>
    <t>E15</t>
  </si>
  <si>
    <t>Water and sewerage</t>
  </si>
  <si>
    <t>E16: Energy</t>
  </si>
  <si>
    <t>E16</t>
  </si>
  <si>
    <t>Energy</t>
  </si>
  <si>
    <t>E17: Rates</t>
  </si>
  <si>
    <t>Rates</t>
  </si>
  <si>
    <t>E18: Other Occupation Costs</t>
  </si>
  <si>
    <t>E18</t>
  </si>
  <si>
    <t>Other occupation costs</t>
  </si>
  <si>
    <t>E19: Learning resources</t>
  </si>
  <si>
    <t>E19</t>
  </si>
  <si>
    <t>Learning resources</t>
  </si>
  <si>
    <t>E20A: Connectivity</t>
  </si>
  <si>
    <t>E20A</t>
  </si>
  <si>
    <t>Connectivity</t>
  </si>
  <si>
    <t>E20B: Onsite Servers</t>
  </si>
  <si>
    <t>E20B</t>
  </si>
  <si>
    <t>Onsite servers</t>
  </si>
  <si>
    <t>E20C: IT Learning Resources</t>
  </si>
  <si>
    <t>E20C</t>
  </si>
  <si>
    <t>IT learning resources</t>
  </si>
  <si>
    <t>E20D: Administration Software and Syatems</t>
  </si>
  <si>
    <t>E20D</t>
  </si>
  <si>
    <t>Administration software and systems</t>
  </si>
  <si>
    <t>E20E: Laptops Desktops and Tablets</t>
  </si>
  <si>
    <t>E20E</t>
  </si>
  <si>
    <t>Laptops, desktops and tablets</t>
  </si>
  <si>
    <t>E20F: Other hardware</t>
  </si>
  <si>
    <t>E20F</t>
  </si>
  <si>
    <t>Other hardware</t>
  </si>
  <si>
    <t>E20G: IT Suppoprt</t>
  </si>
  <si>
    <t>E20G</t>
  </si>
  <si>
    <t>IT support</t>
  </si>
  <si>
    <t>E21</t>
  </si>
  <si>
    <t>Examination fees</t>
  </si>
  <si>
    <t>E22: Administrative supplies</t>
  </si>
  <si>
    <t>Administrative supplies</t>
  </si>
  <si>
    <t>E23: Other insurance premiums</t>
  </si>
  <si>
    <t>Other insurance premiums</t>
  </si>
  <si>
    <t>E24: Special facilities</t>
  </si>
  <si>
    <t>E24</t>
  </si>
  <si>
    <t>Special facilities</t>
  </si>
  <si>
    <t>E25: Catering supplies</t>
  </si>
  <si>
    <t>E25</t>
  </si>
  <si>
    <t>Catering supplies</t>
  </si>
  <si>
    <t>E28z: Agency other support staff</t>
  </si>
  <si>
    <t>E26: Agency teaching supply staff</t>
  </si>
  <si>
    <t>E26</t>
  </si>
  <si>
    <t>Agency supply teaching staff</t>
  </si>
  <si>
    <t>E27: Bought in professional services: Curric</t>
  </si>
  <si>
    <t>Bought-in professional services - curriculum</t>
  </si>
  <si>
    <t>E28a: Bought in professional services: Other</t>
  </si>
  <si>
    <t>E28a</t>
  </si>
  <si>
    <t>Bought-in professional services - other(except PFI)</t>
  </si>
  <si>
    <t>E28b: Bought in professional services: PFI</t>
  </si>
  <si>
    <t>E28b</t>
  </si>
  <si>
    <t>Bought-in professional services - other (PFI)</t>
  </si>
  <si>
    <t>E29: Loan interest</t>
  </si>
  <si>
    <t>E29</t>
  </si>
  <si>
    <t>Loan interest</t>
  </si>
  <si>
    <t>E30: Direct revenue financing</t>
  </si>
  <si>
    <t>E30</t>
  </si>
  <si>
    <t>Direct revenue financing (revenue contributions to capital)</t>
  </si>
  <si>
    <t>Total Expenditure (revenue)</t>
  </si>
  <si>
    <t>In-year Revenue Balance [surplus/(deficit)]</t>
  </si>
  <si>
    <t>Closing Revenue Balance [surplus/(deficit)]</t>
  </si>
  <si>
    <t>CAPITAL ACCOUNTS:</t>
  </si>
  <si>
    <t>Opening Capital Balance [surplus/(deficit)]</t>
  </si>
  <si>
    <t>Income (Capital)</t>
  </si>
  <si>
    <t>CI01: Capital Income</t>
  </si>
  <si>
    <t>CI03: Voluntary Or Private Income</t>
  </si>
  <si>
    <t>CI03</t>
  </si>
  <si>
    <t>Voluntary or private income</t>
  </si>
  <si>
    <t>CI04: Direct Revenue Financing</t>
  </si>
  <si>
    <t>CI04</t>
  </si>
  <si>
    <t>Direct revenue financing</t>
  </si>
  <si>
    <t>Total Income (Capital)</t>
  </si>
  <si>
    <t>Expenditure (Capital)</t>
  </si>
  <si>
    <t>CE01: Acquisition of land and existing buildings</t>
  </si>
  <si>
    <t>CE01</t>
  </si>
  <si>
    <t>Acquisition of land and existing buildings</t>
  </si>
  <si>
    <t>CE02: New construction, conversion, and renovation</t>
  </si>
  <si>
    <t>CE02</t>
  </si>
  <si>
    <t>New construction, conversion and renovation</t>
  </si>
  <si>
    <t>CE03: Vehicles, plant, equipment and machinery</t>
  </si>
  <si>
    <t>CE03</t>
  </si>
  <si>
    <t>Vehicles, plant, equipment and machinery</t>
  </si>
  <si>
    <t>CE04a: Connectivity (ICT)</t>
  </si>
  <si>
    <t>CE04A</t>
  </si>
  <si>
    <t>CE04b:Onsite servers (ICT)</t>
  </si>
  <si>
    <t>CE04B</t>
  </si>
  <si>
    <t>CE04c:Administration software and systems (ICT)</t>
  </si>
  <si>
    <t>CE04C</t>
  </si>
  <si>
    <t>CE04d:Laptops, desktops, and tablets (ICT)</t>
  </si>
  <si>
    <t>CE04D</t>
  </si>
  <si>
    <t>Laptops, desktops, and tablets</t>
  </si>
  <si>
    <t>CE04e:Other hardware (ICT)</t>
  </si>
  <si>
    <t>CE04E</t>
  </si>
  <si>
    <t>Total Expenditure (Capital)</t>
  </si>
  <si>
    <t>In-year Capital Balance [surplus/(deficit)]</t>
  </si>
  <si>
    <t>Closing Capital Balance [surplus/(deficit)]</t>
  </si>
  <si>
    <t>COMMUNITY-FOCUSED SCHOOL REVENUE BALANCES:</t>
  </si>
  <si>
    <t>Opening Community-Focused Balance [surplus/(deficit)]</t>
  </si>
  <si>
    <t>Opening Balance TBC</t>
  </si>
  <si>
    <t>Income (Community-Focused)</t>
  </si>
  <si>
    <t>I16: Community focused extended sch funding and/or grants</t>
  </si>
  <si>
    <t>I16</t>
  </si>
  <si>
    <t>Community-focused school funding or grants</t>
  </si>
  <si>
    <t xml:space="preserve">I17: Community focused extended sch facilities income </t>
  </si>
  <si>
    <t>I17</t>
  </si>
  <si>
    <t>Community-focused school facilities income</t>
  </si>
  <si>
    <t>Total Income (Community-Focused)</t>
  </si>
  <si>
    <t>Expenditure (Community-Focused)</t>
  </si>
  <si>
    <t xml:space="preserve">E31: Community focused school staff </t>
  </si>
  <si>
    <t>E31</t>
  </si>
  <si>
    <t>Community-focused school staff</t>
  </si>
  <si>
    <t>E32: Community focused school costs</t>
  </si>
  <si>
    <t>E32</t>
  </si>
  <si>
    <t>Community-focused school costs</t>
  </si>
  <si>
    <t>Total Expenditure (Community-Focused)</t>
  </si>
  <si>
    <t>In-year Community-Focused Balance [surplus/(deficit)]</t>
  </si>
  <si>
    <t>Closing Community-Focused Balance [surplus/(deficit)]</t>
  </si>
  <si>
    <t>BREAKDOWN OF CLOSING BALANCES</t>
  </si>
  <si>
    <t>Balances</t>
  </si>
  <si>
    <t>B01</t>
  </si>
  <si>
    <t>Committed revenue balances</t>
  </si>
  <si>
    <t>B02</t>
  </si>
  <si>
    <t>Uncommitted revenue balances</t>
  </si>
  <si>
    <t>B03</t>
  </si>
  <si>
    <t>Devolved formula capital balance</t>
  </si>
  <si>
    <t>B05</t>
  </si>
  <si>
    <t>Other capital balances</t>
  </si>
  <si>
    <t>B06</t>
  </si>
  <si>
    <t>Community focused school revenue balances</t>
  </si>
  <si>
    <t>Total Closing Balance</t>
  </si>
  <si>
    <t>BALANCE SHEET</t>
  </si>
  <si>
    <t>Main Bank A/c</t>
  </si>
  <si>
    <t>Other Bank A/c</t>
  </si>
  <si>
    <t>Comments</t>
  </si>
  <si>
    <t>Main Bank A/c Adjustment</t>
  </si>
  <si>
    <t>Payroll Bank A/c Adjustment</t>
  </si>
  <si>
    <t xml:space="preserve">Main Bank A/c Revised </t>
  </si>
  <si>
    <t>Payroll Bank A/c Revised</t>
  </si>
  <si>
    <t>Bank Balance as per attached statement</t>
  </si>
  <si>
    <t>Reconciling Items</t>
  </si>
  <si>
    <t>Less : Unpresented Cheques (enter as a positive)</t>
  </si>
  <si>
    <t>Add : Uncredited Receipts (enter as a positive)</t>
  </si>
  <si>
    <t>Reconciled Bank Balance</t>
  </si>
  <si>
    <t>Closing Petty Cash Balance</t>
  </si>
  <si>
    <t>VAT Reimbursement (Current Month)</t>
  </si>
  <si>
    <t>VAT Reimbursement Outstanding - Other</t>
  </si>
  <si>
    <t>Other adjustments (BCC Cash Advances)</t>
  </si>
  <si>
    <t>Cash Advances from BCC (External Banking Schools)</t>
  </si>
  <si>
    <t>CLOSING BANK POSITION</t>
  </si>
  <si>
    <t>ACCRUALS, DEBTORS AND CREDITORS</t>
  </si>
  <si>
    <t>Debtors Non BCC</t>
  </si>
  <si>
    <t>(appear as debit balance)</t>
  </si>
  <si>
    <t>Debtors BCC</t>
  </si>
  <si>
    <t>Payment_in_advance Non BCC</t>
  </si>
  <si>
    <t>Payment_in_advance BCC</t>
  </si>
  <si>
    <t>Creditors Non BCC</t>
  </si>
  <si>
    <t>(appear as credit balance)</t>
  </si>
  <si>
    <t>Creditors BCC</t>
  </si>
  <si>
    <t>Income_in_advance Non BCC</t>
  </si>
  <si>
    <t>Income_in_advance BCC</t>
  </si>
  <si>
    <t>TOTAL ACCRUALS (FROM ACCRUAL SHEET)</t>
  </si>
  <si>
    <t>SYSTEM DEBTORS</t>
  </si>
  <si>
    <t>(enter as debit balance)</t>
  </si>
  <si>
    <t>SYSTEM CREDITORS</t>
  </si>
  <si>
    <t>(enter as credit balance)</t>
  </si>
  <si>
    <t>Non BCC Payroll Creditor -  costs</t>
  </si>
  <si>
    <t>CLOSING BALANCE SHEET</t>
  </si>
  <si>
    <t>DIFFERENCE</t>
  </si>
  <si>
    <t>MUST EQUAL £0</t>
  </si>
  <si>
    <t>SUPPLEMENTARY CHECKS AND INFORMATION</t>
  </si>
  <si>
    <t>Payroll check - BCC schools only</t>
  </si>
  <si>
    <t>Pay costs as per code E1-E8 and E31 - CFR Income and Expenditure 
(excluding accruals, as no accruals are expected for BCC payroll)</t>
  </si>
  <si>
    <t>Pay costs as per Payment schedule (actual September estimate)</t>
  </si>
  <si>
    <t>Difference</t>
  </si>
  <si>
    <t>Apprentice / Employee costs &amp; difference between actual &amp; estimated salaries to date.</t>
  </si>
  <si>
    <t>Reason for difference - expecting Other costs under E08 paid through invoices</t>
  </si>
  <si>
    <t>Accruals Control Total</t>
  </si>
  <si>
    <t>Accruals as per Balance Sheet</t>
  </si>
  <si>
    <t xml:space="preserve">Accruals as per Income and Expenditure Statement </t>
  </si>
  <si>
    <t>Debtor accrual relating to monies expecting in bank by 30 June 2025</t>
  </si>
  <si>
    <t>Confirm that is correct before you submit?</t>
  </si>
  <si>
    <t>Creditor accrual relating to monies expecting to be out of bank by 30 June  2025</t>
  </si>
  <si>
    <t>Date of Bank Rec completed by Schools</t>
  </si>
  <si>
    <t xml:space="preserve">Added by Schools Finance </t>
  </si>
  <si>
    <t>Agresso Pseudo Bank</t>
  </si>
  <si>
    <t>Income</t>
  </si>
  <si>
    <t>Expenditure</t>
  </si>
  <si>
    <t>Net ''cash''balance at the end of Q1</t>
  </si>
  <si>
    <t>Total in year pseudo bank bal at end of Q1</t>
  </si>
  <si>
    <t>Total brought forward revenue 'cash'</t>
  </si>
  <si>
    <t>Total cash balance at the end of Q2 (incl real cash and psuedo cash)</t>
  </si>
  <si>
    <t>Deduct physical cash balance already included at I135</t>
  </si>
  <si>
    <t>Total revenue pseudo cash should be</t>
  </si>
  <si>
    <t>Add ''cash'' which would have made up the capital balance B03</t>
  </si>
  <si>
    <t>Total psuedo cash to be added to 'balance' sheet</t>
  </si>
  <si>
    <t>Unpresented cheques - likely to clear bank by 30/06/21</t>
  </si>
  <si>
    <t>Uncredited receipts - likely to clear bank by 30/06/21</t>
  </si>
  <si>
    <t>SIGN OFF</t>
  </si>
  <si>
    <t xml:space="preserve">I verify that the information given is a true and complete statement. </t>
  </si>
  <si>
    <t>Signed</t>
  </si>
  <si>
    <t>(Headteacher)</t>
  </si>
  <si>
    <t>Print Name</t>
  </si>
  <si>
    <t>Date</t>
  </si>
  <si>
    <t>Row Labels</t>
  </si>
  <si>
    <t>Sum of Total May Instalment</t>
  </si>
  <si>
    <t>Academy</t>
  </si>
  <si>
    <t>Chq Bk</t>
  </si>
  <si>
    <t>Grand Total</t>
  </si>
  <si>
    <t>Schools block budget share (before de-delegation &amp; NNDR)</t>
  </si>
  <si>
    <t>Resource Base Place Funding</t>
  </si>
  <si>
    <t>High Needs Top up Funding*&amp; High Needs - special/units Top-up</t>
  </si>
  <si>
    <t>Resource Base Top up Funding</t>
  </si>
  <si>
    <t>Total May Instalment</t>
  </si>
  <si>
    <t>Chq bk</t>
  </si>
  <si>
    <t>2026/27 Schools LA Funding Statement</t>
  </si>
  <si>
    <t>In-year Academy Conversions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</si>
  <si>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</si>
  <si>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</si>
  <si>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</si>
  <si>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</si>
  <si>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</si>
  <si>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</si>
  <si>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</si>
  <si>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</si>
  <si>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</si>
  <si>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</si>
  <si>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</si>
  <si>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</si>
  <si>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2026/27 ISB</t>
  </si>
  <si>
    <t>Excluded Pupils Adjustment</t>
  </si>
  <si>
    <t>Early Years Indicative Term 80% &amp; Termly Adjustment</t>
  </si>
  <si>
    <t>Early Years Indicative DAF Term 80% &amp; Termly Adjustment</t>
  </si>
  <si>
    <t>Total Apr Instalment</t>
  </si>
  <si>
    <t>Other Adjustment</t>
  </si>
  <si>
    <t>Total June Instalment</t>
  </si>
  <si>
    <t>Total July Instalment</t>
  </si>
  <si>
    <t>Total August Instalment</t>
  </si>
  <si>
    <t>Total September Instalment</t>
  </si>
  <si>
    <t>Total October Instalment</t>
  </si>
  <si>
    <t>Total November Instalment</t>
  </si>
  <si>
    <t>Total December Instalment</t>
  </si>
  <si>
    <t>Total January Instalment</t>
  </si>
  <si>
    <t>Total February Instalment</t>
  </si>
  <si>
    <t>Total March Instalment</t>
  </si>
  <si>
    <t>Full Year</t>
  </si>
  <si>
    <t>2026/27 Schools Grants &amp; Other Funding Summary</t>
  </si>
  <si>
    <t>CFR Code</t>
  </si>
  <si>
    <t>Links to Backup</t>
  </si>
  <si>
    <t>Month Paid</t>
  </si>
  <si>
    <t>NIC Pre-16 (Mar26)</t>
  </si>
  <si>
    <t>School Budget Support Grant (Mar26)</t>
  </si>
  <si>
    <t>ITT Mentoring (Apr26)</t>
  </si>
  <si>
    <t>PE Sport Premium (Apr26)</t>
  </si>
  <si>
    <t>Falling Rolls May26</t>
  </si>
  <si>
    <t>Falling Rolls Jun26</t>
  </si>
  <si>
    <t>Falling Rolls Jul26</t>
  </si>
  <si>
    <t>Falling Rolls Aug26</t>
  </si>
  <si>
    <t>Growth May26</t>
  </si>
  <si>
    <t>Growth Jun26</t>
  </si>
  <si>
    <t>Growth Jul26</t>
  </si>
  <si>
    <t>Growth Aug26</t>
  </si>
  <si>
    <t>Q4 Barclays Interest</t>
  </si>
  <si>
    <t>Q4 Barclays Charges</t>
  </si>
  <si>
    <t>Q1 Barclays Interest</t>
  </si>
  <si>
    <t>Q1 Barclays Charges</t>
  </si>
  <si>
    <t>Q2 Barclays Interest</t>
  </si>
  <si>
    <t>Q2 Barclays Charges</t>
  </si>
  <si>
    <t>Q3 Barclays Interest</t>
  </si>
  <si>
    <t>Q3 Barclays Charges</t>
  </si>
  <si>
    <t>Total Check</t>
  </si>
  <si>
    <t>Cash Advances of school budget share paid to schools throughout 25/26</t>
  </si>
  <si>
    <t>Non Budget Share Advances.xlsx</t>
  </si>
  <si>
    <t>Deficit Balances (External Banking Schools)</t>
  </si>
  <si>
    <t>Prior Year Cash Advances</t>
  </si>
  <si>
    <t>2026/27 Schools High Needs Indicative</t>
  </si>
  <si>
    <t>CFR</t>
  </si>
  <si>
    <t>Link to Backup</t>
  </si>
  <si>
    <t>Special &amp; Mainstream Schools</t>
  </si>
  <si>
    <t>Resource Base</t>
  </si>
  <si>
    <t>Adjustments</t>
  </si>
  <si>
    <t>Place Pre-16</t>
  </si>
  <si>
    <t>Place Post-16</t>
  </si>
  <si>
    <t>Top Up</t>
  </si>
  <si>
    <t>Place</t>
  </si>
  <si>
    <t>May Mainstream Top Up Adjustment</t>
  </si>
  <si>
    <t>Resource Base Top Up Adjustment</t>
  </si>
  <si>
    <t>Resource Base Place Adjustment</t>
  </si>
  <si>
    <t>Total HN Funding</t>
  </si>
  <si>
    <t>2026/27 Schools Early Years Indicative</t>
  </si>
  <si>
    <t>SUMMER ACTUALS</t>
  </si>
  <si>
    <t>AUTUMN ACTUALS</t>
  </si>
  <si>
    <t>SPRING ACTUALS</t>
  </si>
  <si>
    <t>Early Years Indicatives 26/27</t>
  </si>
  <si>
    <t>ACTUALS</t>
  </si>
  <si>
    <t>ADJUSTMENT TO INDICATIVE</t>
  </si>
  <si>
    <t>ACTUAL FUNDING ADJUSTMENT</t>
  </si>
  <si>
    <t>Total Allocated (Full Year)</t>
  </si>
  <si>
    <t>MNS Supplementary Funding</t>
  </si>
  <si>
    <t>Under 2's Funding</t>
  </si>
  <si>
    <t>2 Year Old Funding Summer</t>
  </si>
  <si>
    <t>3&amp;4 Year Old Funding Summer</t>
  </si>
  <si>
    <t>EYPP Total for Summer</t>
  </si>
  <si>
    <t>Free School Meals Funding Summer</t>
  </si>
  <si>
    <t>EY Deprivation</t>
  </si>
  <si>
    <t>DAF</t>
  </si>
  <si>
    <t>Total Delegated Indicative Funding Summer 2026/27</t>
  </si>
  <si>
    <t>80% Summer Payment</t>
  </si>
  <si>
    <t>2 Year Old Funding Autumn</t>
  </si>
  <si>
    <t>3&amp;4 Year Old Funding Autumn</t>
  </si>
  <si>
    <t>EYPP Total for Autumn</t>
  </si>
  <si>
    <t>Free School Meals Funding Autumn</t>
  </si>
  <si>
    <t>Total Delegated Indicative Funding Autumn 2026/27</t>
  </si>
  <si>
    <t>80% Autumn Payment</t>
  </si>
  <si>
    <t>2 Year Old Funding Spring</t>
  </si>
  <si>
    <t>3&amp;4 Year Old Funding Spring</t>
  </si>
  <si>
    <t>EYPP Total for Spring</t>
  </si>
  <si>
    <t>Free School Meals Funding Spring</t>
  </si>
  <si>
    <t>Total Delegated Indicative Funding Spring 2026/27</t>
  </si>
  <si>
    <t>80% Spring Payment</t>
  </si>
  <si>
    <t>Total Delegated Funding Summer 2026/27</t>
  </si>
  <si>
    <t>Total Indicative Adjustment Summer 2026/27</t>
  </si>
  <si>
    <t>Total Funding Adjustment Summer 2026/27</t>
  </si>
  <si>
    <t>Total Delegated Funding Autumn 2026/27</t>
  </si>
  <si>
    <t>Total Indicative Adjustment Autumn 2026/27</t>
  </si>
  <si>
    <t>Total Funding Adjustment Autumn 2026/27</t>
  </si>
  <si>
    <t>Total Delegated Funding Spring 2026/27</t>
  </si>
  <si>
    <t>Total Indicative Adjustment Spring 2026/27</t>
  </si>
  <si>
    <t>Total Funding Adjustment Spring 2026/27</t>
  </si>
  <si>
    <t>2024/25 Schools Post 16 Indicative</t>
  </si>
  <si>
    <t>2025-26 Academic Year</t>
  </si>
  <si>
    <t>2026-27 Academic Year</t>
  </si>
  <si>
    <t>25/26 FY</t>
  </si>
  <si>
    <t>26/27 FY</t>
  </si>
  <si>
    <t>Funding Statement</t>
  </si>
  <si>
    <t>LAESTAB</t>
  </si>
  <si>
    <t>School Name</t>
  </si>
  <si>
    <t>NOR (from Adjusted Factors column O)</t>
  </si>
  <si>
    <t>NOR Primary (from Adjusted Factors column P)</t>
  </si>
  <si>
    <t>NOR Secondary (from Adjusted Factors column S)</t>
  </si>
  <si>
    <t>Basic Entitlement (Primary)</t>
  </si>
  <si>
    <t>Basic Entitlement (KS3)</t>
  </si>
  <si>
    <t>Basic Entitlement (KS4)</t>
  </si>
  <si>
    <t>Free School Meals (Primary)</t>
  </si>
  <si>
    <t>Free School Meals (Secondary)</t>
  </si>
  <si>
    <t>Free School Meals Ever 6 (Primary)</t>
  </si>
  <si>
    <t>Free School Meals Ever 6 (Secondary)</t>
  </si>
  <si>
    <t>IDACI (P F)</t>
  </si>
  <si>
    <t>IDACI (P E)</t>
  </si>
  <si>
    <t>IDACI (P D)</t>
  </si>
  <si>
    <t>IDACI (P C)</t>
  </si>
  <si>
    <t>IDACI (P B)</t>
  </si>
  <si>
    <t>IDACI (P A)</t>
  </si>
  <si>
    <t>IDACI (S F)</t>
  </si>
  <si>
    <t>IDACI (S E)</t>
  </si>
  <si>
    <t>IDACI (S D)</t>
  </si>
  <si>
    <t>IDACI (S C)</t>
  </si>
  <si>
    <t>IDACI (S B)</t>
  </si>
  <si>
    <t>IDACI (S A)</t>
  </si>
  <si>
    <t>EAL (P)</t>
  </si>
  <si>
    <t>EAL (S)</t>
  </si>
  <si>
    <t>Low Prior Attainment (P)</t>
  </si>
  <si>
    <t>Low Prior Attainment (S)</t>
  </si>
  <si>
    <t>Mobility (P)</t>
  </si>
  <si>
    <t>Mobility (S)</t>
  </si>
  <si>
    <t>Lump Sum</t>
  </si>
  <si>
    <t>Sparsity Funding</t>
  </si>
  <si>
    <t>London Fringe</t>
  </si>
  <si>
    <t>Split Sites</t>
  </si>
  <si>
    <t>PFI</t>
  </si>
  <si>
    <t>25-26 Approved Exceptional Circumstance 1: Reserved for Additional lump sum for schools amalgamated during FY24-25</t>
  </si>
  <si>
    <t>25-26 Approved Exceptional Circumstance 2: Reserved for additional sparsity lump sum</t>
  </si>
  <si>
    <t>25-26 Approved Exceptional Circumstance 3</t>
  </si>
  <si>
    <t>25-26 Approved Exceptional Circumstance 4</t>
  </si>
  <si>
    <t>25-26 Approved Exceptional Circumstance 5</t>
  </si>
  <si>
    <t>25-26 Approved Exceptional Circumstance 6</t>
  </si>
  <si>
    <t>25-26 Approved Exceptional Circumstance 7</t>
  </si>
  <si>
    <t>Basic Entitlement Total</t>
  </si>
  <si>
    <t>AEN Total</t>
  </si>
  <si>
    <t>School Factors total</t>
  </si>
  <si>
    <t>Notional SEN Budget</t>
  </si>
  <si>
    <t>Total Allocation</t>
  </si>
  <si>
    <t>Minimum per pupil funding: adjusted total allocation (excluding premises costs)</t>
  </si>
  <si>
    <t>Minimum per pupil funding: minimum per pupil rate</t>
  </si>
  <si>
    <t>Minimum per pupil funding: minimum funding level</t>
  </si>
  <si>
    <t>Minimum per pupil funding: additional funding to meet the primary minimum funding level</t>
  </si>
  <si>
    <t>Minimum per pupil funding: additional funding to meet the secondary minimum funding level</t>
  </si>
  <si>
    <t>Total allocation including minimum funding level adjustment</t>
  </si>
  <si>
    <t>Primary Funding</t>
  </si>
  <si>
    <t>Secondary Funding</t>
  </si>
  <si>
    <t>25-26 MFG budget using minimum funding level</t>
  </si>
  <si>
    <t>Minimum allocation after capping/scaling</t>
  </si>
  <si>
    <t>25-26 MFG Budget</t>
  </si>
  <si>
    <t>25-26 MFG Unit Value</t>
  </si>
  <si>
    <t>24-25 MFG Unit Value</t>
  </si>
  <si>
    <t>MFG % change</t>
  </si>
  <si>
    <t>MFG Value adjustment</t>
  </si>
  <si>
    <t>25-26 MFG Adjustment</t>
  </si>
  <si>
    <t>25-26 Post MFG Budget</t>
  </si>
  <si>
    <t>Minimum per pupil funding: post MFG minimum funding per pupil rate</t>
  </si>
  <si>
    <t>Minimum per pupil funding: per pupil rate is greater than or equal to the minimum entered on the Proforma sheet?</t>
  </si>
  <si>
    <t>25-26 Post MFG per pupil Budget</t>
  </si>
  <si>
    <t>Year on year % Change</t>
  </si>
  <si>
    <t>Post De-delegation budget</t>
  </si>
  <si>
    <t>Education functions for maintained schools</t>
  </si>
  <si>
    <t>Post De-delegation and Education functions budget</t>
  </si>
  <si>
    <t>25-26 NFF NNDR allocation</t>
  </si>
  <si>
    <t>Post De-delegation and Education functions budget after deduction of 25-26 NFF NNDR allocation</t>
  </si>
  <si>
    <t>Y</t>
  </si>
  <si>
    <t>Nelson Junior and Infant School</t>
  </si>
  <si>
    <t>King David Primary School</t>
  </si>
  <si>
    <t>St Margaret Mary RC Junior and Infant School</t>
  </si>
  <si>
    <t>St Cuthbert's RC Junior and Infant (NC) School</t>
  </si>
  <si>
    <t>SS John and Monica Catholic Primary School</t>
  </si>
  <si>
    <t>Harper Bell Seventh-day Adventist School</t>
  </si>
  <si>
    <t>CFR:</t>
  </si>
  <si>
    <t>Schools in orange opted into RPA and did not inform BCC. We originally calculated a BCC charge for these schools.</t>
  </si>
  <si>
    <t>Other Instalment Adjustments - No CFR code</t>
  </si>
  <si>
    <t>Exclusions</t>
  </si>
  <si>
    <t>Original Calculation</t>
  </si>
  <si>
    <t>RPA Charge</t>
  </si>
  <si>
    <t>Total Insurance</t>
  </si>
  <si>
    <t>September Adjustments</t>
  </si>
  <si>
    <t>October Adjustments</t>
  </si>
  <si>
    <t>November Adjustments</t>
  </si>
  <si>
    <t>December Adjustments</t>
  </si>
  <si>
    <t>January Adjustments</t>
  </si>
  <si>
    <t>February Adjustments</t>
  </si>
  <si>
    <t>March Adjustments</t>
  </si>
  <si>
    <t>Totals</t>
  </si>
  <si>
    <t>Closing Revenue</t>
  </si>
  <si>
    <t>Closing Capital</t>
  </si>
  <si>
    <t>Select School Name</t>
  </si>
  <si>
    <t>-</t>
  </si>
  <si>
    <t>SAP Fund Centre</t>
  </si>
  <si>
    <t>Latest URN</t>
  </si>
  <si>
    <t>Type of
School
Summary</t>
  </si>
  <si>
    <t>Spring 2026 Adjustment</t>
  </si>
  <si>
    <t>I01 Adjustment</t>
  </si>
  <si>
    <t>I03 Adjustment</t>
  </si>
  <si>
    <t>Early Years Spring 2026 Term Adjustment</t>
  </si>
  <si>
    <t>EY Spring 2026 Adjustment</t>
  </si>
  <si>
    <t xml:space="preserve"> Cells Q69 + Q79 + Q83 + Q109</t>
  </si>
  <si>
    <t>Top Up Adjustment June26</t>
  </si>
  <si>
    <t>As at 01 June 2026</t>
  </si>
  <si>
    <t>Breakfast Club (May 26)</t>
  </si>
  <si>
    <t>Place Adjustment Jun26</t>
  </si>
  <si>
    <t>Summer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</si>
</sst>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42" formatCode="_-&quot;£&quot;* #,##0_-;\-&quot;£&quot;* #,##0_-;_-&quot;£&quot;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_-;\-* #,##0_-;_-* &quot;-&quot;??_-;_-@_-"/>
    <numFmt numFmtId="167" formatCode="_-[$€-2]* #,##0.00_-;\-[$€-2]* #,##0.00_-;_-[$€-2]* &quot;-&quot;??_-"/>
    <numFmt numFmtId="168" formatCode="_(&quot;£&quot;* #,##0.00_);_(&quot;£&quot;* \(#,##0.00\);_(&quot;£&quot;* &quot;-&quot;??_);_(@_)"/>
    <numFmt numFmtId="169" formatCode="&quot;£&quot;#,##0.00"/>
    <numFmt numFmtId="170" formatCode="&quot;£&quot;#,##0_);[Red]\(&quot;£&quot;#,##0\)"/>
    <numFmt numFmtId="171" formatCode="#,##0;\(#,##0\)"/>
    <numFmt numFmtId="172" formatCode="_-* #,##0_-;* \(#,##0\)_-;_-* &quot;-&quot;_-;_-@_-"/>
    <numFmt numFmtId="173" formatCode="&quot; &quot;#,##0.00&quot; &quot;;&quot;-&quot;#,##0.00&quot; &quot;;&quot; -&quot;00&quot; &quot;;&quot; &quot;@&quot; &quot;"/>
    <numFmt numFmtId="174" formatCode="#,##0.00_ ;[Red]\-#,##0.00\ "/>
    <numFmt numFmtId="175" formatCode="#,##0.00;[Red]\(#,##0.00\)"/>
    <numFmt numFmtId="176" formatCode="#,##0;[Red]\(#,##0\)"/>
    <numFmt numFmtId="177" formatCode="#,##0.00_ ;[Red]\(#,##0.00\)"/>
    <numFmt numFmtId="178" formatCode="#,##0.00;[Red]#,##0.00"/>
    <numFmt numFmtId="179" formatCode="#,##0.00_ ;[Red]\(#,##0.00\)\ "/>
    <numFmt numFmtId="180" formatCode="#,##0_ ;\(#,##0\);_-* &quot;-&quot;??_-"/>
    <numFmt numFmtId="181" formatCode="#,##0_ ;[Red]\-#,##0\ "/>
    <numFmt numFmtId="182" formatCode="0%;[Red]\(0%\)"/>
    <numFmt numFmtId="183" formatCode="#,##0.00;\(#,##0.00\)"/>
    <numFmt numFmtId="184" formatCode="_-[$£-809]* #,##0.00_-;\-[$£-809]* #,##0.00_-;_-[$£-809]* &quot;-&quot;??_-;_-@_-"/>
  </numFmts>
  <fonts count="1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Helv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0"/>
      <name val="Arial"/>
      <family val="2"/>
    </font>
    <font>
      <b/>
      <sz val="11"/>
      <color indexed="9"/>
      <name val="Calibri"/>
      <family val="2"/>
    </font>
    <font>
      <sz val="11"/>
      <name val="Myriad Pro Light"/>
      <family val="2"/>
    </font>
    <font>
      <sz val="12"/>
      <color theme="1"/>
      <name val="Arial"/>
      <family val="2"/>
    </font>
    <font>
      <sz val="10"/>
      <color indexed="21"/>
      <name val="System"/>
      <family val="2"/>
    </font>
    <font>
      <i/>
      <sz val="11"/>
      <color indexed="23"/>
      <name val="Calibri"/>
      <family val="2"/>
    </font>
    <font>
      <sz val="9"/>
      <color indexed="18"/>
      <name val="Arial"/>
      <family val="2"/>
    </font>
    <font>
      <sz val="11"/>
      <color indexed="17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18"/>
      <name val="System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i/>
      <sz val="10"/>
      <color indexed="17"/>
      <name val="System"/>
      <family val="2"/>
    </font>
    <font>
      <sz val="11"/>
      <color indexed="60"/>
      <name val="Calibri"/>
      <family val="2"/>
    </font>
    <font>
      <sz val="12"/>
      <name val="Helv"/>
    </font>
    <font>
      <sz val="8"/>
      <color indexed="72"/>
      <name val="MS Sans Serif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color theme="1"/>
      <name val="Tahoma"/>
      <family val="2"/>
    </font>
    <font>
      <b/>
      <sz val="11"/>
      <color indexed="63"/>
      <name val="Calibri"/>
      <family val="2"/>
    </font>
    <font>
      <sz val="10"/>
      <color indexed="14"/>
      <name val="System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name val="Arial"/>
      <family val="2"/>
    </font>
    <font>
      <sz val="10"/>
      <color indexed="17"/>
      <name val="System"/>
      <family val="2"/>
    </font>
    <font>
      <sz val="11"/>
      <color indexed="10"/>
      <name val="Calibri"/>
      <family val="2"/>
    </font>
    <font>
      <b/>
      <sz val="14"/>
      <color theme="1"/>
      <name val="Calibri"/>
      <family val="2"/>
      <scheme val="minor"/>
    </font>
    <font>
      <b/>
      <i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theme="3"/>
      <name val="Calibri"/>
      <family val="2"/>
      <scheme val="minor"/>
    </font>
    <font>
      <sz val="12"/>
      <color indexed="9"/>
      <name val="Arial"/>
      <family val="2"/>
    </font>
    <font>
      <sz val="12"/>
      <color theme="0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9"/>
      <name val="Times New Roman"/>
      <family val="1"/>
    </font>
    <font>
      <b/>
      <sz val="12"/>
      <color indexed="8"/>
      <name val="Arial"/>
      <family val="2"/>
    </font>
    <font>
      <i/>
      <sz val="12"/>
      <color indexed="23"/>
      <name val="Arial"/>
      <family val="2"/>
    </font>
    <font>
      <sz val="9"/>
      <color indexed="12"/>
      <name val="Times New Roman"/>
      <family val="1"/>
    </font>
    <font>
      <u/>
      <sz val="10"/>
      <color theme="11"/>
      <name val="Arial"/>
      <family val="2"/>
    </font>
    <font>
      <sz val="12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7.5"/>
      <color indexed="12"/>
      <name val="Arial"/>
      <family val="2"/>
    </font>
    <font>
      <u/>
      <sz val="10"/>
      <color rgb="FF0000FF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sz val="12"/>
      <name val="Myriad Pro"/>
      <family val="2"/>
    </font>
    <font>
      <sz val="8"/>
      <color rgb="FF000000"/>
      <name val="MS Sans Serif"/>
      <family val="2"/>
    </font>
    <font>
      <sz val="10"/>
      <color indexed="8"/>
      <name val="Arial"/>
      <family val="2"/>
    </font>
    <font>
      <sz val="8"/>
      <color theme="1"/>
      <name val="Arial Narrow"/>
      <family val="2"/>
    </font>
    <font>
      <sz val="10"/>
      <name val="Tahoma"/>
      <family val="2"/>
    </font>
    <font>
      <b/>
      <sz val="12"/>
      <color indexed="63"/>
      <name val="Arial"/>
      <family val="2"/>
    </font>
    <font>
      <b/>
      <sz val="18"/>
      <color indexed="8"/>
      <name val="Cambria"/>
      <family val="1"/>
    </font>
    <font>
      <b/>
      <sz val="9"/>
      <name val="Times New Roman"/>
      <family val="1"/>
    </font>
    <font>
      <sz val="12"/>
      <color indexed="10"/>
      <name val="Arial"/>
      <family val="2"/>
    </font>
    <font>
      <i/>
      <sz val="11"/>
      <color theme="1"/>
      <name val="Calibri"/>
      <family val="2"/>
      <scheme val="minor"/>
    </font>
    <font>
      <b/>
      <i/>
      <sz val="13"/>
      <color theme="3"/>
      <name val="Calibri"/>
      <family val="2"/>
      <scheme val="minor"/>
    </font>
    <font>
      <b/>
      <u/>
      <sz val="10"/>
      <color indexed="8"/>
      <name val="Tahoma"/>
      <family val="2"/>
    </font>
    <font>
      <sz val="10"/>
      <name val="Courier"/>
      <family val="3"/>
    </font>
    <font>
      <sz val="10"/>
      <name val="MS Sans Serif"/>
      <family val="2"/>
    </font>
    <font>
      <b/>
      <sz val="1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9C6500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i/>
      <sz val="13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1"/>
      <color theme="1"/>
      <name val="Myriad Pro"/>
      <family val="2"/>
    </font>
    <font>
      <sz val="11"/>
      <color theme="1"/>
      <name val="Myriad Pro"/>
      <family val="2"/>
    </font>
    <font>
      <sz val="12"/>
      <color theme="1"/>
      <name val="Myriad Pro"/>
      <family val="2"/>
    </font>
    <font>
      <b/>
      <sz val="14"/>
      <color rgb="FFFF0000"/>
      <name val="Calibri"/>
      <family val="2"/>
      <scheme val="minor"/>
    </font>
    <font>
      <b/>
      <sz val="18"/>
      <color theme="1"/>
      <name val="Myriad Pro"/>
      <family val="2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2"/>
      <color theme="3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sz val="9"/>
      <color theme="1"/>
      <name val="Calibri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</font>
    <font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0"/>
      <name val="Arial"/>
      <family val="2"/>
    </font>
    <font>
      <i/>
      <sz val="9"/>
      <color theme="1"/>
      <name val="Arial"/>
      <family val="2"/>
    </font>
    <font>
      <b/>
      <i/>
      <sz val="9"/>
      <color theme="5" tint="-0.249977111117893"/>
      <name val="Arial"/>
      <family val="2"/>
    </font>
    <font>
      <b/>
      <u/>
      <sz val="9"/>
      <color theme="1"/>
      <name val="Arial"/>
      <family val="2"/>
    </font>
    <font>
      <b/>
      <sz val="9"/>
      <color theme="0"/>
      <name val="Arial"/>
      <family val="2"/>
    </font>
    <font>
      <b/>
      <sz val="9"/>
      <color theme="1"/>
      <name val="Calibri"/>
      <family val="2"/>
    </font>
    <font>
      <i/>
      <sz val="8"/>
      <color theme="1"/>
      <name val="Arial"/>
      <family val="2"/>
    </font>
    <font>
      <b/>
      <u/>
      <sz val="9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rgb="FFFF0000"/>
        <bgColor rgb="FFFF0000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FFEB9C"/>
        <b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0007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Gray"/>
    </fill>
    <fill>
      <patternFill patternType="solid">
        <fgColor theme="1" tint="0.34998626667073579"/>
        <bgColor indexed="64"/>
      </patternFill>
    </fill>
    <fill>
      <patternFill patternType="solid">
        <fgColor rgb="FFFFC000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13"/>
      </top>
      <bottom style="thin">
        <color indexed="1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33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97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4" applyNumberFormat="0" applyAlignment="0" applyProtection="0"/>
    <xf numFmtId="0" fontId="12" fillId="0" borderId="0" applyNumberFormat="0" applyFont="0" applyFill="0" applyBorder="0" applyProtection="0">
      <alignment horizontal="centerContinuous" wrapText="1"/>
    </xf>
    <xf numFmtId="0" fontId="13" fillId="21" borderId="5" applyNumberFormat="0" applyAlignment="0" applyProtection="0"/>
    <xf numFmtId="43" fontId="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6" fillId="0" borderId="0" applyNumberFormat="0" applyFill="0" applyBorder="0" applyAlignment="0" applyProtection="0">
      <protection locked="0"/>
    </xf>
    <xf numFmtId="167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" fontId="18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19" fillId="4" borderId="0" applyNumberFormat="0" applyBorder="0" applyAlignment="0" applyProtection="0"/>
    <xf numFmtId="0" fontId="20" fillId="0" borderId="0">
      <alignment horizontal="center" vertical="center" wrapText="1"/>
    </xf>
    <xf numFmtId="0" fontId="21" fillId="0" borderId="6">
      <alignment horizontal="center" vertical="center" wrapText="1"/>
    </xf>
    <xf numFmtId="0" fontId="20" fillId="0" borderId="0">
      <alignment horizontal="left" wrapText="1"/>
    </xf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4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" fontId="27" fillId="0" borderId="0" applyNumberFormat="0" applyFill="0" applyBorder="0" applyAlignment="0" applyProtection="0"/>
    <xf numFmtId="0" fontId="28" fillId="7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29" fillId="0" borderId="10" applyNumberFormat="0" applyFill="0" applyAlignment="0" applyProtection="0"/>
    <xf numFmtId="10" fontId="30" fillId="0" borderId="11" applyFill="0" applyAlignment="0" applyProtection="0">
      <protection locked="0"/>
    </xf>
    <xf numFmtId="0" fontId="31" fillId="2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34" fillId="0" borderId="0"/>
    <xf numFmtId="0" fontId="7" fillId="0" borderId="0"/>
    <xf numFmtId="0" fontId="6" fillId="0" borderId="0"/>
    <xf numFmtId="0" fontId="15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15" fillId="0" borderId="0"/>
    <xf numFmtId="0" fontId="6" fillId="0" borderId="0" applyNumberFormat="0" applyFont="0" applyFill="0" applyBorder="0" applyAlignment="0" applyProtection="0"/>
    <xf numFmtId="0" fontId="14" fillId="0" borderId="0"/>
    <xf numFmtId="0" fontId="6" fillId="0" borderId="0"/>
    <xf numFmtId="0" fontId="3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3" fontId="21" fillId="0" borderId="0">
      <alignment horizontal="right"/>
    </xf>
    <xf numFmtId="0" fontId="37" fillId="20" borderId="13" applyNumberFormat="0" applyAlignment="0" applyProtection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1" fontId="38" fillId="0" borderId="14" applyNumberFormat="0" applyFill="0" applyBorder="0" applyAlignment="0" applyProtection="0"/>
    <xf numFmtId="0" fontId="6" fillId="0" borderId="0"/>
    <xf numFmtId="0" fontId="21" fillId="0" borderId="15" applyBorder="0">
      <alignment horizontal="right"/>
    </xf>
    <xf numFmtId="164" fontId="6" fillId="0" borderId="0"/>
    <xf numFmtId="164" fontId="6" fillId="0" borderId="0"/>
    <xf numFmtId="164" fontId="6" fillId="0" borderId="0"/>
    <xf numFmtId="0" fontId="39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/>
    <xf numFmtId="0" fontId="1" fillId="0" borderId="0"/>
    <xf numFmtId="0" fontId="50" fillId="0" borderId="0"/>
    <xf numFmtId="9" fontId="6" fillId="0" borderId="0" applyFont="0" applyFill="0" applyBorder="0" applyAlignment="0" applyProtection="0"/>
    <xf numFmtId="0" fontId="6" fillId="0" borderId="0"/>
    <xf numFmtId="0" fontId="51" fillId="29" borderId="0" applyNumberFormat="0" applyFont="0" applyBorder="0" applyAlignment="0" applyProtection="0"/>
    <xf numFmtId="0" fontId="51" fillId="30" borderId="0" applyNumberFormat="0" applyFont="0" applyBorder="0" applyAlignment="0" applyProtection="0"/>
    <xf numFmtId="0" fontId="51" fillId="29" borderId="0" applyNumberFormat="0" applyFont="0" applyBorder="0" applyAlignment="0" applyProtection="0"/>
    <xf numFmtId="0" fontId="51" fillId="29" borderId="0" applyNumberFormat="0" applyFont="0" applyBorder="0" applyAlignment="0" applyProtection="0"/>
    <xf numFmtId="0" fontId="51" fillId="31" borderId="0" applyNumberFormat="0" applyFont="0" applyBorder="0" applyAlignment="0" applyProtection="0"/>
    <xf numFmtId="0" fontId="51" fillId="32" borderId="0" applyNumberFormat="0" applyFont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/>
    <xf numFmtId="0" fontId="51" fillId="0" borderId="0" applyNumberFormat="0" applyBorder="0" applyProtection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44" fontId="1" fillId="0" borderId="0" applyFont="0" applyFill="0" applyBorder="0" applyAlignment="0" applyProtection="0"/>
    <xf numFmtId="0" fontId="6" fillId="0" borderId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34" fillId="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1" fillId="36" borderId="0" applyNumberFormat="0" applyBorder="0" applyAlignment="0" applyProtection="0"/>
    <xf numFmtId="0" fontId="34" fillId="9" borderId="0" applyNumberFormat="0" applyBorder="0" applyAlignment="0" applyProtection="0"/>
    <xf numFmtId="0" fontId="1" fillId="37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8" borderId="0" applyNumberFormat="0" applyBorder="0" applyAlignment="0" applyProtection="0"/>
    <xf numFmtId="0" fontId="34" fillId="11" borderId="0" applyNumberFormat="0" applyBorder="0" applyAlignment="0" applyProtection="0"/>
    <xf numFmtId="0" fontId="54" fillId="12" borderId="0" applyNumberFormat="0" applyBorder="0" applyAlignment="0" applyProtection="0"/>
    <xf numFmtId="0" fontId="54" fillId="9" borderId="0" applyNumberFormat="0" applyBorder="0" applyAlignment="0" applyProtection="0"/>
    <xf numFmtId="0" fontId="54" fillId="10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3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5" fillId="34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9" borderId="0" applyNumberFormat="0" applyBorder="0" applyAlignment="0" applyProtection="0"/>
    <xf numFmtId="0" fontId="56" fillId="3" borderId="0" applyNumberFormat="0" applyBorder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57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11" fillId="20" borderId="4" applyNumberFormat="0" applyAlignment="0" applyProtection="0"/>
    <xf numFmtId="0" fontId="58" fillId="21" borderId="5" applyNumberFormat="0" applyAlignment="0" applyProtection="0"/>
    <xf numFmtId="0" fontId="13" fillId="21" borderId="5" applyNumberFormat="0" applyAlignment="0" applyProtection="0"/>
    <xf numFmtId="0" fontId="59" fillId="33" borderId="28" applyNumberFormat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3" fontId="5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61" fillId="0" borderId="0">
      <alignment horizontal="left"/>
    </xf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42" fontId="35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>
      <alignment horizontal="center" vertical="center" wrapText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4" borderId="0" applyNumberFormat="0" applyBorder="0" applyAlignment="0" applyProtection="0"/>
    <xf numFmtId="0" fontId="19" fillId="4" borderId="0" applyNumberFormat="0" applyBorder="0" applyAlignment="0" applyProtection="0"/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21" fillId="0" borderId="6">
      <alignment horizontal="center" vertical="center" wrapText="1"/>
    </xf>
    <xf numFmtId="0" fontId="67" fillId="0" borderId="7" applyNumberFormat="0" applyFill="0" applyAlignment="0" applyProtection="0"/>
    <xf numFmtId="0" fontId="68" fillId="0" borderId="8" applyNumberFormat="0" applyFill="0" applyAlignment="0" applyProtection="0"/>
    <xf numFmtId="0" fontId="69" fillId="0" borderId="9" applyNumberFormat="0" applyFill="0" applyAlignment="0" applyProtection="0"/>
    <xf numFmtId="0" fontId="6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72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8" fillId="7" borderId="4" applyNumberFormat="0" applyAlignment="0" applyProtection="0"/>
    <xf numFmtId="0" fontId="21" fillId="0" borderId="0">
      <alignment horizontal="left" vertical="center"/>
    </xf>
    <xf numFmtId="0" fontId="21" fillId="0" borderId="0">
      <alignment horizontal="center" vertical="center"/>
    </xf>
    <xf numFmtId="0" fontId="73" fillId="0" borderId="10" applyNumberFormat="0" applyFill="0" applyAlignment="0" applyProtection="0"/>
    <xf numFmtId="0" fontId="74" fillId="2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75" fillId="0" borderId="0"/>
    <xf numFmtId="0" fontId="3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51" fillId="0" borderId="0" applyNumberFormat="0" applyFont="0" applyBorder="0" applyProtection="0"/>
    <xf numFmtId="0" fontId="6" fillId="0" borderId="0"/>
    <xf numFmtId="0" fontId="34" fillId="0" borderId="0"/>
    <xf numFmtId="0" fontId="34" fillId="0" borderId="0"/>
    <xf numFmtId="0" fontId="1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15" fillId="0" borderId="0"/>
    <xf numFmtId="0" fontId="33" fillId="0" borderId="0" applyAlignment="0">
      <alignment vertical="top" wrapText="1"/>
      <protection locked="0"/>
    </xf>
    <xf numFmtId="0" fontId="1" fillId="0" borderId="0"/>
    <xf numFmtId="0" fontId="76" fillId="0" borderId="0" applyNumberFormat="0" applyBorder="0" applyAlignmen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7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6" fillId="0" borderId="0" applyNumberFormat="0" applyFont="0" applyFill="0" applyBorder="0" applyAlignment="0" applyProtection="0"/>
    <xf numFmtId="0" fontId="6" fillId="0" borderId="0"/>
    <xf numFmtId="0" fontId="7" fillId="0" borderId="0"/>
    <xf numFmtId="0" fontId="3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50" fillId="0" borderId="0"/>
    <xf numFmtId="0" fontId="1" fillId="0" borderId="0"/>
    <xf numFmtId="0" fontId="50" fillId="0" borderId="0"/>
    <xf numFmtId="0" fontId="3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4" fillId="0" borderId="0"/>
    <xf numFmtId="0" fontId="34" fillId="0" borderId="0"/>
    <xf numFmtId="0" fontId="7" fillId="0" borderId="0"/>
    <xf numFmtId="0" fontId="15" fillId="0" borderId="0"/>
    <xf numFmtId="0" fontId="7" fillId="0" borderId="0"/>
    <xf numFmtId="0" fontId="6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0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1" fillId="0" borderId="0"/>
    <xf numFmtId="0" fontId="35" fillId="0" borderId="0"/>
    <xf numFmtId="0" fontId="1" fillId="0" borderId="0"/>
    <xf numFmtId="0" fontId="6" fillId="0" borderId="0"/>
    <xf numFmtId="0" fontId="15" fillId="0" borderId="0"/>
    <xf numFmtId="0" fontId="15" fillId="0" borderId="0"/>
    <xf numFmtId="0" fontId="1" fillId="0" borderId="0"/>
    <xf numFmtId="0" fontId="34" fillId="0" borderId="0"/>
    <xf numFmtId="0" fontId="6" fillId="0" borderId="0"/>
    <xf numFmtId="0" fontId="6" fillId="0" borderId="0"/>
    <xf numFmtId="0" fontId="36" fillId="0" borderId="0"/>
    <xf numFmtId="0" fontId="15" fillId="0" borderId="0"/>
    <xf numFmtId="0" fontId="6" fillId="0" borderId="0"/>
    <xf numFmtId="0" fontId="78" fillId="0" borderId="0"/>
    <xf numFmtId="0" fontId="6" fillId="0" borderId="0"/>
    <xf numFmtId="0" fontId="79" fillId="0" borderId="0"/>
    <xf numFmtId="0" fontId="6" fillId="0" borderId="0"/>
    <xf numFmtId="0" fontId="60" fillId="0" borderId="0"/>
    <xf numFmtId="0" fontId="34" fillId="0" borderId="0"/>
    <xf numFmtId="0" fontId="1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4" fontId="61" fillId="0" borderId="0">
      <alignment horizontal="right"/>
    </xf>
    <xf numFmtId="0" fontId="61" fillId="0" borderId="0">
      <alignment horizontal="left"/>
    </xf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0" fontId="6" fillId="23" borderId="12" applyNumberFormat="0" applyFont="0" applyAlignment="0" applyProtection="0"/>
    <xf numFmtId="3" fontId="21" fillId="0" borderId="0">
      <alignment horizontal="right"/>
    </xf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80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0" fontId="37" fillId="20" borderId="13" applyNumberFormat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6" fillId="0" borderId="0"/>
    <xf numFmtId="0" fontId="6" fillId="0" borderId="0"/>
    <xf numFmtId="0" fontId="35" fillId="0" borderId="0" applyNumberFormat="0" applyFill="0" applyBorder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62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4" fontId="82" fillId="0" borderId="29">
      <alignment horizontal="right"/>
    </xf>
    <xf numFmtId="0" fontId="82" fillId="0" borderId="29">
      <alignment horizontal="left"/>
    </xf>
    <xf numFmtId="0" fontId="8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1" fillId="0" borderId="0"/>
    <xf numFmtId="165" fontId="6" fillId="0" borderId="0" applyFont="0" applyFill="0" applyBorder="0" applyAlignment="0" applyProtection="0"/>
    <xf numFmtId="1" fontId="86" fillId="0" borderId="0"/>
    <xf numFmtId="0" fontId="6" fillId="0" borderId="0" applyBorder="0"/>
    <xf numFmtId="39" fontId="87" fillId="0" borderId="0"/>
    <xf numFmtId="40" fontId="88" fillId="0" borderId="0" applyFont="0" applyFill="0" applyBorder="0" applyAlignment="0" applyProtection="0"/>
    <xf numFmtId="0" fontId="6" fillId="40" borderId="12"/>
    <xf numFmtId="174" fontId="6" fillId="41" borderId="12"/>
    <xf numFmtId="39" fontId="87" fillId="0" borderId="0"/>
    <xf numFmtId="0" fontId="1" fillId="0" borderId="0"/>
    <xf numFmtId="0" fontId="1" fillId="0" borderId="0"/>
    <xf numFmtId="0" fontId="7" fillId="0" borderId="0"/>
    <xf numFmtId="39" fontId="87" fillId="0" borderId="0"/>
    <xf numFmtId="39" fontId="87" fillId="0" borderId="0"/>
    <xf numFmtId="39" fontId="87" fillId="0" borderId="0"/>
    <xf numFmtId="39" fontId="87" fillId="0" borderId="0"/>
    <xf numFmtId="1" fontId="86" fillId="0" borderId="0"/>
    <xf numFmtId="1" fontId="86" fillId="0" borderId="0"/>
    <xf numFmtId="0" fontId="6" fillId="0" borderId="0" applyBorder="0"/>
    <xf numFmtId="43" fontId="1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33" fillId="0" borderId="0" applyAlignment="0">
      <alignment vertical="top" wrapText="1"/>
      <protection locked="0"/>
    </xf>
    <xf numFmtId="0" fontId="15" fillId="0" borderId="0"/>
    <xf numFmtId="0" fontId="6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14" fillId="0" borderId="0"/>
    <xf numFmtId="0" fontId="6" fillId="0" borderId="0"/>
    <xf numFmtId="0" fontId="50" fillId="0" borderId="0"/>
    <xf numFmtId="0" fontId="50" fillId="0" borderId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91" fillId="45" borderId="0" applyNumberFormat="0" applyBorder="0" applyAlignment="0" applyProtection="0"/>
    <xf numFmtId="0" fontId="55" fillId="44" borderId="0" applyNumberFormat="0" applyBorder="0" applyAlignment="0" applyProtection="0"/>
    <xf numFmtId="0" fontId="92" fillId="0" borderId="0"/>
    <xf numFmtId="0" fontId="1" fillId="0" borderId="0"/>
    <xf numFmtId="0" fontId="98" fillId="0" borderId="0"/>
    <xf numFmtId="0" fontId="6" fillId="0" borderId="0">
      <alignment vertical="top"/>
    </xf>
  </cellStyleXfs>
  <cellXfs count="930">
    <xf numFmtId="0" fontId="0" fillId="0" borderId="0" xfId="0"/>
    <xf numFmtId="0" fontId="2" fillId="0" borderId="0" xfId="0" applyFont="1"/>
    <xf numFmtId="0" fontId="0" fillId="0" borderId="1" xfId="0" applyBorder="1"/>
    <xf numFmtId="0" fontId="0" fillId="0" borderId="1" xfId="0" applyBorder="1" applyAlignment="1">
      <alignment horizontal="left"/>
    </xf>
    <xf numFmtId="0" fontId="2" fillId="0" borderId="1" xfId="0" applyFont="1" applyBorder="1"/>
    <xf numFmtId="0" fontId="0" fillId="0" borderId="0" xfId="0" applyAlignment="1">
      <alignment horizontal="left"/>
    </xf>
    <xf numFmtId="166" fontId="0" fillId="0" borderId="0" xfId="0" applyNumberFormat="1"/>
    <xf numFmtId="0" fontId="2" fillId="0" borderId="0" xfId="0" applyFont="1" applyAlignment="1">
      <alignment horizontal="center" vertical="center" wrapText="1"/>
    </xf>
    <xf numFmtId="166" fontId="0" fillId="0" borderId="0" xfId="1" applyNumberFormat="1" applyFont="1" applyFill="1" applyBorder="1"/>
    <xf numFmtId="0" fontId="3" fillId="0" borderId="0" xfId="0" applyFont="1"/>
    <xf numFmtId="0" fontId="44" fillId="0" borderId="0" xfId="0" applyFont="1"/>
    <xf numFmtId="0" fontId="0" fillId="0" borderId="19" xfId="0" applyBorder="1"/>
    <xf numFmtId="0" fontId="2" fillId="0" borderId="20" xfId="0" applyFont="1" applyBorder="1"/>
    <xf numFmtId="0" fontId="3" fillId="0" borderId="20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7" fillId="0" borderId="1" xfId="0" applyFont="1" applyBorder="1"/>
    <xf numFmtId="0" fontId="47" fillId="0" borderId="17" xfId="0" applyFont="1" applyBorder="1"/>
    <xf numFmtId="0" fontId="0" fillId="0" borderId="0" xfId="0" applyAlignment="1">
      <alignment horizontal="center"/>
    </xf>
    <xf numFmtId="0" fontId="47" fillId="0" borderId="0" xfId="0" applyFont="1"/>
    <xf numFmtId="0" fontId="46" fillId="0" borderId="0" xfId="0" applyFont="1" applyAlignment="1">
      <alignment horizontal="center" vertical="center" wrapText="1"/>
    </xf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44" fillId="0" borderId="20" xfId="0" applyFont="1" applyBorder="1"/>
    <xf numFmtId="0" fontId="2" fillId="0" borderId="22" xfId="0" applyFont="1" applyBorder="1" applyAlignment="1">
      <alignment horizontal="center" vertical="center" wrapText="1"/>
    </xf>
    <xf numFmtId="17" fontId="46" fillId="0" borderId="1" xfId="0" applyNumberFormat="1" applyFont="1" applyBorder="1" applyAlignment="1">
      <alignment horizontal="center" vertical="center" wrapText="1"/>
    </xf>
    <xf numFmtId="166" fontId="47" fillId="0" borderId="1" xfId="1" applyNumberFormat="1" applyFont="1" applyBorder="1" applyAlignment="1">
      <alignment vertical="center" wrapText="1"/>
    </xf>
    <xf numFmtId="172" fontId="47" fillId="0" borderId="1" xfId="1" applyNumberFormat="1" applyFont="1" applyBorder="1" applyAlignment="1">
      <alignment vertical="center" wrapText="1"/>
    </xf>
    <xf numFmtId="43" fontId="0" fillId="0" borderId="0" xfId="0" applyNumberFormat="1"/>
    <xf numFmtId="17" fontId="46" fillId="0" borderId="0" xfId="0" applyNumberFormat="1" applyFont="1" applyAlignment="1">
      <alignment horizontal="center" vertical="center" wrapText="1"/>
    </xf>
    <xf numFmtId="166" fontId="47" fillId="0" borderId="1" xfId="0" applyNumberFormat="1" applyFont="1" applyBorder="1"/>
    <xf numFmtId="0" fontId="46" fillId="0" borderId="0" xfId="0" applyFont="1" applyAlignment="1">
      <alignment vertical="center" wrapText="1"/>
    </xf>
    <xf numFmtId="166" fontId="47" fillId="0" borderId="1" xfId="1" applyNumberFormat="1" applyFont="1" applyFill="1" applyBorder="1" applyAlignment="1">
      <alignment vertical="center" wrapText="1"/>
    </xf>
    <xf numFmtId="0" fontId="44" fillId="0" borderId="1" xfId="0" applyFont="1" applyBorder="1"/>
    <xf numFmtId="166" fontId="46" fillId="0" borderId="1" xfId="0" applyNumberFormat="1" applyFont="1" applyBorder="1"/>
    <xf numFmtId="169" fontId="4" fillId="27" borderId="1" xfId="169" applyNumberFormat="1" applyFont="1" applyFill="1" applyBorder="1" applyAlignment="1" applyProtection="1">
      <alignment horizontal="right"/>
    </xf>
    <xf numFmtId="10" fontId="4" fillId="27" borderId="1" xfId="169" applyNumberFormat="1" applyFont="1" applyFill="1" applyBorder="1" applyAlignment="1" applyProtection="1">
      <alignment horizontal="right"/>
    </xf>
    <xf numFmtId="170" fontId="4" fillId="25" borderId="1" xfId="199" applyNumberFormat="1" applyFont="1" applyFill="1" applyBorder="1" applyAlignment="1" applyProtection="1">
      <alignment horizontal="center" vertical="center" wrapText="1"/>
    </xf>
    <xf numFmtId="170" fontId="4" fillId="25" borderId="17" xfId="199" applyNumberFormat="1" applyFont="1" applyFill="1" applyBorder="1" applyAlignment="1" applyProtection="1">
      <alignment horizontal="center" vertical="center" wrapText="1"/>
    </xf>
    <xf numFmtId="10" fontId="4" fillId="42" borderId="1" xfId="169" applyNumberFormat="1" applyFont="1" applyFill="1" applyBorder="1" applyAlignment="1" applyProtection="1">
      <alignment horizontal="center" vertical="center" wrapText="1"/>
    </xf>
    <xf numFmtId="10" fontId="4" fillId="25" borderId="1" xfId="169" applyNumberFormat="1" applyFont="1" applyFill="1" applyBorder="1" applyAlignment="1" applyProtection="1">
      <alignment horizontal="center" vertical="center" wrapText="1"/>
    </xf>
    <xf numFmtId="4" fontId="4" fillId="27" borderId="1" xfId="169" applyNumberFormat="1" applyFont="1" applyFill="1" applyBorder="1" applyAlignment="1" applyProtection="1">
      <alignment horizontal="right"/>
    </xf>
    <xf numFmtId="10" fontId="4" fillId="27" borderId="1" xfId="3336" applyNumberFormat="1" applyFont="1" applyFill="1" applyBorder="1" applyAlignment="1" applyProtection="1">
      <alignment horizontal="right"/>
    </xf>
    <xf numFmtId="0" fontId="47" fillId="0" borderId="1" xfId="0" applyFont="1" applyBorder="1" applyAlignment="1">
      <alignment wrapText="1"/>
    </xf>
    <xf numFmtId="0" fontId="4" fillId="25" borderId="1" xfId="0" applyFont="1" applyFill="1" applyBorder="1" applyAlignment="1">
      <alignment horizontal="center" vertical="center" wrapText="1"/>
    </xf>
    <xf numFmtId="1" fontId="4" fillId="25" borderId="1" xfId="0" applyNumberFormat="1" applyFont="1" applyFill="1" applyBorder="1" applyAlignment="1">
      <alignment horizontal="center" vertical="center" wrapText="1"/>
    </xf>
    <xf numFmtId="170" fontId="4" fillId="42" borderId="1" xfId="0" applyNumberFormat="1" applyFont="1" applyFill="1" applyBorder="1" applyAlignment="1">
      <alignment horizontal="center" vertical="center" wrapText="1"/>
    </xf>
    <xf numFmtId="170" fontId="4" fillId="25" borderId="1" xfId="0" applyNumberFormat="1" applyFont="1" applyFill="1" applyBorder="1" applyAlignment="1">
      <alignment horizontal="center" vertical="center" wrapText="1"/>
    </xf>
    <xf numFmtId="3" fontId="5" fillId="26" borderId="1" xfId="0" applyNumberFormat="1" applyFont="1" applyFill="1" applyBorder="1" applyAlignment="1">
      <alignment horizontal="right" wrapText="1"/>
    </xf>
    <xf numFmtId="1" fontId="4" fillId="27" borderId="1" xfId="0" applyNumberFormat="1" applyFont="1" applyFill="1" applyBorder="1" applyAlignment="1">
      <alignment horizontal="left"/>
    </xf>
    <xf numFmtId="0" fontId="4" fillId="27" borderId="1" xfId="0" applyFont="1" applyFill="1" applyBorder="1" applyAlignment="1">
      <alignment horizontal="left"/>
    </xf>
    <xf numFmtId="169" fontId="4" fillId="27" borderId="1" xfId="0" applyNumberFormat="1" applyFont="1" applyFill="1" applyBorder="1" applyAlignment="1">
      <alignment horizontal="right"/>
    </xf>
    <xf numFmtId="43" fontId="0" fillId="0" borderId="0" xfId="1" applyFont="1"/>
    <xf numFmtId="44" fontId="0" fillId="0" borderId="0" xfId="0" applyNumberFormat="1"/>
    <xf numFmtId="0" fontId="89" fillId="0" borderId="40" xfId="0" applyFont="1" applyBorder="1" applyProtection="1">
      <protection hidden="1"/>
    </xf>
    <xf numFmtId="0" fontId="47" fillId="0" borderId="44" xfId="0" applyFont="1" applyBorder="1" applyProtection="1">
      <protection hidden="1"/>
    </xf>
    <xf numFmtId="0" fontId="47" fillId="0" borderId="46" xfId="0" applyFont="1" applyBorder="1" applyProtection="1">
      <protection hidden="1"/>
    </xf>
    <xf numFmtId="0" fontId="47" fillId="0" borderId="36" xfId="0" applyFont="1" applyBorder="1" applyProtection="1">
      <protection hidden="1"/>
    </xf>
    <xf numFmtId="0" fontId="85" fillId="0" borderId="3" xfId="0" applyFont="1" applyBorder="1"/>
    <xf numFmtId="0" fontId="2" fillId="0" borderId="0" xfId="0" applyFont="1" applyAlignment="1">
      <alignment horizontal="center"/>
    </xf>
    <xf numFmtId="175" fontId="0" fillId="0" borderId="0" xfId="0" applyNumberFormat="1"/>
    <xf numFmtId="0" fontId="2" fillId="0" borderId="0" xfId="0" applyFont="1" applyAlignment="1">
      <alignment horizontal="right"/>
    </xf>
    <xf numFmtId="43" fontId="0" fillId="0" borderId="1" xfId="1" applyFont="1" applyBorder="1"/>
    <xf numFmtId="0" fontId="46" fillId="42" borderId="1" xfId="0" applyFont="1" applyFill="1" applyBorder="1"/>
    <xf numFmtId="0" fontId="46" fillId="47" borderId="1" xfId="0" applyFont="1" applyFill="1" applyBorder="1"/>
    <xf numFmtId="0" fontId="85" fillId="42" borderId="48" xfId="0" applyFont="1" applyFill="1" applyBorder="1"/>
    <xf numFmtId="175" fontId="0" fillId="0" borderId="0" xfId="0" applyNumberFormat="1" applyAlignment="1">
      <alignment horizontal="center"/>
    </xf>
    <xf numFmtId="175" fontId="46" fillId="0" borderId="1" xfId="0" applyNumberFormat="1" applyFont="1" applyBorder="1" applyAlignment="1" applyProtection="1">
      <alignment horizontal="center" vertical="center" wrapText="1"/>
      <protection hidden="1"/>
    </xf>
    <xf numFmtId="175" fontId="0" fillId="0" borderId="0" xfId="1" applyNumberFormat="1" applyFont="1"/>
    <xf numFmtId="175" fontId="47" fillId="0" borderId="1" xfId="1" applyNumberFormat="1" applyFont="1" applyBorder="1" applyProtection="1">
      <protection hidden="1"/>
    </xf>
    <xf numFmtId="175" fontId="46" fillId="47" borderId="1" xfId="1" applyNumberFormat="1" applyFont="1" applyFill="1" applyBorder="1" applyProtection="1">
      <protection hidden="1"/>
    </xf>
    <xf numFmtId="175" fontId="0" fillId="0" borderId="0" xfId="1" applyNumberFormat="1" applyFont="1" applyAlignment="1">
      <alignment horizontal="center"/>
    </xf>
    <xf numFmtId="175" fontId="46" fillId="42" borderId="1" xfId="1" applyNumberFormat="1" applyFont="1" applyFill="1" applyBorder="1" applyProtection="1">
      <protection hidden="1"/>
    </xf>
    <xf numFmtId="175" fontId="46" fillId="0" borderId="25" xfId="1" applyNumberFormat="1" applyFont="1" applyBorder="1"/>
    <xf numFmtId="175" fontId="47" fillId="0" borderId="0" xfId="1" applyNumberFormat="1" applyFont="1" applyBorder="1"/>
    <xf numFmtId="175" fontId="3" fillId="0" borderId="0" xfId="1" applyNumberFormat="1" applyFont="1"/>
    <xf numFmtId="175" fontId="3" fillId="0" borderId="20" xfId="1" applyNumberFormat="1" applyFont="1" applyBorder="1"/>
    <xf numFmtId="175" fontId="0" fillId="0" borderId="20" xfId="1" applyNumberFormat="1" applyFont="1" applyBorder="1"/>
    <xf numFmtId="175" fontId="0" fillId="0" borderId="21" xfId="0" applyNumberFormat="1" applyBorder="1"/>
    <xf numFmtId="175" fontId="0" fillId="0" borderId="15" xfId="1" applyNumberFormat="1" applyFont="1" applyBorder="1"/>
    <xf numFmtId="175" fontId="0" fillId="0" borderId="23" xfId="0" applyNumberFormat="1" applyBorder="1"/>
    <xf numFmtId="175" fontId="46" fillId="0" borderId="17" xfId="1" applyNumberFormat="1" applyFont="1" applyBorder="1" applyAlignment="1">
      <alignment horizontal="center" vertical="center" wrapText="1"/>
    </xf>
    <xf numFmtId="175" fontId="46" fillId="0" borderId="27" xfId="0" applyNumberFormat="1" applyFont="1" applyBorder="1" applyAlignment="1">
      <alignment horizontal="center" vertical="center" wrapText="1"/>
    </xf>
    <xf numFmtId="175" fontId="2" fillId="0" borderId="0" xfId="0" applyNumberFormat="1" applyFont="1" applyAlignment="1">
      <alignment horizontal="center" vertical="center" wrapText="1"/>
    </xf>
    <xf numFmtId="175" fontId="47" fillId="0" borderId="1" xfId="1" applyNumberFormat="1" applyFont="1" applyBorder="1"/>
    <xf numFmtId="175" fontId="47" fillId="0" borderId="1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Border="1" applyAlignment="1">
      <alignment horizontal="right" vertical="center" wrapText="1"/>
    </xf>
    <xf numFmtId="175" fontId="47" fillId="0" borderId="17" xfId="1" applyNumberFormat="1" applyFont="1" applyBorder="1" applyAlignment="1">
      <alignment horizontal="right" vertical="center" wrapText="1"/>
    </xf>
    <xf numFmtId="175" fontId="46" fillId="0" borderId="27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>
      <alignment horizontal="right" vertical="center" wrapText="1"/>
    </xf>
    <xf numFmtId="175" fontId="2" fillId="0" borderId="0" xfId="2" applyNumberFormat="1" applyFont="1" applyFill="1" applyBorder="1" applyAlignment="1">
      <alignment horizontal="center" vertical="center" wrapText="1"/>
    </xf>
    <xf numFmtId="175" fontId="46" fillId="47" borderId="1" xfId="1" applyNumberFormat="1" applyFont="1" applyFill="1" applyBorder="1"/>
    <xf numFmtId="175" fontId="46" fillId="47" borderId="1" xfId="1" applyNumberFormat="1" applyFont="1" applyFill="1" applyBorder="1" applyAlignment="1">
      <alignment horizontal="right" vertical="center" wrapText="1"/>
    </xf>
    <xf numFmtId="175" fontId="46" fillId="47" borderId="17" xfId="1" applyNumberFormat="1" applyFont="1" applyFill="1" applyBorder="1" applyAlignment="1">
      <alignment horizontal="right" vertical="center" wrapText="1"/>
    </xf>
    <xf numFmtId="175" fontId="46" fillId="0" borderId="1" xfId="1" applyNumberFormat="1" applyFont="1" applyBorder="1"/>
    <xf numFmtId="175" fontId="46" fillId="0" borderId="1" xfId="1" applyNumberFormat="1" applyFont="1" applyBorder="1" applyAlignment="1">
      <alignment horizontal="right" vertical="center" wrapText="1"/>
    </xf>
    <xf numFmtId="175" fontId="46" fillId="0" borderId="23" xfId="1" applyNumberFormat="1" applyFont="1" applyBorder="1" applyAlignment="1">
      <alignment horizontal="center" vertical="center" wrapText="1"/>
    </xf>
    <xf numFmtId="175" fontId="47" fillId="0" borderId="1" xfId="1" applyNumberFormat="1" applyFont="1" applyBorder="1" applyAlignment="1" applyProtection="1">
      <alignment horizontal="right" wrapText="1"/>
      <protection hidden="1"/>
    </xf>
    <xf numFmtId="175" fontId="46" fillId="42" borderId="49" xfId="1" applyNumberFormat="1" applyFont="1" applyFill="1" applyBorder="1"/>
    <xf numFmtId="175" fontId="46" fillId="42" borderId="49" xfId="1" applyNumberFormat="1" applyFont="1" applyFill="1" applyBorder="1" applyAlignment="1" applyProtection="1">
      <alignment horizontal="right" vertical="center" wrapText="1"/>
      <protection hidden="1"/>
    </xf>
    <xf numFmtId="175" fontId="46" fillId="42" borderId="39" xfId="1" applyNumberFormat="1" applyFont="1" applyFill="1" applyBorder="1" applyAlignment="1" applyProtection="1">
      <alignment horizontal="right" vertical="center" wrapText="1"/>
      <protection hidden="1"/>
    </xf>
    <xf numFmtId="175" fontId="46" fillId="0" borderId="3" xfId="1" applyNumberFormat="1" applyFont="1" applyBorder="1"/>
    <xf numFmtId="175" fontId="46" fillId="0" borderId="3" xfId="1" applyNumberFormat="1" applyFont="1" applyBorder="1" applyAlignment="1">
      <alignment horizontal="right" vertical="center" wrapText="1"/>
    </xf>
    <xf numFmtId="175" fontId="46" fillId="0" borderId="42" xfId="1" applyNumberFormat="1" applyFont="1" applyFill="1" applyBorder="1" applyAlignment="1">
      <alignment horizontal="right" vertical="center" wrapText="1"/>
    </xf>
    <xf numFmtId="175" fontId="46" fillId="0" borderId="17" xfId="1" applyNumberFormat="1" applyFont="1" applyFill="1" applyBorder="1" applyAlignment="1">
      <alignment horizontal="right" vertical="center" wrapText="1"/>
    </xf>
    <xf numFmtId="175" fontId="47" fillId="0" borderId="1" xfId="1" applyNumberFormat="1" applyFont="1" applyBorder="1" applyAlignment="1" applyProtection="1">
      <alignment horizontal="right" vertical="center" wrapText="1"/>
      <protection hidden="1"/>
    </xf>
    <xf numFmtId="175" fontId="47" fillId="0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7" borderId="1" xfId="1" applyNumberFormat="1" applyFont="1" applyFill="1" applyBorder="1" applyAlignment="1" applyProtection="1">
      <alignment horizontal="right" vertical="center" wrapText="1"/>
      <protection hidden="1"/>
    </xf>
    <xf numFmtId="175" fontId="46" fillId="42" borderId="1" xfId="1" applyNumberFormat="1" applyFont="1" applyFill="1" applyBorder="1"/>
    <xf numFmtId="175" fontId="46" fillId="42" borderId="1" xfId="1" applyNumberFormat="1" applyFont="1" applyFill="1" applyBorder="1" applyAlignment="1">
      <alignment horizontal="right" vertical="center" wrapText="1"/>
    </xf>
    <xf numFmtId="175" fontId="47" fillId="47" borderId="1" xfId="1" applyNumberFormat="1" applyFont="1" applyFill="1" applyBorder="1"/>
    <xf numFmtId="175" fontId="47" fillId="47" borderId="1" xfId="1" applyNumberFormat="1" applyFont="1" applyFill="1" applyBorder="1" applyAlignment="1" applyProtection="1">
      <alignment horizontal="right" vertical="center" wrapText="1"/>
      <protection hidden="1"/>
    </xf>
    <xf numFmtId="175" fontId="47" fillId="47" borderId="1" xfId="1" applyNumberFormat="1" applyFont="1" applyFill="1" applyBorder="1" applyAlignment="1">
      <alignment horizontal="right" vertical="center" wrapText="1"/>
    </xf>
    <xf numFmtId="175" fontId="49" fillId="0" borderId="23" xfId="0" applyNumberFormat="1" applyFont="1" applyBorder="1"/>
    <xf numFmtId="175" fontId="46" fillId="0" borderId="43" xfId="1" applyNumberFormat="1" applyFont="1" applyBorder="1" applyProtection="1">
      <protection hidden="1"/>
    </xf>
    <xf numFmtId="175" fontId="46" fillId="0" borderId="43" xfId="1" applyNumberFormat="1" applyFont="1" applyBorder="1" applyAlignment="1" applyProtection="1">
      <alignment horizontal="right" vertical="center" wrapText="1"/>
    </xf>
    <xf numFmtId="175" fontId="46" fillId="0" borderId="45" xfId="1" applyNumberFormat="1" applyFont="1" applyBorder="1" applyProtection="1">
      <protection hidden="1"/>
    </xf>
    <xf numFmtId="175" fontId="46" fillId="0" borderId="45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Alignment="1" applyProtection="1">
      <alignment horizontal="right" vertical="center" wrapText="1"/>
      <protection hidden="1"/>
    </xf>
    <xf numFmtId="175" fontId="46" fillId="0" borderId="41" xfId="1" applyNumberFormat="1" applyFont="1" applyBorder="1" applyProtection="1">
      <protection hidden="1"/>
    </xf>
    <xf numFmtId="175" fontId="46" fillId="0" borderId="37" xfId="1" applyNumberFormat="1" applyFont="1" applyBorder="1" applyProtection="1">
      <protection hidden="1"/>
    </xf>
    <xf numFmtId="175" fontId="46" fillId="0" borderId="37" xfId="1" applyNumberFormat="1" applyFont="1" applyBorder="1" applyAlignment="1" applyProtection="1">
      <alignment horizontal="right" vertical="center" wrapText="1"/>
      <protection hidden="1"/>
    </xf>
    <xf numFmtId="175" fontId="0" fillId="0" borderId="25" xfId="0" applyNumberFormat="1" applyBorder="1"/>
    <xf numFmtId="175" fontId="0" fillId="0" borderId="26" xfId="0" applyNumberFormat="1" applyBorder="1"/>
    <xf numFmtId="175" fontId="47" fillId="0" borderId="1" xfId="1" applyNumberFormat="1" applyFont="1" applyBorder="1" applyAlignment="1" applyProtection="1">
      <alignment horizontal="right"/>
      <protection hidden="1"/>
    </xf>
    <xf numFmtId="175" fontId="46" fillId="47" borderId="1" xfId="1" applyNumberFormat="1" applyFont="1" applyFill="1" applyBorder="1" applyAlignment="1" applyProtection="1">
      <alignment horizontal="right"/>
      <protection hidden="1"/>
    </xf>
    <xf numFmtId="175" fontId="46" fillId="42" borderId="1" xfId="1" applyNumberFormat="1" applyFont="1" applyFill="1" applyBorder="1" applyAlignment="1" applyProtection="1">
      <alignment horizontal="right"/>
      <protection hidden="1"/>
    </xf>
    <xf numFmtId="175" fontId="46" fillId="0" borderId="25" xfId="1" applyNumberFormat="1" applyFont="1" applyBorder="1" applyAlignment="1">
      <alignment horizontal="right"/>
    </xf>
    <xf numFmtId="175" fontId="47" fillId="0" borderId="0" xfId="1" applyNumberFormat="1" applyFont="1" applyBorder="1" applyAlignment="1">
      <alignment horizontal="right"/>
    </xf>
    <xf numFmtId="175" fontId="0" fillId="0" borderId="0" xfId="1" applyNumberFormat="1" applyFont="1" applyAlignment="1">
      <alignment horizontal="right"/>
    </xf>
    <xf numFmtId="175" fontId="0" fillId="0" borderId="20" xfId="1" applyNumberFormat="1" applyFont="1" applyBorder="1" applyAlignment="1">
      <alignment horizontal="right"/>
    </xf>
    <xf numFmtId="175" fontId="3" fillId="0" borderId="0" xfId="1" applyNumberFormat="1" applyFont="1" applyBorder="1"/>
    <xf numFmtId="175" fontId="0" fillId="0" borderId="0" xfId="1" applyNumberFormat="1" applyFont="1" applyBorder="1" applyAlignment="1">
      <alignment horizontal="right"/>
    </xf>
    <xf numFmtId="175" fontId="0" fillId="0" borderId="23" xfId="1" applyNumberFormat="1" applyFont="1" applyBorder="1"/>
    <xf numFmtId="175" fontId="0" fillId="0" borderId="0" xfId="1" applyNumberFormat="1" applyFont="1" applyBorder="1"/>
    <xf numFmtId="175" fontId="49" fillId="0" borderId="0" xfId="1" applyNumberFormat="1" applyFont="1" applyBorder="1" applyAlignment="1">
      <alignment horizontal="right"/>
    </xf>
    <xf numFmtId="175" fontId="93" fillId="24" borderId="0" xfId="1" applyNumberFormat="1" applyFont="1" applyFill="1" applyBorder="1" applyAlignment="1">
      <alignment horizontal="center" vertical="center" wrapText="1"/>
    </xf>
    <xf numFmtId="0" fontId="84" fillId="0" borderId="0" xfId="0" applyFont="1"/>
    <xf numFmtId="175" fontId="84" fillId="0" borderId="0" xfId="1" applyNumberFormat="1" applyFont="1" applyBorder="1" applyAlignment="1">
      <alignment horizontal="right"/>
    </xf>
    <xf numFmtId="175" fontId="48" fillId="0" borderId="0" xfId="1" applyNumberFormat="1" applyFont="1" applyBorder="1" applyAlignment="1">
      <alignment horizontal="center" vertical="center" wrapText="1"/>
    </xf>
    <xf numFmtId="175" fontId="49" fillId="0" borderId="0" xfId="1" applyNumberFormat="1" applyFont="1" applyBorder="1"/>
    <xf numFmtId="175" fontId="0" fillId="0" borderId="0" xfId="1" applyNumberFormat="1" applyFont="1" applyFill="1"/>
    <xf numFmtId="0" fontId="95" fillId="0" borderId="0" xfId="0" applyFont="1"/>
    <xf numFmtId="0" fontId="95" fillId="0" borderId="0" xfId="0" applyFont="1" applyAlignment="1">
      <alignment horizontal="left"/>
    </xf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43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71" fontId="5" fillId="0" borderId="0" xfId="0" applyNumberFormat="1" applyFont="1" applyAlignment="1">
      <alignment horizontal="center" vertical="center" wrapText="1"/>
    </xf>
    <xf numFmtId="9" fontId="2" fillId="0" borderId="0" xfId="2" applyFont="1" applyFill="1" applyBorder="1" applyAlignment="1">
      <alignment horizontal="center" vertical="center" wrapText="1"/>
    </xf>
    <xf numFmtId="166" fontId="2" fillId="0" borderId="0" xfId="0" applyNumberFormat="1" applyFont="1" applyAlignment="1">
      <alignment horizontal="center" vertical="center" wrapText="1"/>
    </xf>
    <xf numFmtId="171" fontId="2" fillId="0" borderId="0" xfId="0" applyNumberFormat="1" applyFont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43" fontId="2" fillId="0" borderId="0" xfId="0" applyNumberFormat="1" applyFont="1" applyAlignment="1">
      <alignment horizontal="center" vertical="center" wrapText="1"/>
    </xf>
    <xf numFmtId="43" fontId="47" fillId="0" borderId="1" xfId="1" applyFont="1" applyBorder="1" applyAlignment="1" applyProtection="1">
      <alignment horizontal="right"/>
      <protection hidden="1"/>
    </xf>
    <xf numFmtId="176" fontId="0" fillId="0" borderId="0" xfId="1" applyNumberFormat="1" applyFont="1" applyBorder="1" applyAlignment="1">
      <alignment horizontal="right"/>
    </xf>
    <xf numFmtId="175" fontId="47" fillId="0" borderId="26" xfId="1" applyNumberFormat="1" applyFont="1" applyBorder="1"/>
    <xf numFmtId="175" fontId="2" fillId="0" borderId="0" xfId="0" applyNumberFormat="1" applyFont="1" applyAlignment="1">
      <alignment horizontal="left" vertical="center"/>
    </xf>
    <xf numFmtId="175" fontId="47" fillId="0" borderId="25" xfId="1" applyNumberFormat="1" applyFont="1" applyBorder="1"/>
    <xf numFmtId="175" fontId="46" fillId="0" borderId="38" xfId="0" applyNumberFormat="1" applyFont="1" applyBorder="1" applyAlignment="1">
      <alignment vertical="center" wrapText="1"/>
    </xf>
    <xf numFmtId="175" fontId="0" fillId="0" borderId="38" xfId="1" applyNumberFormat="1" applyFont="1" applyBorder="1" applyAlignment="1">
      <alignment horizontal="right"/>
    </xf>
    <xf numFmtId="175" fontId="47" fillId="0" borderId="25" xfId="1" applyNumberFormat="1" applyFont="1" applyBorder="1" applyAlignment="1">
      <alignment horizontal="right"/>
    </xf>
    <xf numFmtId="0" fontId="96" fillId="0" borderId="0" xfId="0" applyFont="1"/>
    <xf numFmtId="17" fontId="46" fillId="0" borderId="1" xfId="1" applyNumberFormat="1" applyFont="1" applyFill="1" applyBorder="1" applyAlignment="1" applyProtection="1">
      <alignment horizontal="center" vertical="center" wrapText="1"/>
    </xf>
    <xf numFmtId="175" fontId="46" fillId="0" borderId="3" xfId="1" applyNumberFormat="1" applyFont="1" applyFill="1" applyBorder="1" applyAlignment="1" applyProtection="1">
      <alignment horizontal="center" vertical="center" wrapText="1"/>
    </xf>
    <xf numFmtId="175" fontId="46" fillId="0" borderId="1" xfId="1" applyNumberFormat="1" applyFont="1" applyFill="1" applyBorder="1" applyAlignment="1">
      <alignment horizontal="center" vertical="center" wrapText="1"/>
    </xf>
    <xf numFmtId="175" fontId="0" fillId="0" borderId="1" xfId="1" applyNumberFormat="1" applyFont="1" applyBorder="1" applyAlignment="1">
      <alignment horizontal="right"/>
    </xf>
    <xf numFmtId="0" fontId="4" fillId="0" borderId="1" xfId="0" quotePrefix="1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2" fillId="49" borderId="1" xfId="0" applyFont="1" applyFill="1" applyBorder="1" applyAlignment="1">
      <alignment horizontal="left" vertical="center"/>
    </xf>
    <xf numFmtId="0" fontId="2" fillId="49" borderId="1" xfId="0" applyFont="1" applyFill="1" applyBorder="1" applyAlignment="1">
      <alignment horizontal="left" vertical="center" wrapText="1"/>
    </xf>
    <xf numFmtId="0" fontId="2" fillId="49" borderId="1" xfId="0" applyFont="1" applyFill="1" applyBorder="1" applyAlignment="1">
      <alignment horizontal="left"/>
    </xf>
    <xf numFmtId="0" fontId="2" fillId="0" borderId="48" xfId="0" applyFont="1" applyBorder="1" applyAlignment="1">
      <alignment horizontal="center" vertical="top" wrapText="1"/>
    </xf>
    <xf numFmtId="0" fontId="2" fillId="0" borderId="54" xfId="0" applyFont="1" applyBorder="1" applyAlignment="1">
      <alignment horizontal="center" vertical="top" wrapText="1"/>
    </xf>
    <xf numFmtId="0" fontId="2" fillId="0" borderId="49" xfId="0" applyFont="1" applyBorder="1" applyAlignment="1">
      <alignment horizontal="center" vertical="top" wrapText="1"/>
    </xf>
    <xf numFmtId="0" fontId="2" fillId="0" borderId="39" xfId="0" applyFont="1" applyBorder="1" applyAlignment="1">
      <alignment horizontal="center" vertical="top" wrapText="1"/>
    </xf>
    <xf numFmtId="0" fontId="2" fillId="0" borderId="48" xfId="0" applyFont="1" applyBorder="1"/>
    <xf numFmtId="0" fontId="2" fillId="0" borderId="49" xfId="0" applyFont="1" applyBorder="1"/>
    <xf numFmtId="0" fontId="2" fillId="0" borderId="39" xfId="0" applyFont="1" applyBorder="1"/>
    <xf numFmtId="0" fontId="2" fillId="0" borderId="47" xfId="0" applyFont="1" applyBorder="1" applyAlignment="1">
      <alignment wrapText="1"/>
    </xf>
    <xf numFmtId="0" fontId="0" fillId="0" borderId="3" xfId="0" applyBorder="1" applyAlignment="1">
      <alignment vertical="center" wrapText="1"/>
    </xf>
    <xf numFmtId="43" fontId="0" fillId="0" borderId="0" xfId="0" applyNumberFormat="1" applyAlignment="1">
      <alignment vertical="center" wrapText="1"/>
    </xf>
    <xf numFmtId="44" fontId="0" fillId="0" borderId="35" xfId="0" applyNumberFormat="1" applyBorder="1"/>
    <xf numFmtId="43" fontId="0" fillId="0" borderId="1" xfId="0" applyNumberFormat="1" applyBorder="1" applyAlignment="1">
      <alignment vertical="center" wrapText="1"/>
    </xf>
    <xf numFmtId="43" fontId="0" fillId="0" borderId="1" xfId="0" applyNumberFormat="1" applyBorder="1"/>
    <xf numFmtId="43" fontId="0" fillId="0" borderId="3" xfId="0" applyNumberFormat="1" applyBorder="1" applyAlignment="1">
      <alignment vertical="center" wrapText="1"/>
    </xf>
    <xf numFmtId="0" fontId="0" fillId="43" borderId="1" xfId="0" applyFill="1" applyBorder="1"/>
    <xf numFmtId="43" fontId="0" fillId="43" borderId="3" xfId="0" applyNumberFormat="1" applyFill="1" applyBorder="1" applyAlignment="1">
      <alignment vertical="center" wrapText="1"/>
    </xf>
    <xf numFmtId="0" fontId="0" fillId="43" borderId="0" xfId="0" applyFill="1"/>
    <xf numFmtId="0" fontId="2" fillId="43" borderId="1" xfId="0" applyFont="1" applyFill="1" applyBorder="1"/>
    <xf numFmtId="0" fontId="2" fillId="0" borderId="55" xfId="0" applyFont="1" applyBorder="1" applyAlignment="1">
      <alignment horizontal="center" vertical="top" wrapText="1"/>
    </xf>
    <xf numFmtId="44" fontId="0" fillId="0" borderId="1" xfId="0" applyNumberFormat="1" applyBorder="1" applyAlignment="1">
      <alignment vertical="center" wrapText="1"/>
    </xf>
    <xf numFmtId="0" fontId="0" fillId="0" borderId="52" xfId="0" applyBorder="1" applyAlignment="1">
      <alignment vertical="center" wrapText="1"/>
    </xf>
    <xf numFmtId="0" fontId="0" fillId="0" borderId="31" xfId="0" applyBorder="1"/>
    <xf numFmtId="0" fontId="0" fillId="0" borderId="34" xfId="0" applyBorder="1"/>
    <xf numFmtId="0" fontId="0" fillId="43" borderId="31" xfId="0" applyFill="1" applyBorder="1"/>
    <xf numFmtId="0" fontId="0" fillId="43" borderId="34" xfId="0" applyFill="1" applyBorder="1"/>
    <xf numFmtId="0" fontId="0" fillId="0" borderId="56" xfId="0" applyBorder="1"/>
    <xf numFmtId="0" fontId="0" fillId="0" borderId="57" xfId="0" applyBorder="1"/>
    <xf numFmtId="0" fontId="2" fillId="0" borderId="57" xfId="0" applyFont="1" applyBorder="1"/>
    <xf numFmtId="0" fontId="2" fillId="0" borderId="58" xfId="0" applyFont="1" applyBorder="1"/>
    <xf numFmtId="0" fontId="2" fillId="0" borderId="0" xfId="0" applyFont="1" applyAlignment="1">
      <alignment horizontal="center" vertical="top" wrapText="1"/>
    </xf>
    <xf numFmtId="0" fontId="0" fillId="0" borderId="0" xfId="0" applyAlignment="1">
      <alignment vertical="center" wrapText="1"/>
    </xf>
    <xf numFmtId="0" fontId="0" fillId="0" borderId="53" xfId="0" applyBorder="1" applyAlignment="1">
      <alignment vertical="center" wrapText="1"/>
    </xf>
    <xf numFmtId="43" fontId="0" fillId="0" borderId="3" xfId="0" applyNumberFormat="1" applyBorder="1"/>
    <xf numFmtId="44" fontId="0" fillId="0" borderId="3" xfId="0" applyNumberFormat="1" applyBorder="1" applyAlignment="1">
      <alignment vertical="center" wrapText="1"/>
    </xf>
    <xf numFmtId="43" fontId="0" fillId="0" borderId="53" xfId="0" applyNumberFormat="1" applyBorder="1" applyAlignment="1">
      <alignment vertical="center" wrapText="1"/>
    </xf>
    <xf numFmtId="43" fontId="0" fillId="43" borderId="34" xfId="0" applyNumberFormat="1" applyFill="1" applyBorder="1"/>
    <xf numFmtId="44" fontId="0" fillId="0" borderId="57" xfId="0" applyNumberFormat="1" applyBorder="1"/>
    <xf numFmtId="44" fontId="0" fillId="0" borderId="58" xfId="0" applyNumberFormat="1" applyBorder="1"/>
    <xf numFmtId="0" fontId="0" fillId="0" borderId="3" xfId="0" applyBorder="1"/>
    <xf numFmtId="44" fontId="0" fillId="43" borderId="35" xfId="0" applyNumberFormat="1" applyFill="1" applyBorder="1" applyAlignment="1">
      <alignment vertical="center" wrapText="1"/>
    </xf>
    <xf numFmtId="44" fontId="0" fillId="43" borderId="51" xfId="0" applyNumberFormat="1" applyFill="1" applyBorder="1"/>
    <xf numFmtId="174" fontId="0" fillId="0" borderId="1" xfId="0" applyNumberFormat="1" applyBorder="1"/>
    <xf numFmtId="0" fontId="99" fillId="0" borderId="1" xfId="0" applyFont="1" applyBorder="1"/>
    <xf numFmtId="175" fontId="46" fillId="42" borderId="17" xfId="1" applyNumberFormat="1" applyFont="1" applyFill="1" applyBorder="1" applyAlignment="1">
      <alignment horizontal="center" vertical="center" wrapText="1"/>
    </xf>
    <xf numFmtId="175" fontId="46" fillId="42" borderId="17" xfId="1" applyNumberFormat="1" applyFont="1" applyFill="1" applyBorder="1" applyAlignment="1">
      <alignment horizontal="right" vertical="center" wrapText="1"/>
    </xf>
    <xf numFmtId="175" fontId="46" fillId="42" borderId="18" xfId="1" applyNumberFormat="1" applyFont="1" applyFill="1" applyBorder="1" applyAlignment="1" applyProtection="1">
      <alignment horizontal="right"/>
      <protection hidden="1"/>
    </xf>
    <xf numFmtId="0" fontId="0" fillId="0" borderId="52" xfId="0" applyBorder="1"/>
    <xf numFmtId="43" fontId="0" fillId="0" borderId="31" xfId="1" applyFont="1" applyBorder="1"/>
    <xf numFmtId="43" fontId="0" fillId="0" borderId="34" xfId="1" applyFont="1" applyBorder="1"/>
    <xf numFmtId="0" fontId="0" fillId="0" borderId="53" xfId="0" applyBorder="1"/>
    <xf numFmtId="0" fontId="0" fillId="51" borderId="19" xfId="0" applyFill="1" applyBorder="1"/>
    <xf numFmtId="0" fontId="0" fillId="51" borderId="20" xfId="0" applyFill="1" applyBorder="1"/>
    <xf numFmtId="0" fontId="45" fillId="51" borderId="20" xfId="0" applyFont="1" applyFill="1" applyBorder="1" applyProtection="1">
      <protection hidden="1"/>
    </xf>
    <xf numFmtId="0" fontId="0" fillId="51" borderId="20" xfId="0" applyFill="1" applyBorder="1" applyProtection="1">
      <protection hidden="1"/>
    </xf>
    <xf numFmtId="0" fontId="0" fillId="51" borderId="21" xfId="0" applyFill="1" applyBorder="1" applyProtection="1">
      <protection hidden="1"/>
    </xf>
    <xf numFmtId="0" fontId="0" fillId="51" borderId="22" xfId="0" applyFill="1" applyBorder="1"/>
    <xf numFmtId="0" fontId="0" fillId="51" borderId="0" xfId="0" applyFill="1"/>
    <xf numFmtId="0" fontId="0" fillId="51" borderId="0" xfId="0" applyFill="1" applyProtection="1">
      <protection hidden="1"/>
    </xf>
    <xf numFmtId="0" fontId="0" fillId="51" borderId="23" xfId="0" applyFill="1" applyBorder="1" applyProtection="1">
      <protection hidden="1"/>
    </xf>
    <xf numFmtId="0" fontId="0" fillId="51" borderId="24" xfId="0" applyFill="1" applyBorder="1"/>
    <xf numFmtId="0" fontId="2" fillId="51" borderId="25" xfId="0" applyFont="1" applyFill="1" applyBorder="1"/>
    <xf numFmtId="0" fontId="0" fillId="51" borderId="25" xfId="0" applyFill="1" applyBorder="1"/>
    <xf numFmtId="0" fontId="0" fillId="51" borderId="26" xfId="0" applyFill="1" applyBorder="1"/>
    <xf numFmtId="0" fontId="46" fillId="0" borderId="0" xfId="0" applyFont="1"/>
    <xf numFmtId="175" fontId="46" fillId="0" borderId="0" xfId="1" applyNumberFormat="1" applyFont="1" applyFill="1" applyBorder="1" applyProtection="1">
      <protection hidden="1"/>
    </xf>
    <xf numFmtId="175" fontId="46" fillId="0" borderId="0" xfId="1" applyNumberFormat="1" applyFont="1" applyFill="1" applyBorder="1" applyAlignment="1" applyProtection="1">
      <alignment horizontal="right"/>
      <protection hidden="1"/>
    </xf>
    <xf numFmtId="175" fontId="47" fillId="0" borderId="1" xfId="1" applyNumberFormat="1" applyFont="1" applyFill="1" applyBorder="1"/>
    <xf numFmtId="0" fontId="100" fillId="51" borderId="20" xfId="0" applyFont="1" applyFill="1" applyBorder="1"/>
    <xf numFmtId="0" fontId="3" fillId="51" borderId="20" xfId="0" applyFont="1" applyFill="1" applyBorder="1"/>
    <xf numFmtId="0" fontId="100" fillId="51" borderId="0" xfId="0" applyFont="1" applyFill="1"/>
    <xf numFmtId="0" fontId="3" fillId="51" borderId="0" xfId="0" applyFont="1" applyFill="1"/>
    <xf numFmtId="0" fontId="101" fillId="51" borderId="0" xfId="0" applyFont="1" applyFill="1"/>
    <xf numFmtId="0" fontId="90" fillId="0" borderId="0" xfId="0" applyFont="1"/>
    <xf numFmtId="0" fontId="47" fillId="0" borderId="25" xfId="0" applyFont="1" applyBorder="1"/>
    <xf numFmtId="175" fontId="46" fillId="52" borderId="1" xfId="1" applyNumberFormat="1" applyFont="1" applyFill="1" applyBorder="1" applyAlignment="1">
      <alignment horizontal="right" vertical="center" wrapText="1"/>
    </xf>
    <xf numFmtId="175" fontId="46" fillId="52" borderId="17" xfId="1" applyNumberFormat="1" applyFont="1" applyFill="1" applyBorder="1" applyAlignment="1">
      <alignment horizontal="right" vertical="center" wrapText="1"/>
    </xf>
    <xf numFmtId="175" fontId="46" fillId="52" borderId="17" xfId="1" applyNumberFormat="1" applyFont="1" applyFill="1" applyBorder="1" applyAlignment="1">
      <alignment horizontal="center" vertical="center" wrapText="1"/>
    </xf>
    <xf numFmtId="175" fontId="46" fillId="52" borderId="1" xfId="1" applyNumberFormat="1" applyFont="1" applyFill="1" applyBorder="1" applyAlignment="1" applyProtection="1">
      <alignment horizontal="center" vertical="center" wrapText="1"/>
    </xf>
    <xf numFmtId="175" fontId="46" fillId="52" borderId="1" xfId="1" applyNumberFormat="1" applyFont="1" applyFill="1" applyBorder="1" applyAlignment="1" applyProtection="1">
      <alignment horizontal="right"/>
      <protection hidden="1"/>
    </xf>
    <xf numFmtId="175" fontId="47" fillId="52" borderId="17" xfId="1" applyNumberFormat="1" applyFont="1" applyFill="1" applyBorder="1" applyAlignment="1">
      <alignment horizontal="right" vertical="center" wrapText="1"/>
    </xf>
    <xf numFmtId="0" fontId="103" fillId="47" borderId="1" xfId="0" applyFont="1" applyFill="1" applyBorder="1"/>
    <xf numFmtId="0" fontId="2" fillId="47" borderId="0" xfId="0" applyFont="1" applyFill="1" applyAlignment="1">
      <alignment horizontal="center" vertical="center" wrapText="1"/>
    </xf>
    <xf numFmtId="175" fontId="46" fillId="47" borderId="23" xfId="1" applyNumberFormat="1" applyFont="1" applyFill="1" applyBorder="1" applyAlignment="1">
      <alignment horizontal="center" vertical="center" wrapText="1"/>
    </xf>
    <xf numFmtId="175" fontId="2" fillId="47" borderId="0" xfId="0" applyNumberFormat="1" applyFont="1" applyFill="1" applyAlignment="1">
      <alignment horizontal="center" vertical="center" wrapText="1"/>
    </xf>
    <xf numFmtId="0" fontId="102" fillId="47" borderId="1" xfId="0" applyFont="1" applyFill="1" applyBorder="1"/>
    <xf numFmtId="175" fontId="46" fillId="0" borderId="1" xfId="1" applyNumberFormat="1" applyFont="1" applyFill="1" applyBorder="1" applyAlignment="1">
      <alignment horizontal="right" vertical="center" wrapText="1"/>
    </xf>
    <xf numFmtId="175" fontId="46" fillId="0" borderId="1" xfId="1" applyNumberFormat="1" applyFont="1" applyFill="1" applyBorder="1"/>
    <xf numFmtId="0" fontId="104" fillId="53" borderId="0" xfId="0" applyFont="1" applyFill="1"/>
    <xf numFmtId="0" fontId="105" fillId="53" borderId="0" xfId="0" applyFont="1" applyFill="1"/>
    <xf numFmtId="0" fontId="106" fillId="53" borderId="1" xfId="0" applyFont="1" applyFill="1" applyBorder="1" applyAlignment="1">
      <alignment wrapText="1"/>
    </xf>
    <xf numFmtId="0" fontId="0" fillId="53" borderId="0" xfId="0" applyFill="1"/>
    <xf numFmtId="0" fontId="0" fillId="53" borderId="1" xfId="0" applyFill="1" applyBorder="1"/>
    <xf numFmtId="0" fontId="2" fillId="48" borderId="48" xfId="0" applyFont="1" applyFill="1" applyBorder="1" applyAlignment="1">
      <alignment horizontal="center" wrapText="1"/>
    </xf>
    <xf numFmtId="0" fontId="2" fillId="48" borderId="49" xfId="0" applyFont="1" applyFill="1" applyBorder="1" applyAlignment="1">
      <alignment horizontal="center" wrapText="1"/>
    </xf>
    <xf numFmtId="174" fontId="0" fillId="0" borderId="0" xfId="1" applyNumberFormat="1" applyFont="1"/>
    <xf numFmtId="0" fontId="0" fillId="52" borderId="0" xfId="0" applyFill="1"/>
    <xf numFmtId="174" fontId="0" fillId="0" borderId="31" xfId="0" applyNumberFormat="1" applyBorder="1"/>
    <xf numFmtId="174" fontId="0" fillId="0" borderId="34" xfId="0" applyNumberFormat="1" applyBorder="1"/>
    <xf numFmtId="44" fontId="0" fillId="0" borderId="0" xfId="1" applyNumberFormat="1" applyFont="1" applyFill="1" applyBorder="1"/>
    <xf numFmtId="43" fontId="0" fillId="0" borderId="56" xfId="1" applyFont="1" applyBorder="1"/>
    <xf numFmtId="0" fontId="2" fillId="52" borderId="0" xfId="0" applyFont="1" applyFill="1"/>
    <xf numFmtId="178" fontId="0" fillId="0" borderId="0" xfId="0" applyNumberFormat="1"/>
    <xf numFmtId="175" fontId="0" fillId="53" borderId="0" xfId="1" applyNumberFormat="1" applyFont="1" applyFill="1"/>
    <xf numFmtId="175" fontId="0" fillId="53" borderId="0" xfId="0" applyNumberFormat="1" applyFill="1"/>
    <xf numFmtId="0" fontId="0" fillId="49" borderId="0" xfId="0" applyFill="1"/>
    <xf numFmtId="0" fontId="104" fillId="49" borderId="0" xfId="0" applyFont="1" applyFill="1"/>
    <xf numFmtId="0" fontId="105" fillId="49" borderId="0" xfId="0" applyFont="1" applyFill="1"/>
    <xf numFmtId="0" fontId="106" fillId="49" borderId="1" xfId="0" applyFont="1" applyFill="1" applyBorder="1" applyAlignment="1">
      <alignment wrapText="1"/>
    </xf>
    <xf numFmtId="0" fontId="0" fillId="49" borderId="1" xfId="0" applyFill="1" applyBorder="1"/>
    <xf numFmtId="175" fontId="0" fillId="49" borderId="0" xfId="1" applyNumberFormat="1" applyFont="1" applyFill="1"/>
    <xf numFmtId="175" fontId="0" fillId="49" borderId="0" xfId="0" applyNumberFormat="1" applyFill="1"/>
    <xf numFmtId="0" fontId="0" fillId="55" borderId="0" xfId="0" applyFill="1"/>
    <xf numFmtId="0" fontId="104" fillId="55" borderId="0" xfId="0" applyFont="1" applyFill="1"/>
    <xf numFmtId="0" fontId="105" fillId="55" borderId="0" xfId="0" applyFont="1" applyFill="1"/>
    <xf numFmtId="0" fontId="106" fillId="55" borderId="1" xfId="0" applyFont="1" applyFill="1" applyBorder="1" applyAlignment="1">
      <alignment wrapText="1"/>
    </xf>
    <xf numFmtId="0" fontId="0" fillId="55" borderId="1" xfId="0" applyFill="1" applyBorder="1"/>
    <xf numFmtId="175" fontId="0" fillId="55" borderId="0" xfId="1" applyNumberFormat="1" applyFont="1" applyFill="1"/>
    <xf numFmtId="175" fontId="0" fillId="55" borderId="0" xfId="0" applyNumberFormat="1" applyFill="1"/>
    <xf numFmtId="0" fontId="0" fillId="28" borderId="0" xfId="0" applyFill="1"/>
    <xf numFmtId="0" fontId="104" fillId="28" borderId="0" xfId="0" applyFont="1" applyFill="1"/>
    <xf numFmtId="0" fontId="105" fillId="28" borderId="0" xfId="0" applyFont="1" applyFill="1"/>
    <xf numFmtId="0" fontId="106" fillId="28" borderId="1" xfId="0" applyFont="1" applyFill="1" applyBorder="1" applyAlignment="1">
      <alignment wrapText="1"/>
    </xf>
    <xf numFmtId="0" fontId="0" fillId="28" borderId="1" xfId="0" applyFill="1" applyBorder="1"/>
    <xf numFmtId="175" fontId="0" fillId="28" borderId="0" xfId="1" applyNumberFormat="1" applyFont="1" applyFill="1"/>
    <xf numFmtId="175" fontId="0" fillId="28" borderId="0" xfId="0" applyNumberFormat="1" applyFill="1"/>
    <xf numFmtId="0" fontId="0" fillId="50" borderId="0" xfId="0" applyFill="1"/>
    <xf numFmtId="0" fontId="104" fillId="50" borderId="0" xfId="0" applyFont="1" applyFill="1"/>
    <xf numFmtId="0" fontId="105" fillId="50" borderId="0" xfId="0" applyFont="1" applyFill="1"/>
    <xf numFmtId="0" fontId="106" fillId="50" borderId="1" xfId="0" applyFont="1" applyFill="1" applyBorder="1" applyAlignment="1">
      <alignment wrapText="1"/>
    </xf>
    <xf numFmtId="0" fontId="0" fillId="50" borderId="1" xfId="0" applyFill="1" applyBorder="1"/>
    <xf numFmtId="175" fontId="0" fillId="50" borderId="0" xfId="1" applyNumberFormat="1" applyFont="1" applyFill="1"/>
    <xf numFmtId="175" fontId="0" fillId="50" borderId="0" xfId="0" applyNumberFormat="1" applyFill="1"/>
    <xf numFmtId="0" fontId="0" fillId="48" borderId="0" xfId="0" applyFill="1"/>
    <xf numFmtId="0" fontId="104" fillId="48" borderId="0" xfId="0" applyFont="1" applyFill="1"/>
    <xf numFmtId="0" fontId="105" fillId="48" borderId="0" xfId="0" applyFont="1" applyFill="1"/>
    <xf numFmtId="0" fontId="106" fillId="48" borderId="1" xfId="0" applyFont="1" applyFill="1" applyBorder="1" applyAlignment="1">
      <alignment wrapText="1"/>
    </xf>
    <xf numFmtId="0" fontId="0" fillId="48" borderId="1" xfId="0" applyFill="1" applyBorder="1"/>
    <xf numFmtId="175" fontId="0" fillId="48" borderId="0" xfId="1" applyNumberFormat="1" applyFont="1" applyFill="1"/>
    <xf numFmtId="175" fontId="0" fillId="48" borderId="0" xfId="0" applyNumberFormat="1" applyFill="1"/>
    <xf numFmtId="0" fontId="0" fillId="56" borderId="0" xfId="0" applyFill="1"/>
    <xf numFmtId="0" fontId="104" fillId="56" borderId="0" xfId="0" applyFont="1" applyFill="1"/>
    <xf numFmtId="0" fontId="105" fillId="56" borderId="0" xfId="0" applyFont="1" applyFill="1"/>
    <xf numFmtId="0" fontId="106" fillId="56" borderId="1" xfId="0" applyFont="1" applyFill="1" applyBorder="1" applyAlignment="1">
      <alignment wrapText="1"/>
    </xf>
    <xf numFmtId="175" fontId="0" fillId="56" borderId="0" xfId="1" applyNumberFormat="1" applyFont="1" applyFill="1"/>
    <xf numFmtId="175" fontId="0" fillId="56" borderId="0" xfId="0" applyNumberFormat="1" applyFill="1"/>
    <xf numFmtId="0" fontId="0" fillId="0" borderId="52" xfId="0" applyBorder="1" applyAlignment="1">
      <alignment horizontal="center" vertical="top" wrapText="1"/>
    </xf>
    <xf numFmtId="0" fontId="0" fillId="0" borderId="56" xfId="0" applyBorder="1" applyAlignment="1">
      <alignment wrapText="1"/>
    </xf>
    <xf numFmtId="0" fontId="0" fillId="0" borderId="57" xfId="0" applyBorder="1" applyAlignment="1">
      <alignment wrapText="1"/>
    </xf>
    <xf numFmtId="0" fontId="0" fillId="0" borderId="58" xfId="0" applyBorder="1" applyAlignment="1">
      <alignment wrapText="1"/>
    </xf>
    <xf numFmtId="0" fontId="0" fillId="0" borderId="19" xfId="0" applyBorder="1" applyAlignment="1">
      <alignment horizontal="centerContinuous"/>
    </xf>
    <xf numFmtId="0" fontId="0" fillId="0" borderId="21" xfId="0" applyBorder="1" applyAlignment="1">
      <alignment horizontal="centerContinuous"/>
    </xf>
    <xf numFmtId="0" fontId="0" fillId="57" borderId="0" xfId="0" applyFill="1"/>
    <xf numFmtId="0" fontId="104" fillId="57" borderId="0" xfId="0" applyFont="1" applyFill="1"/>
    <xf numFmtId="0" fontId="105" fillId="57" borderId="0" xfId="0" applyFont="1" applyFill="1"/>
    <xf numFmtId="0" fontId="106" fillId="57" borderId="1" xfId="0" applyFont="1" applyFill="1" applyBorder="1" applyAlignment="1">
      <alignment wrapText="1"/>
    </xf>
    <xf numFmtId="175" fontId="0" fillId="57" borderId="0" xfId="1" applyNumberFormat="1" applyFont="1" applyFill="1"/>
    <xf numFmtId="175" fontId="0" fillId="57" borderId="0" xfId="0" applyNumberFormat="1" applyFill="1"/>
    <xf numFmtId="0" fontId="0" fillId="0" borderId="63" xfId="0" applyBorder="1" applyAlignment="1">
      <alignment horizontal="centerContinuous"/>
    </xf>
    <xf numFmtId="0" fontId="0" fillId="0" borderId="37" xfId="0" applyBorder="1" applyAlignment="1">
      <alignment wrapText="1"/>
    </xf>
    <xf numFmtId="0" fontId="0" fillId="0" borderId="64" xfId="0" applyBorder="1"/>
    <xf numFmtId="174" fontId="0" fillId="0" borderId="45" xfId="0" applyNumberFormat="1" applyBorder="1"/>
    <xf numFmtId="0" fontId="2" fillId="0" borderId="48" xfId="0" applyFont="1" applyBorder="1" applyAlignment="1" applyProtection="1">
      <alignment horizontal="center" vertical="top" wrapText="1"/>
      <protection locked="0"/>
    </xf>
    <xf numFmtId="0" fontId="2" fillId="0" borderId="54" xfId="0" applyFont="1" applyBorder="1" applyAlignment="1" applyProtection="1">
      <alignment horizontal="center" vertical="top" wrapText="1"/>
      <protection locked="0"/>
    </xf>
    <xf numFmtId="0" fontId="2" fillId="0" borderId="49" xfId="0" applyFont="1" applyBorder="1" applyAlignment="1" applyProtection="1">
      <alignment horizontal="center" vertical="top" wrapText="1"/>
      <protection locked="0"/>
    </xf>
    <xf numFmtId="0" fontId="2" fillId="0" borderId="39" xfId="0" applyFont="1" applyBorder="1" applyAlignment="1" applyProtection="1">
      <alignment horizontal="center" vertical="top" wrapText="1"/>
      <protection locked="0"/>
    </xf>
    <xf numFmtId="0" fontId="101" fillId="51" borderId="0" xfId="0" applyFont="1" applyFill="1" applyAlignment="1">
      <alignment horizontal="left"/>
    </xf>
    <xf numFmtId="0" fontId="101" fillId="51" borderId="0" xfId="0" applyFont="1" applyFill="1" applyProtection="1">
      <protection locked="0"/>
    </xf>
    <xf numFmtId="14" fontId="0" fillId="0" borderId="0" xfId="0" applyNumberFormat="1"/>
    <xf numFmtId="43" fontId="0" fillId="0" borderId="3" xfId="1" applyFont="1" applyBorder="1" applyAlignment="1">
      <alignment vertical="center" wrapText="1"/>
    </xf>
    <xf numFmtId="0" fontId="46" fillId="52" borderId="1" xfId="0" applyFont="1" applyFill="1" applyBorder="1"/>
    <xf numFmtId="43" fontId="95" fillId="0" borderId="3" xfId="0" applyNumberFormat="1" applyFont="1" applyBorder="1" applyAlignment="1">
      <alignment vertical="center" wrapText="1"/>
    </xf>
    <xf numFmtId="43" fontId="95" fillId="0" borderId="1" xfId="0" applyNumberFormat="1" applyFont="1" applyBorder="1"/>
    <xf numFmtId="44" fontId="95" fillId="0" borderId="57" xfId="0" applyNumberFormat="1" applyFont="1" applyBorder="1"/>
    <xf numFmtId="0" fontId="0" fillId="58" borderId="0" xfId="0" applyFill="1"/>
    <xf numFmtId="175" fontId="5" fillId="24" borderId="0" xfId="0" applyNumberFormat="1" applyFont="1" applyFill="1" applyAlignment="1">
      <alignment horizontal="left" vertical="center"/>
    </xf>
    <xf numFmtId="43" fontId="0" fillId="55" borderId="3" xfId="0" applyNumberFormat="1" applyFill="1" applyBorder="1" applyAlignment="1">
      <alignment vertical="center" wrapText="1"/>
    </xf>
    <xf numFmtId="43" fontId="0" fillId="55" borderId="34" xfId="0" applyNumberFormat="1" applyFill="1" applyBorder="1"/>
    <xf numFmtId="43" fontId="4" fillId="0" borderId="1" xfId="0" applyNumberFormat="1" applyFont="1" applyBorder="1"/>
    <xf numFmtId="43" fontId="4" fillId="0" borderId="3" xfId="0" applyNumberFormat="1" applyFont="1" applyBorder="1" applyAlignment="1">
      <alignment vertical="center" wrapText="1"/>
    </xf>
    <xf numFmtId="44" fontId="4" fillId="0" borderId="57" xfId="0" applyNumberFormat="1" applyFont="1" applyBorder="1"/>
    <xf numFmtId="0" fontId="0" fillId="55" borderId="31" xfId="0" applyFill="1" applyBorder="1"/>
    <xf numFmtId="0" fontId="2" fillId="55" borderId="1" xfId="0" applyFont="1" applyFill="1" applyBorder="1"/>
    <xf numFmtId="174" fontId="0" fillId="55" borderId="56" xfId="0" applyNumberFormat="1" applyFill="1" applyBorder="1"/>
    <xf numFmtId="174" fontId="0" fillId="55" borderId="58" xfId="0" applyNumberFormat="1" applyFill="1" applyBorder="1"/>
    <xf numFmtId="174" fontId="0" fillId="55" borderId="37" xfId="0" applyNumberFormat="1" applyFill="1" applyBorder="1"/>
    <xf numFmtId="174" fontId="0" fillId="55" borderId="34" xfId="0" applyNumberFormat="1" applyFill="1" applyBorder="1"/>
    <xf numFmtId="175" fontId="46" fillId="47" borderId="17" xfId="1" applyNumberFormat="1" applyFont="1" applyFill="1" applyBorder="1" applyAlignment="1" applyProtection="1">
      <alignment horizontal="right"/>
      <protection hidden="1"/>
    </xf>
    <xf numFmtId="174" fontId="0" fillId="55" borderId="0" xfId="0" applyNumberFormat="1" applyFill="1"/>
    <xf numFmtId="175" fontId="90" fillId="0" borderId="0" xfId="2" applyNumberFormat="1" applyFont="1" applyFill="1" applyBorder="1" applyAlignment="1">
      <alignment horizontal="center" vertical="center" wrapText="1"/>
    </xf>
    <xf numFmtId="175" fontId="90" fillId="0" borderId="38" xfId="1" applyNumberFormat="1" applyFont="1" applyBorder="1" applyAlignment="1">
      <alignment horizontal="left"/>
    </xf>
    <xf numFmtId="0" fontId="4" fillId="0" borderId="0" xfId="3967" applyFont="1" applyFill="1" applyBorder="1" applyAlignment="1">
      <alignment horizontal="center" vertical="center" wrapText="1"/>
    </xf>
    <xf numFmtId="43" fontId="0" fillId="0" borderId="0" xfId="1" applyFont="1" applyFill="1" applyBorder="1"/>
    <xf numFmtId="43" fontId="0" fillId="0" borderId="1" xfId="1" applyFont="1" applyFill="1" applyBorder="1"/>
    <xf numFmtId="0" fontId="2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vertical="center" wrapText="1"/>
    </xf>
    <xf numFmtId="17" fontId="2" fillId="0" borderId="1" xfId="0" applyNumberFormat="1" applyFont="1" applyBorder="1" applyAlignment="1">
      <alignment horizontal="center"/>
    </xf>
    <xf numFmtId="17" fontId="2" fillId="0" borderId="1" xfId="0" applyNumberFormat="1" applyFont="1" applyBorder="1"/>
    <xf numFmtId="0" fontId="2" fillId="0" borderId="47" xfId="0" applyFont="1" applyBorder="1" applyAlignment="1">
      <alignment horizontal="center"/>
    </xf>
    <xf numFmtId="43" fontId="0" fillId="0" borderId="0" xfId="0" applyNumberFormat="1" applyAlignment="1">
      <alignment horizontal="left"/>
    </xf>
    <xf numFmtId="43" fontId="0" fillId="0" borderId="57" xfId="1" applyFont="1" applyFill="1" applyBorder="1"/>
    <xf numFmtId="0" fontId="0" fillId="0" borderId="30" xfId="0" applyBorder="1" applyAlignment="1">
      <alignment horizontal="centerContinuous"/>
    </xf>
    <xf numFmtId="0" fontId="0" fillId="0" borderId="50" xfId="0" applyBorder="1" applyAlignment="1">
      <alignment horizontal="centerContinuous"/>
    </xf>
    <xf numFmtId="0" fontId="0" fillId="0" borderId="43" xfId="0" applyBorder="1"/>
    <xf numFmtId="0" fontId="0" fillId="0" borderId="45" xfId="0" applyBorder="1"/>
    <xf numFmtId="0" fontId="107" fillId="58" borderId="19" xfId="0" applyFont="1" applyFill="1" applyBorder="1" applyAlignment="1">
      <alignment horizontal="centerContinuous"/>
    </xf>
    <xf numFmtId="0" fontId="107" fillId="58" borderId="20" xfId="0" applyFont="1" applyFill="1" applyBorder="1" applyAlignment="1">
      <alignment horizontal="centerContinuous"/>
    </xf>
    <xf numFmtId="0" fontId="107" fillId="58" borderId="21" xfId="0" applyFont="1" applyFill="1" applyBorder="1" applyAlignment="1">
      <alignment horizontal="centerContinuous"/>
    </xf>
    <xf numFmtId="0" fontId="107" fillId="58" borderId="24" xfId="0" applyFont="1" applyFill="1" applyBorder="1" applyAlignment="1">
      <alignment horizontal="centerContinuous"/>
    </xf>
    <xf numFmtId="0" fontId="107" fillId="58" borderId="25" xfId="0" applyFont="1" applyFill="1" applyBorder="1" applyAlignment="1">
      <alignment horizontal="centerContinuous"/>
    </xf>
    <xf numFmtId="0" fontId="107" fillId="58" borderId="26" xfId="0" applyFont="1" applyFill="1" applyBorder="1" applyAlignment="1">
      <alignment horizontal="centerContinuous"/>
    </xf>
    <xf numFmtId="0" fontId="108" fillId="0" borderId="65" xfId="0" applyFont="1" applyBorder="1" applyAlignment="1">
      <alignment horizontal="centerContinuous" wrapText="1"/>
    </xf>
    <xf numFmtId="0" fontId="109" fillId="0" borderId="30" xfId="0" applyFont="1" applyBorder="1" applyAlignment="1">
      <alignment horizontal="centerContinuous"/>
    </xf>
    <xf numFmtId="0" fontId="109" fillId="0" borderId="50" xfId="0" applyFont="1" applyBorder="1" applyAlignment="1">
      <alignment horizontal="centerContinuous"/>
    </xf>
    <xf numFmtId="0" fontId="110" fillId="0" borderId="65" xfId="0" applyFont="1" applyBorder="1" applyAlignment="1">
      <alignment horizontal="centerContinuous"/>
    </xf>
    <xf numFmtId="175" fontId="2" fillId="0" borderId="0" xfId="1" applyNumberFormat="1" applyFont="1" applyBorder="1"/>
    <xf numFmtId="175" fontId="2" fillId="0" borderId="0" xfId="1" applyNumberFormat="1" applyFont="1" applyBorder="1" applyAlignment="1">
      <alignment horizontal="center"/>
    </xf>
    <xf numFmtId="175" fontId="95" fillId="0" borderId="0" xfId="0" applyNumberFormat="1" applyFont="1"/>
    <xf numFmtId="17" fontId="2" fillId="0" borderId="0" xfId="0" applyNumberFormat="1" applyFont="1" applyAlignment="1" applyProtection="1">
      <alignment horizontal="center" vertical="top" wrapText="1"/>
      <protection locked="0"/>
    </xf>
    <xf numFmtId="179" fontId="0" fillId="0" borderId="0" xfId="1" applyNumberFormat="1" applyFont="1"/>
    <xf numFmtId="179" fontId="0" fillId="0" borderId="0" xfId="0" applyNumberFormat="1"/>
    <xf numFmtId="17" fontId="46" fillId="0" borderId="1" xfId="0" applyNumberFormat="1" applyFont="1" applyBorder="1" applyAlignment="1" applyProtection="1">
      <alignment horizontal="center" vertical="center" wrapText="1"/>
      <protection hidden="1"/>
    </xf>
    <xf numFmtId="17" fontId="0" fillId="0" borderId="0" xfId="0" applyNumberFormat="1"/>
    <xf numFmtId="17" fontId="46" fillId="0" borderId="0" xfId="0" applyNumberFormat="1" applyFont="1" applyAlignment="1" applyProtection="1">
      <alignment horizontal="center" vertical="center" wrapText="1"/>
      <protection hidden="1"/>
    </xf>
    <xf numFmtId="175" fontId="47" fillId="0" borderId="0" xfId="1" applyNumberFormat="1" applyFont="1" applyBorder="1" applyProtection="1">
      <protection hidden="1"/>
    </xf>
    <xf numFmtId="175" fontId="47" fillId="0" borderId="0" xfId="1" applyNumberFormat="1" applyFont="1" applyBorder="1" applyAlignment="1" applyProtection="1">
      <alignment horizontal="right"/>
      <protection hidden="1"/>
    </xf>
    <xf numFmtId="175" fontId="47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0" xfId="1" applyNumberFormat="1" applyFont="1" applyFill="1" applyBorder="1" applyProtection="1">
      <protection hidden="1"/>
    </xf>
    <xf numFmtId="175" fontId="47" fillId="0" borderId="0" xfId="1" applyNumberFormat="1" applyFont="1" applyFill="1" applyBorder="1" applyAlignment="1" applyProtection="1">
      <alignment horizontal="right"/>
      <protection hidden="1"/>
    </xf>
    <xf numFmtId="175" fontId="46" fillId="0" borderId="0" xfId="1" applyNumberFormat="1" applyFont="1" applyFill="1" applyBorder="1" applyAlignment="1" applyProtection="1">
      <alignment horizontal="right" vertical="center" wrapText="1"/>
      <protection hidden="1"/>
    </xf>
    <xf numFmtId="175" fontId="47" fillId="0" borderId="51" xfId="1" applyNumberFormat="1" applyFont="1" applyFill="1" applyBorder="1" applyProtection="1">
      <protection hidden="1"/>
    </xf>
    <xf numFmtId="175" fontId="47" fillId="47" borderId="0" xfId="1" applyNumberFormat="1" applyFont="1" applyFill="1" applyBorder="1" applyProtection="1">
      <protection hidden="1"/>
    </xf>
    <xf numFmtId="0" fontId="47" fillId="0" borderId="0" xfId="0" applyFont="1" applyProtection="1">
      <protection hidden="1"/>
    </xf>
    <xf numFmtId="175" fontId="46" fillId="0" borderId="0" xfId="0" applyNumberFormat="1" applyFont="1" applyAlignment="1" applyProtection="1">
      <alignment horizontal="left" vertical="center" wrapText="1"/>
      <protection hidden="1"/>
    </xf>
    <xf numFmtId="175" fontId="46" fillId="52" borderId="67" xfId="1" applyNumberFormat="1" applyFont="1" applyFill="1" applyBorder="1" applyProtection="1">
      <protection hidden="1"/>
    </xf>
    <xf numFmtId="175" fontId="46" fillId="52" borderId="51" xfId="1" applyNumberFormat="1" applyFont="1" applyFill="1" applyBorder="1" applyProtection="1">
      <protection hidden="1"/>
    </xf>
    <xf numFmtId="175" fontId="47" fillId="47" borderId="6" xfId="1" applyNumberFormat="1" applyFont="1" applyFill="1" applyBorder="1" applyProtection="1">
      <protection locked="0"/>
    </xf>
    <xf numFmtId="0" fontId="0" fillId="51" borderId="19" xfId="0" applyFill="1" applyBorder="1" applyProtection="1">
      <protection hidden="1"/>
    </xf>
    <xf numFmtId="0" fontId="100" fillId="51" borderId="20" xfId="0" applyFont="1" applyFill="1" applyBorder="1" applyProtection="1">
      <protection hidden="1"/>
    </xf>
    <xf numFmtId="0" fontId="3" fillId="51" borderId="20" xfId="0" applyFont="1" applyFill="1" applyBorder="1" applyProtection="1">
      <protection hidden="1"/>
    </xf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0" fillId="51" borderId="22" xfId="0" applyFill="1" applyBorder="1" applyProtection="1">
      <protection hidden="1"/>
    </xf>
    <xf numFmtId="0" fontId="100" fillId="51" borderId="0" xfId="0" applyFont="1" applyFill="1" applyProtection="1">
      <protection hidden="1"/>
    </xf>
    <xf numFmtId="0" fontId="3" fillId="51" borderId="0" xfId="0" applyFont="1" applyFill="1" applyProtection="1">
      <protection hidden="1"/>
    </xf>
    <xf numFmtId="0" fontId="101" fillId="51" borderId="0" xfId="0" applyFont="1" applyFill="1" applyAlignment="1" applyProtection="1">
      <alignment horizontal="left"/>
      <protection hidden="1"/>
    </xf>
    <xf numFmtId="0" fontId="101" fillId="51" borderId="0" xfId="0" applyFont="1" applyFill="1" applyProtection="1">
      <protection hidden="1"/>
    </xf>
    <xf numFmtId="0" fontId="0" fillId="51" borderId="24" xfId="0" applyFill="1" applyBorder="1" applyProtection="1">
      <protection hidden="1"/>
    </xf>
    <xf numFmtId="0" fontId="2" fillId="51" borderId="25" xfId="0" applyFont="1" applyFill="1" applyBorder="1" applyProtection="1">
      <protection hidden="1"/>
    </xf>
    <xf numFmtId="0" fontId="0" fillId="51" borderId="25" xfId="0" applyFill="1" applyBorder="1" applyProtection="1">
      <protection hidden="1"/>
    </xf>
    <xf numFmtId="0" fontId="0" fillId="51" borderId="26" xfId="0" applyFill="1" applyBorder="1" applyProtection="1">
      <protection hidden="1"/>
    </xf>
    <xf numFmtId="0" fontId="2" fillId="0" borderId="0" xfId="0" applyFont="1" applyProtection="1">
      <protection hidden="1"/>
    </xf>
    <xf numFmtId="0" fontId="44" fillId="0" borderId="0" xfId="0" applyFont="1" applyProtection="1">
      <protection hidden="1"/>
    </xf>
    <xf numFmtId="0" fontId="90" fillId="0" borderId="0" xfId="0" applyFont="1" applyProtection="1">
      <protection hidden="1"/>
    </xf>
    <xf numFmtId="43" fontId="0" fillId="0" borderId="0" xfId="1" applyFont="1" applyProtection="1">
      <protection hidden="1"/>
    </xf>
    <xf numFmtId="0" fontId="0" fillId="0" borderId="25" xfId="0" applyBorder="1" applyProtection="1">
      <protection hidden="1"/>
    </xf>
    <xf numFmtId="0" fontId="0" fillId="0" borderId="19" xfId="0" applyBorder="1" applyProtection="1">
      <protection hidden="1"/>
    </xf>
    <xf numFmtId="0" fontId="2" fillId="0" borderId="20" xfId="0" applyFont="1" applyBorder="1" applyProtection="1">
      <protection hidden="1"/>
    </xf>
    <xf numFmtId="0" fontId="3" fillId="0" borderId="20" xfId="0" applyFont="1" applyBorder="1" applyProtection="1">
      <protection hidden="1"/>
    </xf>
    <xf numFmtId="0" fontId="0" fillId="0" borderId="20" xfId="0" applyBorder="1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0" fillId="0" borderId="23" xfId="0" applyBorder="1" applyProtection="1">
      <protection hidden="1"/>
    </xf>
    <xf numFmtId="175" fontId="0" fillId="0" borderId="23" xfId="0" applyNumberFormat="1" applyBorder="1" applyProtection="1">
      <protection hidden="1"/>
    </xf>
    <xf numFmtId="175" fontId="0" fillId="0" borderId="0" xfId="0" applyNumberFormat="1" applyProtection="1">
      <protection hidden="1"/>
    </xf>
    <xf numFmtId="175" fontId="0" fillId="0" borderId="0" xfId="1" applyNumberFormat="1" applyFont="1" applyFill="1" applyProtection="1">
      <protection hidden="1"/>
    </xf>
    <xf numFmtId="0" fontId="95" fillId="0" borderId="0" xfId="0" applyFont="1" applyProtection="1">
      <protection hidden="1"/>
    </xf>
    <xf numFmtId="175" fontId="0" fillId="0" borderId="0" xfId="1" applyNumberFormat="1" applyFont="1" applyBorder="1" applyAlignment="1" applyProtection="1">
      <alignment horizontal="right"/>
      <protection hidden="1"/>
    </xf>
    <xf numFmtId="175" fontId="0" fillId="0" borderId="23" xfId="1" applyNumberFormat="1" applyFont="1" applyBorder="1" applyProtection="1">
      <protection hidden="1"/>
    </xf>
    <xf numFmtId="0" fontId="47" fillId="47" borderId="0" xfId="0" applyFont="1" applyFill="1" applyProtection="1">
      <protection hidden="1"/>
    </xf>
    <xf numFmtId="0" fontId="46" fillId="52" borderId="0" xfId="0" applyFont="1" applyFill="1" applyProtection="1">
      <protection hidden="1"/>
    </xf>
    <xf numFmtId="0" fontId="47" fillId="0" borderId="0" xfId="0" applyFont="1" applyAlignment="1" applyProtection="1">
      <alignment wrapText="1"/>
      <protection hidden="1"/>
    </xf>
    <xf numFmtId="0" fontId="2" fillId="0" borderId="22" xfId="0" applyFont="1" applyBorder="1" applyAlignment="1" applyProtection="1">
      <alignment horizontal="center" vertical="center" wrapText="1"/>
      <protection hidden="1"/>
    </xf>
    <xf numFmtId="0" fontId="46" fillId="0" borderId="0" xfId="0" applyFont="1" applyProtection="1">
      <protection hidden="1"/>
    </xf>
    <xf numFmtId="43" fontId="5" fillId="0" borderId="0" xfId="0" applyNumberFormat="1" applyFont="1" applyAlignment="1" applyProtection="1">
      <alignment horizontal="center" vertical="center" wrapText="1"/>
      <protection hidden="1"/>
    </xf>
    <xf numFmtId="166" fontId="5" fillId="0" borderId="0" xfId="0" applyNumberFormat="1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175" fontId="90" fillId="0" borderId="0" xfId="1" applyNumberFormat="1" applyFont="1" applyBorder="1" applyAlignment="1" applyProtection="1">
      <alignment horizontal="left"/>
      <protection hidden="1"/>
    </xf>
    <xf numFmtId="0" fontId="95" fillId="0" borderId="0" xfId="0" applyFont="1" applyAlignment="1" applyProtection="1">
      <alignment horizontal="left"/>
      <protection hidden="1"/>
    </xf>
    <xf numFmtId="175" fontId="0" fillId="0" borderId="0" xfId="1" applyNumberFormat="1" applyFont="1" applyFill="1" applyBorder="1" applyAlignment="1" applyProtection="1">
      <alignment horizontal="right"/>
      <protection hidden="1"/>
    </xf>
    <xf numFmtId="0" fontId="0" fillId="0" borderId="24" xfId="0" applyBorder="1" applyProtection="1">
      <protection hidden="1"/>
    </xf>
    <xf numFmtId="0" fontId="47" fillId="0" borderId="25" xfId="0" applyFont="1" applyBorder="1" applyProtection="1">
      <protection hidden="1"/>
    </xf>
    <xf numFmtId="175" fontId="46" fillId="0" borderId="25" xfId="1" applyNumberFormat="1" applyFont="1" applyBorder="1" applyProtection="1">
      <protection hidden="1"/>
    </xf>
    <xf numFmtId="175" fontId="46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Alignment="1" applyProtection="1">
      <alignment horizontal="right"/>
      <protection hidden="1"/>
    </xf>
    <xf numFmtId="175" fontId="47" fillId="0" borderId="25" xfId="1" applyNumberFormat="1" applyFont="1" applyBorder="1" applyProtection="1">
      <protection hidden="1"/>
    </xf>
    <xf numFmtId="175" fontId="47" fillId="0" borderId="26" xfId="1" applyNumberFormat="1" applyFont="1" applyBorder="1" applyProtection="1">
      <protection hidden="1"/>
    </xf>
    <xf numFmtId="175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75" fontId="0" fillId="0" borderId="0" xfId="1" applyNumberFormat="1" applyFont="1" applyAlignment="1" applyProtection="1">
      <alignment horizontal="right"/>
      <protection hidden="1"/>
    </xf>
    <xf numFmtId="175" fontId="0" fillId="0" borderId="0" xfId="1" applyNumberFormat="1" applyFont="1" applyAlignment="1" applyProtection="1">
      <alignment horizontal="center"/>
      <protection hidden="1"/>
    </xf>
    <xf numFmtId="175" fontId="3" fillId="0" borderId="0" xfId="1" applyNumberFormat="1" applyFont="1" applyProtection="1">
      <protection hidden="1"/>
    </xf>
    <xf numFmtId="175" fontId="0" fillId="0" borderId="0" xfId="1" applyNumberFormat="1" applyFont="1" applyProtection="1">
      <protection hidden="1"/>
    </xf>
    <xf numFmtId="0" fontId="44" fillId="0" borderId="20" xfId="0" applyFont="1" applyBorder="1" applyProtection="1">
      <protection hidden="1"/>
    </xf>
    <xf numFmtId="175" fontId="3" fillId="0" borderId="20" xfId="1" applyNumberFormat="1" applyFont="1" applyBorder="1" applyProtection="1">
      <protection hidden="1"/>
    </xf>
    <xf numFmtId="175" fontId="0" fillId="0" borderId="20" xfId="1" applyNumberFormat="1" applyFont="1" applyBorder="1" applyAlignment="1" applyProtection="1">
      <alignment horizontal="right"/>
      <protection hidden="1"/>
    </xf>
    <xf numFmtId="175" fontId="0" fillId="0" borderId="20" xfId="1" applyNumberFormat="1" applyFont="1" applyBorder="1" applyProtection="1">
      <protection hidden="1"/>
    </xf>
    <xf numFmtId="175" fontId="0" fillId="0" borderId="21" xfId="0" applyNumberFormat="1" applyBorder="1" applyProtection="1">
      <protection hidden="1"/>
    </xf>
    <xf numFmtId="0" fontId="4" fillId="0" borderId="0" xfId="0" applyFont="1" applyProtection="1">
      <protection hidden="1"/>
    </xf>
    <xf numFmtId="175" fontId="0" fillId="0" borderId="0" xfId="1" applyNumberFormat="1" applyFont="1" applyBorder="1" applyProtection="1">
      <protection hidden="1"/>
    </xf>
    <xf numFmtId="17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0" xfId="1" applyNumberFormat="1" applyFont="1" applyFill="1" applyBorder="1" applyAlignment="1" applyProtection="1">
      <alignment horizontal="center" vertical="center" wrapText="1"/>
      <protection hidden="1"/>
    </xf>
    <xf numFmtId="175" fontId="46" fillId="0" borderId="23" xfId="0" applyNumberFormat="1" applyFont="1" applyBorder="1" applyAlignment="1" applyProtection="1">
      <alignment horizontal="center" vertical="center" wrapText="1"/>
      <protection hidden="1"/>
    </xf>
    <xf numFmtId="175" fontId="2" fillId="0" borderId="0" xfId="0" applyNumberFormat="1" applyFont="1" applyAlignment="1" applyProtection="1">
      <alignment horizontal="center" vertical="center" wrapText="1"/>
      <protection hidden="1"/>
    </xf>
    <xf numFmtId="175" fontId="46" fillId="0" borderId="23" xfId="1" applyNumberFormat="1" applyFont="1" applyBorder="1" applyAlignment="1" applyProtection="1">
      <alignment horizontal="center" vertical="center" wrapText="1"/>
      <protection hidden="1"/>
    </xf>
    <xf numFmtId="0" fontId="99" fillId="0" borderId="0" xfId="0" applyFont="1" applyProtection="1">
      <protection hidden="1"/>
    </xf>
    <xf numFmtId="175" fontId="0" fillId="0" borderId="25" xfId="0" applyNumberFormat="1" applyBorder="1" applyProtection="1">
      <protection hidden="1"/>
    </xf>
    <xf numFmtId="175" fontId="0" fillId="0" borderId="26" xfId="0" applyNumberFormat="1" applyBorder="1" applyProtection="1">
      <protection hidden="1"/>
    </xf>
    <xf numFmtId="43" fontId="0" fillId="0" borderId="0" xfId="0" applyNumberFormat="1" applyProtection="1">
      <protection hidden="1"/>
    </xf>
    <xf numFmtId="166" fontId="0" fillId="0" borderId="0" xfId="0" applyNumberFormat="1" applyProtection="1">
      <protection hidden="1"/>
    </xf>
    <xf numFmtId="166" fontId="0" fillId="0" borderId="0" xfId="1" applyNumberFormat="1" applyFont="1" applyFill="1" applyBorder="1" applyProtection="1">
      <protection hidden="1"/>
    </xf>
    <xf numFmtId="0" fontId="46" fillId="0" borderId="0" xfId="0" applyFont="1" applyAlignment="1" applyProtection="1">
      <alignment vertical="center" wrapText="1"/>
      <protection hidden="1"/>
    </xf>
    <xf numFmtId="0" fontId="46" fillId="0" borderId="0" xfId="0" applyFont="1" applyAlignment="1" applyProtection="1">
      <alignment horizontal="center" vertical="center" wrapText="1"/>
      <protection hidden="1"/>
    </xf>
    <xf numFmtId="0" fontId="46" fillId="0" borderId="1" xfId="0" applyFont="1" applyBorder="1" applyAlignment="1" applyProtection="1">
      <alignment horizontal="center" vertical="center" wrapText="1"/>
      <protection hidden="1"/>
    </xf>
    <xf numFmtId="0" fontId="47" fillId="0" borderId="1" xfId="0" applyFont="1" applyBorder="1" applyProtection="1">
      <protection hidden="1"/>
    </xf>
    <xf numFmtId="0" fontId="0" fillId="0" borderId="1" xfId="0" applyBorder="1" applyProtection="1">
      <protection hidden="1"/>
    </xf>
    <xf numFmtId="166" fontId="47" fillId="0" borderId="1" xfId="1" applyNumberFormat="1" applyFont="1" applyBorder="1" applyAlignment="1" applyProtection="1">
      <alignment vertical="center" wrapText="1"/>
      <protection hidden="1"/>
    </xf>
    <xf numFmtId="166" fontId="47" fillId="0" borderId="1" xfId="0" applyNumberFormat="1" applyFont="1" applyBorder="1" applyProtection="1">
      <protection hidden="1"/>
    </xf>
    <xf numFmtId="166" fontId="47" fillId="0" borderId="1" xfId="1" applyNumberFormat="1" applyFont="1" applyFill="1" applyBorder="1" applyAlignment="1" applyProtection="1">
      <alignment vertical="center" wrapText="1"/>
      <protection hidden="1"/>
    </xf>
    <xf numFmtId="172" fontId="47" fillId="0" borderId="1" xfId="1" applyNumberFormat="1" applyFont="1" applyBorder="1" applyAlignment="1" applyProtection="1">
      <alignment vertical="center" wrapText="1"/>
      <protection hidden="1"/>
    </xf>
    <xf numFmtId="0" fontId="44" fillId="0" borderId="1" xfId="0" applyFont="1" applyBorder="1" applyProtection="1">
      <protection hidden="1"/>
    </xf>
    <xf numFmtId="0" fontId="2" fillId="0" borderId="1" xfId="0" applyFont="1" applyBorder="1" applyProtection="1">
      <protection hidden="1"/>
    </xf>
    <xf numFmtId="166" fontId="46" fillId="0" borderId="1" xfId="0" applyNumberFormat="1" applyFont="1" applyBorder="1" applyProtection="1">
      <protection hidden="1"/>
    </xf>
    <xf numFmtId="0" fontId="0" fillId="0" borderId="26" xfId="0" applyBorder="1" applyProtection="1">
      <protection hidden="1"/>
    </xf>
    <xf numFmtId="175" fontId="47" fillId="47" borderId="6" xfId="1" applyNumberFormat="1" applyFont="1" applyFill="1" applyBorder="1" applyAlignment="1" applyProtection="1">
      <alignment horizontal="center"/>
      <protection locked="0"/>
    </xf>
    <xf numFmtId="175" fontId="47" fillId="0" borderId="0" xfId="1" applyNumberFormat="1" applyFont="1" applyFill="1" applyBorder="1" applyProtection="1">
      <protection locked="0"/>
    </xf>
    <xf numFmtId="0" fontId="47" fillId="0" borderId="0" xfId="0" applyFont="1" applyAlignment="1" applyProtection="1">
      <alignment horizontal="left"/>
      <protection hidden="1"/>
    </xf>
    <xf numFmtId="175" fontId="46" fillId="52" borderId="15" xfId="1" applyNumberFormat="1" applyFont="1" applyFill="1" applyBorder="1" applyProtection="1">
      <protection locked="0"/>
    </xf>
    <xf numFmtId="0" fontId="47" fillId="24" borderId="0" xfId="0" applyFont="1" applyFill="1" applyProtection="1">
      <protection hidden="1"/>
    </xf>
    <xf numFmtId="175" fontId="47" fillId="24" borderId="0" xfId="1" applyNumberFormat="1" applyFont="1" applyFill="1" applyBorder="1" applyProtection="1">
      <protection locked="0"/>
    </xf>
    <xf numFmtId="175" fontId="47" fillId="47" borderId="6" xfId="1" applyNumberFormat="1" applyFont="1" applyFill="1" applyBorder="1" applyProtection="1"/>
    <xf numFmtId="0" fontId="112" fillId="0" borderId="0" xfId="0" applyFont="1" applyProtection="1">
      <protection hidden="1"/>
    </xf>
    <xf numFmtId="0" fontId="47" fillId="47" borderId="6" xfId="0" applyFont="1" applyFill="1" applyBorder="1" applyAlignment="1" applyProtection="1">
      <alignment horizontal="center"/>
      <protection locked="0"/>
    </xf>
    <xf numFmtId="0" fontId="99" fillId="47" borderId="0" xfId="0" applyFont="1" applyFill="1" applyProtection="1">
      <protection hidden="1"/>
    </xf>
    <xf numFmtId="180" fontId="119" fillId="0" borderId="71" xfId="1" applyNumberFormat="1" applyFont="1" applyFill="1" applyBorder="1" applyProtection="1">
      <protection locked="0"/>
    </xf>
    <xf numFmtId="0" fontId="100" fillId="51" borderId="19" xfId="0" applyFont="1" applyFill="1" applyBorder="1" applyProtection="1">
      <protection hidden="1"/>
    </xf>
    <xf numFmtId="0" fontId="100" fillId="51" borderId="22" xfId="0" applyFont="1" applyFill="1" applyBorder="1" applyProtection="1">
      <protection hidden="1"/>
    </xf>
    <xf numFmtId="0" fontId="114" fillId="0" borderId="0" xfId="0" applyFont="1" applyProtection="1">
      <protection hidden="1"/>
    </xf>
    <xf numFmtId="0" fontId="114" fillId="51" borderId="22" xfId="0" applyFont="1" applyFill="1" applyBorder="1" applyProtection="1">
      <protection hidden="1"/>
    </xf>
    <xf numFmtId="49" fontId="116" fillId="0" borderId="0" xfId="0" applyNumberFormat="1" applyFont="1" applyProtection="1">
      <protection hidden="1"/>
    </xf>
    <xf numFmtId="49" fontId="45" fillId="0" borderId="0" xfId="0" applyNumberFormat="1" applyFont="1" applyProtection="1">
      <protection hidden="1"/>
    </xf>
    <xf numFmtId="0" fontId="114" fillId="0" borderId="19" xfId="0" applyFont="1" applyBorder="1" applyProtection="1">
      <protection hidden="1"/>
    </xf>
    <xf numFmtId="0" fontId="114" fillId="0" borderId="20" xfId="0" applyFont="1" applyBorder="1" applyProtection="1">
      <protection hidden="1"/>
    </xf>
    <xf numFmtId="0" fontId="114" fillId="0" borderId="22" xfId="0" applyFont="1" applyBorder="1" applyProtection="1">
      <protection hidden="1"/>
    </xf>
    <xf numFmtId="0" fontId="115" fillId="51" borderId="24" xfId="0" applyFont="1" applyFill="1" applyBorder="1" applyProtection="1">
      <protection hidden="1"/>
    </xf>
    <xf numFmtId="0" fontId="115" fillId="51" borderId="25" xfId="0" applyFont="1" applyFill="1" applyBorder="1" applyProtection="1">
      <protection hidden="1"/>
    </xf>
    <xf numFmtId="0" fontId="117" fillId="0" borderId="0" xfId="0" applyFont="1" applyProtection="1">
      <protection hidden="1"/>
    </xf>
    <xf numFmtId="0" fontId="117" fillId="0" borderId="22" xfId="0" applyFont="1" applyBorder="1" applyProtection="1">
      <protection hidden="1"/>
    </xf>
    <xf numFmtId="0" fontId="119" fillId="0" borderId="0" xfId="0" applyFont="1" applyProtection="1">
      <protection hidden="1"/>
    </xf>
    <xf numFmtId="166" fontId="117" fillId="42" borderId="1" xfId="1" applyNumberFormat="1" applyFont="1" applyFill="1" applyBorder="1" applyAlignment="1" applyProtection="1">
      <alignment horizontal="center" vertical="center" wrapText="1"/>
      <protection hidden="1"/>
    </xf>
    <xf numFmtId="166" fontId="117" fillId="42" borderId="17" xfId="1" applyNumberFormat="1" applyFont="1" applyFill="1" applyBorder="1" applyAlignment="1" applyProtection="1">
      <alignment horizontal="center" vertical="center" wrapText="1"/>
      <protection hidden="1"/>
    </xf>
    <xf numFmtId="49" fontId="120" fillId="0" borderId="0" xfId="0" applyNumberFormat="1" applyFont="1" applyAlignment="1" applyProtection="1">
      <alignment horizontal="center"/>
      <protection hidden="1"/>
    </xf>
    <xf numFmtId="0" fontId="119" fillId="0" borderId="22" xfId="0" applyFont="1" applyBorder="1" applyProtection="1">
      <protection hidden="1"/>
    </xf>
    <xf numFmtId="166" fontId="117" fillId="0" borderId="0" xfId="1" applyNumberFormat="1" applyFont="1" applyAlignment="1" applyProtection="1">
      <alignment horizontal="center" vertical="center" wrapText="1"/>
      <protection hidden="1"/>
    </xf>
    <xf numFmtId="0" fontId="117" fillId="42" borderId="42" xfId="0" applyFont="1" applyFill="1" applyBorder="1" applyAlignment="1" applyProtection="1">
      <alignment horizontal="center" wrapText="1"/>
      <protection hidden="1"/>
    </xf>
    <xf numFmtId="166" fontId="117" fillId="42" borderId="3" xfId="1" applyNumberFormat="1" applyFont="1" applyFill="1" applyBorder="1" applyAlignment="1" applyProtection="1">
      <alignment horizontal="center" vertical="center" wrapText="1"/>
      <protection hidden="1"/>
    </xf>
    <xf numFmtId="166" fontId="117" fillId="42" borderId="69" xfId="1" applyNumberFormat="1" applyFont="1" applyFill="1" applyBorder="1" applyAlignment="1" applyProtection="1">
      <alignment horizontal="center" vertical="center" wrapText="1"/>
      <protection hidden="1"/>
    </xf>
    <xf numFmtId="166" fontId="117" fillId="42" borderId="70" xfId="1" applyNumberFormat="1" applyFont="1" applyFill="1" applyBorder="1" applyAlignment="1" applyProtection="1">
      <alignment horizontal="center" vertical="center" wrapText="1"/>
      <protection hidden="1"/>
    </xf>
    <xf numFmtId="0" fontId="117" fillId="0" borderId="2" xfId="0" applyFont="1" applyBorder="1" applyProtection="1">
      <protection hidden="1"/>
    </xf>
    <xf numFmtId="166" fontId="117" fillId="0" borderId="69" xfId="1" applyNumberFormat="1" applyFont="1" applyBorder="1" applyAlignment="1" applyProtection="1">
      <alignment horizontal="center" vertical="center" wrapText="1"/>
      <protection hidden="1"/>
    </xf>
    <xf numFmtId="166" fontId="117" fillId="0" borderId="72" xfId="1" applyNumberFormat="1" applyFont="1" applyBorder="1" applyAlignment="1" applyProtection="1">
      <alignment horizontal="center" vertical="center" wrapText="1"/>
      <protection hidden="1"/>
    </xf>
    <xf numFmtId="166" fontId="117" fillId="0" borderId="0" xfId="1" applyNumberFormat="1" applyFont="1" applyBorder="1" applyAlignment="1" applyProtection="1">
      <alignment horizontal="center" vertical="center" wrapText="1"/>
      <protection hidden="1"/>
    </xf>
    <xf numFmtId="166" fontId="117" fillId="0" borderId="70" xfId="1" applyNumberFormat="1" applyFont="1" applyBorder="1" applyAlignment="1" applyProtection="1">
      <alignment horizontal="center" vertical="center" wrapText="1"/>
      <protection hidden="1"/>
    </xf>
    <xf numFmtId="0" fontId="122" fillId="0" borderId="38" xfId="0" applyFont="1" applyBorder="1" applyAlignment="1" applyProtection="1">
      <alignment horizontal="left"/>
      <protection hidden="1"/>
    </xf>
    <xf numFmtId="0" fontId="122" fillId="0" borderId="73" xfId="0" applyFont="1" applyBorder="1" applyAlignment="1" applyProtection="1">
      <alignment horizontal="left"/>
      <protection hidden="1"/>
    </xf>
    <xf numFmtId="180" fontId="117" fillId="42" borderId="1" xfId="1" applyNumberFormat="1" applyFont="1" applyFill="1" applyBorder="1" applyAlignment="1" applyProtection="1">
      <alignment horizontal="right"/>
      <protection hidden="1"/>
    </xf>
    <xf numFmtId="180" fontId="117" fillId="42" borderId="1" xfId="1" applyNumberFormat="1" applyFont="1" applyFill="1" applyBorder="1" applyProtection="1">
      <protection hidden="1"/>
    </xf>
    <xf numFmtId="166" fontId="117" fillId="42" borderId="1" xfId="1" applyNumberFormat="1" applyFont="1" applyFill="1" applyBorder="1" applyProtection="1">
      <protection hidden="1"/>
    </xf>
    <xf numFmtId="166" fontId="117" fillId="42" borderId="18" xfId="1" applyNumberFormat="1" applyFont="1" applyFill="1" applyBorder="1" applyProtection="1">
      <protection hidden="1"/>
    </xf>
    <xf numFmtId="4" fontId="117" fillId="42" borderId="1" xfId="1" applyNumberFormat="1" applyFont="1" applyFill="1" applyBorder="1" applyProtection="1">
      <protection hidden="1"/>
    </xf>
    <xf numFmtId="49" fontId="123" fillId="0" borderId="0" xfId="0" applyNumberFormat="1" applyFont="1" applyProtection="1">
      <protection hidden="1"/>
    </xf>
    <xf numFmtId="49" fontId="119" fillId="0" borderId="22" xfId="0" applyNumberFormat="1" applyFont="1" applyBorder="1" applyProtection="1">
      <protection hidden="1"/>
    </xf>
    <xf numFmtId="180" fontId="117" fillId="0" borderId="0" xfId="1" applyNumberFormat="1" applyFont="1" applyProtection="1">
      <protection hidden="1"/>
    </xf>
    <xf numFmtId="0" fontId="119" fillId="0" borderId="71" xfId="0" applyFont="1" applyBorder="1" applyAlignment="1" applyProtection="1">
      <alignment horizontal="center" wrapText="1"/>
      <protection hidden="1"/>
    </xf>
    <xf numFmtId="4" fontId="117" fillId="0" borderId="71" xfId="1" applyNumberFormat="1" applyFont="1" applyBorder="1" applyProtection="1">
      <protection hidden="1"/>
    </xf>
    <xf numFmtId="180" fontId="119" fillId="0" borderId="70" xfId="1" applyNumberFormat="1" applyFont="1" applyFill="1" applyBorder="1" applyProtection="1">
      <protection hidden="1"/>
    </xf>
    <xf numFmtId="4" fontId="117" fillId="0" borderId="0" xfId="1" applyNumberFormat="1" applyFont="1" applyProtection="1">
      <protection hidden="1"/>
    </xf>
    <xf numFmtId="181" fontId="21" fillId="0" borderId="0" xfId="3974" applyNumberFormat="1" applyFont="1" applyAlignment="1" applyProtection="1">
      <alignment wrapText="1"/>
      <protection hidden="1"/>
    </xf>
    <xf numFmtId="0" fontId="119" fillId="0" borderId="38" xfId="0" applyFont="1" applyBorder="1" applyProtection="1">
      <protection hidden="1"/>
    </xf>
    <xf numFmtId="180" fontId="119" fillId="0" borderId="71" xfId="1" applyNumberFormat="1" applyFont="1" applyBorder="1" applyProtection="1">
      <protection hidden="1"/>
    </xf>
    <xf numFmtId="180" fontId="119" fillId="53" borderId="71" xfId="1" applyNumberFormat="1" applyFont="1" applyFill="1" applyBorder="1" applyProtection="1">
      <protection hidden="1"/>
    </xf>
    <xf numFmtId="180" fontId="119" fillId="0" borderId="71" xfId="1" applyNumberFormat="1" applyFont="1" applyFill="1" applyBorder="1" applyProtection="1">
      <protection hidden="1"/>
    </xf>
    <xf numFmtId="180" fontId="119" fillId="60" borderId="71" xfId="1" applyNumberFormat="1" applyFont="1" applyFill="1" applyBorder="1" applyProtection="1">
      <protection hidden="1"/>
    </xf>
    <xf numFmtId="9" fontId="119" fillId="0" borderId="71" xfId="2" applyFont="1" applyBorder="1" applyProtection="1">
      <protection hidden="1"/>
    </xf>
    <xf numFmtId="182" fontId="119" fillId="0" borderId="71" xfId="2" applyNumberFormat="1" applyFont="1" applyBorder="1" applyProtection="1">
      <protection hidden="1"/>
    </xf>
    <xf numFmtId="180" fontId="119" fillId="53" borderId="70" xfId="1" applyNumberFormat="1" applyFont="1" applyFill="1" applyBorder="1" applyProtection="1">
      <protection hidden="1"/>
    </xf>
    <xf numFmtId="4" fontId="117" fillId="53" borderId="71" xfId="1" applyNumberFormat="1" applyFont="1" applyFill="1" applyBorder="1" applyProtection="1">
      <protection hidden="1"/>
    </xf>
    <xf numFmtId="180" fontId="119" fillId="0" borderId="0" xfId="1" applyNumberFormat="1" applyFont="1" applyProtection="1">
      <protection hidden="1"/>
    </xf>
    <xf numFmtId="0" fontId="119" fillId="0" borderId="38" xfId="0" applyFont="1" applyBorder="1" applyAlignment="1" applyProtection="1">
      <alignment horizontal="center" wrapText="1"/>
      <protection hidden="1"/>
    </xf>
    <xf numFmtId="182" fontId="117" fillId="42" borderId="1" xfId="1" applyNumberFormat="1" applyFont="1" applyFill="1" applyBorder="1" applyProtection="1">
      <protection hidden="1"/>
    </xf>
    <xf numFmtId="180" fontId="117" fillId="42" borderId="18" xfId="1" applyNumberFormat="1" applyFont="1" applyFill="1" applyBorder="1" applyProtection="1">
      <protection hidden="1"/>
    </xf>
    <xf numFmtId="4" fontId="119" fillId="0" borderId="71" xfId="1" applyNumberFormat="1" applyFont="1" applyBorder="1" applyProtection="1">
      <protection hidden="1"/>
    </xf>
    <xf numFmtId="182" fontId="119" fillId="0" borderId="71" xfId="1" applyNumberFormat="1" applyFont="1" applyBorder="1" applyProtection="1">
      <protection hidden="1"/>
    </xf>
    <xf numFmtId="4" fontId="119" fillId="0" borderId="70" xfId="1" applyNumberFormat="1" applyFont="1" applyBorder="1" applyProtection="1">
      <protection hidden="1"/>
    </xf>
    <xf numFmtId="4" fontId="119" fillId="0" borderId="0" xfId="1" applyNumberFormat="1" applyFont="1" applyProtection="1">
      <protection hidden="1"/>
    </xf>
    <xf numFmtId="0" fontId="119" fillId="0" borderId="17" xfId="0" applyFont="1" applyBorder="1" applyAlignment="1" applyProtection="1">
      <alignment horizontal="center" wrapText="1"/>
      <protection hidden="1"/>
    </xf>
    <xf numFmtId="0" fontId="119" fillId="0" borderId="6" xfId="0" applyFont="1" applyBorder="1" applyProtection="1">
      <protection hidden="1"/>
    </xf>
    <xf numFmtId="4" fontId="119" fillId="0" borderId="6" xfId="0" applyNumberFormat="1" applyFont="1" applyBorder="1" applyProtection="1">
      <protection hidden="1"/>
    </xf>
    <xf numFmtId="4" fontId="117" fillId="0" borderId="0" xfId="1" applyNumberFormat="1" applyFont="1" applyBorder="1" applyProtection="1">
      <protection hidden="1"/>
    </xf>
    <xf numFmtId="4" fontId="117" fillId="0" borderId="6" xfId="1" applyNumberFormat="1" applyFont="1" applyBorder="1" applyProtection="1">
      <protection hidden="1"/>
    </xf>
    <xf numFmtId="182" fontId="117" fillId="0" borderId="70" xfId="1" applyNumberFormat="1" applyFont="1" applyBorder="1" applyProtection="1">
      <protection hidden="1"/>
    </xf>
    <xf numFmtId="4" fontId="117" fillId="0" borderId="72" xfId="1" applyNumberFormat="1" applyFont="1" applyBorder="1" applyProtection="1">
      <protection hidden="1"/>
    </xf>
    <xf numFmtId="4" fontId="124" fillId="42" borderId="1" xfId="1" applyNumberFormat="1" applyFont="1" applyFill="1" applyBorder="1" applyProtection="1">
      <protection hidden="1"/>
    </xf>
    <xf numFmtId="4" fontId="117" fillId="0" borderId="70" xfId="1" applyNumberFormat="1" applyFont="1" applyBorder="1" applyProtection="1">
      <protection hidden="1"/>
    </xf>
    <xf numFmtId="0" fontId="119" fillId="0" borderId="69" xfId="0" applyFont="1" applyBorder="1" applyProtection="1">
      <protection hidden="1"/>
    </xf>
    <xf numFmtId="4" fontId="119" fillId="0" borderId="69" xfId="0" applyNumberFormat="1" applyFont="1" applyBorder="1" applyProtection="1">
      <protection hidden="1"/>
    </xf>
    <xf numFmtId="4" fontId="117" fillId="0" borderId="69" xfId="1" applyNumberFormat="1" applyFont="1" applyBorder="1" applyProtection="1">
      <protection hidden="1"/>
    </xf>
    <xf numFmtId="182" fontId="117" fillId="0" borderId="69" xfId="1" applyNumberFormat="1" applyFont="1" applyBorder="1" applyProtection="1">
      <protection hidden="1"/>
    </xf>
    <xf numFmtId="0" fontId="121" fillId="0" borderId="38" xfId="0" applyFont="1" applyBorder="1" applyAlignment="1" applyProtection="1">
      <alignment horizontal="left"/>
      <protection hidden="1"/>
    </xf>
    <xf numFmtId="0" fontId="119" fillId="0" borderId="15" xfId="0" applyFont="1" applyBorder="1" applyProtection="1">
      <protection hidden="1"/>
    </xf>
    <xf numFmtId="4" fontId="119" fillId="0" borderId="15" xfId="0" applyNumberFormat="1" applyFont="1" applyBorder="1" applyProtection="1">
      <protection hidden="1"/>
    </xf>
    <xf numFmtId="4" fontId="117" fillId="0" borderId="15" xfId="1" applyNumberFormat="1" applyFont="1" applyBorder="1" applyProtection="1">
      <protection hidden="1"/>
    </xf>
    <xf numFmtId="166" fontId="119" fillId="0" borderId="71" xfId="1" applyNumberFormat="1" applyFont="1" applyBorder="1" applyProtection="1">
      <protection hidden="1"/>
    </xf>
    <xf numFmtId="166" fontId="119" fillId="0" borderId="70" xfId="1" applyNumberFormat="1" applyFont="1" applyBorder="1" applyProtection="1">
      <protection hidden="1"/>
    </xf>
    <xf numFmtId="166" fontId="119" fillId="0" borderId="0" xfId="1" applyNumberFormat="1" applyFont="1" applyProtection="1">
      <protection hidden="1"/>
    </xf>
    <xf numFmtId="166" fontId="119" fillId="0" borderId="6" xfId="1" applyNumberFormat="1" applyFont="1" applyBorder="1" applyProtection="1">
      <protection hidden="1"/>
    </xf>
    <xf numFmtId="166" fontId="117" fillId="0" borderId="0" xfId="1" applyNumberFormat="1" applyFont="1" applyBorder="1" applyProtection="1">
      <protection hidden="1"/>
    </xf>
    <xf numFmtId="166" fontId="117" fillId="0" borderId="6" xfId="1" applyNumberFormat="1" applyFont="1" applyBorder="1" applyProtection="1">
      <protection hidden="1"/>
    </xf>
    <xf numFmtId="166" fontId="117" fillId="0" borderId="0" xfId="1" applyNumberFormat="1" applyFont="1" applyProtection="1">
      <protection hidden="1"/>
    </xf>
    <xf numFmtId="166" fontId="117" fillId="0" borderId="38" xfId="1" applyNumberFormat="1" applyFont="1" applyBorder="1" applyProtection="1">
      <protection hidden="1"/>
    </xf>
    <xf numFmtId="0" fontId="119" fillId="0" borderId="0" xfId="0" applyFont="1" applyAlignment="1" applyProtection="1">
      <alignment wrapText="1"/>
      <protection hidden="1"/>
    </xf>
    <xf numFmtId="182" fontId="119" fillId="0" borderId="0" xfId="0" applyNumberFormat="1" applyFont="1" applyProtection="1">
      <protection hidden="1"/>
    </xf>
    <xf numFmtId="4" fontId="119" fillId="0" borderId="0" xfId="0" applyNumberFormat="1" applyFont="1" applyProtection="1">
      <protection hidden="1"/>
    </xf>
    <xf numFmtId="166" fontId="117" fillId="0" borderId="71" xfId="1" applyNumberFormat="1" applyFont="1" applyBorder="1" applyProtection="1">
      <protection hidden="1"/>
    </xf>
    <xf numFmtId="166" fontId="117" fillId="0" borderId="70" xfId="1" applyNumberFormat="1" applyFont="1" applyBorder="1" applyProtection="1">
      <protection hidden="1"/>
    </xf>
    <xf numFmtId="182" fontId="117" fillId="0" borderId="71" xfId="1" applyNumberFormat="1" applyFont="1" applyBorder="1" applyProtection="1">
      <protection hidden="1"/>
    </xf>
    <xf numFmtId="0" fontId="119" fillId="0" borderId="38" xfId="0" applyFont="1" applyBorder="1" applyAlignment="1" applyProtection="1">
      <alignment wrapText="1"/>
      <protection hidden="1"/>
    </xf>
    <xf numFmtId="166" fontId="119" fillId="0" borderId="0" xfId="1" applyNumberFormat="1" applyFont="1" applyBorder="1" applyProtection="1">
      <protection hidden="1"/>
    </xf>
    <xf numFmtId="182" fontId="119" fillId="0" borderId="70" xfId="0" applyNumberFormat="1" applyFont="1" applyBorder="1" applyProtection="1">
      <protection hidden="1"/>
    </xf>
    <xf numFmtId="0" fontId="119" fillId="0" borderId="68" xfId="0" applyFont="1" applyBorder="1" applyAlignment="1" applyProtection="1">
      <alignment wrapText="1"/>
      <protection hidden="1"/>
    </xf>
    <xf numFmtId="166" fontId="119" fillId="0" borderId="69" xfId="1" applyNumberFormat="1" applyFont="1" applyBorder="1" applyProtection="1">
      <protection hidden="1"/>
    </xf>
    <xf numFmtId="0" fontId="119" fillId="0" borderId="68" xfId="0" applyFont="1" applyBorder="1" applyAlignment="1" applyProtection="1">
      <alignment horizontal="center" wrapText="1"/>
      <protection hidden="1"/>
    </xf>
    <xf numFmtId="4" fontId="119" fillId="0" borderId="2" xfId="0" applyNumberFormat="1" applyFont="1" applyBorder="1" applyProtection="1">
      <protection hidden="1"/>
    </xf>
    <xf numFmtId="180" fontId="119" fillId="0" borderId="2" xfId="1" applyNumberFormat="1" applyFont="1" applyBorder="1" applyProtection="1">
      <protection hidden="1"/>
    </xf>
    <xf numFmtId="182" fontId="119" fillId="0" borderId="2" xfId="0" applyNumberFormat="1" applyFont="1" applyBorder="1" applyProtection="1">
      <protection hidden="1"/>
    </xf>
    <xf numFmtId="4" fontId="119" fillId="0" borderId="72" xfId="0" applyNumberFormat="1" applyFont="1" applyBorder="1" applyProtection="1">
      <protection hidden="1"/>
    </xf>
    <xf numFmtId="4" fontId="119" fillId="0" borderId="71" xfId="0" applyNumberFormat="1" applyFont="1" applyBorder="1" applyProtection="1">
      <protection hidden="1"/>
    </xf>
    <xf numFmtId="180" fontId="119" fillId="24" borderId="71" xfId="1" applyNumberFormat="1" applyFont="1" applyFill="1" applyBorder="1" applyProtection="1">
      <protection hidden="1"/>
    </xf>
    <xf numFmtId="0" fontId="117" fillId="0" borderId="69" xfId="2108" applyFont="1" applyBorder="1" applyProtection="1">
      <protection hidden="1"/>
    </xf>
    <xf numFmtId="183" fontId="117" fillId="0" borderId="69" xfId="2108" applyNumberFormat="1" applyFont="1" applyBorder="1" applyProtection="1">
      <protection hidden="1"/>
    </xf>
    <xf numFmtId="183" fontId="119" fillId="0" borderId="69" xfId="2108" applyNumberFormat="1" applyFont="1" applyBorder="1" applyProtection="1">
      <protection hidden="1"/>
    </xf>
    <xf numFmtId="180" fontId="117" fillId="0" borderId="69" xfId="1" applyNumberFormat="1" applyFont="1" applyBorder="1" applyProtection="1">
      <protection hidden="1"/>
    </xf>
    <xf numFmtId="183" fontId="117" fillId="0" borderId="72" xfId="2108" applyNumberFormat="1" applyFont="1" applyBorder="1" applyProtection="1">
      <protection hidden="1"/>
    </xf>
    <xf numFmtId="183" fontId="117" fillId="0" borderId="0" xfId="2108" applyNumberFormat="1" applyFont="1" applyProtection="1">
      <protection hidden="1"/>
    </xf>
    <xf numFmtId="183" fontId="117" fillId="0" borderId="70" xfId="2108" applyNumberFormat="1" applyFont="1" applyBorder="1" applyProtection="1">
      <protection hidden="1"/>
    </xf>
    <xf numFmtId="0" fontId="117" fillId="0" borderId="0" xfId="2108" applyFont="1" applyProtection="1">
      <protection hidden="1"/>
    </xf>
    <xf numFmtId="183" fontId="119" fillId="0" borderId="0" xfId="2108" applyNumberFormat="1" applyFont="1" applyProtection="1">
      <protection hidden="1"/>
    </xf>
    <xf numFmtId="180" fontId="117" fillId="0" borderId="0" xfId="1" applyNumberFormat="1" applyFont="1" applyBorder="1" applyProtection="1">
      <protection hidden="1"/>
    </xf>
    <xf numFmtId="166" fontId="117" fillId="0" borderId="0" xfId="1" applyNumberFormat="1" applyFont="1" applyBorder="1" applyAlignment="1" applyProtection="1">
      <alignment horizontal="left"/>
      <protection hidden="1"/>
    </xf>
    <xf numFmtId="166" fontId="117" fillId="0" borderId="0" xfId="1" applyNumberFormat="1" applyFont="1" applyAlignment="1" applyProtection="1">
      <alignment wrapText="1"/>
      <protection hidden="1"/>
    </xf>
    <xf numFmtId="49" fontId="123" fillId="0" borderId="70" xfId="0" applyNumberFormat="1" applyFont="1" applyBorder="1" applyProtection="1">
      <protection hidden="1"/>
    </xf>
    <xf numFmtId="49" fontId="123" fillId="0" borderId="38" xfId="0" applyNumberFormat="1" applyFont="1" applyBorder="1" applyProtection="1">
      <protection hidden="1"/>
    </xf>
    <xf numFmtId="0" fontId="117" fillId="52" borderId="1" xfId="2108" applyFont="1" applyFill="1" applyBorder="1" applyProtection="1">
      <protection hidden="1"/>
    </xf>
    <xf numFmtId="180" fontId="119" fillId="53" borderId="1" xfId="1" applyNumberFormat="1" applyFont="1" applyFill="1" applyBorder="1" applyProtection="1">
      <protection hidden="1"/>
    </xf>
    <xf numFmtId="180" fontId="119" fillId="0" borderId="0" xfId="1" applyNumberFormat="1" applyFont="1" applyBorder="1" applyProtection="1">
      <protection hidden="1"/>
    </xf>
    <xf numFmtId="180" fontId="116" fillId="0" borderId="0" xfId="0" applyNumberFormat="1" applyFont="1" applyProtection="1">
      <protection hidden="1"/>
    </xf>
    <xf numFmtId="0" fontId="113" fillId="0" borderId="0" xfId="2108" applyFont="1" applyProtection="1">
      <protection hidden="1"/>
    </xf>
    <xf numFmtId="0" fontId="119" fillId="0" borderId="1" xfId="2108" applyFont="1" applyBorder="1" applyProtection="1">
      <protection hidden="1"/>
    </xf>
    <xf numFmtId="180" fontId="117" fillId="0" borderId="71" xfId="1" applyNumberFormat="1" applyFont="1" applyBorder="1" applyProtection="1">
      <protection hidden="1"/>
    </xf>
    <xf numFmtId="180" fontId="119" fillId="61" borderId="1" xfId="1" applyNumberFormat="1" applyFont="1" applyFill="1" applyBorder="1" applyProtection="1">
      <protection hidden="1"/>
    </xf>
    <xf numFmtId="0" fontId="117" fillId="52" borderId="1" xfId="2108" applyFont="1" applyFill="1" applyBorder="1" applyAlignment="1" applyProtection="1">
      <alignment wrapText="1"/>
      <protection hidden="1"/>
    </xf>
    <xf numFmtId="180" fontId="126" fillId="0" borderId="0" xfId="1" applyNumberFormat="1" applyFont="1" applyBorder="1" applyProtection="1">
      <protection hidden="1"/>
    </xf>
    <xf numFmtId="180" fontId="117" fillId="24" borderId="0" xfId="1" applyNumberFormat="1" applyFont="1" applyFill="1" applyBorder="1" applyProtection="1">
      <protection hidden="1"/>
    </xf>
    <xf numFmtId="180" fontId="117" fillId="24" borderId="0" xfId="1" applyNumberFormat="1" applyFont="1" applyFill="1" applyProtection="1">
      <protection hidden="1"/>
    </xf>
    <xf numFmtId="183" fontId="126" fillId="0" borderId="0" xfId="2108" applyNumberFormat="1" applyFont="1" applyProtection="1">
      <protection hidden="1"/>
    </xf>
    <xf numFmtId="171" fontId="119" fillId="0" borderId="1" xfId="2108" applyNumberFormat="1" applyFont="1" applyBorder="1" applyProtection="1">
      <protection hidden="1"/>
    </xf>
    <xf numFmtId="171" fontId="119" fillId="0" borderId="0" xfId="2108" applyNumberFormat="1" applyFont="1" applyProtection="1">
      <protection hidden="1"/>
    </xf>
    <xf numFmtId="171" fontId="117" fillId="52" borderId="1" xfId="2108" applyNumberFormat="1" applyFont="1" applyFill="1" applyBorder="1" applyProtection="1">
      <protection hidden="1"/>
    </xf>
    <xf numFmtId="171" fontId="117" fillId="0" borderId="0" xfId="2108" applyNumberFormat="1" applyFont="1" applyProtection="1">
      <protection hidden="1"/>
    </xf>
    <xf numFmtId="0" fontId="119" fillId="0" borderId="0" xfId="2108" applyFont="1" applyProtection="1">
      <protection hidden="1"/>
    </xf>
    <xf numFmtId="0" fontId="119" fillId="0" borderId="6" xfId="2108" applyFont="1" applyBorder="1" applyProtection="1">
      <protection hidden="1"/>
    </xf>
    <xf numFmtId="180" fontId="119" fillId="0" borderId="6" xfId="1" applyNumberFormat="1" applyFont="1" applyBorder="1" applyProtection="1">
      <protection hidden="1"/>
    </xf>
    <xf numFmtId="43" fontId="117" fillId="42" borderId="1" xfId="1" applyFont="1" applyFill="1" applyBorder="1" applyProtection="1">
      <protection hidden="1"/>
    </xf>
    <xf numFmtId="49" fontId="120" fillId="0" borderId="0" xfId="0" applyNumberFormat="1" applyFont="1" applyProtection="1">
      <protection hidden="1"/>
    </xf>
    <xf numFmtId="49" fontId="120" fillId="0" borderId="38" xfId="0" applyNumberFormat="1" applyFont="1" applyBorder="1" applyProtection="1">
      <protection hidden="1"/>
    </xf>
    <xf numFmtId="49" fontId="127" fillId="0" borderId="0" xfId="0" applyNumberFormat="1" applyFont="1" applyProtection="1">
      <protection hidden="1"/>
    </xf>
    <xf numFmtId="49" fontId="123" fillId="0" borderId="42" xfId="0" applyNumberFormat="1" applyFont="1" applyBorder="1" applyProtection="1">
      <protection hidden="1"/>
    </xf>
    <xf numFmtId="0" fontId="117" fillId="0" borderId="15" xfId="2108" applyFont="1" applyBorder="1" applyProtection="1">
      <protection hidden="1"/>
    </xf>
    <xf numFmtId="183" fontId="117" fillId="0" borderId="15" xfId="2108" applyNumberFormat="1" applyFont="1" applyBorder="1" applyProtection="1">
      <protection hidden="1"/>
    </xf>
    <xf numFmtId="183" fontId="119" fillId="0" borderId="15" xfId="2108" applyNumberFormat="1" applyFont="1" applyBorder="1" applyProtection="1">
      <protection hidden="1"/>
    </xf>
    <xf numFmtId="180" fontId="117" fillId="0" borderId="15" xfId="1" applyNumberFormat="1" applyFont="1" applyBorder="1" applyProtection="1">
      <protection hidden="1"/>
    </xf>
    <xf numFmtId="183" fontId="117" fillId="0" borderId="73" xfId="2108" applyNumberFormat="1" applyFont="1" applyBorder="1" applyProtection="1">
      <protection hidden="1"/>
    </xf>
    <xf numFmtId="183" fontId="117" fillId="42" borderId="3" xfId="2108" applyNumberFormat="1" applyFont="1" applyFill="1" applyBorder="1" applyProtection="1">
      <protection hidden="1"/>
    </xf>
    <xf numFmtId="183" fontId="123" fillId="42" borderId="1" xfId="2108" applyNumberFormat="1" applyFont="1" applyFill="1" applyBorder="1" applyAlignment="1" applyProtection="1">
      <alignment wrapText="1"/>
      <protection hidden="1"/>
    </xf>
    <xf numFmtId="183" fontId="117" fillId="42" borderId="1" xfId="2108" applyNumberFormat="1" applyFont="1" applyFill="1" applyBorder="1" applyProtection="1">
      <protection hidden="1"/>
    </xf>
    <xf numFmtId="183" fontId="123" fillId="42" borderId="1" xfId="2108" applyNumberFormat="1" applyFont="1" applyFill="1" applyBorder="1" applyProtection="1">
      <protection hidden="1"/>
    </xf>
    <xf numFmtId="183" fontId="117" fillId="53" borderId="1" xfId="2108" applyNumberFormat="1" applyFont="1" applyFill="1" applyBorder="1" applyProtection="1">
      <protection hidden="1"/>
    </xf>
    <xf numFmtId="180" fontId="117" fillId="0" borderId="0" xfId="1" applyNumberFormat="1" applyFont="1" applyFill="1" applyBorder="1" applyProtection="1">
      <protection hidden="1"/>
    </xf>
    <xf numFmtId="0" fontId="128" fillId="0" borderId="0" xfId="2108" applyFont="1" applyProtection="1">
      <protection hidden="1"/>
    </xf>
    <xf numFmtId="14" fontId="117" fillId="42" borderId="1" xfId="2108" applyNumberFormat="1" applyFont="1" applyFill="1" applyBorder="1" applyProtection="1">
      <protection hidden="1"/>
    </xf>
    <xf numFmtId="14" fontId="117" fillId="0" borderId="0" xfId="2108" applyNumberFormat="1" applyFont="1" applyProtection="1">
      <protection hidden="1"/>
    </xf>
    <xf numFmtId="0" fontId="129" fillId="0" borderId="19" xfId="2108" applyFont="1" applyBorder="1" applyAlignment="1" applyProtection="1">
      <alignment horizontal="left"/>
      <protection hidden="1"/>
    </xf>
    <xf numFmtId="183" fontId="117" fillId="0" borderId="20" xfId="2108" applyNumberFormat="1" applyFont="1" applyBorder="1" applyProtection="1">
      <protection hidden="1"/>
    </xf>
    <xf numFmtId="183" fontId="119" fillId="0" borderId="21" xfId="2108" applyNumberFormat="1" applyFont="1" applyBorder="1" applyProtection="1">
      <protection hidden="1"/>
    </xf>
    <xf numFmtId="183" fontId="119" fillId="0" borderId="22" xfId="2108" applyNumberFormat="1" applyFont="1" applyBorder="1" applyProtection="1">
      <protection hidden="1"/>
    </xf>
    <xf numFmtId="183" fontId="125" fillId="0" borderId="0" xfId="2108" applyNumberFormat="1" applyFont="1" applyProtection="1">
      <protection hidden="1"/>
    </xf>
    <xf numFmtId="183" fontId="119" fillId="0" borderId="23" xfId="2108" applyNumberFormat="1" applyFont="1" applyBorder="1" applyProtection="1">
      <protection hidden="1"/>
    </xf>
    <xf numFmtId="183" fontId="119" fillId="0" borderId="22" xfId="2108" applyNumberFormat="1" applyFont="1" applyBorder="1" applyAlignment="1" applyProtection="1">
      <alignment horizontal="right"/>
      <protection hidden="1"/>
    </xf>
    <xf numFmtId="184" fontId="119" fillId="0" borderId="0" xfId="2108" applyNumberFormat="1" applyFont="1" applyProtection="1">
      <protection hidden="1"/>
    </xf>
    <xf numFmtId="49" fontId="117" fillId="0" borderId="22" xfId="0" applyNumberFormat="1" applyFont="1" applyBorder="1" applyAlignment="1" applyProtection="1">
      <alignment horizontal="right"/>
      <protection hidden="1"/>
    </xf>
    <xf numFmtId="184" fontId="117" fillId="0" borderId="0" xfId="2108" applyNumberFormat="1" applyFont="1" applyProtection="1">
      <protection hidden="1"/>
    </xf>
    <xf numFmtId="49" fontId="123" fillId="0" borderId="23" xfId="0" applyNumberFormat="1" applyFont="1" applyBorder="1" applyProtection="1">
      <protection hidden="1"/>
    </xf>
    <xf numFmtId="49" fontId="123" fillId="0" borderId="22" xfId="0" applyNumberFormat="1" applyFont="1" applyBorder="1" applyAlignment="1" applyProtection="1">
      <alignment horizontal="right"/>
      <protection hidden="1"/>
    </xf>
    <xf numFmtId="0" fontId="117" fillId="0" borderId="22" xfId="2108" applyFont="1" applyBorder="1" applyAlignment="1" applyProtection="1">
      <alignment horizontal="right"/>
      <protection hidden="1"/>
    </xf>
    <xf numFmtId="0" fontId="117" fillId="0" borderId="74" xfId="2108" applyFont="1" applyBorder="1" applyAlignment="1" applyProtection="1">
      <alignment horizontal="right"/>
      <protection hidden="1"/>
    </xf>
    <xf numFmtId="184" fontId="117" fillId="0" borderId="51" xfId="2108" applyNumberFormat="1" applyFont="1" applyBorder="1" applyProtection="1">
      <protection hidden="1"/>
    </xf>
    <xf numFmtId="0" fontId="119" fillId="0" borderId="22" xfId="2108" applyFont="1" applyBorder="1" applyAlignment="1" applyProtection="1">
      <alignment horizontal="right"/>
      <protection hidden="1"/>
    </xf>
    <xf numFmtId="49" fontId="123" fillId="0" borderId="75" xfId="0" applyNumberFormat="1" applyFont="1" applyBorder="1" applyProtection="1">
      <protection hidden="1"/>
    </xf>
    <xf numFmtId="0" fontId="117" fillId="42" borderId="1" xfId="2108" applyFont="1" applyFill="1" applyBorder="1" applyProtection="1">
      <protection hidden="1"/>
    </xf>
    <xf numFmtId="166" fontId="119" fillId="24" borderId="69" xfId="1" applyNumberFormat="1" applyFont="1" applyFill="1" applyBorder="1" applyProtection="1">
      <protection hidden="1"/>
    </xf>
    <xf numFmtId="49" fontId="123" fillId="0" borderId="72" xfId="0" applyNumberFormat="1" applyFont="1" applyBorder="1" applyProtection="1">
      <protection hidden="1"/>
    </xf>
    <xf numFmtId="166" fontId="119" fillId="24" borderId="0" xfId="1" applyNumberFormat="1" applyFont="1" applyFill="1" applyBorder="1" applyProtection="1">
      <protection hidden="1"/>
    </xf>
    <xf numFmtId="0" fontId="117" fillId="0" borderId="0" xfId="0" applyFont="1" applyAlignment="1" applyProtection="1">
      <alignment horizontal="left" wrapText="1"/>
      <protection hidden="1"/>
    </xf>
    <xf numFmtId="0" fontId="117" fillId="0" borderId="0" xfId="0" applyFont="1" applyAlignment="1" applyProtection="1">
      <alignment wrapText="1"/>
      <protection hidden="1"/>
    </xf>
    <xf numFmtId="0" fontId="123" fillId="0" borderId="0" xfId="0" applyFont="1" applyProtection="1">
      <protection hidden="1"/>
    </xf>
    <xf numFmtId="0" fontId="119" fillId="0" borderId="42" xfId="0" applyFont="1" applyBorder="1" applyAlignment="1" applyProtection="1">
      <alignment wrapText="1"/>
      <protection hidden="1"/>
    </xf>
    <xf numFmtId="166" fontId="119" fillId="0" borderId="15" xfId="1" applyNumberFormat="1" applyFont="1" applyBorder="1" applyProtection="1">
      <protection hidden="1"/>
    </xf>
    <xf numFmtId="49" fontId="123" fillId="0" borderId="73" xfId="0" applyNumberFormat="1" applyFont="1" applyBorder="1" applyProtection="1">
      <protection hidden="1"/>
    </xf>
    <xf numFmtId="0" fontId="3" fillId="51" borderId="21" xfId="0" applyFont="1" applyFill="1" applyBorder="1" applyProtection="1">
      <protection hidden="1"/>
    </xf>
    <xf numFmtId="0" fontId="114" fillId="51" borderId="23" xfId="0" applyFont="1" applyFill="1" applyBorder="1" applyProtection="1">
      <protection hidden="1"/>
    </xf>
    <xf numFmtId="49" fontId="45" fillId="51" borderId="23" xfId="0" applyNumberFormat="1" applyFont="1" applyFill="1" applyBorder="1" applyProtection="1">
      <protection hidden="1"/>
    </xf>
    <xf numFmtId="49" fontId="45" fillId="51" borderId="26" xfId="0" applyNumberFormat="1" applyFont="1" applyFill="1" applyBorder="1" applyProtection="1">
      <protection hidden="1"/>
    </xf>
    <xf numFmtId="182" fontId="119" fillId="0" borderId="69" xfId="0" applyNumberFormat="1" applyFont="1" applyBorder="1" applyProtection="1">
      <protection hidden="1"/>
    </xf>
    <xf numFmtId="182" fontId="117" fillId="0" borderId="15" xfId="1" applyNumberFormat="1" applyFont="1" applyBorder="1" applyProtection="1">
      <protection hidden="1"/>
    </xf>
    <xf numFmtId="0" fontId="119" fillId="0" borderId="69" xfId="0" applyFont="1" applyBorder="1" applyAlignment="1" applyProtection="1">
      <alignment horizontal="center" wrapText="1"/>
      <protection hidden="1"/>
    </xf>
    <xf numFmtId="0" fontId="119" fillId="0" borderId="69" xfId="0" applyFont="1" applyBorder="1" applyAlignment="1" applyProtection="1">
      <alignment wrapText="1"/>
      <protection hidden="1"/>
    </xf>
    <xf numFmtId="183" fontId="117" fillId="0" borderId="18" xfId="2108" applyNumberFormat="1" applyFont="1" applyBorder="1" applyProtection="1">
      <protection hidden="1"/>
    </xf>
    <xf numFmtId="0" fontId="2" fillId="49" borderId="71" xfId="0" quotePrefix="1" applyFont="1" applyFill="1" applyBorder="1" applyAlignment="1">
      <alignment horizontal="center" vertical="center"/>
    </xf>
    <xf numFmtId="0" fontId="97" fillId="51" borderId="0" xfId="0" applyFont="1" applyFill="1"/>
    <xf numFmtId="0" fontId="3" fillId="51" borderId="0" xfId="0" applyFont="1" applyFill="1" applyAlignment="1">
      <alignment horizontal="left"/>
    </xf>
    <xf numFmtId="0" fontId="2" fillId="0" borderId="0" xfId="0" applyFont="1" applyAlignment="1">
      <alignment horizontal="center" wrapText="1"/>
    </xf>
    <xf numFmtId="0" fontId="114" fillId="51" borderId="0" xfId="0" applyFont="1" applyFill="1" applyProtection="1">
      <protection hidden="1"/>
    </xf>
    <xf numFmtId="0" fontId="115" fillId="51" borderId="0" xfId="0" applyFont="1" applyFill="1" applyProtection="1">
      <protection hidden="1"/>
    </xf>
    <xf numFmtId="0" fontId="46" fillId="42" borderId="68" xfId="0" applyFont="1" applyFill="1" applyBorder="1" applyAlignment="1" applyProtection="1">
      <alignment horizontal="center" wrapText="1"/>
      <protection hidden="1"/>
    </xf>
    <xf numFmtId="166" fontId="46" fillId="42" borderId="2" xfId="1" applyNumberFormat="1" applyFont="1" applyFill="1" applyBorder="1" applyAlignment="1" applyProtection="1">
      <alignment horizontal="center" vertical="center" wrapText="1"/>
      <protection hidden="1"/>
    </xf>
    <xf numFmtId="166" fontId="46" fillId="42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42" borderId="17" xfId="1" applyNumberFormat="1" applyFont="1" applyFill="1" applyBorder="1" applyAlignment="1" applyProtection="1">
      <alignment horizontal="center" vertical="center" wrapText="1"/>
      <protection hidden="1"/>
    </xf>
    <xf numFmtId="180" fontId="46" fillId="42" borderId="1" xfId="1" applyNumberFormat="1" applyFont="1" applyFill="1" applyBorder="1" applyProtection="1">
      <protection hidden="1"/>
    </xf>
    <xf numFmtId="166" fontId="46" fillId="42" borderId="2" xfId="1" applyNumberFormat="1" applyFont="1" applyFill="1" applyBorder="1" applyAlignment="1" applyProtection="1">
      <alignment horizontal="left" vertical="center"/>
      <protection hidden="1"/>
    </xf>
    <xf numFmtId="0" fontId="47" fillId="0" borderId="38" xfId="0" applyFont="1" applyBorder="1" applyProtection="1">
      <protection hidden="1"/>
    </xf>
    <xf numFmtId="0" fontId="47" fillId="0" borderId="71" xfId="0" applyFont="1" applyBorder="1" applyAlignment="1" applyProtection="1">
      <alignment horizontal="center" wrapText="1"/>
      <protection hidden="1"/>
    </xf>
    <xf numFmtId="180" fontId="47" fillId="0" borderId="71" xfId="1" applyNumberFormat="1" applyFont="1" applyBorder="1" applyProtection="1">
      <protection hidden="1"/>
    </xf>
    <xf numFmtId="180" fontId="47" fillId="53" borderId="71" xfId="1" applyNumberFormat="1" applyFont="1" applyFill="1" applyBorder="1" applyProtection="1">
      <protection locked="0"/>
    </xf>
    <xf numFmtId="182" fontId="47" fillId="0" borderId="71" xfId="2" applyNumberFormat="1" applyFont="1" applyBorder="1" applyProtection="1">
      <protection hidden="1"/>
    </xf>
    <xf numFmtId="4" fontId="46" fillId="53" borderId="71" xfId="1" applyNumberFormat="1" applyFont="1" applyFill="1" applyBorder="1" applyProtection="1">
      <protection locked="0"/>
    </xf>
    <xf numFmtId="4" fontId="46" fillId="53" borderId="1" xfId="1" applyNumberFormat="1" applyFont="1" applyFill="1" applyBorder="1" applyProtection="1">
      <protection locked="0"/>
    </xf>
    <xf numFmtId="0" fontId="119" fillId="0" borderId="42" xfId="0" applyFont="1" applyBorder="1" applyAlignment="1" applyProtection="1">
      <alignment horizontal="center" wrapText="1"/>
      <protection hidden="1"/>
    </xf>
    <xf numFmtId="166" fontId="46" fillId="42" borderId="1" xfId="1" applyNumberFormat="1" applyFont="1" applyFill="1" applyBorder="1" applyAlignment="1" applyProtection="1">
      <alignment horizontal="left" vertical="center"/>
      <protection hidden="1"/>
    </xf>
    <xf numFmtId="166" fontId="44" fillId="42" borderId="1" xfId="1" applyNumberFormat="1" applyFont="1" applyFill="1" applyBorder="1" applyAlignment="1" applyProtection="1">
      <alignment horizontal="left" vertical="center"/>
      <protection hidden="1"/>
    </xf>
    <xf numFmtId="0" fontId="44" fillId="0" borderId="71" xfId="0" applyFont="1" applyBorder="1" applyProtection="1">
      <protection hidden="1"/>
    </xf>
    <xf numFmtId="0" fontId="109" fillId="0" borderId="68" xfId="0" applyFont="1" applyBorder="1" applyAlignment="1" applyProtection="1">
      <alignment horizontal="left" vertical="top"/>
      <protection hidden="1"/>
    </xf>
    <xf numFmtId="0" fontId="131" fillId="0" borderId="0" xfId="2108" applyFont="1" applyProtection="1">
      <protection hidden="1"/>
    </xf>
    <xf numFmtId="0" fontId="132" fillId="0" borderId="0" xfId="2108" applyFont="1" applyProtection="1">
      <protection hidden="1"/>
    </xf>
    <xf numFmtId="0" fontId="47" fillId="0" borderId="1" xfId="2108" applyFont="1" applyBorder="1" applyProtection="1">
      <protection hidden="1"/>
    </xf>
    <xf numFmtId="49" fontId="133" fillId="0" borderId="0" xfId="0" applyNumberFormat="1" applyFont="1" applyProtection="1">
      <protection hidden="1"/>
    </xf>
    <xf numFmtId="0" fontId="46" fillId="0" borderId="0" xfId="2108" applyFont="1" applyProtection="1">
      <protection hidden="1"/>
    </xf>
    <xf numFmtId="166" fontId="46" fillId="0" borderId="0" xfId="1" applyNumberFormat="1" applyFont="1" applyBorder="1" applyAlignment="1" applyProtection="1">
      <alignment horizontal="center" wrapText="1"/>
      <protection hidden="1"/>
    </xf>
    <xf numFmtId="166" fontId="46" fillId="0" borderId="0" xfId="1" applyNumberFormat="1" applyFont="1" applyBorder="1" applyProtection="1">
      <protection hidden="1"/>
    </xf>
    <xf numFmtId="180" fontId="47" fillId="53" borderId="1" xfId="1" applyNumberFormat="1" applyFont="1" applyFill="1" applyBorder="1" applyProtection="1">
      <protection locked="0"/>
    </xf>
    <xf numFmtId="180" fontId="46" fillId="0" borderId="0" xfId="1" applyNumberFormat="1" applyFont="1" applyBorder="1" applyProtection="1">
      <protection hidden="1"/>
    </xf>
    <xf numFmtId="183" fontId="130" fillId="0" borderId="0" xfId="2108" applyNumberFormat="1" applyFont="1" applyProtection="1">
      <protection hidden="1"/>
    </xf>
    <xf numFmtId="0" fontId="0" fillId="0" borderId="0" xfId="0" pivotButton="1"/>
    <xf numFmtId="0" fontId="0" fillId="62" borderId="0" xfId="0" applyFill="1"/>
    <xf numFmtId="43" fontId="0" fillId="62" borderId="31" xfId="1" applyFont="1" applyFill="1" applyBorder="1"/>
    <xf numFmtId="0" fontId="47" fillId="47" borderId="1" xfId="0" applyFont="1" applyFill="1" applyBorder="1"/>
    <xf numFmtId="175" fontId="47" fillId="0" borderId="0" xfId="1" applyNumberFormat="1" applyFont="1" applyFill="1" applyBorder="1" applyAlignment="1" applyProtection="1">
      <alignment vertical="center" wrapText="1"/>
      <protection hidden="1"/>
    </xf>
    <xf numFmtId="175" fontId="46" fillId="0" borderId="0" xfId="1" applyNumberFormat="1" applyFont="1" applyFill="1" applyBorder="1" applyAlignment="1" applyProtection="1">
      <protection hidden="1"/>
    </xf>
    <xf numFmtId="175" fontId="47" fillId="0" borderId="0" xfId="1" applyNumberFormat="1" applyFont="1" applyFill="1" applyBorder="1" applyAlignment="1" applyProtection="1">
      <protection hidden="1"/>
    </xf>
    <xf numFmtId="175" fontId="0" fillId="43" borderId="0" xfId="0" applyNumberFormat="1" applyFill="1"/>
    <xf numFmtId="0" fontId="0" fillId="59" borderId="1" xfId="0" applyFill="1" applyBorder="1" applyAlignment="1">
      <alignment horizontal="center" vertical="top" wrapText="1"/>
    </xf>
    <xf numFmtId="0" fontId="2" fillId="59" borderId="60" xfId="0" applyFont="1" applyFill="1" applyBorder="1" applyAlignment="1">
      <alignment horizontal="centerContinuous"/>
    </xf>
    <xf numFmtId="0" fontId="0" fillId="59" borderId="20" xfId="0" applyFill="1" applyBorder="1" applyAlignment="1">
      <alignment horizontal="centerContinuous"/>
    </xf>
    <xf numFmtId="0" fontId="0" fillId="59" borderId="21" xfId="0" applyFill="1" applyBorder="1" applyAlignment="1">
      <alignment horizontal="centerContinuous"/>
    </xf>
    <xf numFmtId="0" fontId="0" fillId="59" borderId="31" xfId="0" applyFill="1" applyBorder="1" applyAlignment="1">
      <alignment horizontal="center" vertical="top" wrapText="1"/>
    </xf>
    <xf numFmtId="0" fontId="0" fillId="59" borderId="34" xfId="0" applyFill="1" applyBorder="1" applyAlignment="1">
      <alignment horizontal="center" vertical="top" wrapText="1"/>
    </xf>
    <xf numFmtId="43" fontId="0" fillId="0" borderId="57" xfId="1" applyFont="1" applyBorder="1"/>
    <xf numFmtId="43" fontId="0" fillId="0" borderId="58" xfId="1" applyFont="1" applyBorder="1"/>
    <xf numFmtId="0" fontId="0" fillId="46" borderId="1" xfId="0" applyFill="1" applyBorder="1" applyAlignment="1">
      <alignment horizontal="center" vertical="top" wrapText="1"/>
    </xf>
    <xf numFmtId="0" fontId="2" fillId="46" borderId="32" xfId="0" applyFont="1" applyFill="1" applyBorder="1" applyAlignment="1">
      <alignment horizontal="centerContinuous"/>
    </xf>
    <xf numFmtId="0" fontId="0" fillId="46" borderId="33" xfId="0" applyFill="1" applyBorder="1" applyAlignment="1">
      <alignment horizontal="centerContinuous"/>
    </xf>
    <xf numFmtId="0" fontId="0" fillId="46" borderId="59" xfId="0" applyFill="1" applyBorder="1" applyAlignment="1">
      <alignment horizontal="centerContinuous"/>
    </xf>
    <xf numFmtId="0" fontId="0" fillId="46" borderId="31" xfId="0" applyFill="1" applyBorder="1" applyAlignment="1">
      <alignment horizontal="center" vertical="top" wrapText="1"/>
    </xf>
    <xf numFmtId="0" fontId="0" fillId="46" borderId="34" xfId="0" applyFill="1" applyBorder="1" applyAlignment="1">
      <alignment horizontal="center" vertical="top" wrapText="1"/>
    </xf>
    <xf numFmtId="0" fontId="0" fillId="54" borderId="1" xfId="0" applyFill="1" applyBorder="1" applyAlignment="1">
      <alignment horizontal="center" vertical="top" wrapText="1"/>
    </xf>
    <xf numFmtId="0" fontId="2" fillId="54" borderId="32" xfId="0" applyFont="1" applyFill="1" applyBorder="1" applyAlignment="1">
      <alignment horizontal="centerContinuous"/>
    </xf>
    <xf numFmtId="0" fontId="2" fillId="54" borderId="33" xfId="0" applyFont="1" applyFill="1" applyBorder="1" applyAlignment="1">
      <alignment horizontal="centerContinuous"/>
    </xf>
    <xf numFmtId="0" fontId="0" fillId="54" borderId="33" xfId="0" applyFill="1" applyBorder="1" applyAlignment="1">
      <alignment horizontal="centerContinuous"/>
    </xf>
    <xf numFmtId="0" fontId="0" fillId="54" borderId="31" xfId="0" applyFill="1" applyBorder="1" applyAlignment="1">
      <alignment horizontal="center" vertical="top" wrapText="1"/>
    </xf>
    <xf numFmtId="0" fontId="2" fillId="0" borderId="34" xfId="0" applyFont="1" applyBorder="1" applyAlignment="1">
      <alignment horizontal="center"/>
    </xf>
    <xf numFmtId="174" fontId="0" fillId="0" borderId="58" xfId="0" applyNumberFormat="1" applyBorder="1"/>
    <xf numFmtId="0" fontId="0" fillId="54" borderId="20" xfId="0" applyFill="1" applyBorder="1" applyAlignment="1">
      <alignment horizontal="centerContinuous"/>
    </xf>
    <xf numFmtId="0" fontId="0" fillId="54" borderId="21" xfId="0" applyFill="1" applyBorder="1"/>
    <xf numFmtId="0" fontId="0" fillId="54" borderId="61" xfId="0" applyFill="1" applyBorder="1" applyAlignment="1">
      <alignment horizontal="centerContinuous"/>
    </xf>
    <xf numFmtId="174" fontId="0" fillId="0" borderId="37" xfId="0" applyNumberFormat="1" applyBorder="1"/>
    <xf numFmtId="0" fontId="0" fillId="0" borderId="20" xfId="0" applyBorder="1" applyAlignment="1">
      <alignment horizontal="centerContinuous"/>
    </xf>
    <xf numFmtId="175" fontId="48" fillId="0" borderId="0" xfId="1" applyNumberFormat="1" applyFont="1" applyBorder="1" applyAlignment="1">
      <alignment vertical="center" wrapText="1"/>
    </xf>
    <xf numFmtId="0" fontId="2" fillId="49" borderId="1" xfId="0" applyFont="1" applyFill="1" applyBorder="1" applyAlignment="1">
      <alignment horizontal="centerContinuous"/>
    </xf>
    <xf numFmtId="0" fontId="2" fillId="0" borderId="0" xfId="0" applyFont="1" applyAlignment="1">
      <alignment horizontal="centerContinuous"/>
    </xf>
    <xf numFmtId="175" fontId="90" fillId="0" borderId="0" xfId="2" applyNumberFormat="1" applyFont="1" applyFill="1" applyBorder="1" applyAlignment="1">
      <alignment horizontal="left" vertical="center"/>
    </xf>
    <xf numFmtId="0" fontId="0" fillId="0" borderId="73" xfId="0" applyBorder="1" applyAlignment="1">
      <alignment vertical="center" wrapText="1"/>
    </xf>
    <xf numFmtId="43" fontId="0" fillId="0" borderId="42" xfId="0" applyNumberFormat="1" applyBorder="1" applyAlignment="1">
      <alignment vertical="center" wrapText="1"/>
    </xf>
    <xf numFmtId="3" fontId="0" fillId="0" borderId="0" xfId="0" applyNumberFormat="1"/>
    <xf numFmtId="0" fontId="0" fillId="0" borderId="67" xfId="0" applyBorder="1" applyAlignment="1">
      <alignment wrapText="1"/>
    </xf>
    <xf numFmtId="0" fontId="0" fillId="0" borderId="15" xfId="0" applyBorder="1"/>
    <xf numFmtId="0" fontId="2" fillId="55" borderId="0" xfId="0" applyFont="1" applyFill="1" applyAlignment="1">
      <alignment horizontal="center" vertical="top" wrapText="1"/>
    </xf>
    <xf numFmtId="0" fontId="2" fillId="49" borderId="0" xfId="0" applyFont="1" applyFill="1" applyAlignment="1">
      <alignment horizontal="center" vertical="top" wrapText="1"/>
    </xf>
    <xf numFmtId="0" fontId="2" fillId="55" borderId="1" xfId="0" applyFont="1" applyFill="1" applyBorder="1" applyAlignment="1">
      <alignment horizontal="centerContinuous"/>
    </xf>
    <xf numFmtId="0" fontId="0" fillId="55" borderId="1" xfId="0" applyFill="1" applyBorder="1" applyAlignment="1">
      <alignment horizontal="centerContinuous"/>
    </xf>
    <xf numFmtId="0" fontId="2" fillId="55" borderId="1" xfId="0" applyFont="1" applyFill="1" applyBorder="1" applyAlignment="1">
      <alignment horizontal="center" vertical="top" wrapText="1"/>
    </xf>
    <xf numFmtId="0" fontId="0" fillId="49" borderId="1" xfId="0" applyFill="1" applyBorder="1" applyAlignment="1">
      <alignment horizontal="centerContinuous"/>
    </xf>
    <xf numFmtId="0" fontId="2" fillId="49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Continuous"/>
    </xf>
    <xf numFmtId="0" fontId="2" fillId="0" borderId="1" xfId="0" applyFont="1" applyBorder="1" applyAlignment="1">
      <alignment horizontal="centerContinuous"/>
    </xf>
    <xf numFmtId="179" fontId="0" fillId="55" borderId="0" xfId="1" applyNumberFormat="1" applyFont="1" applyFill="1"/>
    <xf numFmtId="179" fontId="0" fillId="49" borderId="0" xfId="1" applyNumberFormat="1" applyFont="1" applyFill="1"/>
    <xf numFmtId="0" fontId="0" fillId="55" borderId="1" xfId="0" applyFill="1" applyBorder="1" applyAlignment="1">
      <alignment horizontal="center"/>
    </xf>
    <xf numFmtId="0" fontId="0" fillId="49" borderId="1" xfId="0" applyFill="1" applyBorder="1" applyAlignment="1">
      <alignment horizontal="center"/>
    </xf>
    <xf numFmtId="43" fontId="0" fillId="0" borderId="34" xfId="0" applyNumberFormat="1" applyBorder="1"/>
    <xf numFmtId="179" fontId="0" fillId="0" borderId="0" xfId="1" applyNumberFormat="1" applyFont="1" applyFill="1"/>
    <xf numFmtId="0" fontId="2" fillId="28" borderId="1" xfId="0" applyFont="1" applyFill="1" applyBorder="1" applyAlignment="1">
      <alignment horizontal="center" vertical="top" wrapText="1"/>
    </xf>
    <xf numFmtId="179" fontId="0" fillId="28" borderId="0" xfId="0" applyNumberFormat="1" applyFill="1"/>
    <xf numFmtId="0" fontId="134" fillId="51" borderId="0" xfId="3967" applyFont="1" applyFill="1" applyProtection="1">
      <protection hidden="1"/>
    </xf>
    <xf numFmtId="0" fontId="134" fillId="51" borderId="25" xfId="3967" applyFont="1" applyFill="1" applyBorder="1"/>
    <xf numFmtId="0" fontId="2" fillId="0" borderId="30" xfId="0" applyFont="1" applyBorder="1" applyAlignment="1">
      <alignment horizontal="centerContinuous"/>
    </xf>
    <xf numFmtId="0" fontId="0" fillId="0" borderId="32" xfId="0" applyBorder="1"/>
    <xf numFmtId="0" fontId="0" fillId="0" borderId="33" xfId="0" applyBorder="1"/>
    <xf numFmtId="0" fontId="0" fillId="0" borderId="59" xfId="0" applyBorder="1"/>
    <xf numFmtId="174" fontId="0" fillId="0" borderId="0" xfId="0" applyNumberFormat="1"/>
    <xf numFmtId="177" fontId="0" fillId="0" borderId="0" xfId="0" applyNumberFormat="1"/>
    <xf numFmtId="43" fontId="0" fillId="0" borderId="31" xfId="1" applyFont="1" applyFill="1" applyBorder="1"/>
    <xf numFmtId="174" fontId="0" fillId="0" borderId="0" xfId="0" applyNumberFormat="1" applyAlignment="1">
      <alignment vertical="center" wrapText="1"/>
    </xf>
    <xf numFmtId="44" fontId="0" fillId="0" borderId="0" xfId="0" applyNumberFormat="1" applyAlignment="1">
      <alignment vertical="center" wrapText="1"/>
    </xf>
    <xf numFmtId="43" fontId="0" fillId="0" borderId="56" xfId="1" applyFont="1" applyFill="1" applyBorder="1"/>
    <xf numFmtId="43" fontId="0" fillId="0" borderId="58" xfId="1" applyFont="1" applyFill="1" applyBorder="1"/>
    <xf numFmtId="0" fontId="0" fillId="28" borderId="1" xfId="0" applyFill="1" applyBorder="1" applyAlignment="1">
      <alignment horizontal="center"/>
    </xf>
    <xf numFmtId="0" fontId="2" fillId="28" borderId="0" xfId="0" applyFont="1" applyFill="1"/>
    <xf numFmtId="174" fontId="0" fillId="28" borderId="0" xfId="0" applyNumberFormat="1" applyFill="1"/>
    <xf numFmtId="43" fontId="0" fillId="28" borderId="0" xfId="0" applyNumberFormat="1" applyFill="1"/>
    <xf numFmtId="0" fontId="2" fillId="55" borderId="0" xfId="0" applyFont="1" applyFill="1"/>
    <xf numFmtId="0" fontId="2" fillId="49" borderId="0" xfId="0" applyFont="1" applyFill="1"/>
    <xf numFmtId="43" fontId="0" fillId="49" borderId="0" xfId="1" applyFont="1" applyFill="1" applyBorder="1"/>
    <xf numFmtId="174" fontId="0" fillId="49" borderId="0" xfId="0" applyNumberFormat="1" applyFill="1"/>
    <xf numFmtId="0" fontId="44" fillId="58" borderId="65" xfId="0" applyFont="1" applyFill="1" applyBorder="1" applyAlignment="1">
      <alignment horizontal="centerContinuous"/>
    </xf>
    <xf numFmtId="0" fontId="44" fillId="58" borderId="30" xfId="0" applyFont="1" applyFill="1" applyBorder="1" applyAlignment="1">
      <alignment horizontal="centerContinuous"/>
    </xf>
    <xf numFmtId="0" fontId="44" fillId="58" borderId="50" xfId="0" applyFont="1" applyFill="1" applyBorder="1" applyAlignment="1">
      <alignment horizontal="centerContinuous"/>
    </xf>
    <xf numFmtId="0" fontId="0" fillId="57" borderId="1" xfId="0" applyFill="1" applyBorder="1" applyAlignment="1">
      <alignment horizontal="center"/>
    </xf>
    <xf numFmtId="0" fontId="2" fillId="57" borderId="0" xfId="0" applyFont="1" applyFill="1"/>
    <xf numFmtId="0" fontId="2" fillId="57" borderId="1" xfId="0" applyFont="1" applyFill="1" applyBorder="1" applyAlignment="1">
      <alignment horizontal="center" vertical="top" wrapText="1"/>
    </xf>
    <xf numFmtId="179" fontId="0" fillId="57" borderId="0" xfId="0" applyNumberFormat="1" applyFill="1"/>
    <xf numFmtId="174" fontId="0" fillId="57" borderId="0" xfId="0" applyNumberFormat="1" applyFill="1"/>
    <xf numFmtId="0" fontId="2" fillId="28" borderId="0" xfId="0" applyFont="1" applyFill="1" applyAlignment="1">
      <alignment horizontal="center" vertical="top" wrapText="1"/>
    </xf>
    <xf numFmtId="0" fontId="2" fillId="28" borderId="47" xfId="0" applyFont="1" applyFill="1" applyBorder="1" applyAlignment="1">
      <alignment horizontal="centerContinuous"/>
    </xf>
    <xf numFmtId="0" fontId="2" fillId="28" borderId="30" xfId="0" applyFont="1" applyFill="1" applyBorder="1" applyAlignment="1">
      <alignment horizontal="centerContinuous"/>
    </xf>
    <xf numFmtId="0" fontId="2" fillId="28" borderId="50" xfId="0" applyFont="1" applyFill="1" applyBorder="1" applyAlignment="1">
      <alignment horizontal="centerContinuous"/>
    </xf>
    <xf numFmtId="0" fontId="2" fillId="28" borderId="65" xfId="0" applyFont="1" applyFill="1" applyBorder="1" applyAlignment="1">
      <alignment horizontal="centerContinuous"/>
    </xf>
    <xf numFmtId="0" fontId="0" fillId="28" borderId="30" xfId="0" applyFill="1" applyBorder="1" applyAlignment="1">
      <alignment horizontal="centerContinuous"/>
    </xf>
    <xf numFmtId="0" fontId="0" fillId="28" borderId="50" xfId="0" applyFill="1" applyBorder="1" applyAlignment="1">
      <alignment horizontal="centerContinuous"/>
    </xf>
    <xf numFmtId="44" fontId="0" fillId="28" borderId="0" xfId="1" applyNumberFormat="1" applyFont="1" applyFill="1" applyBorder="1"/>
    <xf numFmtId="44" fontId="0" fillId="28" borderId="0" xfId="0" applyNumberFormat="1" applyFill="1"/>
    <xf numFmtId="44" fontId="0" fillId="28" borderId="0" xfId="0" applyNumberFormat="1" applyFill="1" applyAlignment="1">
      <alignment vertical="center" wrapText="1"/>
    </xf>
    <xf numFmtId="0" fontId="2" fillId="55" borderId="47" xfId="0" applyFont="1" applyFill="1" applyBorder="1" applyAlignment="1">
      <alignment horizontal="centerContinuous"/>
    </xf>
    <xf numFmtId="0" fontId="2" fillId="55" borderId="30" xfId="0" applyFont="1" applyFill="1" applyBorder="1" applyAlignment="1">
      <alignment horizontal="centerContinuous"/>
    </xf>
    <xf numFmtId="0" fontId="2" fillId="55" borderId="50" xfId="0" applyFont="1" applyFill="1" applyBorder="1" applyAlignment="1">
      <alignment horizontal="centerContinuous"/>
    </xf>
    <xf numFmtId="0" fontId="2" fillId="55" borderId="65" xfId="0" applyFont="1" applyFill="1" applyBorder="1" applyAlignment="1">
      <alignment horizontal="centerContinuous"/>
    </xf>
    <xf numFmtId="0" fontId="0" fillId="55" borderId="30" xfId="0" applyFill="1" applyBorder="1" applyAlignment="1">
      <alignment horizontal="centerContinuous"/>
    </xf>
    <xf numFmtId="0" fontId="0" fillId="55" borderId="50" xfId="0" applyFill="1" applyBorder="1" applyAlignment="1">
      <alignment horizontal="centerContinuous"/>
    </xf>
    <xf numFmtId="44" fontId="0" fillId="55" borderId="0" xfId="1" applyNumberFormat="1" applyFont="1" applyFill="1" applyBorder="1"/>
    <xf numFmtId="44" fontId="0" fillId="55" borderId="0" xfId="0" applyNumberFormat="1" applyFill="1"/>
    <xf numFmtId="44" fontId="0" fillId="55" borderId="0" xfId="0" applyNumberFormat="1" applyFill="1" applyAlignment="1">
      <alignment vertical="center" wrapText="1"/>
    </xf>
    <xf numFmtId="0" fontId="2" fillId="49" borderId="47" xfId="0" applyFont="1" applyFill="1" applyBorder="1" applyAlignment="1">
      <alignment horizontal="centerContinuous"/>
    </xf>
    <xf numFmtId="0" fontId="2" fillId="49" borderId="30" xfId="0" applyFont="1" applyFill="1" applyBorder="1" applyAlignment="1">
      <alignment horizontal="centerContinuous"/>
    </xf>
    <xf numFmtId="0" fontId="2" fillId="49" borderId="50" xfId="0" applyFont="1" applyFill="1" applyBorder="1" applyAlignment="1">
      <alignment horizontal="centerContinuous"/>
    </xf>
    <xf numFmtId="0" fontId="2" fillId="49" borderId="65" xfId="0" applyFont="1" applyFill="1" applyBorder="1" applyAlignment="1">
      <alignment horizontal="centerContinuous"/>
    </xf>
    <xf numFmtId="0" fontId="0" fillId="49" borderId="30" xfId="0" applyFill="1" applyBorder="1" applyAlignment="1">
      <alignment horizontal="centerContinuous"/>
    </xf>
    <xf numFmtId="0" fontId="0" fillId="49" borderId="50" xfId="0" applyFill="1" applyBorder="1" applyAlignment="1">
      <alignment horizontal="centerContinuous"/>
    </xf>
    <xf numFmtId="44" fontId="0" fillId="49" borderId="0" xfId="0" applyNumberFormat="1" applyFill="1"/>
    <xf numFmtId="177" fontId="0" fillId="49" borderId="0" xfId="0" applyNumberFormat="1" applyFill="1"/>
    <xf numFmtId="44" fontId="0" fillId="49" borderId="0" xfId="0" applyNumberFormat="1" applyFill="1" applyAlignment="1">
      <alignment vertical="center" wrapText="1"/>
    </xf>
    <xf numFmtId="174" fontId="0" fillId="49" borderId="0" xfId="0" applyNumberFormat="1" applyFill="1" applyAlignment="1">
      <alignment vertical="center" wrapText="1"/>
    </xf>
    <xf numFmtId="0" fontId="2" fillId="0" borderId="65" xfId="0" applyFont="1" applyBorder="1" applyAlignment="1">
      <alignment horizontal="centerContinuous"/>
    </xf>
    <xf numFmtId="0" fontId="2" fillId="0" borderId="50" xfId="0" applyFont="1" applyBorder="1" applyAlignment="1">
      <alignment horizontal="centerContinuous"/>
    </xf>
    <xf numFmtId="175" fontId="2" fillId="0" borderId="0" xfId="0" applyNumberFormat="1" applyFont="1"/>
    <xf numFmtId="0" fontId="2" fillId="0" borderId="55" xfId="0" applyFont="1" applyBorder="1"/>
    <xf numFmtId="0" fontId="2" fillId="0" borderId="50" xfId="0" applyFont="1" applyBorder="1"/>
    <xf numFmtId="0" fontId="2" fillId="0" borderId="0" xfId="0" applyFont="1" applyAlignment="1" applyProtection="1">
      <alignment horizontal="center" vertical="top" wrapText="1"/>
      <protection locked="0"/>
    </xf>
    <xf numFmtId="0" fontId="26" fillId="0" borderId="0" xfId="3967"/>
    <xf numFmtId="180" fontId="47" fillId="53" borderId="1" xfId="1" applyNumberFormat="1" applyFont="1" applyFill="1" applyBorder="1" applyProtection="1"/>
    <xf numFmtId="49" fontId="2" fillId="0" borderId="0" xfId="0" applyNumberFormat="1" applyFont="1" applyProtection="1">
      <protection hidden="1"/>
    </xf>
    <xf numFmtId="180" fontId="46" fillId="53" borderId="1" xfId="1" applyNumberFormat="1" applyFont="1" applyFill="1" applyBorder="1" applyProtection="1">
      <protection locked="0"/>
    </xf>
    <xf numFmtId="17" fontId="46" fillId="53" borderId="0" xfId="0" applyNumberFormat="1" applyFont="1" applyFill="1" applyAlignment="1" applyProtection="1">
      <alignment horizontal="center" vertical="center" wrapText="1"/>
      <protection locked="0"/>
    </xf>
    <xf numFmtId="174" fontId="2" fillId="57" borderId="0" xfId="0" applyNumberFormat="1" applyFont="1" applyFill="1" applyAlignment="1">
      <alignment vertical="center" wrapText="1"/>
    </xf>
    <xf numFmtId="174" fontId="2" fillId="0" borderId="0" xfId="0" applyNumberFormat="1" applyFont="1" applyAlignment="1">
      <alignment vertical="center" wrapText="1"/>
    </xf>
    <xf numFmtId="174" fontId="2" fillId="28" borderId="0" xfId="0" applyNumberFormat="1" applyFont="1" applyFill="1" applyAlignment="1">
      <alignment vertical="center" wrapText="1"/>
    </xf>
    <xf numFmtId="174" fontId="2" fillId="55" borderId="0" xfId="0" applyNumberFormat="1" applyFont="1" applyFill="1" applyAlignment="1">
      <alignment vertical="center" wrapText="1"/>
    </xf>
    <xf numFmtId="179" fontId="2" fillId="55" borderId="0" xfId="0" applyNumberFormat="1" applyFont="1" applyFill="1"/>
    <xf numFmtId="179" fontId="2" fillId="0" borderId="0" xfId="0" applyNumberFormat="1" applyFont="1"/>
    <xf numFmtId="179" fontId="2" fillId="49" borderId="0" xfId="0" applyNumberFormat="1" applyFont="1" applyFill="1"/>
    <xf numFmtId="0" fontId="0" fillId="0" borderId="1" xfId="0" applyBorder="1" applyAlignment="1">
      <alignment wrapText="1"/>
    </xf>
    <xf numFmtId="177" fontId="0" fillId="0" borderId="0" xfId="1" applyNumberFormat="1" applyFont="1"/>
    <xf numFmtId="0" fontId="0" fillId="49" borderId="1" xfId="0" applyFill="1" applyBorder="1" applyAlignment="1">
      <alignment wrapText="1"/>
    </xf>
    <xf numFmtId="177" fontId="0" fillId="49" borderId="0" xfId="1" applyNumberFormat="1" applyFont="1" applyFill="1"/>
    <xf numFmtId="179" fontId="0" fillId="49" borderId="0" xfId="0" applyNumberFormat="1" applyFill="1"/>
    <xf numFmtId="0" fontId="26" fillId="0" borderId="1" xfId="3967" applyBorder="1"/>
    <xf numFmtId="179" fontId="0" fillId="0" borderId="3" xfId="0" applyNumberFormat="1" applyBorder="1" applyAlignment="1">
      <alignment vertical="center" wrapText="1"/>
    </xf>
    <xf numFmtId="0" fontId="0" fillId="48" borderId="1" xfId="0" applyFill="1" applyBorder="1" applyAlignment="1">
      <alignment horizontal="center"/>
    </xf>
    <xf numFmtId="0" fontId="2" fillId="48" borderId="0" xfId="0" applyFont="1" applyFill="1"/>
    <xf numFmtId="0" fontId="2" fillId="48" borderId="65" xfId="0" applyFont="1" applyFill="1" applyBorder="1" applyAlignment="1">
      <alignment horizontal="centerContinuous"/>
    </xf>
    <xf numFmtId="0" fontId="0" fillId="48" borderId="50" xfId="0" applyFill="1" applyBorder="1" applyAlignment="1">
      <alignment horizontal="centerContinuous"/>
    </xf>
    <xf numFmtId="0" fontId="2" fillId="48" borderId="1" xfId="0" applyFont="1" applyFill="1" applyBorder="1" applyAlignment="1">
      <alignment horizontal="center" vertical="top" wrapText="1"/>
    </xf>
    <xf numFmtId="44" fontId="0" fillId="48" borderId="0" xfId="1" applyNumberFormat="1" applyFont="1" applyFill="1" applyBorder="1"/>
    <xf numFmtId="174" fontId="2" fillId="48" borderId="0" xfId="0" applyNumberFormat="1" applyFont="1" applyFill="1" applyAlignment="1">
      <alignment vertical="center" wrapText="1"/>
    </xf>
    <xf numFmtId="177" fontId="4" fillId="0" borderId="3" xfId="0" applyNumberFormat="1" applyFont="1" applyBorder="1" applyAlignment="1">
      <alignment vertical="center" wrapText="1"/>
    </xf>
    <xf numFmtId="0" fontId="2" fillId="55" borderId="1" xfId="0" applyFont="1" applyFill="1" applyBorder="1" applyAlignment="1">
      <alignment horizontal="center" wrapText="1"/>
    </xf>
    <xf numFmtId="43" fontId="0" fillId="55" borderId="0" xfId="1" applyFont="1" applyFill="1"/>
    <xf numFmtId="179" fontId="0" fillId="55" borderId="0" xfId="0" applyNumberFormat="1" applyFill="1"/>
    <xf numFmtId="0" fontId="2" fillId="49" borderId="1" xfId="0" applyFont="1" applyFill="1" applyBorder="1" applyAlignment="1">
      <alignment horizontal="center" wrapText="1"/>
    </xf>
    <xf numFmtId="175" fontId="46" fillId="0" borderId="2" xfId="1" applyNumberFormat="1" applyFont="1" applyBorder="1" applyAlignment="1">
      <alignment horizontal="center" vertical="center" wrapText="1"/>
    </xf>
    <xf numFmtId="175" fontId="46" fillId="0" borderId="3" xfId="1" applyNumberFormat="1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 wrapText="1"/>
    </xf>
    <xf numFmtId="0" fontId="46" fillId="0" borderId="3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left"/>
    </xf>
    <xf numFmtId="0" fontId="46" fillId="0" borderId="18" xfId="0" applyFont="1" applyBorder="1" applyAlignment="1">
      <alignment horizontal="left"/>
    </xf>
    <xf numFmtId="17" fontId="46" fillId="0" borderId="0" xfId="0" applyNumberFormat="1" applyFont="1" applyAlignment="1" applyProtection="1">
      <alignment horizontal="center" vertical="center" wrapText="1"/>
      <protection hidden="1"/>
    </xf>
    <xf numFmtId="175" fontId="47" fillId="53" borderId="67" xfId="1" applyNumberFormat="1" applyFont="1" applyFill="1" applyBorder="1" applyAlignment="1" applyProtection="1">
      <alignment horizontal="center" vertical="center" wrapText="1"/>
      <protection locked="0"/>
    </xf>
    <xf numFmtId="175" fontId="47" fillId="53" borderId="51" xfId="1" applyNumberFormat="1" applyFont="1" applyFill="1" applyBorder="1" applyAlignment="1" applyProtection="1">
      <alignment horizontal="center" vertical="center" wrapText="1"/>
      <protection locked="0"/>
    </xf>
    <xf numFmtId="0" fontId="0" fillId="53" borderId="6" xfId="0" applyFill="1" applyBorder="1" applyAlignment="1" applyProtection="1">
      <alignment horizontal="center"/>
      <protection locked="0"/>
    </xf>
    <xf numFmtId="175" fontId="47" fillId="53" borderId="6" xfId="1" applyNumberFormat="1" applyFont="1" applyFill="1" applyBorder="1" applyAlignment="1" applyProtection="1">
      <alignment horizontal="center" vertical="center" wrapText="1"/>
      <protection locked="0"/>
    </xf>
    <xf numFmtId="175" fontId="46" fillId="53" borderId="6" xfId="1" applyNumberFormat="1" applyFont="1" applyFill="1" applyBorder="1" applyAlignment="1" applyProtection="1">
      <alignment horizontal="center"/>
      <protection locked="0"/>
    </xf>
    <xf numFmtId="0" fontId="46" fillId="0" borderId="2" xfId="0" applyFont="1" applyBorder="1" applyAlignment="1" applyProtection="1">
      <alignment horizontal="center" vertical="center" wrapText="1"/>
      <protection hidden="1"/>
    </xf>
    <xf numFmtId="0" fontId="46" fillId="0" borderId="3" xfId="0" applyFont="1" applyBorder="1" applyAlignment="1" applyProtection="1">
      <alignment horizontal="center" vertical="center" wrapText="1"/>
      <protection hidden="1"/>
    </xf>
    <xf numFmtId="14" fontId="99" fillId="0" borderId="15" xfId="1" applyNumberFormat="1" applyFont="1" applyBorder="1" applyAlignment="1" applyProtection="1">
      <alignment horizontal="center"/>
      <protection locked="0"/>
    </xf>
    <xf numFmtId="175" fontId="99" fillId="0" borderId="6" xfId="1" applyNumberFormat="1" applyFont="1" applyFill="1" applyBorder="1" applyAlignment="1" applyProtection="1">
      <alignment horizontal="center" wrapText="1"/>
      <protection locked="0"/>
    </xf>
    <xf numFmtId="175" fontId="99" fillId="0" borderId="6" xfId="1" applyNumberFormat="1" applyFont="1" applyFill="1" applyBorder="1" applyAlignment="1" applyProtection="1">
      <alignment horizontal="center"/>
      <protection locked="0"/>
    </xf>
    <xf numFmtId="14" fontId="123" fillId="0" borderId="15" xfId="0" applyNumberFormat="1" applyFont="1" applyBorder="1" applyAlignment="1" applyProtection="1">
      <alignment horizontal="center"/>
      <protection hidden="1"/>
    </xf>
    <xf numFmtId="0" fontId="123" fillId="0" borderId="15" xfId="0" applyFont="1" applyBorder="1" applyAlignment="1" applyProtection="1">
      <alignment horizontal="center"/>
      <protection hidden="1"/>
    </xf>
    <xf numFmtId="4" fontId="117" fillId="53" borderId="18" xfId="1" applyNumberFormat="1" applyFont="1" applyFill="1" applyBorder="1" applyAlignment="1" applyProtection="1">
      <alignment horizontal="center" wrapText="1"/>
      <protection hidden="1"/>
    </xf>
    <xf numFmtId="4" fontId="117" fillId="53" borderId="1" xfId="1" applyNumberFormat="1" applyFont="1" applyFill="1" applyBorder="1" applyAlignment="1" applyProtection="1">
      <alignment horizontal="center" wrapText="1"/>
      <protection hidden="1"/>
    </xf>
    <xf numFmtId="0" fontId="117" fillId="0" borderId="0" xfId="0" applyFont="1" applyAlignment="1" applyProtection="1">
      <alignment horizontal="left" wrapText="1"/>
      <protection hidden="1"/>
    </xf>
    <xf numFmtId="0" fontId="123" fillId="0" borderId="15" xfId="0" applyFont="1" applyBorder="1" applyAlignment="1" applyProtection="1">
      <alignment horizontal="right"/>
      <protection hidden="1"/>
    </xf>
    <xf numFmtId="0" fontId="118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4" fontId="46" fillId="53" borderId="17" xfId="1" applyNumberFormat="1" applyFont="1" applyFill="1" applyBorder="1" applyAlignment="1" applyProtection="1">
      <alignment horizontal="center" wrapText="1"/>
      <protection locked="0"/>
    </xf>
    <xf numFmtId="4" fontId="46" fillId="53" borderId="6" xfId="1" applyNumberFormat="1" applyFont="1" applyFill="1" applyBorder="1" applyAlignment="1" applyProtection="1">
      <alignment horizontal="center" wrapText="1"/>
      <protection locked="0"/>
    </xf>
    <xf numFmtId="4" fontId="46" fillId="53" borderId="18" xfId="1" applyNumberFormat="1" applyFont="1" applyFill="1" applyBorder="1" applyAlignment="1" applyProtection="1">
      <alignment horizontal="center" wrapText="1"/>
      <protection locked="0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5" fillId="26" borderId="17" xfId="0" applyFont="1" applyFill="1" applyBorder="1" applyAlignment="1">
      <alignment horizontal="left" wrapText="1"/>
    </xf>
    <xf numFmtId="0" fontId="5" fillId="26" borderId="6" xfId="0" applyFont="1" applyFill="1" applyBorder="1" applyAlignment="1">
      <alignment horizontal="left" wrapText="1"/>
    </xf>
    <xf numFmtId="0" fontId="5" fillId="26" borderId="18" xfId="0" applyFont="1" applyFill="1" applyBorder="1" applyAlignment="1">
      <alignment horizontal="left" wrapText="1"/>
    </xf>
  </cellXfs>
  <cellStyles count="3975">
    <cellStyle name=" 1" xfId="3" xr:uid="{00000000-0005-0000-0000-000000000000}"/>
    <cellStyle name=" 2" xfId="4" xr:uid="{00000000-0005-0000-0000-000001000000}"/>
    <cellStyle name=" 3" xfId="5" xr:uid="{00000000-0005-0000-0000-000002000000}"/>
    <cellStyle name="%" xfId="6" xr:uid="{00000000-0005-0000-0000-000003000000}"/>
    <cellStyle name="% 2" xfId="186" xr:uid="{00000000-0005-0000-0000-000004000000}"/>
    <cellStyle name="% 2 2" xfId="210" xr:uid="{00000000-0005-0000-0000-000005000000}"/>
    <cellStyle name="% 2 3" xfId="211" xr:uid="{00000000-0005-0000-0000-000006000000}"/>
    <cellStyle name="% 2 4" xfId="212" xr:uid="{00000000-0005-0000-0000-000007000000}"/>
    <cellStyle name="% 3" xfId="213" xr:uid="{00000000-0005-0000-0000-000008000000}"/>
    <cellStyle name="% 3 2" xfId="214" xr:uid="{00000000-0005-0000-0000-000009000000}"/>
    <cellStyle name="% 4" xfId="215" xr:uid="{00000000-0005-0000-0000-00000A000000}"/>
    <cellStyle name="% 5" xfId="216" xr:uid="{00000000-0005-0000-0000-00000B000000}"/>
    <cellStyle name="% 6" xfId="217" xr:uid="{00000000-0005-0000-0000-00000C000000}"/>
    <cellStyle name="%_Appendices A C and D and MFG transitional protection -corrected on 11th January" xfId="218" xr:uid="{00000000-0005-0000-0000-00000D000000}"/>
    <cellStyle name="%_Appendices A C and D and MFG transitional protection -corrected on 11th January 2" xfId="219" xr:uid="{00000000-0005-0000-0000-00000E000000}"/>
    <cellStyle name="%_Book1" xfId="7" xr:uid="{00000000-0005-0000-0000-00000F000000}"/>
    <cellStyle name="%_DFE Contribution" xfId="220" xr:uid="{00000000-0005-0000-0000-000010000000}"/>
    <cellStyle name="%_LFF 3-4 2011.12 Indicative 26.01.2011 v2" xfId="221" xr:uid="{00000000-0005-0000-0000-000011000000}"/>
    <cellStyle name="%_mainstreaming of specific grants GM V2 25-10-10 v5" xfId="222" xr:uid="{00000000-0005-0000-0000-000012000000}"/>
    <cellStyle name="%_mainstreaming of specific grants GM V2 25-10-10 v5 2" xfId="223" xr:uid="{00000000-0005-0000-0000-000013000000}"/>
    <cellStyle name="%_mainstreaming of specific grants GM V2 25-10-10 v5_Appendices A C and D and MFG transitional protection -corrected on 11th January" xfId="224" xr:uid="{00000000-0005-0000-0000-000014000000}"/>
    <cellStyle name="%_mainstreaming of specific grants GM V2 25-10-10 v5_Appendices A C and D and MFG transitional protection -corrected on 11th January 2" xfId="225" xr:uid="{00000000-0005-0000-0000-000015000000}"/>
    <cellStyle name="%_School Contributions" xfId="226" xr:uid="{00000000-0005-0000-0000-000016000000}"/>
    <cellStyle name="]_x000d__x000a_Zoomed=1_x000d__x000a_Row=0_x000d__x000a_Column=0_x000d__x000a_Height=0_x000d__x000a_Width=0_x000d__x000a_FontName=FoxFont_x000d__x000a_FontStyle=0_x000d__x000a_FontSize=9_x000d__x000a_PrtFontName=FoxPrin" xfId="8" xr:uid="{00000000-0005-0000-0000-000017000000}"/>
    <cellStyle name="]_x000d__x000a_Zoomed=1_x000d__x000a_Row=0_x000d__x000a_Column=0_x000d__x000a_Height=0_x000d__x000a_Width=0_x000d__x000a_FontName=FoxFont_x000d__x000a_FontStyle=0_x000d__x000a_FontSize=9_x000d__x000a_PrtFontName=FoxPrin 2" xfId="9" xr:uid="{00000000-0005-0000-0000-000018000000}"/>
    <cellStyle name="]_x000d__x000a_Zoomed=1_x000d__x000a_Row=0_x000d__x000a_Column=0_x000d__x000a_Height=0_x000d__x000a_Width=0_x000d__x000a_FontName=FoxFont_x000d__x000a_FontStyle=0_x000d__x000a_FontSize=9_x000d__x000a_PrtFontName=FoxPrin 2 2" xfId="10" xr:uid="{00000000-0005-0000-0000-000019000000}"/>
    <cellStyle name="]_x000d__x000a_Zoomed=1_x000d__x000a_Row=0_x000d__x000a_Column=0_x000d__x000a_Height=0_x000d__x000a_Width=0_x000d__x000a_FontName=FoxFont_x000d__x000a_FontStyle=0_x000d__x000a_FontSize=9_x000d__x000a_PrtFontName=FoxPrin 3" xfId="11" xr:uid="{00000000-0005-0000-0000-00001A000000}"/>
    <cellStyle name="]_x000d__x000a_Zoomed=1_x000d__x000a_Row=0_x000d__x000a_Column=0_x000d__x000a_Height=0_x000d__x000a_Width=0_x000d__x000a_FontName=FoxFont_x000d__x000a_FontStyle=0_x000d__x000a_FontSize=9_x000d__x000a_PrtFontName=FoxPrin 3 2" xfId="12" xr:uid="{00000000-0005-0000-0000-00001B000000}"/>
    <cellStyle name="]_x000d__x000a_Zoomed=1_x000d__x000a_Row=0_x000d__x000a_Column=0_x000d__x000a_Height=0_x000d__x000a_Width=0_x000d__x000a_FontName=FoxFont_x000d__x000a_FontStyle=0_x000d__x000a_FontSize=9_x000d__x000a_PrtFontName=FoxPrin 3_All Schools2" xfId="13" xr:uid="{00000000-0005-0000-0000-00001C000000}"/>
    <cellStyle name="]_x000d__x000a_Zoomed=1_x000d__x000a_Row=0_x000d__x000a_Column=0_x000d__x000a_Height=0_x000d__x000a_Width=0_x000d__x000a_FontName=FoxFont_x000d__x000a_FontStyle=0_x000d__x000a_FontSize=9_x000d__x000a_PrtFontName=FoxPrin_All Schools2" xfId="14" xr:uid="{00000000-0005-0000-0000-00001D000000}"/>
    <cellStyle name="_38006 University Academy Keighley MFG Calculation" xfId="15" xr:uid="{00000000-0005-0000-0000-00001E000000}"/>
    <cellStyle name="20% - Accent1 2" xfId="16" xr:uid="{00000000-0005-0000-0000-00001F000000}"/>
    <cellStyle name="20% - Accent1 2 2" xfId="17" xr:uid="{00000000-0005-0000-0000-000020000000}"/>
    <cellStyle name="20% - Accent1 2 2 2" xfId="227" xr:uid="{00000000-0005-0000-0000-000021000000}"/>
    <cellStyle name="20% - Accent1 2 2 3" xfId="228" xr:uid="{00000000-0005-0000-0000-000022000000}"/>
    <cellStyle name="20% - Accent1 2 3" xfId="229" xr:uid="{00000000-0005-0000-0000-000023000000}"/>
    <cellStyle name="20% - Accent1 2 4" xfId="230" xr:uid="{00000000-0005-0000-0000-000024000000}"/>
    <cellStyle name="20% - Accent2 2" xfId="18" xr:uid="{00000000-0005-0000-0000-000025000000}"/>
    <cellStyle name="20% - Accent2 2 2" xfId="19" xr:uid="{00000000-0005-0000-0000-000026000000}"/>
    <cellStyle name="20% - Accent2 2 3" xfId="231" xr:uid="{00000000-0005-0000-0000-000027000000}"/>
    <cellStyle name="20% - Accent3 2" xfId="20" xr:uid="{00000000-0005-0000-0000-000028000000}"/>
    <cellStyle name="20% - Accent3 2 2" xfId="21" xr:uid="{00000000-0005-0000-0000-000029000000}"/>
    <cellStyle name="20% - Accent3 2 3" xfId="232" xr:uid="{00000000-0005-0000-0000-00002A000000}"/>
    <cellStyle name="20% - Accent4 2" xfId="22" xr:uid="{00000000-0005-0000-0000-00002B000000}"/>
    <cellStyle name="20% - Accent4 2 2" xfId="23" xr:uid="{00000000-0005-0000-0000-00002C000000}"/>
    <cellStyle name="20% - Accent4 2 3" xfId="233" xr:uid="{00000000-0005-0000-0000-00002D000000}"/>
    <cellStyle name="20% - Accent5 2" xfId="24" xr:uid="{00000000-0005-0000-0000-00002E000000}"/>
    <cellStyle name="20% - Accent5 2 2" xfId="25" xr:uid="{00000000-0005-0000-0000-00002F000000}"/>
    <cellStyle name="20% - Accent5 2 3" xfId="234" xr:uid="{00000000-0005-0000-0000-000030000000}"/>
    <cellStyle name="20% - Accent6 2" xfId="26" xr:uid="{00000000-0005-0000-0000-000031000000}"/>
    <cellStyle name="20% - Accent6 2 2" xfId="27" xr:uid="{00000000-0005-0000-0000-000032000000}"/>
    <cellStyle name="20% - Accent6 2 3" xfId="235" xr:uid="{00000000-0005-0000-0000-000033000000}"/>
    <cellStyle name="40% - Accent1 2" xfId="28" xr:uid="{00000000-0005-0000-0000-000034000000}"/>
    <cellStyle name="40% - Accent1 2 2" xfId="29" xr:uid="{00000000-0005-0000-0000-000035000000}"/>
    <cellStyle name="40% - Accent1 2 3" xfId="236" xr:uid="{00000000-0005-0000-0000-000036000000}"/>
    <cellStyle name="40% - Accent1 3" xfId="237" xr:uid="{00000000-0005-0000-0000-000037000000}"/>
    <cellStyle name="40% - Accent2 2" xfId="30" xr:uid="{00000000-0005-0000-0000-000038000000}"/>
    <cellStyle name="40% - Accent2 2 2" xfId="31" xr:uid="{00000000-0005-0000-0000-000039000000}"/>
    <cellStyle name="40% - Accent2 2 3" xfId="238" xr:uid="{00000000-0005-0000-0000-00003A000000}"/>
    <cellStyle name="40% - Accent2 3" xfId="239" xr:uid="{00000000-0005-0000-0000-00003B000000}"/>
    <cellStyle name="40% - Accent3 2" xfId="32" xr:uid="{00000000-0005-0000-0000-00003C000000}"/>
    <cellStyle name="40% - Accent3 2 2" xfId="33" xr:uid="{00000000-0005-0000-0000-00003D000000}"/>
    <cellStyle name="40% - Accent3 2 3" xfId="240" xr:uid="{00000000-0005-0000-0000-00003E000000}"/>
    <cellStyle name="40% - Accent4 2" xfId="34" xr:uid="{00000000-0005-0000-0000-00003F000000}"/>
    <cellStyle name="40% - Accent4 2 2" xfId="35" xr:uid="{00000000-0005-0000-0000-000040000000}"/>
    <cellStyle name="40% - Accent4 2 3" xfId="241" xr:uid="{00000000-0005-0000-0000-000041000000}"/>
    <cellStyle name="40% - Accent5 2" xfId="36" xr:uid="{00000000-0005-0000-0000-000042000000}"/>
    <cellStyle name="40% - Accent5 2 2" xfId="37" xr:uid="{00000000-0005-0000-0000-000043000000}"/>
    <cellStyle name="40% - Accent5 2 3" xfId="242" xr:uid="{00000000-0005-0000-0000-000044000000}"/>
    <cellStyle name="40% - Accent6 2" xfId="38" xr:uid="{00000000-0005-0000-0000-000045000000}"/>
    <cellStyle name="40% - Accent6 2 2" xfId="39" xr:uid="{00000000-0005-0000-0000-000046000000}"/>
    <cellStyle name="40% - Accent6 2 3" xfId="243" xr:uid="{00000000-0005-0000-0000-000047000000}"/>
    <cellStyle name="60% - Accent1 2" xfId="40" xr:uid="{00000000-0005-0000-0000-000048000000}"/>
    <cellStyle name="60% - Accent1 2 2" xfId="244" xr:uid="{00000000-0005-0000-0000-000049000000}"/>
    <cellStyle name="60% - Accent2 2" xfId="41" xr:uid="{00000000-0005-0000-0000-00004A000000}"/>
    <cellStyle name="60% - Accent2 2 2" xfId="245" xr:uid="{00000000-0005-0000-0000-00004B000000}"/>
    <cellStyle name="60% - Accent3 2" xfId="42" xr:uid="{00000000-0005-0000-0000-00004C000000}"/>
    <cellStyle name="60% - Accent3 2 2" xfId="246" xr:uid="{00000000-0005-0000-0000-00004D000000}"/>
    <cellStyle name="60% - Accent3 3" xfId="3970" xr:uid="{05A01E92-CE58-4CA6-8478-B2420B48C3C0}"/>
    <cellStyle name="60% - Accent4 2" xfId="43" xr:uid="{00000000-0005-0000-0000-00004E000000}"/>
    <cellStyle name="60% - Accent4 2 2" xfId="247" xr:uid="{00000000-0005-0000-0000-00004F000000}"/>
    <cellStyle name="60% - Accent5 2" xfId="44" xr:uid="{00000000-0005-0000-0000-000050000000}"/>
    <cellStyle name="60% - Accent5 2 2" xfId="248" xr:uid="{00000000-0005-0000-0000-000051000000}"/>
    <cellStyle name="60% - Accent6 2" xfId="45" xr:uid="{00000000-0005-0000-0000-000052000000}"/>
    <cellStyle name="60% - Accent6 2 2" xfId="249" xr:uid="{00000000-0005-0000-0000-000053000000}"/>
    <cellStyle name="60% - Accent6 2 3" xfId="250" xr:uid="{00000000-0005-0000-0000-000054000000}"/>
    <cellStyle name="60% - Accent6 2 4" xfId="251" xr:uid="{00000000-0005-0000-0000-000055000000}"/>
    <cellStyle name="Accent1 2" xfId="46" xr:uid="{00000000-0005-0000-0000-000056000000}"/>
    <cellStyle name="Accent1 2 2" xfId="252" xr:uid="{00000000-0005-0000-0000-000057000000}"/>
    <cellStyle name="Accent1 3" xfId="253" xr:uid="{00000000-0005-0000-0000-000058000000}"/>
    <cellStyle name="Accent2 2" xfId="47" xr:uid="{00000000-0005-0000-0000-000059000000}"/>
    <cellStyle name="Accent2 2 2" xfId="254" xr:uid="{00000000-0005-0000-0000-00005A000000}"/>
    <cellStyle name="Accent3 2" xfId="48" xr:uid="{00000000-0005-0000-0000-00005B000000}"/>
    <cellStyle name="Accent3 2 2" xfId="255" xr:uid="{00000000-0005-0000-0000-00005C000000}"/>
    <cellStyle name="Accent4 2" xfId="49" xr:uid="{00000000-0005-0000-0000-00005D000000}"/>
    <cellStyle name="Accent4 2 2" xfId="256" xr:uid="{00000000-0005-0000-0000-00005E000000}"/>
    <cellStyle name="Accent5 2" xfId="50" xr:uid="{00000000-0005-0000-0000-00005F000000}"/>
    <cellStyle name="Accent5 2 2" xfId="257" xr:uid="{00000000-0005-0000-0000-000060000000}"/>
    <cellStyle name="Accent6 2" xfId="51" xr:uid="{00000000-0005-0000-0000-000061000000}"/>
    <cellStyle name="Accent6 2 2" xfId="258" xr:uid="{00000000-0005-0000-0000-000062000000}"/>
    <cellStyle name="Bad 2" xfId="52" xr:uid="{00000000-0005-0000-0000-000063000000}"/>
    <cellStyle name="Bad 2 2" xfId="259" xr:uid="{00000000-0005-0000-0000-000064000000}"/>
    <cellStyle name="Calculation 2" xfId="53" xr:uid="{00000000-0005-0000-0000-000065000000}"/>
    <cellStyle name="Calculation 2 10" xfId="260" xr:uid="{00000000-0005-0000-0000-000066000000}"/>
    <cellStyle name="Calculation 2 10 2" xfId="261" xr:uid="{00000000-0005-0000-0000-000067000000}"/>
    <cellStyle name="Calculation 2 10 3" xfId="262" xr:uid="{00000000-0005-0000-0000-000068000000}"/>
    <cellStyle name="Calculation 2 10 4" xfId="263" xr:uid="{00000000-0005-0000-0000-000069000000}"/>
    <cellStyle name="Calculation 2 10 5" xfId="264" xr:uid="{00000000-0005-0000-0000-00006A000000}"/>
    <cellStyle name="Calculation 2 11" xfId="265" xr:uid="{00000000-0005-0000-0000-00006B000000}"/>
    <cellStyle name="Calculation 2 11 2" xfId="266" xr:uid="{00000000-0005-0000-0000-00006C000000}"/>
    <cellStyle name="Calculation 2 11 3" xfId="267" xr:uid="{00000000-0005-0000-0000-00006D000000}"/>
    <cellStyle name="Calculation 2 11 4" xfId="268" xr:uid="{00000000-0005-0000-0000-00006E000000}"/>
    <cellStyle name="Calculation 2 11 5" xfId="269" xr:uid="{00000000-0005-0000-0000-00006F000000}"/>
    <cellStyle name="Calculation 2 12" xfId="270" xr:uid="{00000000-0005-0000-0000-000070000000}"/>
    <cellStyle name="Calculation 2 12 2" xfId="271" xr:uid="{00000000-0005-0000-0000-000071000000}"/>
    <cellStyle name="Calculation 2 12 3" xfId="272" xr:uid="{00000000-0005-0000-0000-000072000000}"/>
    <cellStyle name="Calculation 2 12 4" xfId="273" xr:uid="{00000000-0005-0000-0000-000073000000}"/>
    <cellStyle name="Calculation 2 12 5" xfId="274" xr:uid="{00000000-0005-0000-0000-000074000000}"/>
    <cellStyle name="Calculation 2 13" xfId="275" xr:uid="{00000000-0005-0000-0000-000075000000}"/>
    <cellStyle name="Calculation 2 13 2" xfId="276" xr:uid="{00000000-0005-0000-0000-000076000000}"/>
    <cellStyle name="Calculation 2 13 3" xfId="277" xr:uid="{00000000-0005-0000-0000-000077000000}"/>
    <cellStyle name="Calculation 2 13 4" xfId="278" xr:uid="{00000000-0005-0000-0000-000078000000}"/>
    <cellStyle name="Calculation 2 14" xfId="279" xr:uid="{00000000-0005-0000-0000-000079000000}"/>
    <cellStyle name="Calculation 2 14 2" xfId="280" xr:uid="{00000000-0005-0000-0000-00007A000000}"/>
    <cellStyle name="Calculation 2 14 3" xfId="281" xr:uid="{00000000-0005-0000-0000-00007B000000}"/>
    <cellStyle name="Calculation 2 14 4" xfId="282" xr:uid="{00000000-0005-0000-0000-00007C000000}"/>
    <cellStyle name="Calculation 2 15" xfId="283" xr:uid="{00000000-0005-0000-0000-00007D000000}"/>
    <cellStyle name="Calculation 2 15 2" xfId="284" xr:uid="{00000000-0005-0000-0000-00007E000000}"/>
    <cellStyle name="Calculation 2 15 3" xfId="285" xr:uid="{00000000-0005-0000-0000-00007F000000}"/>
    <cellStyle name="Calculation 2 15 4" xfId="286" xr:uid="{00000000-0005-0000-0000-000080000000}"/>
    <cellStyle name="Calculation 2 16" xfId="287" xr:uid="{00000000-0005-0000-0000-000081000000}"/>
    <cellStyle name="Calculation 2 2" xfId="288" xr:uid="{00000000-0005-0000-0000-000082000000}"/>
    <cellStyle name="Calculation 2 2 10" xfId="289" xr:uid="{00000000-0005-0000-0000-000083000000}"/>
    <cellStyle name="Calculation 2 2 10 2" xfId="290" xr:uid="{00000000-0005-0000-0000-000084000000}"/>
    <cellStyle name="Calculation 2 2 10 3" xfId="291" xr:uid="{00000000-0005-0000-0000-000085000000}"/>
    <cellStyle name="Calculation 2 2 10 4" xfId="292" xr:uid="{00000000-0005-0000-0000-000086000000}"/>
    <cellStyle name="Calculation 2 2 10 5" xfId="293" xr:uid="{00000000-0005-0000-0000-000087000000}"/>
    <cellStyle name="Calculation 2 2 11" xfId="294" xr:uid="{00000000-0005-0000-0000-000088000000}"/>
    <cellStyle name="Calculation 2 2 11 2" xfId="295" xr:uid="{00000000-0005-0000-0000-000089000000}"/>
    <cellStyle name="Calculation 2 2 11 3" xfId="296" xr:uid="{00000000-0005-0000-0000-00008A000000}"/>
    <cellStyle name="Calculation 2 2 11 4" xfId="297" xr:uid="{00000000-0005-0000-0000-00008B000000}"/>
    <cellStyle name="Calculation 2 2 11 5" xfId="298" xr:uid="{00000000-0005-0000-0000-00008C000000}"/>
    <cellStyle name="Calculation 2 2 12" xfId="299" xr:uid="{00000000-0005-0000-0000-00008D000000}"/>
    <cellStyle name="Calculation 2 2 12 2" xfId="300" xr:uid="{00000000-0005-0000-0000-00008E000000}"/>
    <cellStyle name="Calculation 2 2 12 3" xfId="301" xr:uid="{00000000-0005-0000-0000-00008F000000}"/>
    <cellStyle name="Calculation 2 2 12 4" xfId="302" xr:uid="{00000000-0005-0000-0000-000090000000}"/>
    <cellStyle name="Calculation 2 2 12 5" xfId="303" xr:uid="{00000000-0005-0000-0000-000091000000}"/>
    <cellStyle name="Calculation 2 2 13" xfId="304" xr:uid="{00000000-0005-0000-0000-000092000000}"/>
    <cellStyle name="Calculation 2 2 13 2" xfId="305" xr:uid="{00000000-0005-0000-0000-000093000000}"/>
    <cellStyle name="Calculation 2 2 13 3" xfId="306" xr:uid="{00000000-0005-0000-0000-000094000000}"/>
    <cellStyle name="Calculation 2 2 13 4" xfId="307" xr:uid="{00000000-0005-0000-0000-000095000000}"/>
    <cellStyle name="Calculation 2 2 13 5" xfId="308" xr:uid="{00000000-0005-0000-0000-000096000000}"/>
    <cellStyle name="Calculation 2 2 14" xfId="309" xr:uid="{00000000-0005-0000-0000-000097000000}"/>
    <cellStyle name="Calculation 2 2 14 2" xfId="310" xr:uid="{00000000-0005-0000-0000-000098000000}"/>
    <cellStyle name="Calculation 2 2 14 3" xfId="311" xr:uid="{00000000-0005-0000-0000-000099000000}"/>
    <cellStyle name="Calculation 2 2 14 4" xfId="312" xr:uid="{00000000-0005-0000-0000-00009A000000}"/>
    <cellStyle name="Calculation 2 2 14 5" xfId="313" xr:uid="{00000000-0005-0000-0000-00009B000000}"/>
    <cellStyle name="Calculation 2 2 15" xfId="314" xr:uid="{00000000-0005-0000-0000-00009C000000}"/>
    <cellStyle name="Calculation 2 2 15 2" xfId="315" xr:uid="{00000000-0005-0000-0000-00009D000000}"/>
    <cellStyle name="Calculation 2 2 15 3" xfId="316" xr:uid="{00000000-0005-0000-0000-00009E000000}"/>
    <cellStyle name="Calculation 2 2 15 4" xfId="317" xr:uid="{00000000-0005-0000-0000-00009F000000}"/>
    <cellStyle name="Calculation 2 2 15 5" xfId="318" xr:uid="{00000000-0005-0000-0000-0000A0000000}"/>
    <cellStyle name="Calculation 2 2 16" xfId="319" xr:uid="{00000000-0005-0000-0000-0000A1000000}"/>
    <cellStyle name="Calculation 2 2 16 2" xfId="320" xr:uid="{00000000-0005-0000-0000-0000A2000000}"/>
    <cellStyle name="Calculation 2 2 16 3" xfId="321" xr:uid="{00000000-0005-0000-0000-0000A3000000}"/>
    <cellStyle name="Calculation 2 2 16 4" xfId="322" xr:uid="{00000000-0005-0000-0000-0000A4000000}"/>
    <cellStyle name="Calculation 2 2 16 5" xfId="323" xr:uid="{00000000-0005-0000-0000-0000A5000000}"/>
    <cellStyle name="Calculation 2 2 17" xfId="324" xr:uid="{00000000-0005-0000-0000-0000A6000000}"/>
    <cellStyle name="Calculation 2 2 17 2" xfId="325" xr:uid="{00000000-0005-0000-0000-0000A7000000}"/>
    <cellStyle name="Calculation 2 2 17 3" xfId="326" xr:uid="{00000000-0005-0000-0000-0000A8000000}"/>
    <cellStyle name="Calculation 2 2 17 4" xfId="327" xr:uid="{00000000-0005-0000-0000-0000A9000000}"/>
    <cellStyle name="Calculation 2 2 17 5" xfId="328" xr:uid="{00000000-0005-0000-0000-0000AA000000}"/>
    <cellStyle name="Calculation 2 2 18" xfId="329" xr:uid="{00000000-0005-0000-0000-0000AB000000}"/>
    <cellStyle name="Calculation 2 2 18 2" xfId="330" xr:uid="{00000000-0005-0000-0000-0000AC000000}"/>
    <cellStyle name="Calculation 2 2 18 3" xfId="331" xr:uid="{00000000-0005-0000-0000-0000AD000000}"/>
    <cellStyle name="Calculation 2 2 18 4" xfId="332" xr:uid="{00000000-0005-0000-0000-0000AE000000}"/>
    <cellStyle name="Calculation 2 2 18 5" xfId="333" xr:uid="{00000000-0005-0000-0000-0000AF000000}"/>
    <cellStyle name="Calculation 2 2 19" xfId="334" xr:uid="{00000000-0005-0000-0000-0000B0000000}"/>
    <cellStyle name="Calculation 2 2 19 2" xfId="335" xr:uid="{00000000-0005-0000-0000-0000B1000000}"/>
    <cellStyle name="Calculation 2 2 19 3" xfId="336" xr:uid="{00000000-0005-0000-0000-0000B2000000}"/>
    <cellStyle name="Calculation 2 2 19 4" xfId="337" xr:uid="{00000000-0005-0000-0000-0000B3000000}"/>
    <cellStyle name="Calculation 2 2 2" xfId="338" xr:uid="{00000000-0005-0000-0000-0000B4000000}"/>
    <cellStyle name="Calculation 2 2 2 2" xfId="339" xr:uid="{00000000-0005-0000-0000-0000B5000000}"/>
    <cellStyle name="Calculation 2 2 2 3" xfId="340" xr:uid="{00000000-0005-0000-0000-0000B6000000}"/>
    <cellStyle name="Calculation 2 2 2 4" xfId="341" xr:uid="{00000000-0005-0000-0000-0000B7000000}"/>
    <cellStyle name="Calculation 2 2 2 5" xfId="342" xr:uid="{00000000-0005-0000-0000-0000B8000000}"/>
    <cellStyle name="Calculation 2 2 20" xfId="343" xr:uid="{00000000-0005-0000-0000-0000B9000000}"/>
    <cellStyle name="Calculation 2 2 20 2" xfId="344" xr:uid="{00000000-0005-0000-0000-0000BA000000}"/>
    <cellStyle name="Calculation 2 2 20 3" xfId="345" xr:uid="{00000000-0005-0000-0000-0000BB000000}"/>
    <cellStyle name="Calculation 2 2 20 4" xfId="346" xr:uid="{00000000-0005-0000-0000-0000BC000000}"/>
    <cellStyle name="Calculation 2 2 21" xfId="347" xr:uid="{00000000-0005-0000-0000-0000BD000000}"/>
    <cellStyle name="Calculation 2 2 21 2" xfId="348" xr:uid="{00000000-0005-0000-0000-0000BE000000}"/>
    <cellStyle name="Calculation 2 2 21 3" xfId="349" xr:uid="{00000000-0005-0000-0000-0000BF000000}"/>
    <cellStyle name="Calculation 2 2 21 4" xfId="350" xr:uid="{00000000-0005-0000-0000-0000C0000000}"/>
    <cellStyle name="Calculation 2 2 22" xfId="351" xr:uid="{00000000-0005-0000-0000-0000C1000000}"/>
    <cellStyle name="Calculation 2 2 22 2" xfId="352" xr:uid="{00000000-0005-0000-0000-0000C2000000}"/>
    <cellStyle name="Calculation 2 2 22 3" xfId="353" xr:uid="{00000000-0005-0000-0000-0000C3000000}"/>
    <cellStyle name="Calculation 2 2 22 4" xfId="354" xr:uid="{00000000-0005-0000-0000-0000C4000000}"/>
    <cellStyle name="Calculation 2 2 23" xfId="355" xr:uid="{00000000-0005-0000-0000-0000C5000000}"/>
    <cellStyle name="Calculation 2 2 3" xfId="356" xr:uid="{00000000-0005-0000-0000-0000C6000000}"/>
    <cellStyle name="Calculation 2 2 3 2" xfId="357" xr:uid="{00000000-0005-0000-0000-0000C7000000}"/>
    <cellStyle name="Calculation 2 2 3 3" xfId="358" xr:uid="{00000000-0005-0000-0000-0000C8000000}"/>
    <cellStyle name="Calculation 2 2 3 4" xfId="359" xr:uid="{00000000-0005-0000-0000-0000C9000000}"/>
    <cellStyle name="Calculation 2 2 3 5" xfId="360" xr:uid="{00000000-0005-0000-0000-0000CA000000}"/>
    <cellStyle name="Calculation 2 2 4" xfId="361" xr:uid="{00000000-0005-0000-0000-0000CB000000}"/>
    <cellStyle name="Calculation 2 2 4 2" xfId="362" xr:uid="{00000000-0005-0000-0000-0000CC000000}"/>
    <cellStyle name="Calculation 2 2 4 3" xfId="363" xr:uid="{00000000-0005-0000-0000-0000CD000000}"/>
    <cellStyle name="Calculation 2 2 4 4" xfId="364" xr:uid="{00000000-0005-0000-0000-0000CE000000}"/>
    <cellStyle name="Calculation 2 2 4 5" xfId="365" xr:uid="{00000000-0005-0000-0000-0000CF000000}"/>
    <cellStyle name="Calculation 2 2 5" xfId="366" xr:uid="{00000000-0005-0000-0000-0000D0000000}"/>
    <cellStyle name="Calculation 2 2 5 2" xfId="367" xr:uid="{00000000-0005-0000-0000-0000D1000000}"/>
    <cellStyle name="Calculation 2 2 5 3" xfId="368" xr:uid="{00000000-0005-0000-0000-0000D2000000}"/>
    <cellStyle name="Calculation 2 2 5 4" xfId="369" xr:uid="{00000000-0005-0000-0000-0000D3000000}"/>
    <cellStyle name="Calculation 2 2 5 5" xfId="370" xr:uid="{00000000-0005-0000-0000-0000D4000000}"/>
    <cellStyle name="Calculation 2 2 6" xfId="371" xr:uid="{00000000-0005-0000-0000-0000D5000000}"/>
    <cellStyle name="Calculation 2 2 6 2" xfId="372" xr:uid="{00000000-0005-0000-0000-0000D6000000}"/>
    <cellStyle name="Calculation 2 2 6 3" xfId="373" xr:uid="{00000000-0005-0000-0000-0000D7000000}"/>
    <cellStyle name="Calculation 2 2 6 4" xfId="374" xr:uid="{00000000-0005-0000-0000-0000D8000000}"/>
    <cellStyle name="Calculation 2 2 6 5" xfId="375" xr:uid="{00000000-0005-0000-0000-0000D9000000}"/>
    <cellStyle name="Calculation 2 2 7" xfId="376" xr:uid="{00000000-0005-0000-0000-0000DA000000}"/>
    <cellStyle name="Calculation 2 2 7 2" xfId="377" xr:uid="{00000000-0005-0000-0000-0000DB000000}"/>
    <cellStyle name="Calculation 2 2 7 3" xfId="378" xr:uid="{00000000-0005-0000-0000-0000DC000000}"/>
    <cellStyle name="Calculation 2 2 7 4" xfId="379" xr:uid="{00000000-0005-0000-0000-0000DD000000}"/>
    <cellStyle name="Calculation 2 2 7 5" xfId="380" xr:uid="{00000000-0005-0000-0000-0000DE000000}"/>
    <cellStyle name="Calculation 2 2 8" xfId="381" xr:uid="{00000000-0005-0000-0000-0000DF000000}"/>
    <cellStyle name="Calculation 2 2 8 2" xfId="382" xr:uid="{00000000-0005-0000-0000-0000E0000000}"/>
    <cellStyle name="Calculation 2 2 8 3" xfId="383" xr:uid="{00000000-0005-0000-0000-0000E1000000}"/>
    <cellStyle name="Calculation 2 2 8 4" xfId="384" xr:uid="{00000000-0005-0000-0000-0000E2000000}"/>
    <cellStyle name="Calculation 2 2 8 5" xfId="385" xr:uid="{00000000-0005-0000-0000-0000E3000000}"/>
    <cellStyle name="Calculation 2 2 9" xfId="386" xr:uid="{00000000-0005-0000-0000-0000E4000000}"/>
    <cellStyle name="Calculation 2 2 9 2" xfId="387" xr:uid="{00000000-0005-0000-0000-0000E5000000}"/>
    <cellStyle name="Calculation 2 2 9 3" xfId="388" xr:uid="{00000000-0005-0000-0000-0000E6000000}"/>
    <cellStyle name="Calculation 2 2 9 4" xfId="389" xr:uid="{00000000-0005-0000-0000-0000E7000000}"/>
    <cellStyle name="Calculation 2 2 9 5" xfId="390" xr:uid="{00000000-0005-0000-0000-0000E8000000}"/>
    <cellStyle name="Calculation 2 3" xfId="391" xr:uid="{00000000-0005-0000-0000-0000E9000000}"/>
    <cellStyle name="Calculation 2 3 10" xfId="392" xr:uid="{00000000-0005-0000-0000-0000EA000000}"/>
    <cellStyle name="Calculation 2 3 10 2" xfId="393" xr:uid="{00000000-0005-0000-0000-0000EB000000}"/>
    <cellStyle name="Calculation 2 3 10 3" xfId="394" xr:uid="{00000000-0005-0000-0000-0000EC000000}"/>
    <cellStyle name="Calculation 2 3 10 4" xfId="395" xr:uid="{00000000-0005-0000-0000-0000ED000000}"/>
    <cellStyle name="Calculation 2 3 10 5" xfId="396" xr:uid="{00000000-0005-0000-0000-0000EE000000}"/>
    <cellStyle name="Calculation 2 3 11" xfId="397" xr:uid="{00000000-0005-0000-0000-0000EF000000}"/>
    <cellStyle name="Calculation 2 3 11 2" xfId="398" xr:uid="{00000000-0005-0000-0000-0000F0000000}"/>
    <cellStyle name="Calculation 2 3 11 3" xfId="399" xr:uid="{00000000-0005-0000-0000-0000F1000000}"/>
    <cellStyle name="Calculation 2 3 11 4" xfId="400" xr:uid="{00000000-0005-0000-0000-0000F2000000}"/>
    <cellStyle name="Calculation 2 3 11 5" xfId="401" xr:uid="{00000000-0005-0000-0000-0000F3000000}"/>
    <cellStyle name="Calculation 2 3 12" xfId="402" xr:uid="{00000000-0005-0000-0000-0000F4000000}"/>
    <cellStyle name="Calculation 2 3 12 2" xfId="403" xr:uid="{00000000-0005-0000-0000-0000F5000000}"/>
    <cellStyle name="Calculation 2 3 12 3" xfId="404" xr:uid="{00000000-0005-0000-0000-0000F6000000}"/>
    <cellStyle name="Calculation 2 3 12 4" xfId="405" xr:uid="{00000000-0005-0000-0000-0000F7000000}"/>
    <cellStyle name="Calculation 2 3 12 5" xfId="406" xr:uid="{00000000-0005-0000-0000-0000F8000000}"/>
    <cellStyle name="Calculation 2 3 13" xfId="407" xr:uid="{00000000-0005-0000-0000-0000F9000000}"/>
    <cellStyle name="Calculation 2 3 13 2" xfId="408" xr:uid="{00000000-0005-0000-0000-0000FA000000}"/>
    <cellStyle name="Calculation 2 3 13 3" xfId="409" xr:uid="{00000000-0005-0000-0000-0000FB000000}"/>
    <cellStyle name="Calculation 2 3 13 4" xfId="410" xr:uid="{00000000-0005-0000-0000-0000FC000000}"/>
    <cellStyle name="Calculation 2 3 13 5" xfId="411" xr:uid="{00000000-0005-0000-0000-0000FD000000}"/>
    <cellStyle name="Calculation 2 3 14" xfId="412" xr:uid="{00000000-0005-0000-0000-0000FE000000}"/>
    <cellStyle name="Calculation 2 3 14 2" xfId="413" xr:uid="{00000000-0005-0000-0000-0000FF000000}"/>
    <cellStyle name="Calculation 2 3 14 3" xfId="414" xr:uid="{00000000-0005-0000-0000-000000010000}"/>
    <cellStyle name="Calculation 2 3 14 4" xfId="415" xr:uid="{00000000-0005-0000-0000-000001010000}"/>
    <cellStyle name="Calculation 2 3 14 5" xfId="416" xr:uid="{00000000-0005-0000-0000-000002010000}"/>
    <cellStyle name="Calculation 2 3 15" xfId="417" xr:uid="{00000000-0005-0000-0000-000003010000}"/>
    <cellStyle name="Calculation 2 3 15 2" xfId="418" xr:uid="{00000000-0005-0000-0000-000004010000}"/>
    <cellStyle name="Calculation 2 3 15 3" xfId="419" xr:uid="{00000000-0005-0000-0000-000005010000}"/>
    <cellStyle name="Calculation 2 3 15 4" xfId="420" xr:uid="{00000000-0005-0000-0000-000006010000}"/>
    <cellStyle name="Calculation 2 3 15 5" xfId="421" xr:uid="{00000000-0005-0000-0000-000007010000}"/>
    <cellStyle name="Calculation 2 3 16" xfId="422" xr:uid="{00000000-0005-0000-0000-000008010000}"/>
    <cellStyle name="Calculation 2 3 16 2" xfId="423" xr:uid="{00000000-0005-0000-0000-000009010000}"/>
    <cellStyle name="Calculation 2 3 16 3" xfId="424" xr:uid="{00000000-0005-0000-0000-00000A010000}"/>
    <cellStyle name="Calculation 2 3 16 4" xfId="425" xr:uid="{00000000-0005-0000-0000-00000B010000}"/>
    <cellStyle name="Calculation 2 3 16 5" xfId="426" xr:uid="{00000000-0005-0000-0000-00000C010000}"/>
    <cellStyle name="Calculation 2 3 17" xfId="427" xr:uid="{00000000-0005-0000-0000-00000D010000}"/>
    <cellStyle name="Calculation 2 3 17 2" xfId="428" xr:uid="{00000000-0005-0000-0000-00000E010000}"/>
    <cellStyle name="Calculation 2 3 17 3" xfId="429" xr:uid="{00000000-0005-0000-0000-00000F010000}"/>
    <cellStyle name="Calculation 2 3 17 4" xfId="430" xr:uid="{00000000-0005-0000-0000-000010010000}"/>
    <cellStyle name="Calculation 2 3 17 5" xfId="431" xr:uid="{00000000-0005-0000-0000-000011010000}"/>
    <cellStyle name="Calculation 2 3 18" xfId="432" xr:uid="{00000000-0005-0000-0000-000012010000}"/>
    <cellStyle name="Calculation 2 3 18 2" xfId="433" xr:uid="{00000000-0005-0000-0000-000013010000}"/>
    <cellStyle name="Calculation 2 3 18 3" xfId="434" xr:uid="{00000000-0005-0000-0000-000014010000}"/>
    <cellStyle name="Calculation 2 3 18 4" xfId="435" xr:uid="{00000000-0005-0000-0000-000015010000}"/>
    <cellStyle name="Calculation 2 3 18 5" xfId="436" xr:uid="{00000000-0005-0000-0000-000016010000}"/>
    <cellStyle name="Calculation 2 3 19" xfId="437" xr:uid="{00000000-0005-0000-0000-000017010000}"/>
    <cellStyle name="Calculation 2 3 19 2" xfId="438" xr:uid="{00000000-0005-0000-0000-000018010000}"/>
    <cellStyle name="Calculation 2 3 19 3" xfId="439" xr:uid="{00000000-0005-0000-0000-000019010000}"/>
    <cellStyle name="Calculation 2 3 19 4" xfId="440" xr:uid="{00000000-0005-0000-0000-00001A010000}"/>
    <cellStyle name="Calculation 2 3 2" xfId="441" xr:uid="{00000000-0005-0000-0000-00001B010000}"/>
    <cellStyle name="Calculation 2 3 2 2" xfId="442" xr:uid="{00000000-0005-0000-0000-00001C010000}"/>
    <cellStyle name="Calculation 2 3 2 3" xfId="443" xr:uid="{00000000-0005-0000-0000-00001D010000}"/>
    <cellStyle name="Calculation 2 3 2 4" xfId="444" xr:uid="{00000000-0005-0000-0000-00001E010000}"/>
    <cellStyle name="Calculation 2 3 2 5" xfId="445" xr:uid="{00000000-0005-0000-0000-00001F010000}"/>
    <cellStyle name="Calculation 2 3 20" xfId="446" xr:uid="{00000000-0005-0000-0000-000020010000}"/>
    <cellStyle name="Calculation 2 3 20 2" xfId="447" xr:uid="{00000000-0005-0000-0000-000021010000}"/>
    <cellStyle name="Calculation 2 3 20 3" xfId="448" xr:uid="{00000000-0005-0000-0000-000022010000}"/>
    <cellStyle name="Calculation 2 3 20 4" xfId="449" xr:uid="{00000000-0005-0000-0000-000023010000}"/>
    <cellStyle name="Calculation 2 3 21" xfId="450" xr:uid="{00000000-0005-0000-0000-000024010000}"/>
    <cellStyle name="Calculation 2 3 21 2" xfId="451" xr:uid="{00000000-0005-0000-0000-000025010000}"/>
    <cellStyle name="Calculation 2 3 21 3" xfId="452" xr:uid="{00000000-0005-0000-0000-000026010000}"/>
    <cellStyle name="Calculation 2 3 21 4" xfId="453" xr:uid="{00000000-0005-0000-0000-000027010000}"/>
    <cellStyle name="Calculation 2 3 22" xfId="454" xr:uid="{00000000-0005-0000-0000-000028010000}"/>
    <cellStyle name="Calculation 2 3 22 2" xfId="455" xr:uid="{00000000-0005-0000-0000-000029010000}"/>
    <cellStyle name="Calculation 2 3 22 3" xfId="456" xr:uid="{00000000-0005-0000-0000-00002A010000}"/>
    <cellStyle name="Calculation 2 3 22 4" xfId="457" xr:uid="{00000000-0005-0000-0000-00002B010000}"/>
    <cellStyle name="Calculation 2 3 23" xfId="458" xr:uid="{00000000-0005-0000-0000-00002C010000}"/>
    <cellStyle name="Calculation 2 3 3" xfId="459" xr:uid="{00000000-0005-0000-0000-00002D010000}"/>
    <cellStyle name="Calculation 2 3 3 2" xfId="460" xr:uid="{00000000-0005-0000-0000-00002E010000}"/>
    <cellStyle name="Calculation 2 3 3 3" xfId="461" xr:uid="{00000000-0005-0000-0000-00002F010000}"/>
    <cellStyle name="Calculation 2 3 3 4" xfId="462" xr:uid="{00000000-0005-0000-0000-000030010000}"/>
    <cellStyle name="Calculation 2 3 3 5" xfId="463" xr:uid="{00000000-0005-0000-0000-000031010000}"/>
    <cellStyle name="Calculation 2 3 4" xfId="464" xr:uid="{00000000-0005-0000-0000-000032010000}"/>
    <cellStyle name="Calculation 2 3 4 2" xfId="465" xr:uid="{00000000-0005-0000-0000-000033010000}"/>
    <cellStyle name="Calculation 2 3 4 3" xfId="466" xr:uid="{00000000-0005-0000-0000-000034010000}"/>
    <cellStyle name="Calculation 2 3 4 4" xfId="467" xr:uid="{00000000-0005-0000-0000-000035010000}"/>
    <cellStyle name="Calculation 2 3 4 5" xfId="468" xr:uid="{00000000-0005-0000-0000-000036010000}"/>
    <cellStyle name="Calculation 2 3 5" xfId="469" xr:uid="{00000000-0005-0000-0000-000037010000}"/>
    <cellStyle name="Calculation 2 3 5 2" xfId="470" xr:uid="{00000000-0005-0000-0000-000038010000}"/>
    <cellStyle name="Calculation 2 3 5 3" xfId="471" xr:uid="{00000000-0005-0000-0000-000039010000}"/>
    <cellStyle name="Calculation 2 3 5 4" xfId="472" xr:uid="{00000000-0005-0000-0000-00003A010000}"/>
    <cellStyle name="Calculation 2 3 5 5" xfId="473" xr:uid="{00000000-0005-0000-0000-00003B010000}"/>
    <cellStyle name="Calculation 2 3 6" xfId="474" xr:uid="{00000000-0005-0000-0000-00003C010000}"/>
    <cellStyle name="Calculation 2 3 6 2" xfId="475" xr:uid="{00000000-0005-0000-0000-00003D010000}"/>
    <cellStyle name="Calculation 2 3 6 3" xfId="476" xr:uid="{00000000-0005-0000-0000-00003E010000}"/>
    <cellStyle name="Calculation 2 3 6 4" xfId="477" xr:uid="{00000000-0005-0000-0000-00003F010000}"/>
    <cellStyle name="Calculation 2 3 6 5" xfId="478" xr:uid="{00000000-0005-0000-0000-000040010000}"/>
    <cellStyle name="Calculation 2 3 7" xfId="479" xr:uid="{00000000-0005-0000-0000-000041010000}"/>
    <cellStyle name="Calculation 2 3 7 2" xfId="480" xr:uid="{00000000-0005-0000-0000-000042010000}"/>
    <cellStyle name="Calculation 2 3 7 3" xfId="481" xr:uid="{00000000-0005-0000-0000-000043010000}"/>
    <cellStyle name="Calculation 2 3 7 4" xfId="482" xr:uid="{00000000-0005-0000-0000-000044010000}"/>
    <cellStyle name="Calculation 2 3 7 5" xfId="483" xr:uid="{00000000-0005-0000-0000-000045010000}"/>
    <cellStyle name="Calculation 2 3 8" xfId="484" xr:uid="{00000000-0005-0000-0000-000046010000}"/>
    <cellStyle name="Calculation 2 3 8 2" xfId="485" xr:uid="{00000000-0005-0000-0000-000047010000}"/>
    <cellStyle name="Calculation 2 3 8 3" xfId="486" xr:uid="{00000000-0005-0000-0000-000048010000}"/>
    <cellStyle name="Calculation 2 3 8 4" xfId="487" xr:uid="{00000000-0005-0000-0000-000049010000}"/>
    <cellStyle name="Calculation 2 3 8 5" xfId="488" xr:uid="{00000000-0005-0000-0000-00004A010000}"/>
    <cellStyle name="Calculation 2 3 9" xfId="489" xr:uid="{00000000-0005-0000-0000-00004B010000}"/>
    <cellStyle name="Calculation 2 3 9 2" xfId="490" xr:uid="{00000000-0005-0000-0000-00004C010000}"/>
    <cellStyle name="Calculation 2 3 9 3" xfId="491" xr:uid="{00000000-0005-0000-0000-00004D010000}"/>
    <cellStyle name="Calculation 2 3 9 4" xfId="492" xr:uid="{00000000-0005-0000-0000-00004E010000}"/>
    <cellStyle name="Calculation 2 3 9 5" xfId="493" xr:uid="{00000000-0005-0000-0000-00004F010000}"/>
    <cellStyle name="Calculation 2 4" xfId="494" xr:uid="{00000000-0005-0000-0000-000050010000}"/>
    <cellStyle name="Calculation 2 4 10" xfId="495" xr:uid="{00000000-0005-0000-0000-000051010000}"/>
    <cellStyle name="Calculation 2 4 10 2" xfId="496" xr:uid="{00000000-0005-0000-0000-000052010000}"/>
    <cellStyle name="Calculation 2 4 10 3" xfId="497" xr:uid="{00000000-0005-0000-0000-000053010000}"/>
    <cellStyle name="Calculation 2 4 10 4" xfId="498" xr:uid="{00000000-0005-0000-0000-000054010000}"/>
    <cellStyle name="Calculation 2 4 10 5" xfId="499" xr:uid="{00000000-0005-0000-0000-000055010000}"/>
    <cellStyle name="Calculation 2 4 11" xfId="500" xr:uid="{00000000-0005-0000-0000-000056010000}"/>
    <cellStyle name="Calculation 2 4 11 2" xfId="501" xr:uid="{00000000-0005-0000-0000-000057010000}"/>
    <cellStyle name="Calculation 2 4 11 3" xfId="502" xr:uid="{00000000-0005-0000-0000-000058010000}"/>
    <cellStyle name="Calculation 2 4 11 4" xfId="503" xr:uid="{00000000-0005-0000-0000-000059010000}"/>
    <cellStyle name="Calculation 2 4 11 5" xfId="504" xr:uid="{00000000-0005-0000-0000-00005A010000}"/>
    <cellStyle name="Calculation 2 4 12" xfId="505" xr:uid="{00000000-0005-0000-0000-00005B010000}"/>
    <cellStyle name="Calculation 2 4 12 2" xfId="506" xr:uid="{00000000-0005-0000-0000-00005C010000}"/>
    <cellStyle name="Calculation 2 4 12 3" xfId="507" xr:uid="{00000000-0005-0000-0000-00005D010000}"/>
    <cellStyle name="Calculation 2 4 12 4" xfId="508" xr:uid="{00000000-0005-0000-0000-00005E010000}"/>
    <cellStyle name="Calculation 2 4 12 5" xfId="509" xr:uid="{00000000-0005-0000-0000-00005F010000}"/>
    <cellStyle name="Calculation 2 4 13" xfId="510" xr:uid="{00000000-0005-0000-0000-000060010000}"/>
    <cellStyle name="Calculation 2 4 13 2" xfId="511" xr:uid="{00000000-0005-0000-0000-000061010000}"/>
    <cellStyle name="Calculation 2 4 13 3" xfId="512" xr:uid="{00000000-0005-0000-0000-000062010000}"/>
    <cellStyle name="Calculation 2 4 13 4" xfId="513" xr:uid="{00000000-0005-0000-0000-000063010000}"/>
    <cellStyle name="Calculation 2 4 13 5" xfId="514" xr:uid="{00000000-0005-0000-0000-000064010000}"/>
    <cellStyle name="Calculation 2 4 14" xfId="515" xr:uid="{00000000-0005-0000-0000-000065010000}"/>
    <cellStyle name="Calculation 2 4 14 2" xfId="516" xr:uid="{00000000-0005-0000-0000-000066010000}"/>
    <cellStyle name="Calculation 2 4 14 3" xfId="517" xr:uid="{00000000-0005-0000-0000-000067010000}"/>
    <cellStyle name="Calculation 2 4 14 4" xfId="518" xr:uid="{00000000-0005-0000-0000-000068010000}"/>
    <cellStyle name="Calculation 2 4 14 5" xfId="519" xr:uid="{00000000-0005-0000-0000-000069010000}"/>
    <cellStyle name="Calculation 2 4 15" xfId="520" xr:uid="{00000000-0005-0000-0000-00006A010000}"/>
    <cellStyle name="Calculation 2 4 15 2" xfId="521" xr:uid="{00000000-0005-0000-0000-00006B010000}"/>
    <cellStyle name="Calculation 2 4 15 3" xfId="522" xr:uid="{00000000-0005-0000-0000-00006C010000}"/>
    <cellStyle name="Calculation 2 4 15 4" xfId="523" xr:uid="{00000000-0005-0000-0000-00006D010000}"/>
    <cellStyle name="Calculation 2 4 15 5" xfId="524" xr:uid="{00000000-0005-0000-0000-00006E010000}"/>
    <cellStyle name="Calculation 2 4 16" xfId="525" xr:uid="{00000000-0005-0000-0000-00006F010000}"/>
    <cellStyle name="Calculation 2 4 16 2" xfId="526" xr:uid="{00000000-0005-0000-0000-000070010000}"/>
    <cellStyle name="Calculation 2 4 16 3" xfId="527" xr:uid="{00000000-0005-0000-0000-000071010000}"/>
    <cellStyle name="Calculation 2 4 16 4" xfId="528" xr:uid="{00000000-0005-0000-0000-000072010000}"/>
    <cellStyle name="Calculation 2 4 16 5" xfId="529" xr:uid="{00000000-0005-0000-0000-000073010000}"/>
    <cellStyle name="Calculation 2 4 17" xfId="530" xr:uid="{00000000-0005-0000-0000-000074010000}"/>
    <cellStyle name="Calculation 2 4 17 2" xfId="531" xr:uid="{00000000-0005-0000-0000-000075010000}"/>
    <cellStyle name="Calculation 2 4 17 3" xfId="532" xr:uid="{00000000-0005-0000-0000-000076010000}"/>
    <cellStyle name="Calculation 2 4 17 4" xfId="533" xr:uid="{00000000-0005-0000-0000-000077010000}"/>
    <cellStyle name="Calculation 2 4 17 5" xfId="534" xr:uid="{00000000-0005-0000-0000-000078010000}"/>
    <cellStyle name="Calculation 2 4 18" xfId="535" xr:uid="{00000000-0005-0000-0000-000079010000}"/>
    <cellStyle name="Calculation 2 4 18 2" xfId="536" xr:uid="{00000000-0005-0000-0000-00007A010000}"/>
    <cellStyle name="Calculation 2 4 18 3" xfId="537" xr:uid="{00000000-0005-0000-0000-00007B010000}"/>
    <cellStyle name="Calculation 2 4 18 4" xfId="538" xr:uid="{00000000-0005-0000-0000-00007C010000}"/>
    <cellStyle name="Calculation 2 4 18 5" xfId="539" xr:uid="{00000000-0005-0000-0000-00007D010000}"/>
    <cellStyle name="Calculation 2 4 19" xfId="540" xr:uid="{00000000-0005-0000-0000-00007E010000}"/>
    <cellStyle name="Calculation 2 4 19 2" xfId="541" xr:uid="{00000000-0005-0000-0000-00007F010000}"/>
    <cellStyle name="Calculation 2 4 19 3" xfId="542" xr:uid="{00000000-0005-0000-0000-000080010000}"/>
    <cellStyle name="Calculation 2 4 19 4" xfId="543" xr:uid="{00000000-0005-0000-0000-000081010000}"/>
    <cellStyle name="Calculation 2 4 2" xfId="544" xr:uid="{00000000-0005-0000-0000-000082010000}"/>
    <cellStyle name="Calculation 2 4 2 2" xfId="545" xr:uid="{00000000-0005-0000-0000-000083010000}"/>
    <cellStyle name="Calculation 2 4 2 3" xfId="546" xr:uid="{00000000-0005-0000-0000-000084010000}"/>
    <cellStyle name="Calculation 2 4 2 4" xfId="547" xr:uid="{00000000-0005-0000-0000-000085010000}"/>
    <cellStyle name="Calculation 2 4 2 5" xfId="548" xr:uid="{00000000-0005-0000-0000-000086010000}"/>
    <cellStyle name="Calculation 2 4 20" xfId="549" xr:uid="{00000000-0005-0000-0000-000087010000}"/>
    <cellStyle name="Calculation 2 4 20 2" xfId="550" xr:uid="{00000000-0005-0000-0000-000088010000}"/>
    <cellStyle name="Calculation 2 4 20 3" xfId="551" xr:uid="{00000000-0005-0000-0000-000089010000}"/>
    <cellStyle name="Calculation 2 4 20 4" xfId="552" xr:uid="{00000000-0005-0000-0000-00008A010000}"/>
    <cellStyle name="Calculation 2 4 21" xfId="553" xr:uid="{00000000-0005-0000-0000-00008B010000}"/>
    <cellStyle name="Calculation 2 4 21 2" xfId="554" xr:uid="{00000000-0005-0000-0000-00008C010000}"/>
    <cellStyle name="Calculation 2 4 21 3" xfId="555" xr:uid="{00000000-0005-0000-0000-00008D010000}"/>
    <cellStyle name="Calculation 2 4 21 4" xfId="556" xr:uid="{00000000-0005-0000-0000-00008E010000}"/>
    <cellStyle name="Calculation 2 4 22" xfId="557" xr:uid="{00000000-0005-0000-0000-00008F010000}"/>
    <cellStyle name="Calculation 2 4 22 2" xfId="558" xr:uid="{00000000-0005-0000-0000-000090010000}"/>
    <cellStyle name="Calculation 2 4 22 3" xfId="559" xr:uid="{00000000-0005-0000-0000-000091010000}"/>
    <cellStyle name="Calculation 2 4 22 4" xfId="560" xr:uid="{00000000-0005-0000-0000-000092010000}"/>
    <cellStyle name="Calculation 2 4 23" xfId="561" xr:uid="{00000000-0005-0000-0000-000093010000}"/>
    <cellStyle name="Calculation 2 4 3" xfId="562" xr:uid="{00000000-0005-0000-0000-000094010000}"/>
    <cellStyle name="Calculation 2 4 3 2" xfId="563" xr:uid="{00000000-0005-0000-0000-000095010000}"/>
    <cellStyle name="Calculation 2 4 3 3" xfId="564" xr:uid="{00000000-0005-0000-0000-000096010000}"/>
    <cellStyle name="Calculation 2 4 3 4" xfId="565" xr:uid="{00000000-0005-0000-0000-000097010000}"/>
    <cellStyle name="Calculation 2 4 3 5" xfId="566" xr:uid="{00000000-0005-0000-0000-000098010000}"/>
    <cellStyle name="Calculation 2 4 4" xfId="567" xr:uid="{00000000-0005-0000-0000-000099010000}"/>
    <cellStyle name="Calculation 2 4 4 2" xfId="568" xr:uid="{00000000-0005-0000-0000-00009A010000}"/>
    <cellStyle name="Calculation 2 4 4 3" xfId="569" xr:uid="{00000000-0005-0000-0000-00009B010000}"/>
    <cellStyle name="Calculation 2 4 4 4" xfId="570" xr:uid="{00000000-0005-0000-0000-00009C010000}"/>
    <cellStyle name="Calculation 2 4 4 5" xfId="571" xr:uid="{00000000-0005-0000-0000-00009D010000}"/>
    <cellStyle name="Calculation 2 4 5" xfId="572" xr:uid="{00000000-0005-0000-0000-00009E010000}"/>
    <cellStyle name="Calculation 2 4 5 2" xfId="573" xr:uid="{00000000-0005-0000-0000-00009F010000}"/>
    <cellStyle name="Calculation 2 4 5 3" xfId="574" xr:uid="{00000000-0005-0000-0000-0000A0010000}"/>
    <cellStyle name="Calculation 2 4 5 4" xfId="575" xr:uid="{00000000-0005-0000-0000-0000A1010000}"/>
    <cellStyle name="Calculation 2 4 5 5" xfId="576" xr:uid="{00000000-0005-0000-0000-0000A2010000}"/>
    <cellStyle name="Calculation 2 4 6" xfId="577" xr:uid="{00000000-0005-0000-0000-0000A3010000}"/>
    <cellStyle name="Calculation 2 4 6 2" xfId="578" xr:uid="{00000000-0005-0000-0000-0000A4010000}"/>
    <cellStyle name="Calculation 2 4 6 3" xfId="579" xr:uid="{00000000-0005-0000-0000-0000A5010000}"/>
    <cellStyle name="Calculation 2 4 6 4" xfId="580" xr:uid="{00000000-0005-0000-0000-0000A6010000}"/>
    <cellStyle name="Calculation 2 4 6 5" xfId="581" xr:uid="{00000000-0005-0000-0000-0000A7010000}"/>
    <cellStyle name="Calculation 2 4 7" xfId="582" xr:uid="{00000000-0005-0000-0000-0000A8010000}"/>
    <cellStyle name="Calculation 2 4 7 2" xfId="583" xr:uid="{00000000-0005-0000-0000-0000A9010000}"/>
    <cellStyle name="Calculation 2 4 7 3" xfId="584" xr:uid="{00000000-0005-0000-0000-0000AA010000}"/>
    <cellStyle name="Calculation 2 4 7 4" xfId="585" xr:uid="{00000000-0005-0000-0000-0000AB010000}"/>
    <cellStyle name="Calculation 2 4 7 5" xfId="586" xr:uid="{00000000-0005-0000-0000-0000AC010000}"/>
    <cellStyle name="Calculation 2 4 8" xfId="587" xr:uid="{00000000-0005-0000-0000-0000AD010000}"/>
    <cellStyle name="Calculation 2 4 8 2" xfId="588" xr:uid="{00000000-0005-0000-0000-0000AE010000}"/>
    <cellStyle name="Calculation 2 4 8 3" xfId="589" xr:uid="{00000000-0005-0000-0000-0000AF010000}"/>
    <cellStyle name="Calculation 2 4 8 4" xfId="590" xr:uid="{00000000-0005-0000-0000-0000B0010000}"/>
    <cellStyle name="Calculation 2 4 8 5" xfId="591" xr:uid="{00000000-0005-0000-0000-0000B1010000}"/>
    <cellStyle name="Calculation 2 4 9" xfId="592" xr:uid="{00000000-0005-0000-0000-0000B2010000}"/>
    <cellStyle name="Calculation 2 4 9 2" xfId="593" xr:uid="{00000000-0005-0000-0000-0000B3010000}"/>
    <cellStyle name="Calculation 2 4 9 3" xfId="594" xr:uid="{00000000-0005-0000-0000-0000B4010000}"/>
    <cellStyle name="Calculation 2 4 9 4" xfId="595" xr:uid="{00000000-0005-0000-0000-0000B5010000}"/>
    <cellStyle name="Calculation 2 4 9 5" xfId="596" xr:uid="{00000000-0005-0000-0000-0000B6010000}"/>
    <cellStyle name="Calculation 2 5" xfId="597" xr:uid="{00000000-0005-0000-0000-0000B7010000}"/>
    <cellStyle name="Calculation 2 5 10" xfId="598" xr:uid="{00000000-0005-0000-0000-0000B8010000}"/>
    <cellStyle name="Calculation 2 5 10 2" xfId="599" xr:uid="{00000000-0005-0000-0000-0000B9010000}"/>
    <cellStyle name="Calculation 2 5 10 3" xfId="600" xr:uid="{00000000-0005-0000-0000-0000BA010000}"/>
    <cellStyle name="Calculation 2 5 10 4" xfId="601" xr:uid="{00000000-0005-0000-0000-0000BB010000}"/>
    <cellStyle name="Calculation 2 5 10 5" xfId="602" xr:uid="{00000000-0005-0000-0000-0000BC010000}"/>
    <cellStyle name="Calculation 2 5 11" xfId="603" xr:uid="{00000000-0005-0000-0000-0000BD010000}"/>
    <cellStyle name="Calculation 2 5 11 2" xfId="604" xr:uid="{00000000-0005-0000-0000-0000BE010000}"/>
    <cellStyle name="Calculation 2 5 11 3" xfId="605" xr:uid="{00000000-0005-0000-0000-0000BF010000}"/>
    <cellStyle name="Calculation 2 5 11 4" xfId="606" xr:uid="{00000000-0005-0000-0000-0000C0010000}"/>
    <cellStyle name="Calculation 2 5 11 5" xfId="607" xr:uid="{00000000-0005-0000-0000-0000C1010000}"/>
    <cellStyle name="Calculation 2 5 12" xfId="608" xr:uid="{00000000-0005-0000-0000-0000C2010000}"/>
    <cellStyle name="Calculation 2 5 12 2" xfId="609" xr:uid="{00000000-0005-0000-0000-0000C3010000}"/>
    <cellStyle name="Calculation 2 5 12 3" xfId="610" xr:uid="{00000000-0005-0000-0000-0000C4010000}"/>
    <cellStyle name="Calculation 2 5 12 4" xfId="611" xr:uid="{00000000-0005-0000-0000-0000C5010000}"/>
    <cellStyle name="Calculation 2 5 12 5" xfId="612" xr:uid="{00000000-0005-0000-0000-0000C6010000}"/>
    <cellStyle name="Calculation 2 5 13" xfId="613" xr:uid="{00000000-0005-0000-0000-0000C7010000}"/>
    <cellStyle name="Calculation 2 5 13 2" xfId="614" xr:uid="{00000000-0005-0000-0000-0000C8010000}"/>
    <cellStyle name="Calculation 2 5 13 3" xfId="615" xr:uid="{00000000-0005-0000-0000-0000C9010000}"/>
    <cellStyle name="Calculation 2 5 13 4" xfId="616" xr:uid="{00000000-0005-0000-0000-0000CA010000}"/>
    <cellStyle name="Calculation 2 5 13 5" xfId="617" xr:uid="{00000000-0005-0000-0000-0000CB010000}"/>
    <cellStyle name="Calculation 2 5 14" xfId="618" xr:uid="{00000000-0005-0000-0000-0000CC010000}"/>
    <cellStyle name="Calculation 2 5 14 2" xfId="619" xr:uid="{00000000-0005-0000-0000-0000CD010000}"/>
    <cellStyle name="Calculation 2 5 14 3" xfId="620" xr:uid="{00000000-0005-0000-0000-0000CE010000}"/>
    <cellStyle name="Calculation 2 5 14 4" xfId="621" xr:uid="{00000000-0005-0000-0000-0000CF010000}"/>
    <cellStyle name="Calculation 2 5 14 5" xfId="622" xr:uid="{00000000-0005-0000-0000-0000D0010000}"/>
    <cellStyle name="Calculation 2 5 15" xfId="623" xr:uid="{00000000-0005-0000-0000-0000D1010000}"/>
    <cellStyle name="Calculation 2 5 15 2" xfId="624" xr:uid="{00000000-0005-0000-0000-0000D2010000}"/>
    <cellStyle name="Calculation 2 5 15 3" xfId="625" xr:uid="{00000000-0005-0000-0000-0000D3010000}"/>
    <cellStyle name="Calculation 2 5 15 4" xfId="626" xr:uid="{00000000-0005-0000-0000-0000D4010000}"/>
    <cellStyle name="Calculation 2 5 15 5" xfId="627" xr:uid="{00000000-0005-0000-0000-0000D5010000}"/>
    <cellStyle name="Calculation 2 5 16" xfId="628" xr:uid="{00000000-0005-0000-0000-0000D6010000}"/>
    <cellStyle name="Calculation 2 5 16 2" xfId="629" xr:uid="{00000000-0005-0000-0000-0000D7010000}"/>
    <cellStyle name="Calculation 2 5 16 3" xfId="630" xr:uid="{00000000-0005-0000-0000-0000D8010000}"/>
    <cellStyle name="Calculation 2 5 16 4" xfId="631" xr:uid="{00000000-0005-0000-0000-0000D9010000}"/>
    <cellStyle name="Calculation 2 5 16 5" xfId="632" xr:uid="{00000000-0005-0000-0000-0000DA010000}"/>
    <cellStyle name="Calculation 2 5 17" xfId="633" xr:uid="{00000000-0005-0000-0000-0000DB010000}"/>
    <cellStyle name="Calculation 2 5 17 2" xfId="634" xr:uid="{00000000-0005-0000-0000-0000DC010000}"/>
    <cellStyle name="Calculation 2 5 17 3" xfId="635" xr:uid="{00000000-0005-0000-0000-0000DD010000}"/>
    <cellStyle name="Calculation 2 5 17 4" xfId="636" xr:uid="{00000000-0005-0000-0000-0000DE010000}"/>
    <cellStyle name="Calculation 2 5 17 5" xfId="637" xr:uid="{00000000-0005-0000-0000-0000DF010000}"/>
    <cellStyle name="Calculation 2 5 18" xfId="638" xr:uid="{00000000-0005-0000-0000-0000E0010000}"/>
    <cellStyle name="Calculation 2 5 18 2" xfId="639" xr:uid="{00000000-0005-0000-0000-0000E1010000}"/>
    <cellStyle name="Calculation 2 5 18 3" xfId="640" xr:uid="{00000000-0005-0000-0000-0000E2010000}"/>
    <cellStyle name="Calculation 2 5 18 4" xfId="641" xr:uid="{00000000-0005-0000-0000-0000E3010000}"/>
    <cellStyle name="Calculation 2 5 18 5" xfId="642" xr:uid="{00000000-0005-0000-0000-0000E4010000}"/>
    <cellStyle name="Calculation 2 5 19" xfId="643" xr:uid="{00000000-0005-0000-0000-0000E5010000}"/>
    <cellStyle name="Calculation 2 5 19 2" xfId="644" xr:uid="{00000000-0005-0000-0000-0000E6010000}"/>
    <cellStyle name="Calculation 2 5 19 3" xfId="645" xr:uid="{00000000-0005-0000-0000-0000E7010000}"/>
    <cellStyle name="Calculation 2 5 19 4" xfId="646" xr:uid="{00000000-0005-0000-0000-0000E8010000}"/>
    <cellStyle name="Calculation 2 5 2" xfId="647" xr:uid="{00000000-0005-0000-0000-0000E9010000}"/>
    <cellStyle name="Calculation 2 5 2 2" xfId="648" xr:uid="{00000000-0005-0000-0000-0000EA010000}"/>
    <cellStyle name="Calculation 2 5 2 3" xfId="649" xr:uid="{00000000-0005-0000-0000-0000EB010000}"/>
    <cellStyle name="Calculation 2 5 2 4" xfId="650" xr:uid="{00000000-0005-0000-0000-0000EC010000}"/>
    <cellStyle name="Calculation 2 5 2 5" xfId="651" xr:uid="{00000000-0005-0000-0000-0000ED010000}"/>
    <cellStyle name="Calculation 2 5 20" xfId="652" xr:uid="{00000000-0005-0000-0000-0000EE010000}"/>
    <cellStyle name="Calculation 2 5 20 2" xfId="653" xr:uid="{00000000-0005-0000-0000-0000EF010000}"/>
    <cellStyle name="Calculation 2 5 20 3" xfId="654" xr:uid="{00000000-0005-0000-0000-0000F0010000}"/>
    <cellStyle name="Calculation 2 5 20 4" xfId="655" xr:uid="{00000000-0005-0000-0000-0000F1010000}"/>
    <cellStyle name="Calculation 2 5 21" xfId="656" xr:uid="{00000000-0005-0000-0000-0000F2010000}"/>
    <cellStyle name="Calculation 2 5 21 2" xfId="657" xr:uid="{00000000-0005-0000-0000-0000F3010000}"/>
    <cellStyle name="Calculation 2 5 21 3" xfId="658" xr:uid="{00000000-0005-0000-0000-0000F4010000}"/>
    <cellStyle name="Calculation 2 5 21 4" xfId="659" xr:uid="{00000000-0005-0000-0000-0000F5010000}"/>
    <cellStyle name="Calculation 2 5 22" xfId="660" xr:uid="{00000000-0005-0000-0000-0000F6010000}"/>
    <cellStyle name="Calculation 2 5 22 2" xfId="661" xr:uid="{00000000-0005-0000-0000-0000F7010000}"/>
    <cellStyle name="Calculation 2 5 22 3" xfId="662" xr:uid="{00000000-0005-0000-0000-0000F8010000}"/>
    <cellStyle name="Calculation 2 5 22 4" xfId="663" xr:uid="{00000000-0005-0000-0000-0000F9010000}"/>
    <cellStyle name="Calculation 2 5 23" xfId="664" xr:uid="{00000000-0005-0000-0000-0000FA010000}"/>
    <cellStyle name="Calculation 2 5 3" xfId="665" xr:uid="{00000000-0005-0000-0000-0000FB010000}"/>
    <cellStyle name="Calculation 2 5 3 2" xfId="666" xr:uid="{00000000-0005-0000-0000-0000FC010000}"/>
    <cellStyle name="Calculation 2 5 3 3" xfId="667" xr:uid="{00000000-0005-0000-0000-0000FD010000}"/>
    <cellStyle name="Calculation 2 5 3 4" xfId="668" xr:uid="{00000000-0005-0000-0000-0000FE010000}"/>
    <cellStyle name="Calculation 2 5 3 5" xfId="669" xr:uid="{00000000-0005-0000-0000-0000FF010000}"/>
    <cellStyle name="Calculation 2 5 4" xfId="670" xr:uid="{00000000-0005-0000-0000-000000020000}"/>
    <cellStyle name="Calculation 2 5 4 2" xfId="671" xr:uid="{00000000-0005-0000-0000-000001020000}"/>
    <cellStyle name="Calculation 2 5 4 3" xfId="672" xr:uid="{00000000-0005-0000-0000-000002020000}"/>
    <cellStyle name="Calculation 2 5 4 4" xfId="673" xr:uid="{00000000-0005-0000-0000-000003020000}"/>
    <cellStyle name="Calculation 2 5 4 5" xfId="674" xr:uid="{00000000-0005-0000-0000-000004020000}"/>
    <cellStyle name="Calculation 2 5 5" xfId="675" xr:uid="{00000000-0005-0000-0000-000005020000}"/>
    <cellStyle name="Calculation 2 5 5 2" xfId="676" xr:uid="{00000000-0005-0000-0000-000006020000}"/>
    <cellStyle name="Calculation 2 5 5 3" xfId="677" xr:uid="{00000000-0005-0000-0000-000007020000}"/>
    <cellStyle name="Calculation 2 5 5 4" xfId="678" xr:uid="{00000000-0005-0000-0000-000008020000}"/>
    <cellStyle name="Calculation 2 5 5 5" xfId="679" xr:uid="{00000000-0005-0000-0000-000009020000}"/>
    <cellStyle name="Calculation 2 5 6" xfId="680" xr:uid="{00000000-0005-0000-0000-00000A020000}"/>
    <cellStyle name="Calculation 2 5 6 2" xfId="681" xr:uid="{00000000-0005-0000-0000-00000B020000}"/>
    <cellStyle name="Calculation 2 5 6 3" xfId="682" xr:uid="{00000000-0005-0000-0000-00000C020000}"/>
    <cellStyle name="Calculation 2 5 6 4" xfId="683" xr:uid="{00000000-0005-0000-0000-00000D020000}"/>
    <cellStyle name="Calculation 2 5 6 5" xfId="684" xr:uid="{00000000-0005-0000-0000-00000E020000}"/>
    <cellStyle name="Calculation 2 5 7" xfId="685" xr:uid="{00000000-0005-0000-0000-00000F020000}"/>
    <cellStyle name="Calculation 2 5 7 2" xfId="686" xr:uid="{00000000-0005-0000-0000-000010020000}"/>
    <cellStyle name="Calculation 2 5 7 3" xfId="687" xr:uid="{00000000-0005-0000-0000-000011020000}"/>
    <cellStyle name="Calculation 2 5 7 4" xfId="688" xr:uid="{00000000-0005-0000-0000-000012020000}"/>
    <cellStyle name="Calculation 2 5 7 5" xfId="689" xr:uid="{00000000-0005-0000-0000-000013020000}"/>
    <cellStyle name="Calculation 2 5 8" xfId="690" xr:uid="{00000000-0005-0000-0000-000014020000}"/>
    <cellStyle name="Calculation 2 5 8 2" xfId="691" xr:uid="{00000000-0005-0000-0000-000015020000}"/>
    <cellStyle name="Calculation 2 5 8 3" xfId="692" xr:uid="{00000000-0005-0000-0000-000016020000}"/>
    <cellStyle name="Calculation 2 5 8 4" xfId="693" xr:uid="{00000000-0005-0000-0000-000017020000}"/>
    <cellStyle name="Calculation 2 5 8 5" xfId="694" xr:uid="{00000000-0005-0000-0000-000018020000}"/>
    <cellStyle name="Calculation 2 5 9" xfId="695" xr:uid="{00000000-0005-0000-0000-000019020000}"/>
    <cellStyle name="Calculation 2 5 9 2" xfId="696" xr:uid="{00000000-0005-0000-0000-00001A020000}"/>
    <cellStyle name="Calculation 2 5 9 3" xfId="697" xr:uid="{00000000-0005-0000-0000-00001B020000}"/>
    <cellStyle name="Calculation 2 5 9 4" xfId="698" xr:uid="{00000000-0005-0000-0000-00001C020000}"/>
    <cellStyle name="Calculation 2 5 9 5" xfId="699" xr:uid="{00000000-0005-0000-0000-00001D020000}"/>
    <cellStyle name="Calculation 2 6" xfId="700" xr:uid="{00000000-0005-0000-0000-00001E020000}"/>
    <cellStyle name="Calculation 2 6 10" xfId="701" xr:uid="{00000000-0005-0000-0000-00001F020000}"/>
    <cellStyle name="Calculation 2 6 10 2" xfId="702" xr:uid="{00000000-0005-0000-0000-000020020000}"/>
    <cellStyle name="Calculation 2 6 10 3" xfId="703" xr:uid="{00000000-0005-0000-0000-000021020000}"/>
    <cellStyle name="Calculation 2 6 10 4" xfId="704" xr:uid="{00000000-0005-0000-0000-000022020000}"/>
    <cellStyle name="Calculation 2 6 10 5" xfId="705" xr:uid="{00000000-0005-0000-0000-000023020000}"/>
    <cellStyle name="Calculation 2 6 11" xfId="706" xr:uid="{00000000-0005-0000-0000-000024020000}"/>
    <cellStyle name="Calculation 2 6 11 2" xfId="707" xr:uid="{00000000-0005-0000-0000-000025020000}"/>
    <cellStyle name="Calculation 2 6 11 3" xfId="708" xr:uid="{00000000-0005-0000-0000-000026020000}"/>
    <cellStyle name="Calculation 2 6 11 4" xfId="709" xr:uid="{00000000-0005-0000-0000-000027020000}"/>
    <cellStyle name="Calculation 2 6 11 5" xfId="710" xr:uid="{00000000-0005-0000-0000-000028020000}"/>
    <cellStyle name="Calculation 2 6 12" xfId="711" xr:uid="{00000000-0005-0000-0000-000029020000}"/>
    <cellStyle name="Calculation 2 6 12 2" xfId="712" xr:uid="{00000000-0005-0000-0000-00002A020000}"/>
    <cellStyle name="Calculation 2 6 12 3" xfId="713" xr:uid="{00000000-0005-0000-0000-00002B020000}"/>
    <cellStyle name="Calculation 2 6 12 4" xfId="714" xr:uid="{00000000-0005-0000-0000-00002C020000}"/>
    <cellStyle name="Calculation 2 6 12 5" xfId="715" xr:uid="{00000000-0005-0000-0000-00002D020000}"/>
    <cellStyle name="Calculation 2 6 13" xfId="716" xr:uid="{00000000-0005-0000-0000-00002E020000}"/>
    <cellStyle name="Calculation 2 6 13 2" xfId="717" xr:uid="{00000000-0005-0000-0000-00002F020000}"/>
    <cellStyle name="Calculation 2 6 13 3" xfId="718" xr:uid="{00000000-0005-0000-0000-000030020000}"/>
    <cellStyle name="Calculation 2 6 13 4" xfId="719" xr:uid="{00000000-0005-0000-0000-000031020000}"/>
    <cellStyle name="Calculation 2 6 13 5" xfId="720" xr:uid="{00000000-0005-0000-0000-000032020000}"/>
    <cellStyle name="Calculation 2 6 14" xfId="721" xr:uid="{00000000-0005-0000-0000-000033020000}"/>
    <cellStyle name="Calculation 2 6 14 2" xfId="722" xr:uid="{00000000-0005-0000-0000-000034020000}"/>
    <cellStyle name="Calculation 2 6 14 3" xfId="723" xr:uid="{00000000-0005-0000-0000-000035020000}"/>
    <cellStyle name="Calculation 2 6 14 4" xfId="724" xr:uid="{00000000-0005-0000-0000-000036020000}"/>
    <cellStyle name="Calculation 2 6 14 5" xfId="725" xr:uid="{00000000-0005-0000-0000-000037020000}"/>
    <cellStyle name="Calculation 2 6 15" xfId="726" xr:uid="{00000000-0005-0000-0000-000038020000}"/>
    <cellStyle name="Calculation 2 6 15 2" xfId="727" xr:uid="{00000000-0005-0000-0000-000039020000}"/>
    <cellStyle name="Calculation 2 6 15 3" xfId="728" xr:uid="{00000000-0005-0000-0000-00003A020000}"/>
    <cellStyle name="Calculation 2 6 15 4" xfId="729" xr:uid="{00000000-0005-0000-0000-00003B020000}"/>
    <cellStyle name="Calculation 2 6 15 5" xfId="730" xr:uid="{00000000-0005-0000-0000-00003C020000}"/>
    <cellStyle name="Calculation 2 6 16" xfId="731" xr:uid="{00000000-0005-0000-0000-00003D020000}"/>
    <cellStyle name="Calculation 2 6 16 2" xfId="732" xr:uid="{00000000-0005-0000-0000-00003E020000}"/>
    <cellStyle name="Calculation 2 6 16 3" xfId="733" xr:uid="{00000000-0005-0000-0000-00003F020000}"/>
    <cellStyle name="Calculation 2 6 16 4" xfId="734" xr:uid="{00000000-0005-0000-0000-000040020000}"/>
    <cellStyle name="Calculation 2 6 16 5" xfId="735" xr:uid="{00000000-0005-0000-0000-000041020000}"/>
    <cellStyle name="Calculation 2 6 17" xfId="736" xr:uid="{00000000-0005-0000-0000-000042020000}"/>
    <cellStyle name="Calculation 2 6 17 2" xfId="737" xr:uid="{00000000-0005-0000-0000-000043020000}"/>
    <cellStyle name="Calculation 2 6 17 3" xfId="738" xr:uid="{00000000-0005-0000-0000-000044020000}"/>
    <cellStyle name="Calculation 2 6 17 4" xfId="739" xr:uid="{00000000-0005-0000-0000-000045020000}"/>
    <cellStyle name="Calculation 2 6 17 5" xfId="740" xr:uid="{00000000-0005-0000-0000-000046020000}"/>
    <cellStyle name="Calculation 2 6 18" xfId="741" xr:uid="{00000000-0005-0000-0000-000047020000}"/>
    <cellStyle name="Calculation 2 6 18 2" xfId="742" xr:uid="{00000000-0005-0000-0000-000048020000}"/>
    <cellStyle name="Calculation 2 6 18 3" xfId="743" xr:uid="{00000000-0005-0000-0000-000049020000}"/>
    <cellStyle name="Calculation 2 6 18 4" xfId="744" xr:uid="{00000000-0005-0000-0000-00004A020000}"/>
    <cellStyle name="Calculation 2 6 18 5" xfId="745" xr:uid="{00000000-0005-0000-0000-00004B020000}"/>
    <cellStyle name="Calculation 2 6 19" xfId="746" xr:uid="{00000000-0005-0000-0000-00004C020000}"/>
    <cellStyle name="Calculation 2 6 19 2" xfId="747" xr:uid="{00000000-0005-0000-0000-00004D020000}"/>
    <cellStyle name="Calculation 2 6 19 3" xfId="748" xr:uid="{00000000-0005-0000-0000-00004E020000}"/>
    <cellStyle name="Calculation 2 6 19 4" xfId="749" xr:uid="{00000000-0005-0000-0000-00004F020000}"/>
    <cellStyle name="Calculation 2 6 19 5" xfId="750" xr:uid="{00000000-0005-0000-0000-000050020000}"/>
    <cellStyle name="Calculation 2 6 2" xfId="751" xr:uid="{00000000-0005-0000-0000-000051020000}"/>
    <cellStyle name="Calculation 2 6 2 2" xfId="752" xr:uid="{00000000-0005-0000-0000-000052020000}"/>
    <cellStyle name="Calculation 2 6 2 3" xfId="753" xr:uid="{00000000-0005-0000-0000-000053020000}"/>
    <cellStyle name="Calculation 2 6 2 4" xfId="754" xr:uid="{00000000-0005-0000-0000-000054020000}"/>
    <cellStyle name="Calculation 2 6 2 5" xfId="755" xr:uid="{00000000-0005-0000-0000-000055020000}"/>
    <cellStyle name="Calculation 2 6 20" xfId="756" xr:uid="{00000000-0005-0000-0000-000056020000}"/>
    <cellStyle name="Calculation 2 6 20 2" xfId="757" xr:uid="{00000000-0005-0000-0000-000057020000}"/>
    <cellStyle name="Calculation 2 6 20 3" xfId="758" xr:uid="{00000000-0005-0000-0000-000058020000}"/>
    <cellStyle name="Calculation 2 6 20 4" xfId="759" xr:uid="{00000000-0005-0000-0000-000059020000}"/>
    <cellStyle name="Calculation 2 6 20 5" xfId="760" xr:uid="{00000000-0005-0000-0000-00005A020000}"/>
    <cellStyle name="Calculation 2 6 21" xfId="761" xr:uid="{00000000-0005-0000-0000-00005B020000}"/>
    <cellStyle name="Calculation 2 6 21 2" xfId="762" xr:uid="{00000000-0005-0000-0000-00005C020000}"/>
    <cellStyle name="Calculation 2 6 21 3" xfId="763" xr:uid="{00000000-0005-0000-0000-00005D020000}"/>
    <cellStyle name="Calculation 2 6 21 4" xfId="764" xr:uid="{00000000-0005-0000-0000-00005E020000}"/>
    <cellStyle name="Calculation 2 6 21 5" xfId="765" xr:uid="{00000000-0005-0000-0000-00005F020000}"/>
    <cellStyle name="Calculation 2 6 22" xfId="766" xr:uid="{00000000-0005-0000-0000-000060020000}"/>
    <cellStyle name="Calculation 2 6 22 2" xfId="767" xr:uid="{00000000-0005-0000-0000-000061020000}"/>
    <cellStyle name="Calculation 2 6 22 3" xfId="768" xr:uid="{00000000-0005-0000-0000-000062020000}"/>
    <cellStyle name="Calculation 2 6 22 4" xfId="769" xr:uid="{00000000-0005-0000-0000-000063020000}"/>
    <cellStyle name="Calculation 2 6 23" xfId="770" xr:uid="{00000000-0005-0000-0000-000064020000}"/>
    <cellStyle name="Calculation 2 6 23 2" xfId="771" xr:uid="{00000000-0005-0000-0000-000065020000}"/>
    <cellStyle name="Calculation 2 6 23 3" xfId="772" xr:uid="{00000000-0005-0000-0000-000066020000}"/>
    <cellStyle name="Calculation 2 6 23 4" xfId="773" xr:uid="{00000000-0005-0000-0000-000067020000}"/>
    <cellStyle name="Calculation 2 6 24" xfId="774" xr:uid="{00000000-0005-0000-0000-000068020000}"/>
    <cellStyle name="Calculation 2 6 24 2" xfId="775" xr:uid="{00000000-0005-0000-0000-000069020000}"/>
    <cellStyle name="Calculation 2 6 24 3" xfId="776" xr:uid="{00000000-0005-0000-0000-00006A020000}"/>
    <cellStyle name="Calculation 2 6 24 4" xfId="777" xr:uid="{00000000-0005-0000-0000-00006B020000}"/>
    <cellStyle name="Calculation 2 6 25" xfId="778" xr:uid="{00000000-0005-0000-0000-00006C020000}"/>
    <cellStyle name="Calculation 2 6 25 2" xfId="779" xr:uid="{00000000-0005-0000-0000-00006D020000}"/>
    <cellStyle name="Calculation 2 6 25 3" xfId="780" xr:uid="{00000000-0005-0000-0000-00006E020000}"/>
    <cellStyle name="Calculation 2 6 25 4" xfId="781" xr:uid="{00000000-0005-0000-0000-00006F020000}"/>
    <cellStyle name="Calculation 2 6 3" xfId="782" xr:uid="{00000000-0005-0000-0000-000070020000}"/>
    <cellStyle name="Calculation 2 6 3 2" xfId="783" xr:uid="{00000000-0005-0000-0000-000071020000}"/>
    <cellStyle name="Calculation 2 6 3 3" xfId="784" xr:uid="{00000000-0005-0000-0000-000072020000}"/>
    <cellStyle name="Calculation 2 6 3 4" xfId="785" xr:uid="{00000000-0005-0000-0000-000073020000}"/>
    <cellStyle name="Calculation 2 6 3 5" xfId="786" xr:uid="{00000000-0005-0000-0000-000074020000}"/>
    <cellStyle name="Calculation 2 6 4" xfId="787" xr:uid="{00000000-0005-0000-0000-000075020000}"/>
    <cellStyle name="Calculation 2 6 4 2" xfId="788" xr:uid="{00000000-0005-0000-0000-000076020000}"/>
    <cellStyle name="Calculation 2 6 4 3" xfId="789" xr:uid="{00000000-0005-0000-0000-000077020000}"/>
    <cellStyle name="Calculation 2 6 4 4" xfId="790" xr:uid="{00000000-0005-0000-0000-000078020000}"/>
    <cellStyle name="Calculation 2 6 4 5" xfId="791" xr:uid="{00000000-0005-0000-0000-000079020000}"/>
    <cellStyle name="Calculation 2 6 5" xfId="792" xr:uid="{00000000-0005-0000-0000-00007A020000}"/>
    <cellStyle name="Calculation 2 6 5 2" xfId="793" xr:uid="{00000000-0005-0000-0000-00007B020000}"/>
    <cellStyle name="Calculation 2 6 5 3" xfId="794" xr:uid="{00000000-0005-0000-0000-00007C020000}"/>
    <cellStyle name="Calculation 2 6 5 4" xfId="795" xr:uid="{00000000-0005-0000-0000-00007D020000}"/>
    <cellStyle name="Calculation 2 6 5 5" xfId="796" xr:uid="{00000000-0005-0000-0000-00007E020000}"/>
    <cellStyle name="Calculation 2 6 6" xfId="797" xr:uid="{00000000-0005-0000-0000-00007F020000}"/>
    <cellStyle name="Calculation 2 6 6 2" xfId="798" xr:uid="{00000000-0005-0000-0000-000080020000}"/>
    <cellStyle name="Calculation 2 6 6 3" xfId="799" xr:uid="{00000000-0005-0000-0000-000081020000}"/>
    <cellStyle name="Calculation 2 6 6 4" xfId="800" xr:uid="{00000000-0005-0000-0000-000082020000}"/>
    <cellStyle name="Calculation 2 6 6 5" xfId="801" xr:uid="{00000000-0005-0000-0000-000083020000}"/>
    <cellStyle name="Calculation 2 6 7" xfId="802" xr:uid="{00000000-0005-0000-0000-000084020000}"/>
    <cellStyle name="Calculation 2 6 7 2" xfId="803" xr:uid="{00000000-0005-0000-0000-000085020000}"/>
    <cellStyle name="Calculation 2 6 7 3" xfId="804" xr:uid="{00000000-0005-0000-0000-000086020000}"/>
    <cellStyle name="Calculation 2 6 7 4" xfId="805" xr:uid="{00000000-0005-0000-0000-000087020000}"/>
    <cellStyle name="Calculation 2 6 7 5" xfId="806" xr:uid="{00000000-0005-0000-0000-000088020000}"/>
    <cellStyle name="Calculation 2 6 8" xfId="807" xr:uid="{00000000-0005-0000-0000-000089020000}"/>
    <cellStyle name="Calculation 2 6 8 2" xfId="808" xr:uid="{00000000-0005-0000-0000-00008A020000}"/>
    <cellStyle name="Calculation 2 6 8 3" xfId="809" xr:uid="{00000000-0005-0000-0000-00008B020000}"/>
    <cellStyle name="Calculation 2 6 8 4" xfId="810" xr:uid="{00000000-0005-0000-0000-00008C020000}"/>
    <cellStyle name="Calculation 2 6 8 5" xfId="811" xr:uid="{00000000-0005-0000-0000-00008D020000}"/>
    <cellStyle name="Calculation 2 6 9" xfId="812" xr:uid="{00000000-0005-0000-0000-00008E020000}"/>
    <cellStyle name="Calculation 2 6 9 2" xfId="813" xr:uid="{00000000-0005-0000-0000-00008F020000}"/>
    <cellStyle name="Calculation 2 6 9 3" xfId="814" xr:uid="{00000000-0005-0000-0000-000090020000}"/>
    <cellStyle name="Calculation 2 6 9 4" xfId="815" xr:uid="{00000000-0005-0000-0000-000091020000}"/>
    <cellStyle name="Calculation 2 6 9 5" xfId="816" xr:uid="{00000000-0005-0000-0000-000092020000}"/>
    <cellStyle name="Calculation 2 7" xfId="817" xr:uid="{00000000-0005-0000-0000-000093020000}"/>
    <cellStyle name="Calculation 2 7 2" xfId="818" xr:uid="{00000000-0005-0000-0000-000094020000}"/>
    <cellStyle name="Calculation 2 7 3" xfId="819" xr:uid="{00000000-0005-0000-0000-000095020000}"/>
    <cellStyle name="Calculation 2 7 4" xfId="820" xr:uid="{00000000-0005-0000-0000-000096020000}"/>
    <cellStyle name="Calculation 2 7 5" xfId="821" xr:uid="{00000000-0005-0000-0000-000097020000}"/>
    <cellStyle name="Calculation 2 8" xfId="822" xr:uid="{00000000-0005-0000-0000-000098020000}"/>
    <cellStyle name="Calculation 2 8 2" xfId="823" xr:uid="{00000000-0005-0000-0000-000099020000}"/>
    <cellStyle name="Calculation 2 8 3" xfId="824" xr:uid="{00000000-0005-0000-0000-00009A020000}"/>
    <cellStyle name="Calculation 2 8 4" xfId="825" xr:uid="{00000000-0005-0000-0000-00009B020000}"/>
    <cellStyle name="Calculation 2 8 5" xfId="826" xr:uid="{00000000-0005-0000-0000-00009C020000}"/>
    <cellStyle name="Calculation 2 9" xfId="827" xr:uid="{00000000-0005-0000-0000-00009D020000}"/>
    <cellStyle name="Calculation 2 9 2" xfId="828" xr:uid="{00000000-0005-0000-0000-00009E020000}"/>
    <cellStyle name="Calculation 2 9 3" xfId="829" xr:uid="{00000000-0005-0000-0000-00009F020000}"/>
    <cellStyle name="Calculation 2 9 4" xfId="830" xr:uid="{00000000-0005-0000-0000-0000A0020000}"/>
    <cellStyle name="Calculation 2 9 5" xfId="831" xr:uid="{00000000-0005-0000-0000-0000A1020000}"/>
    <cellStyle name="centre across selection" xfId="54" xr:uid="{00000000-0005-0000-0000-0000A2020000}"/>
    <cellStyle name="cf1" xfId="187" xr:uid="{00000000-0005-0000-0000-0000A3020000}"/>
    <cellStyle name="cf2" xfId="188" xr:uid="{00000000-0005-0000-0000-0000A4020000}"/>
    <cellStyle name="cf3" xfId="189" xr:uid="{00000000-0005-0000-0000-0000A5020000}"/>
    <cellStyle name="cf4" xfId="190" xr:uid="{00000000-0005-0000-0000-0000A6020000}"/>
    <cellStyle name="cf5" xfId="191" xr:uid="{00000000-0005-0000-0000-0000A7020000}"/>
    <cellStyle name="cf6" xfId="192" xr:uid="{00000000-0005-0000-0000-0000A8020000}"/>
    <cellStyle name="Check Cell 2" xfId="55" xr:uid="{00000000-0005-0000-0000-0000A9020000}"/>
    <cellStyle name="Check Cell 2 2" xfId="832" xr:uid="{00000000-0005-0000-0000-0000AA020000}"/>
    <cellStyle name="Check Cell 2 3" xfId="833" xr:uid="{00000000-0005-0000-0000-0000AB020000}"/>
    <cellStyle name="Check Cell 3" xfId="834" xr:uid="{00000000-0005-0000-0000-0000AC020000}"/>
    <cellStyle name="Comma" xfId="1" builtinId="3"/>
    <cellStyle name="Comma 10" xfId="835" xr:uid="{00000000-0005-0000-0000-0000AE020000}"/>
    <cellStyle name="Comma 10 2" xfId="836" xr:uid="{00000000-0005-0000-0000-0000AF020000}"/>
    <cellStyle name="Comma 11" xfId="837" xr:uid="{00000000-0005-0000-0000-0000B0020000}"/>
    <cellStyle name="Comma 2" xfId="56" xr:uid="{00000000-0005-0000-0000-0000B1020000}"/>
    <cellStyle name="Comma 2 10" xfId="838" xr:uid="{00000000-0005-0000-0000-0000B2020000}"/>
    <cellStyle name="Comma 2 11" xfId="839" xr:uid="{00000000-0005-0000-0000-0000B3020000}"/>
    <cellStyle name="Comma 2 12" xfId="840" xr:uid="{00000000-0005-0000-0000-0000B4020000}"/>
    <cellStyle name="Comma 2 12 2" xfId="841" xr:uid="{00000000-0005-0000-0000-0000B5020000}"/>
    <cellStyle name="Comma 2 13" xfId="842" xr:uid="{00000000-0005-0000-0000-0000B6020000}"/>
    <cellStyle name="Comma 2 14" xfId="843" xr:uid="{00000000-0005-0000-0000-0000B7020000}"/>
    <cellStyle name="Comma 2 2" xfId="193" xr:uid="{00000000-0005-0000-0000-0000B8020000}"/>
    <cellStyle name="Comma 2 2 2" xfId="194" xr:uid="{00000000-0005-0000-0000-0000B9020000}"/>
    <cellStyle name="Comma 2 2 2 2" xfId="844" xr:uid="{00000000-0005-0000-0000-0000BA020000}"/>
    <cellStyle name="Comma 2 2 3" xfId="845" xr:uid="{00000000-0005-0000-0000-0000BB020000}"/>
    <cellStyle name="Comma 2 2 4" xfId="3916" xr:uid="{00000000-0005-0000-0000-0000BC020000}"/>
    <cellStyle name="Comma 2 3" xfId="195" xr:uid="{00000000-0005-0000-0000-0000BD020000}"/>
    <cellStyle name="Comma 2 3 2" xfId="846" xr:uid="{00000000-0005-0000-0000-0000BE020000}"/>
    <cellStyle name="Comma 2 3 3" xfId="3921" xr:uid="{00000000-0005-0000-0000-0000BF020000}"/>
    <cellStyle name="Comma 2 3 4" xfId="3957" xr:uid="{00000000-0005-0000-0000-0000C0020000}"/>
    <cellStyle name="Comma 2 4" xfId="847" xr:uid="{00000000-0005-0000-0000-0000C1020000}"/>
    <cellStyle name="Comma 2 5" xfId="848" xr:uid="{00000000-0005-0000-0000-0000C2020000}"/>
    <cellStyle name="Comma 2 6" xfId="849" xr:uid="{00000000-0005-0000-0000-0000C3020000}"/>
    <cellStyle name="Comma 2 7" xfId="850" xr:uid="{00000000-0005-0000-0000-0000C4020000}"/>
    <cellStyle name="Comma 2 8" xfId="851" xr:uid="{00000000-0005-0000-0000-0000C5020000}"/>
    <cellStyle name="Comma 2 9" xfId="852" xr:uid="{00000000-0005-0000-0000-0000C6020000}"/>
    <cellStyle name="Comma 3" xfId="57" xr:uid="{00000000-0005-0000-0000-0000C7020000}"/>
    <cellStyle name="Comma 3 2" xfId="196" xr:uid="{00000000-0005-0000-0000-0000C8020000}"/>
    <cellStyle name="Comma 3 3" xfId="853" xr:uid="{00000000-0005-0000-0000-0000C9020000}"/>
    <cellStyle name="Comma 3 3 2" xfId="3939" xr:uid="{00000000-0005-0000-0000-0000CA020000}"/>
    <cellStyle name="Comma 3 4" xfId="854" xr:uid="{00000000-0005-0000-0000-0000CB020000}"/>
    <cellStyle name="Comma 3 4 2" xfId="3925" xr:uid="{00000000-0005-0000-0000-0000CC020000}"/>
    <cellStyle name="Comma 3 5" xfId="855" xr:uid="{00000000-0005-0000-0000-0000CD020000}"/>
    <cellStyle name="Comma 3 6" xfId="856" xr:uid="{00000000-0005-0000-0000-0000CE020000}"/>
    <cellStyle name="Comma 3 7" xfId="857" xr:uid="{00000000-0005-0000-0000-0000CF020000}"/>
    <cellStyle name="Comma 4" xfId="58" xr:uid="{00000000-0005-0000-0000-0000D0020000}"/>
    <cellStyle name="Comma 4 2" xfId="858" xr:uid="{00000000-0005-0000-0000-0000D1020000}"/>
    <cellStyle name="Comma 4 3" xfId="859" xr:uid="{00000000-0005-0000-0000-0000D2020000}"/>
    <cellStyle name="Comma 4 4" xfId="860" xr:uid="{00000000-0005-0000-0000-0000D3020000}"/>
    <cellStyle name="Comma 4 5" xfId="861" xr:uid="{00000000-0005-0000-0000-0000D4020000}"/>
    <cellStyle name="Comma 4 6" xfId="862" xr:uid="{00000000-0005-0000-0000-0000D5020000}"/>
    <cellStyle name="Comma 5" xfId="197" xr:uid="{00000000-0005-0000-0000-0000D6020000}"/>
    <cellStyle name="Comma 5 2" xfId="863" xr:uid="{00000000-0005-0000-0000-0000D7020000}"/>
    <cellStyle name="Comma 5 3" xfId="864" xr:uid="{00000000-0005-0000-0000-0000D8020000}"/>
    <cellStyle name="Comma 5 4" xfId="865" xr:uid="{00000000-0005-0000-0000-0000D9020000}"/>
    <cellStyle name="Comma 5 5" xfId="866" xr:uid="{00000000-0005-0000-0000-0000DA020000}"/>
    <cellStyle name="Comma 6" xfId="198" xr:uid="{00000000-0005-0000-0000-0000DB020000}"/>
    <cellStyle name="Comma 6 2" xfId="867" xr:uid="{00000000-0005-0000-0000-0000DC020000}"/>
    <cellStyle name="Comma 6 3" xfId="868" xr:uid="{00000000-0005-0000-0000-0000DD020000}"/>
    <cellStyle name="Comma 6 4" xfId="869" xr:uid="{00000000-0005-0000-0000-0000DE020000}"/>
    <cellStyle name="Comma 6 5" xfId="870" xr:uid="{00000000-0005-0000-0000-0000DF020000}"/>
    <cellStyle name="Comma 7" xfId="871" xr:uid="{00000000-0005-0000-0000-0000E0020000}"/>
    <cellStyle name="Comma 7 2" xfId="872" xr:uid="{00000000-0005-0000-0000-0000E1020000}"/>
    <cellStyle name="Comma 7 3" xfId="873" xr:uid="{00000000-0005-0000-0000-0000E2020000}"/>
    <cellStyle name="Comma 8" xfId="874" xr:uid="{00000000-0005-0000-0000-0000E3020000}"/>
    <cellStyle name="Comma 8 2" xfId="875" xr:uid="{00000000-0005-0000-0000-0000E4020000}"/>
    <cellStyle name="Comma 8 3" xfId="876" xr:uid="{00000000-0005-0000-0000-0000E5020000}"/>
    <cellStyle name="Comma 8 4" xfId="877" xr:uid="{00000000-0005-0000-0000-0000E6020000}"/>
    <cellStyle name="Comma 9" xfId="878" xr:uid="{00000000-0005-0000-0000-0000E7020000}"/>
    <cellStyle name="Comma 9 2" xfId="879" xr:uid="{00000000-0005-0000-0000-0000E8020000}"/>
    <cellStyle name="Comma0" xfId="59" xr:uid="{00000000-0005-0000-0000-0000E9020000}"/>
    <cellStyle name="Currency 14" xfId="3961" xr:uid="{00000000-0005-0000-0000-0000EB020000}"/>
    <cellStyle name="Currency 14 12 10" xfId="3966" xr:uid="{3B3D72DD-C276-48BA-8E22-B094E81F04A9}"/>
    <cellStyle name="Currency 14 21" xfId="3965" xr:uid="{F3617526-4F11-45D7-A252-1D34435693CC}"/>
    <cellStyle name="Currency 14 24" xfId="3968" xr:uid="{93E1532C-FD5D-4210-A005-21E1943881AF}"/>
    <cellStyle name="Currency 2" xfId="60" xr:uid="{00000000-0005-0000-0000-0000EC020000}"/>
    <cellStyle name="Currency 2 2" xfId="209" xr:uid="{00000000-0005-0000-0000-0000ED020000}"/>
    <cellStyle name="Currency 2 2 2" xfId="880" xr:uid="{00000000-0005-0000-0000-0000EE020000}"/>
    <cellStyle name="Currency 2 2 3" xfId="881" xr:uid="{00000000-0005-0000-0000-0000EF020000}"/>
    <cellStyle name="Currency 2 3" xfId="882" xr:uid="{00000000-0005-0000-0000-0000F0020000}"/>
    <cellStyle name="Currency 2 4" xfId="883" xr:uid="{00000000-0005-0000-0000-0000F1020000}"/>
    <cellStyle name="Currency 2 5" xfId="884" xr:uid="{00000000-0005-0000-0000-0000F2020000}"/>
    <cellStyle name="Currency 2 6" xfId="885" xr:uid="{00000000-0005-0000-0000-0000F3020000}"/>
    <cellStyle name="Currency 3" xfId="61" xr:uid="{00000000-0005-0000-0000-0000F4020000}"/>
    <cellStyle name="Currency 3 2" xfId="199" xr:uid="{00000000-0005-0000-0000-0000F5020000}"/>
    <cellStyle name="Currency 3 2 2" xfId="886" xr:uid="{00000000-0005-0000-0000-0000F6020000}"/>
    <cellStyle name="Currency 3 2 3" xfId="887" xr:uid="{00000000-0005-0000-0000-0000F7020000}"/>
    <cellStyle name="Currency 3 2 4" xfId="888" xr:uid="{00000000-0005-0000-0000-0000F8020000}"/>
    <cellStyle name="Currency 3 3" xfId="889" xr:uid="{00000000-0005-0000-0000-0000F9020000}"/>
    <cellStyle name="Currency 3 3 2" xfId="3940" xr:uid="{00000000-0005-0000-0000-0000FA020000}"/>
    <cellStyle name="Currency 3 4" xfId="890" xr:uid="{00000000-0005-0000-0000-0000FB020000}"/>
    <cellStyle name="Currency 3 5" xfId="891" xr:uid="{00000000-0005-0000-0000-0000FC020000}"/>
    <cellStyle name="Currency 3 5 2" xfId="892" xr:uid="{00000000-0005-0000-0000-0000FD020000}"/>
    <cellStyle name="Currency 3 6" xfId="893" xr:uid="{00000000-0005-0000-0000-0000FE020000}"/>
    <cellStyle name="Currency 3 7" xfId="894" xr:uid="{00000000-0005-0000-0000-0000FF020000}"/>
    <cellStyle name="Currency 4" xfId="62" xr:uid="{00000000-0005-0000-0000-000000030000}"/>
    <cellStyle name="Currency 4 2" xfId="895" xr:uid="{00000000-0005-0000-0000-000001030000}"/>
    <cellStyle name="Currency 4 3" xfId="896" xr:uid="{00000000-0005-0000-0000-000002030000}"/>
    <cellStyle name="Currency 4 4" xfId="897" xr:uid="{00000000-0005-0000-0000-000003030000}"/>
    <cellStyle name="Currency 4 5" xfId="898" xr:uid="{00000000-0005-0000-0000-000004030000}"/>
    <cellStyle name="Currency 5" xfId="200" xr:uid="{00000000-0005-0000-0000-000005030000}"/>
    <cellStyle name="Currency 5 2" xfId="899" xr:uid="{00000000-0005-0000-0000-000006030000}"/>
    <cellStyle name="Currency 5 3" xfId="900" xr:uid="{00000000-0005-0000-0000-000007030000}"/>
    <cellStyle name="Currency 6" xfId="901" xr:uid="{00000000-0005-0000-0000-000008030000}"/>
    <cellStyle name="Currency 6 2" xfId="902" xr:uid="{00000000-0005-0000-0000-000009030000}"/>
    <cellStyle name="Currency 7" xfId="903" xr:uid="{00000000-0005-0000-0000-00000A030000}"/>
    <cellStyle name="Currency 7 2" xfId="904" xr:uid="{00000000-0005-0000-0000-00000B030000}"/>
    <cellStyle name="Currency 8" xfId="905" xr:uid="{00000000-0005-0000-0000-00000C030000}"/>
    <cellStyle name="Currency 9" xfId="906" xr:uid="{00000000-0005-0000-0000-00000D030000}"/>
    <cellStyle name="Currency 9 2" xfId="907" xr:uid="{00000000-0005-0000-0000-00000E030000}"/>
    <cellStyle name="dataEntry" xfId="3926" xr:uid="{00000000-0005-0000-0000-00000F030000}"/>
    <cellStyle name="DetailStyleText" xfId="908" xr:uid="{00000000-0005-0000-0000-000010030000}"/>
    <cellStyle name="Emphasis 1" xfId="909" xr:uid="{00000000-0005-0000-0000-000011030000}"/>
    <cellStyle name="Emphasis 2" xfId="910" xr:uid="{00000000-0005-0000-0000-000012030000}"/>
    <cellStyle name="Emphasis 3" xfId="911" xr:uid="{00000000-0005-0000-0000-000013030000}"/>
    <cellStyle name="Estimated" xfId="63" xr:uid="{00000000-0005-0000-0000-000014030000}"/>
    <cellStyle name="Euro" xfId="64" xr:uid="{00000000-0005-0000-0000-000015030000}"/>
    <cellStyle name="Èurrency [0]" xfId="912" xr:uid="{00000000-0005-0000-0000-000016030000}"/>
    <cellStyle name="Explanatory Text 2" xfId="65" xr:uid="{00000000-0005-0000-0000-000017030000}"/>
    <cellStyle name="Explanatory Text 2 2" xfId="913" xr:uid="{00000000-0005-0000-0000-000018030000}"/>
    <cellStyle name="external input" xfId="66" xr:uid="{00000000-0005-0000-0000-000019030000}"/>
    <cellStyle name="FinancialTitleStyle" xfId="914" xr:uid="{00000000-0005-0000-0000-00001A030000}"/>
    <cellStyle name="Fixed" xfId="67" xr:uid="{00000000-0005-0000-0000-00001B030000}"/>
    <cellStyle name="Followed Hyperlink 10" xfId="915" xr:uid="{00000000-0005-0000-0000-00001C030000}"/>
    <cellStyle name="Followed Hyperlink 10 2" xfId="916" xr:uid="{00000000-0005-0000-0000-00001D030000}"/>
    <cellStyle name="Followed Hyperlink 2" xfId="917" xr:uid="{00000000-0005-0000-0000-00001E030000}"/>
    <cellStyle name="Followed Hyperlink 2 2" xfId="918" xr:uid="{00000000-0005-0000-0000-00001F030000}"/>
    <cellStyle name="Followed Hyperlink 3" xfId="919" xr:uid="{00000000-0005-0000-0000-000020030000}"/>
    <cellStyle name="Followed Hyperlink 3 2" xfId="920" xr:uid="{00000000-0005-0000-0000-000021030000}"/>
    <cellStyle name="Followed Hyperlink 4" xfId="921" xr:uid="{00000000-0005-0000-0000-000022030000}"/>
    <cellStyle name="Followed Hyperlink 4 2" xfId="922" xr:uid="{00000000-0005-0000-0000-000023030000}"/>
    <cellStyle name="Followed Hyperlink 5" xfId="923" xr:uid="{00000000-0005-0000-0000-000024030000}"/>
    <cellStyle name="Followed Hyperlink 5 2" xfId="924" xr:uid="{00000000-0005-0000-0000-000025030000}"/>
    <cellStyle name="Followed Hyperlink 6" xfId="925" xr:uid="{00000000-0005-0000-0000-000026030000}"/>
    <cellStyle name="Followed Hyperlink 6 2" xfId="926" xr:uid="{00000000-0005-0000-0000-000027030000}"/>
    <cellStyle name="Followed Hyperlink 7" xfId="927" xr:uid="{00000000-0005-0000-0000-000028030000}"/>
    <cellStyle name="Followed Hyperlink 7 2" xfId="928" xr:uid="{00000000-0005-0000-0000-000029030000}"/>
    <cellStyle name="Followed Hyperlink 8" xfId="929" xr:uid="{00000000-0005-0000-0000-00002A030000}"/>
    <cellStyle name="Followed Hyperlink 8 2" xfId="930" xr:uid="{00000000-0005-0000-0000-00002B030000}"/>
    <cellStyle name="Followed Hyperlink 9" xfId="931" xr:uid="{00000000-0005-0000-0000-00002C030000}"/>
    <cellStyle name="Followed Hyperlink 9 2" xfId="932" xr:uid="{00000000-0005-0000-0000-00002D030000}"/>
    <cellStyle name="Good 2" xfId="68" xr:uid="{00000000-0005-0000-0000-00002E030000}"/>
    <cellStyle name="Good 2 2" xfId="933" xr:uid="{00000000-0005-0000-0000-00002F030000}"/>
    <cellStyle name="Good 2 3" xfId="934" xr:uid="{00000000-0005-0000-0000-000030030000}"/>
    <cellStyle name="Header" xfId="69" xr:uid="{00000000-0005-0000-0000-000031030000}"/>
    <cellStyle name="HeaderGrant" xfId="70" xr:uid="{00000000-0005-0000-0000-000032030000}"/>
    <cellStyle name="HeaderGrant 10" xfId="935" xr:uid="{00000000-0005-0000-0000-000033030000}"/>
    <cellStyle name="HeaderGrant 10 2" xfId="936" xr:uid="{00000000-0005-0000-0000-000034030000}"/>
    <cellStyle name="HeaderGrant 10 3" xfId="937" xr:uid="{00000000-0005-0000-0000-000035030000}"/>
    <cellStyle name="HeaderGrant 10 4" xfId="938" xr:uid="{00000000-0005-0000-0000-000036030000}"/>
    <cellStyle name="HeaderGrant 10 5" xfId="939" xr:uid="{00000000-0005-0000-0000-000037030000}"/>
    <cellStyle name="HeaderGrant 11" xfId="940" xr:uid="{00000000-0005-0000-0000-000038030000}"/>
    <cellStyle name="HeaderGrant 11 2" xfId="941" xr:uid="{00000000-0005-0000-0000-000039030000}"/>
    <cellStyle name="HeaderGrant 11 3" xfId="942" xr:uid="{00000000-0005-0000-0000-00003A030000}"/>
    <cellStyle name="HeaderGrant 11 4" xfId="943" xr:uid="{00000000-0005-0000-0000-00003B030000}"/>
    <cellStyle name="HeaderGrant 12" xfId="944" xr:uid="{00000000-0005-0000-0000-00003C030000}"/>
    <cellStyle name="HeaderGrant 12 2" xfId="945" xr:uid="{00000000-0005-0000-0000-00003D030000}"/>
    <cellStyle name="HeaderGrant 12 3" xfId="946" xr:uid="{00000000-0005-0000-0000-00003E030000}"/>
    <cellStyle name="HeaderGrant 12 4" xfId="947" xr:uid="{00000000-0005-0000-0000-00003F030000}"/>
    <cellStyle name="HeaderGrant 13" xfId="948" xr:uid="{00000000-0005-0000-0000-000040030000}"/>
    <cellStyle name="HeaderGrant 13 2" xfId="949" xr:uid="{00000000-0005-0000-0000-000041030000}"/>
    <cellStyle name="HeaderGrant 13 3" xfId="950" xr:uid="{00000000-0005-0000-0000-000042030000}"/>
    <cellStyle name="HeaderGrant 13 4" xfId="951" xr:uid="{00000000-0005-0000-0000-000043030000}"/>
    <cellStyle name="HeaderGrant 2" xfId="952" xr:uid="{00000000-0005-0000-0000-000044030000}"/>
    <cellStyle name="HeaderGrant 2 10" xfId="953" xr:uid="{00000000-0005-0000-0000-000045030000}"/>
    <cellStyle name="HeaderGrant 2 10 2" xfId="954" xr:uid="{00000000-0005-0000-0000-000046030000}"/>
    <cellStyle name="HeaderGrant 2 10 3" xfId="955" xr:uid="{00000000-0005-0000-0000-000047030000}"/>
    <cellStyle name="HeaderGrant 2 10 4" xfId="956" xr:uid="{00000000-0005-0000-0000-000048030000}"/>
    <cellStyle name="HeaderGrant 2 11" xfId="957" xr:uid="{00000000-0005-0000-0000-000049030000}"/>
    <cellStyle name="HeaderGrant 2 11 2" xfId="958" xr:uid="{00000000-0005-0000-0000-00004A030000}"/>
    <cellStyle name="HeaderGrant 2 11 3" xfId="959" xr:uid="{00000000-0005-0000-0000-00004B030000}"/>
    <cellStyle name="HeaderGrant 2 11 4" xfId="960" xr:uid="{00000000-0005-0000-0000-00004C030000}"/>
    <cellStyle name="HeaderGrant 2 12" xfId="961" xr:uid="{00000000-0005-0000-0000-00004D030000}"/>
    <cellStyle name="HeaderGrant 2 12 2" xfId="962" xr:uid="{00000000-0005-0000-0000-00004E030000}"/>
    <cellStyle name="HeaderGrant 2 12 3" xfId="963" xr:uid="{00000000-0005-0000-0000-00004F030000}"/>
    <cellStyle name="HeaderGrant 2 12 4" xfId="964" xr:uid="{00000000-0005-0000-0000-000050030000}"/>
    <cellStyle name="HeaderGrant 2 2" xfId="965" xr:uid="{00000000-0005-0000-0000-000051030000}"/>
    <cellStyle name="HeaderGrant 2 2 10" xfId="966" xr:uid="{00000000-0005-0000-0000-000052030000}"/>
    <cellStyle name="HeaderGrant 2 2 10 2" xfId="967" xr:uid="{00000000-0005-0000-0000-000053030000}"/>
    <cellStyle name="HeaderGrant 2 2 10 3" xfId="968" xr:uid="{00000000-0005-0000-0000-000054030000}"/>
    <cellStyle name="HeaderGrant 2 2 10 4" xfId="969" xr:uid="{00000000-0005-0000-0000-000055030000}"/>
    <cellStyle name="HeaderGrant 2 2 10 5" xfId="970" xr:uid="{00000000-0005-0000-0000-000056030000}"/>
    <cellStyle name="HeaderGrant 2 2 11" xfId="971" xr:uid="{00000000-0005-0000-0000-000057030000}"/>
    <cellStyle name="HeaderGrant 2 2 11 2" xfId="972" xr:uid="{00000000-0005-0000-0000-000058030000}"/>
    <cellStyle name="HeaderGrant 2 2 11 3" xfId="973" xr:uid="{00000000-0005-0000-0000-000059030000}"/>
    <cellStyle name="HeaderGrant 2 2 11 4" xfId="974" xr:uid="{00000000-0005-0000-0000-00005A030000}"/>
    <cellStyle name="HeaderGrant 2 2 12" xfId="975" xr:uid="{00000000-0005-0000-0000-00005B030000}"/>
    <cellStyle name="HeaderGrant 2 2 12 2" xfId="976" xr:uid="{00000000-0005-0000-0000-00005C030000}"/>
    <cellStyle name="HeaderGrant 2 2 12 3" xfId="977" xr:uid="{00000000-0005-0000-0000-00005D030000}"/>
    <cellStyle name="HeaderGrant 2 2 12 4" xfId="978" xr:uid="{00000000-0005-0000-0000-00005E030000}"/>
    <cellStyle name="HeaderGrant 2 2 13" xfId="979" xr:uid="{00000000-0005-0000-0000-00005F030000}"/>
    <cellStyle name="HeaderGrant 2 2 13 2" xfId="980" xr:uid="{00000000-0005-0000-0000-000060030000}"/>
    <cellStyle name="HeaderGrant 2 2 13 3" xfId="981" xr:uid="{00000000-0005-0000-0000-000061030000}"/>
    <cellStyle name="HeaderGrant 2 2 13 4" xfId="982" xr:uid="{00000000-0005-0000-0000-000062030000}"/>
    <cellStyle name="HeaderGrant 2 2 14" xfId="983" xr:uid="{00000000-0005-0000-0000-000063030000}"/>
    <cellStyle name="HeaderGrant 2 2 2" xfId="984" xr:uid="{00000000-0005-0000-0000-000064030000}"/>
    <cellStyle name="HeaderGrant 2 2 2 2" xfId="985" xr:uid="{00000000-0005-0000-0000-000065030000}"/>
    <cellStyle name="HeaderGrant 2 2 2 3" xfId="986" xr:uid="{00000000-0005-0000-0000-000066030000}"/>
    <cellStyle name="HeaderGrant 2 2 2 4" xfId="987" xr:uid="{00000000-0005-0000-0000-000067030000}"/>
    <cellStyle name="HeaderGrant 2 2 2 5" xfId="988" xr:uid="{00000000-0005-0000-0000-000068030000}"/>
    <cellStyle name="HeaderGrant 2 2 3" xfId="989" xr:uid="{00000000-0005-0000-0000-000069030000}"/>
    <cellStyle name="HeaderGrant 2 2 3 2" xfId="990" xr:uid="{00000000-0005-0000-0000-00006A030000}"/>
    <cellStyle name="HeaderGrant 2 2 3 3" xfId="991" xr:uid="{00000000-0005-0000-0000-00006B030000}"/>
    <cellStyle name="HeaderGrant 2 2 3 4" xfId="992" xr:uid="{00000000-0005-0000-0000-00006C030000}"/>
    <cellStyle name="HeaderGrant 2 2 3 5" xfId="993" xr:uid="{00000000-0005-0000-0000-00006D030000}"/>
    <cellStyle name="HeaderGrant 2 2 4" xfId="994" xr:uid="{00000000-0005-0000-0000-00006E030000}"/>
    <cellStyle name="HeaderGrant 2 2 4 2" xfId="995" xr:uid="{00000000-0005-0000-0000-00006F030000}"/>
    <cellStyle name="HeaderGrant 2 2 4 3" xfId="996" xr:uid="{00000000-0005-0000-0000-000070030000}"/>
    <cellStyle name="HeaderGrant 2 2 4 4" xfId="997" xr:uid="{00000000-0005-0000-0000-000071030000}"/>
    <cellStyle name="HeaderGrant 2 2 4 5" xfId="998" xr:uid="{00000000-0005-0000-0000-000072030000}"/>
    <cellStyle name="HeaderGrant 2 2 5" xfId="999" xr:uid="{00000000-0005-0000-0000-000073030000}"/>
    <cellStyle name="HeaderGrant 2 2 5 2" xfId="1000" xr:uid="{00000000-0005-0000-0000-000074030000}"/>
    <cellStyle name="HeaderGrant 2 2 5 3" xfId="1001" xr:uid="{00000000-0005-0000-0000-000075030000}"/>
    <cellStyle name="HeaderGrant 2 2 5 4" xfId="1002" xr:uid="{00000000-0005-0000-0000-000076030000}"/>
    <cellStyle name="HeaderGrant 2 2 5 5" xfId="1003" xr:uid="{00000000-0005-0000-0000-000077030000}"/>
    <cellStyle name="HeaderGrant 2 2 6" xfId="1004" xr:uid="{00000000-0005-0000-0000-000078030000}"/>
    <cellStyle name="HeaderGrant 2 2 6 2" xfId="1005" xr:uid="{00000000-0005-0000-0000-000079030000}"/>
    <cellStyle name="HeaderGrant 2 2 6 3" xfId="1006" xr:uid="{00000000-0005-0000-0000-00007A030000}"/>
    <cellStyle name="HeaderGrant 2 2 6 4" xfId="1007" xr:uid="{00000000-0005-0000-0000-00007B030000}"/>
    <cellStyle name="HeaderGrant 2 2 6 5" xfId="1008" xr:uid="{00000000-0005-0000-0000-00007C030000}"/>
    <cellStyle name="HeaderGrant 2 2 7" xfId="1009" xr:uid="{00000000-0005-0000-0000-00007D030000}"/>
    <cellStyle name="HeaderGrant 2 2 7 2" xfId="1010" xr:uid="{00000000-0005-0000-0000-00007E030000}"/>
    <cellStyle name="HeaderGrant 2 2 7 3" xfId="1011" xr:uid="{00000000-0005-0000-0000-00007F030000}"/>
    <cellStyle name="HeaderGrant 2 2 7 4" xfId="1012" xr:uid="{00000000-0005-0000-0000-000080030000}"/>
    <cellStyle name="HeaderGrant 2 2 7 5" xfId="1013" xr:uid="{00000000-0005-0000-0000-000081030000}"/>
    <cellStyle name="HeaderGrant 2 2 8" xfId="1014" xr:uid="{00000000-0005-0000-0000-000082030000}"/>
    <cellStyle name="HeaderGrant 2 2 8 2" xfId="1015" xr:uid="{00000000-0005-0000-0000-000083030000}"/>
    <cellStyle name="HeaderGrant 2 2 8 3" xfId="1016" xr:uid="{00000000-0005-0000-0000-000084030000}"/>
    <cellStyle name="HeaderGrant 2 2 8 4" xfId="1017" xr:uid="{00000000-0005-0000-0000-000085030000}"/>
    <cellStyle name="HeaderGrant 2 2 8 5" xfId="1018" xr:uid="{00000000-0005-0000-0000-000086030000}"/>
    <cellStyle name="HeaderGrant 2 2 9" xfId="1019" xr:uid="{00000000-0005-0000-0000-000087030000}"/>
    <cellStyle name="HeaderGrant 2 2 9 2" xfId="1020" xr:uid="{00000000-0005-0000-0000-000088030000}"/>
    <cellStyle name="HeaderGrant 2 2 9 3" xfId="1021" xr:uid="{00000000-0005-0000-0000-000089030000}"/>
    <cellStyle name="HeaderGrant 2 2 9 4" xfId="1022" xr:uid="{00000000-0005-0000-0000-00008A030000}"/>
    <cellStyle name="HeaderGrant 2 2 9 5" xfId="1023" xr:uid="{00000000-0005-0000-0000-00008B030000}"/>
    <cellStyle name="HeaderGrant 2 3" xfId="1024" xr:uid="{00000000-0005-0000-0000-00008C030000}"/>
    <cellStyle name="HeaderGrant 2 3 10" xfId="1025" xr:uid="{00000000-0005-0000-0000-00008D030000}"/>
    <cellStyle name="HeaderGrant 2 3 10 2" xfId="1026" xr:uid="{00000000-0005-0000-0000-00008E030000}"/>
    <cellStyle name="HeaderGrant 2 3 10 3" xfId="1027" xr:uid="{00000000-0005-0000-0000-00008F030000}"/>
    <cellStyle name="HeaderGrant 2 3 10 4" xfId="1028" xr:uid="{00000000-0005-0000-0000-000090030000}"/>
    <cellStyle name="HeaderGrant 2 3 10 5" xfId="1029" xr:uid="{00000000-0005-0000-0000-000091030000}"/>
    <cellStyle name="HeaderGrant 2 3 11" xfId="1030" xr:uid="{00000000-0005-0000-0000-000092030000}"/>
    <cellStyle name="HeaderGrant 2 3 11 2" xfId="1031" xr:uid="{00000000-0005-0000-0000-000093030000}"/>
    <cellStyle name="HeaderGrant 2 3 11 3" xfId="1032" xr:uid="{00000000-0005-0000-0000-000094030000}"/>
    <cellStyle name="HeaderGrant 2 3 11 4" xfId="1033" xr:uid="{00000000-0005-0000-0000-000095030000}"/>
    <cellStyle name="HeaderGrant 2 3 12" xfId="1034" xr:uid="{00000000-0005-0000-0000-000096030000}"/>
    <cellStyle name="HeaderGrant 2 3 12 2" xfId="1035" xr:uid="{00000000-0005-0000-0000-000097030000}"/>
    <cellStyle name="HeaderGrant 2 3 12 3" xfId="1036" xr:uid="{00000000-0005-0000-0000-000098030000}"/>
    <cellStyle name="HeaderGrant 2 3 12 4" xfId="1037" xr:uid="{00000000-0005-0000-0000-000099030000}"/>
    <cellStyle name="HeaderGrant 2 3 13" xfId="1038" xr:uid="{00000000-0005-0000-0000-00009A030000}"/>
    <cellStyle name="HeaderGrant 2 3 13 2" xfId="1039" xr:uid="{00000000-0005-0000-0000-00009B030000}"/>
    <cellStyle name="HeaderGrant 2 3 13 3" xfId="1040" xr:uid="{00000000-0005-0000-0000-00009C030000}"/>
    <cellStyle name="HeaderGrant 2 3 13 4" xfId="1041" xr:uid="{00000000-0005-0000-0000-00009D030000}"/>
    <cellStyle name="HeaderGrant 2 3 14" xfId="1042" xr:uid="{00000000-0005-0000-0000-00009E030000}"/>
    <cellStyle name="HeaderGrant 2 3 2" xfId="1043" xr:uid="{00000000-0005-0000-0000-00009F030000}"/>
    <cellStyle name="HeaderGrant 2 3 2 2" xfId="1044" xr:uid="{00000000-0005-0000-0000-0000A0030000}"/>
    <cellStyle name="HeaderGrant 2 3 2 3" xfId="1045" xr:uid="{00000000-0005-0000-0000-0000A1030000}"/>
    <cellStyle name="HeaderGrant 2 3 2 4" xfId="1046" xr:uid="{00000000-0005-0000-0000-0000A2030000}"/>
    <cellStyle name="HeaderGrant 2 3 2 5" xfId="1047" xr:uid="{00000000-0005-0000-0000-0000A3030000}"/>
    <cellStyle name="HeaderGrant 2 3 3" xfId="1048" xr:uid="{00000000-0005-0000-0000-0000A4030000}"/>
    <cellStyle name="HeaderGrant 2 3 3 2" xfId="1049" xr:uid="{00000000-0005-0000-0000-0000A5030000}"/>
    <cellStyle name="HeaderGrant 2 3 3 3" xfId="1050" xr:uid="{00000000-0005-0000-0000-0000A6030000}"/>
    <cellStyle name="HeaderGrant 2 3 3 4" xfId="1051" xr:uid="{00000000-0005-0000-0000-0000A7030000}"/>
    <cellStyle name="HeaderGrant 2 3 3 5" xfId="1052" xr:uid="{00000000-0005-0000-0000-0000A8030000}"/>
    <cellStyle name="HeaderGrant 2 3 4" xfId="1053" xr:uid="{00000000-0005-0000-0000-0000A9030000}"/>
    <cellStyle name="HeaderGrant 2 3 4 2" xfId="1054" xr:uid="{00000000-0005-0000-0000-0000AA030000}"/>
    <cellStyle name="HeaderGrant 2 3 4 3" xfId="1055" xr:uid="{00000000-0005-0000-0000-0000AB030000}"/>
    <cellStyle name="HeaderGrant 2 3 4 4" xfId="1056" xr:uid="{00000000-0005-0000-0000-0000AC030000}"/>
    <cellStyle name="HeaderGrant 2 3 4 5" xfId="1057" xr:uid="{00000000-0005-0000-0000-0000AD030000}"/>
    <cellStyle name="HeaderGrant 2 3 5" xfId="1058" xr:uid="{00000000-0005-0000-0000-0000AE030000}"/>
    <cellStyle name="HeaderGrant 2 3 5 2" xfId="1059" xr:uid="{00000000-0005-0000-0000-0000AF030000}"/>
    <cellStyle name="HeaderGrant 2 3 5 3" xfId="1060" xr:uid="{00000000-0005-0000-0000-0000B0030000}"/>
    <cellStyle name="HeaderGrant 2 3 5 4" xfId="1061" xr:uid="{00000000-0005-0000-0000-0000B1030000}"/>
    <cellStyle name="HeaderGrant 2 3 5 5" xfId="1062" xr:uid="{00000000-0005-0000-0000-0000B2030000}"/>
    <cellStyle name="HeaderGrant 2 3 6" xfId="1063" xr:uid="{00000000-0005-0000-0000-0000B3030000}"/>
    <cellStyle name="HeaderGrant 2 3 6 2" xfId="1064" xr:uid="{00000000-0005-0000-0000-0000B4030000}"/>
    <cellStyle name="HeaderGrant 2 3 6 3" xfId="1065" xr:uid="{00000000-0005-0000-0000-0000B5030000}"/>
    <cellStyle name="HeaderGrant 2 3 6 4" xfId="1066" xr:uid="{00000000-0005-0000-0000-0000B6030000}"/>
    <cellStyle name="HeaderGrant 2 3 6 5" xfId="1067" xr:uid="{00000000-0005-0000-0000-0000B7030000}"/>
    <cellStyle name="HeaderGrant 2 3 7" xfId="1068" xr:uid="{00000000-0005-0000-0000-0000B8030000}"/>
    <cellStyle name="HeaderGrant 2 3 7 2" xfId="1069" xr:uid="{00000000-0005-0000-0000-0000B9030000}"/>
    <cellStyle name="HeaderGrant 2 3 7 3" xfId="1070" xr:uid="{00000000-0005-0000-0000-0000BA030000}"/>
    <cellStyle name="HeaderGrant 2 3 7 4" xfId="1071" xr:uid="{00000000-0005-0000-0000-0000BB030000}"/>
    <cellStyle name="HeaderGrant 2 3 7 5" xfId="1072" xr:uid="{00000000-0005-0000-0000-0000BC030000}"/>
    <cellStyle name="HeaderGrant 2 3 8" xfId="1073" xr:uid="{00000000-0005-0000-0000-0000BD030000}"/>
    <cellStyle name="HeaderGrant 2 3 8 2" xfId="1074" xr:uid="{00000000-0005-0000-0000-0000BE030000}"/>
    <cellStyle name="HeaderGrant 2 3 8 3" xfId="1075" xr:uid="{00000000-0005-0000-0000-0000BF030000}"/>
    <cellStyle name="HeaderGrant 2 3 8 4" xfId="1076" xr:uid="{00000000-0005-0000-0000-0000C0030000}"/>
    <cellStyle name="HeaderGrant 2 3 8 5" xfId="1077" xr:uid="{00000000-0005-0000-0000-0000C1030000}"/>
    <cellStyle name="HeaderGrant 2 3 9" xfId="1078" xr:uid="{00000000-0005-0000-0000-0000C2030000}"/>
    <cellStyle name="HeaderGrant 2 3 9 2" xfId="1079" xr:uid="{00000000-0005-0000-0000-0000C3030000}"/>
    <cellStyle name="HeaderGrant 2 3 9 3" xfId="1080" xr:uid="{00000000-0005-0000-0000-0000C4030000}"/>
    <cellStyle name="HeaderGrant 2 3 9 4" xfId="1081" xr:uid="{00000000-0005-0000-0000-0000C5030000}"/>
    <cellStyle name="HeaderGrant 2 3 9 5" xfId="1082" xr:uid="{00000000-0005-0000-0000-0000C6030000}"/>
    <cellStyle name="HeaderGrant 2 4" xfId="1083" xr:uid="{00000000-0005-0000-0000-0000C7030000}"/>
    <cellStyle name="HeaderGrant 2 4 10" xfId="1084" xr:uid="{00000000-0005-0000-0000-0000C8030000}"/>
    <cellStyle name="HeaderGrant 2 4 10 2" xfId="1085" xr:uid="{00000000-0005-0000-0000-0000C9030000}"/>
    <cellStyle name="HeaderGrant 2 4 10 3" xfId="1086" xr:uid="{00000000-0005-0000-0000-0000CA030000}"/>
    <cellStyle name="HeaderGrant 2 4 10 4" xfId="1087" xr:uid="{00000000-0005-0000-0000-0000CB030000}"/>
    <cellStyle name="HeaderGrant 2 4 10 5" xfId="1088" xr:uid="{00000000-0005-0000-0000-0000CC030000}"/>
    <cellStyle name="HeaderGrant 2 4 11" xfId="1089" xr:uid="{00000000-0005-0000-0000-0000CD030000}"/>
    <cellStyle name="HeaderGrant 2 4 11 2" xfId="1090" xr:uid="{00000000-0005-0000-0000-0000CE030000}"/>
    <cellStyle name="HeaderGrant 2 4 11 3" xfId="1091" xr:uid="{00000000-0005-0000-0000-0000CF030000}"/>
    <cellStyle name="HeaderGrant 2 4 11 4" xfId="1092" xr:uid="{00000000-0005-0000-0000-0000D0030000}"/>
    <cellStyle name="HeaderGrant 2 4 11 5" xfId="1093" xr:uid="{00000000-0005-0000-0000-0000D1030000}"/>
    <cellStyle name="HeaderGrant 2 4 12" xfId="1094" xr:uid="{00000000-0005-0000-0000-0000D2030000}"/>
    <cellStyle name="HeaderGrant 2 4 12 2" xfId="1095" xr:uid="{00000000-0005-0000-0000-0000D3030000}"/>
    <cellStyle name="HeaderGrant 2 4 12 3" xfId="1096" xr:uid="{00000000-0005-0000-0000-0000D4030000}"/>
    <cellStyle name="HeaderGrant 2 4 12 4" xfId="1097" xr:uid="{00000000-0005-0000-0000-0000D5030000}"/>
    <cellStyle name="HeaderGrant 2 4 12 5" xfId="1098" xr:uid="{00000000-0005-0000-0000-0000D6030000}"/>
    <cellStyle name="HeaderGrant 2 4 13" xfId="1099" xr:uid="{00000000-0005-0000-0000-0000D7030000}"/>
    <cellStyle name="HeaderGrant 2 4 13 2" xfId="1100" xr:uid="{00000000-0005-0000-0000-0000D8030000}"/>
    <cellStyle name="HeaderGrant 2 4 13 3" xfId="1101" xr:uid="{00000000-0005-0000-0000-0000D9030000}"/>
    <cellStyle name="HeaderGrant 2 4 13 4" xfId="1102" xr:uid="{00000000-0005-0000-0000-0000DA030000}"/>
    <cellStyle name="HeaderGrant 2 4 13 5" xfId="1103" xr:uid="{00000000-0005-0000-0000-0000DB030000}"/>
    <cellStyle name="HeaderGrant 2 4 14" xfId="1104" xr:uid="{00000000-0005-0000-0000-0000DC030000}"/>
    <cellStyle name="HeaderGrant 2 4 14 2" xfId="1105" xr:uid="{00000000-0005-0000-0000-0000DD030000}"/>
    <cellStyle name="HeaderGrant 2 4 14 3" xfId="1106" xr:uid="{00000000-0005-0000-0000-0000DE030000}"/>
    <cellStyle name="HeaderGrant 2 4 14 4" xfId="1107" xr:uid="{00000000-0005-0000-0000-0000DF030000}"/>
    <cellStyle name="HeaderGrant 2 4 14 5" xfId="1108" xr:uid="{00000000-0005-0000-0000-0000E0030000}"/>
    <cellStyle name="HeaderGrant 2 4 15" xfId="1109" xr:uid="{00000000-0005-0000-0000-0000E1030000}"/>
    <cellStyle name="HeaderGrant 2 4 15 2" xfId="1110" xr:uid="{00000000-0005-0000-0000-0000E2030000}"/>
    <cellStyle name="HeaderGrant 2 4 15 3" xfId="1111" xr:uid="{00000000-0005-0000-0000-0000E3030000}"/>
    <cellStyle name="HeaderGrant 2 4 15 4" xfId="1112" xr:uid="{00000000-0005-0000-0000-0000E4030000}"/>
    <cellStyle name="HeaderGrant 2 4 15 5" xfId="1113" xr:uid="{00000000-0005-0000-0000-0000E5030000}"/>
    <cellStyle name="HeaderGrant 2 4 16" xfId="1114" xr:uid="{00000000-0005-0000-0000-0000E6030000}"/>
    <cellStyle name="HeaderGrant 2 4 16 2" xfId="1115" xr:uid="{00000000-0005-0000-0000-0000E7030000}"/>
    <cellStyle name="HeaderGrant 2 4 16 3" xfId="1116" xr:uid="{00000000-0005-0000-0000-0000E8030000}"/>
    <cellStyle name="HeaderGrant 2 4 16 4" xfId="1117" xr:uid="{00000000-0005-0000-0000-0000E9030000}"/>
    <cellStyle name="HeaderGrant 2 4 16 5" xfId="1118" xr:uid="{00000000-0005-0000-0000-0000EA030000}"/>
    <cellStyle name="HeaderGrant 2 4 17" xfId="1119" xr:uid="{00000000-0005-0000-0000-0000EB030000}"/>
    <cellStyle name="HeaderGrant 2 4 17 2" xfId="1120" xr:uid="{00000000-0005-0000-0000-0000EC030000}"/>
    <cellStyle name="HeaderGrant 2 4 17 3" xfId="1121" xr:uid="{00000000-0005-0000-0000-0000ED030000}"/>
    <cellStyle name="HeaderGrant 2 4 17 4" xfId="1122" xr:uid="{00000000-0005-0000-0000-0000EE030000}"/>
    <cellStyle name="HeaderGrant 2 4 17 5" xfId="1123" xr:uid="{00000000-0005-0000-0000-0000EF030000}"/>
    <cellStyle name="HeaderGrant 2 4 18" xfId="1124" xr:uid="{00000000-0005-0000-0000-0000F0030000}"/>
    <cellStyle name="HeaderGrant 2 4 18 2" xfId="1125" xr:uid="{00000000-0005-0000-0000-0000F1030000}"/>
    <cellStyle name="HeaderGrant 2 4 18 3" xfId="1126" xr:uid="{00000000-0005-0000-0000-0000F2030000}"/>
    <cellStyle name="HeaderGrant 2 4 18 4" xfId="1127" xr:uid="{00000000-0005-0000-0000-0000F3030000}"/>
    <cellStyle name="HeaderGrant 2 4 18 5" xfId="1128" xr:uid="{00000000-0005-0000-0000-0000F4030000}"/>
    <cellStyle name="HeaderGrant 2 4 19" xfId="1129" xr:uid="{00000000-0005-0000-0000-0000F5030000}"/>
    <cellStyle name="HeaderGrant 2 4 19 2" xfId="1130" xr:uid="{00000000-0005-0000-0000-0000F6030000}"/>
    <cellStyle name="HeaderGrant 2 4 19 3" xfId="1131" xr:uid="{00000000-0005-0000-0000-0000F7030000}"/>
    <cellStyle name="HeaderGrant 2 4 19 4" xfId="1132" xr:uid="{00000000-0005-0000-0000-0000F8030000}"/>
    <cellStyle name="HeaderGrant 2 4 19 5" xfId="1133" xr:uid="{00000000-0005-0000-0000-0000F9030000}"/>
    <cellStyle name="HeaderGrant 2 4 2" xfId="1134" xr:uid="{00000000-0005-0000-0000-0000FA030000}"/>
    <cellStyle name="HeaderGrant 2 4 2 2" xfId="1135" xr:uid="{00000000-0005-0000-0000-0000FB030000}"/>
    <cellStyle name="HeaderGrant 2 4 2 3" xfId="1136" xr:uid="{00000000-0005-0000-0000-0000FC030000}"/>
    <cellStyle name="HeaderGrant 2 4 2 4" xfId="1137" xr:uid="{00000000-0005-0000-0000-0000FD030000}"/>
    <cellStyle name="HeaderGrant 2 4 2 5" xfId="1138" xr:uid="{00000000-0005-0000-0000-0000FE030000}"/>
    <cellStyle name="HeaderGrant 2 4 20" xfId="1139" xr:uid="{00000000-0005-0000-0000-0000FF030000}"/>
    <cellStyle name="HeaderGrant 2 4 20 2" xfId="1140" xr:uid="{00000000-0005-0000-0000-000000040000}"/>
    <cellStyle name="HeaderGrant 2 4 20 3" xfId="1141" xr:uid="{00000000-0005-0000-0000-000001040000}"/>
    <cellStyle name="HeaderGrant 2 4 20 4" xfId="1142" xr:uid="{00000000-0005-0000-0000-000002040000}"/>
    <cellStyle name="HeaderGrant 2 4 20 5" xfId="1143" xr:uid="{00000000-0005-0000-0000-000003040000}"/>
    <cellStyle name="HeaderGrant 2 4 21" xfId="1144" xr:uid="{00000000-0005-0000-0000-000004040000}"/>
    <cellStyle name="HeaderGrant 2 4 21 2" xfId="1145" xr:uid="{00000000-0005-0000-0000-000005040000}"/>
    <cellStyle name="HeaderGrant 2 4 21 3" xfId="1146" xr:uid="{00000000-0005-0000-0000-000006040000}"/>
    <cellStyle name="HeaderGrant 2 4 21 4" xfId="1147" xr:uid="{00000000-0005-0000-0000-000007040000}"/>
    <cellStyle name="HeaderGrant 2 4 21 5" xfId="1148" xr:uid="{00000000-0005-0000-0000-000008040000}"/>
    <cellStyle name="HeaderGrant 2 4 22" xfId="1149" xr:uid="{00000000-0005-0000-0000-000009040000}"/>
    <cellStyle name="HeaderGrant 2 4 22 2" xfId="1150" xr:uid="{00000000-0005-0000-0000-00000A040000}"/>
    <cellStyle name="HeaderGrant 2 4 22 3" xfId="1151" xr:uid="{00000000-0005-0000-0000-00000B040000}"/>
    <cellStyle name="HeaderGrant 2 4 22 4" xfId="1152" xr:uid="{00000000-0005-0000-0000-00000C040000}"/>
    <cellStyle name="HeaderGrant 2 4 23" xfId="1153" xr:uid="{00000000-0005-0000-0000-00000D040000}"/>
    <cellStyle name="HeaderGrant 2 4 23 2" xfId="1154" xr:uid="{00000000-0005-0000-0000-00000E040000}"/>
    <cellStyle name="HeaderGrant 2 4 23 3" xfId="1155" xr:uid="{00000000-0005-0000-0000-00000F040000}"/>
    <cellStyle name="HeaderGrant 2 4 23 4" xfId="1156" xr:uid="{00000000-0005-0000-0000-000010040000}"/>
    <cellStyle name="HeaderGrant 2 4 24" xfId="1157" xr:uid="{00000000-0005-0000-0000-000011040000}"/>
    <cellStyle name="HeaderGrant 2 4 24 2" xfId="1158" xr:uid="{00000000-0005-0000-0000-000012040000}"/>
    <cellStyle name="HeaderGrant 2 4 24 3" xfId="1159" xr:uid="{00000000-0005-0000-0000-000013040000}"/>
    <cellStyle name="HeaderGrant 2 4 24 4" xfId="1160" xr:uid="{00000000-0005-0000-0000-000014040000}"/>
    <cellStyle name="HeaderGrant 2 4 25" xfId="1161" xr:uid="{00000000-0005-0000-0000-000015040000}"/>
    <cellStyle name="HeaderGrant 2 4 25 2" xfId="1162" xr:uid="{00000000-0005-0000-0000-000016040000}"/>
    <cellStyle name="HeaderGrant 2 4 25 3" xfId="1163" xr:uid="{00000000-0005-0000-0000-000017040000}"/>
    <cellStyle name="HeaderGrant 2 4 25 4" xfId="1164" xr:uid="{00000000-0005-0000-0000-000018040000}"/>
    <cellStyle name="HeaderGrant 2 4 3" xfId="1165" xr:uid="{00000000-0005-0000-0000-000019040000}"/>
    <cellStyle name="HeaderGrant 2 4 3 2" xfId="1166" xr:uid="{00000000-0005-0000-0000-00001A040000}"/>
    <cellStyle name="HeaderGrant 2 4 3 3" xfId="1167" xr:uid="{00000000-0005-0000-0000-00001B040000}"/>
    <cellStyle name="HeaderGrant 2 4 3 4" xfId="1168" xr:uid="{00000000-0005-0000-0000-00001C040000}"/>
    <cellStyle name="HeaderGrant 2 4 3 5" xfId="1169" xr:uid="{00000000-0005-0000-0000-00001D040000}"/>
    <cellStyle name="HeaderGrant 2 4 4" xfId="1170" xr:uid="{00000000-0005-0000-0000-00001E040000}"/>
    <cellStyle name="HeaderGrant 2 4 4 2" xfId="1171" xr:uid="{00000000-0005-0000-0000-00001F040000}"/>
    <cellStyle name="HeaderGrant 2 4 4 3" xfId="1172" xr:uid="{00000000-0005-0000-0000-000020040000}"/>
    <cellStyle name="HeaderGrant 2 4 4 4" xfId="1173" xr:uid="{00000000-0005-0000-0000-000021040000}"/>
    <cellStyle name="HeaderGrant 2 4 4 5" xfId="1174" xr:uid="{00000000-0005-0000-0000-000022040000}"/>
    <cellStyle name="HeaderGrant 2 4 5" xfId="1175" xr:uid="{00000000-0005-0000-0000-000023040000}"/>
    <cellStyle name="HeaderGrant 2 4 5 2" xfId="1176" xr:uid="{00000000-0005-0000-0000-000024040000}"/>
    <cellStyle name="HeaderGrant 2 4 5 3" xfId="1177" xr:uid="{00000000-0005-0000-0000-000025040000}"/>
    <cellStyle name="HeaderGrant 2 4 5 4" xfId="1178" xr:uid="{00000000-0005-0000-0000-000026040000}"/>
    <cellStyle name="HeaderGrant 2 4 5 5" xfId="1179" xr:uid="{00000000-0005-0000-0000-000027040000}"/>
    <cellStyle name="HeaderGrant 2 4 6" xfId="1180" xr:uid="{00000000-0005-0000-0000-000028040000}"/>
    <cellStyle name="HeaderGrant 2 4 6 2" xfId="1181" xr:uid="{00000000-0005-0000-0000-000029040000}"/>
    <cellStyle name="HeaderGrant 2 4 6 3" xfId="1182" xr:uid="{00000000-0005-0000-0000-00002A040000}"/>
    <cellStyle name="HeaderGrant 2 4 6 4" xfId="1183" xr:uid="{00000000-0005-0000-0000-00002B040000}"/>
    <cellStyle name="HeaderGrant 2 4 6 5" xfId="1184" xr:uid="{00000000-0005-0000-0000-00002C040000}"/>
    <cellStyle name="HeaderGrant 2 4 7" xfId="1185" xr:uid="{00000000-0005-0000-0000-00002D040000}"/>
    <cellStyle name="HeaderGrant 2 4 7 2" xfId="1186" xr:uid="{00000000-0005-0000-0000-00002E040000}"/>
    <cellStyle name="HeaderGrant 2 4 7 3" xfId="1187" xr:uid="{00000000-0005-0000-0000-00002F040000}"/>
    <cellStyle name="HeaderGrant 2 4 7 4" xfId="1188" xr:uid="{00000000-0005-0000-0000-000030040000}"/>
    <cellStyle name="HeaderGrant 2 4 7 5" xfId="1189" xr:uid="{00000000-0005-0000-0000-000031040000}"/>
    <cellStyle name="HeaderGrant 2 4 8" xfId="1190" xr:uid="{00000000-0005-0000-0000-000032040000}"/>
    <cellStyle name="HeaderGrant 2 4 8 2" xfId="1191" xr:uid="{00000000-0005-0000-0000-000033040000}"/>
    <cellStyle name="HeaderGrant 2 4 8 3" xfId="1192" xr:uid="{00000000-0005-0000-0000-000034040000}"/>
    <cellStyle name="HeaderGrant 2 4 8 4" xfId="1193" xr:uid="{00000000-0005-0000-0000-000035040000}"/>
    <cellStyle name="HeaderGrant 2 4 8 5" xfId="1194" xr:uid="{00000000-0005-0000-0000-000036040000}"/>
    <cellStyle name="HeaderGrant 2 4 9" xfId="1195" xr:uid="{00000000-0005-0000-0000-000037040000}"/>
    <cellStyle name="HeaderGrant 2 4 9 2" xfId="1196" xr:uid="{00000000-0005-0000-0000-000038040000}"/>
    <cellStyle name="HeaderGrant 2 4 9 3" xfId="1197" xr:uid="{00000000-0005-0000-0000-000039040000}"/>
    <cellStyle name="HeaderGrant 2 4 9 4" xfId="1198" xr:uid="{00000000-0005-0000-0000-00003A040000}"/>
    <cellStyle name="HeaderGrant 2 4 9 5" xfId="1199" xr:uid="{00000000-0005-0000-0000-00003B040000}"/>
    <cellStyle name="HeaderGrant 2 5" xfId="1200" xr:uid="{00000000-0005-0000-0000-00003C040000}"/>
    <cellStyle name="HeaderGrant 2 5 2" xfId="1201" xr:uid="{00000000-0005-0000-0000-00003D040000}"/>
    <cellStyle name="HeaderGrant 2 5 3" xfId="1202" xr:uid="{00000000-0005-0000-0000-00003E040000}"/>
    <cellStyle name="HeaderGrant 2 5 4" xfId="1203" xr:uid="{00000000-0005-0000-0000-00003F040000}"/>
    <cellStyle name="HeaderGrant 2 5 5" xfId="1204" xr:uid="{00000000-0005-0000-0000-000040040000}"/>
    <cellStyle name="HeaderGrant 2 6" xfId="1205" xr:uid="{00000000-0005-0000-0000-000041040000}"/>
    <cellStyle name="HeaderGrant 2 6 2" xfId="1206" xr:uid="{00000000-0005-0000-0000-000042040000}"/>
    <cellStyle name="HeaderGrant 2 6 3" xfId="1207" xr:uid="{00000000-0005-0000-0000-000043040000}"/>
    <cellStyle name="HeaderGrant 2 6 4" xfId="1208" xr:uid="{00000000-0005-0000-0000-000044040000}"/>
    <cellStyle name="HeaderGrant 2 6 5" xfId="1209" xr:uid="{00000000-0005-0000-0000-000045040000}"/>
    <cellStyle name="HeaderGrant 2 7" xfId="1210" xr:uid="{00000000-0005-0000-0000-000046040000}"/>
    <cellStyle name="HeaderGrant 2 7 2" xfId="1211" xr:uid="{00000000-0005-0000-0000-000047040000}"/>
    <cellStyle name="HeaderGrant 2 7 3" xfId="1212" xr:uid="{00000000-0005-0000-0000-000048040000}"/>
    <cellStyle name="HeaderGrant 2 7 4" xfId="1213" xr:uid="{00000000-0005-0000-0000-000049040000}"/>
    <cellStyle name="HeaderGrant 2 7 5" xfId="1214" xr:uid="{00000000-0005-0000-0000-00004A040000}"/>
    <cellStyle name="HeaderGrant 2 8" xfId="1215" xr:uid="{00000000-0005-0000-0000-00004B040000}"/>
    <cellStyle name="HeaderGrant 2 8 2" xfId="1216" xr:uid="{00000000-0005-0000-0000-00004C040000}"/>
    <cellStyle name="HeaderGrant 2 8 3" xfId="1217" xr:uid="{00000000-0005-0000-0000-00004D040000}"/>
    <cellStyle name="HeaderGrant 2 8 4" xfId="1218" xr:uid="{00000000-0005-0000-0000-00004E040000}"/>
    <cellStyle name="HeaderGrant 2 8 5" xfId="1219" xr:uid="{00000000-0005-0000-0000-00004F040000}"/>
    <cellStyle name="HeaderGrant 2 9" xfId="1220" xr:uid="{00000000-0005-0000-0000-000050040000}"/>
    <cellStyle name="HeaderGrant 2 9 2" xfId="1221" xr:uid="{00000000-0005-0000-0000-000051040000}"/>
    <cellStyle name="HeaderGrant 2 9 3" xfId="1222" xr:uid="{00000000-0005-0000-0000-000052040000}"/>
    <cellStyle name="HeaderGrant 2 9 4" xfId="1223" xr:uid="{00000000-0005-0000-0000-000053040000}"/>
    <cellStyle name="HeaderGrant 2 9 5" xfId="1224" xr:uid="{00000000-0005-0000-0000-000054040000}"/>
    <cellStyle name="HeaderGrant 3" xfId="1225" xr:uid="{00000000-0005-0000-0000-000055040000}"/>
    <cellStyle name="HeaderGrant 3 10" xfId="1226" xr:uid="{00000000-0005-0000-0000-000056040000}"/>
    <cellStyle name="HeaderGrant 3 10 2" xfId="1227" xr:uid="{00000000-0005-0000-0000-000057040000}"/>
    <cellStyle name="HeaderGrant 3 10 3" xfId="1228" xr:uid="{00000000-0005-0000-0000-000058040000}"/>
    <cellStyle name="HeaderGrant 3 10 4" xfId="1229" xr:uid="{00000000-0005-0000-0000-000059040000}"/>
    <cellStyle name="HeaderGrant 3 10 5" xfId="1230" xr:uid="{00000000-0005-0000-0000-00005A040000}"/>
    <cellStyle name="HeaderGrant 3 11" xfId="1231" xr:uid="{00000000-0005-0000-0000-00005B040000}"/>
    <cellStyle name="HeaderGrant 3 11 2" xfId="1232" xr:uid="{00000000-0005-0000-0000-00005C040000}"/>
    <cellStyle name="HeaderGrant 3 11 3" xfId="1233" xr:uid="{00000000-0005-0000-0000-00005D040000}"/>
    <cellStyle name="HeaderGrant 3 11 4" xfId="1234" xr:uid="{00000000-0005-0000-0000-00005E040000}"/>
    <cellStyle name="HeaderGrant 3 12" xfId="1235" xr:uid="{00000000-0005-0000-0000-00005F040000}"/>
    <cellStyle name="HeaderGrant 3 12 2" xfId="1236" xr:uid="{00000000-0005-0000-0000-000060040000}"/>
    <cellStyle name="HeaderGrant 3 12 3" xfId="1237" xr:uid="{00000000-0005-0000-0000-000061040000}"/>
    <cellStyle name="HeaderGrant 3 12 4" xfId="1238" xr:uid="{00000000-0005-0000-0000-000062040000}"/>
    <cellStyle name="HeaderGrant 3 13" xfId="1239" xr:uid="{00000000-0005-0000-0000-000063040000}"/>
    <cellStyle name="HeaderGrant 3 13 2" xfId="1240" xr:uid="{00000000-0005-0000-0000-000064040000}"/>
    <cellStyle name="HeaderGrant 3 13 3" xfId="1241" xr:uid="{00000000-0005-0000-0000-000065040000}"/>
    <cellStyle name="HeaderGrant 3 13 4" xfId="1242" xr:uid="{00000000-0005-0000-0000-000066040000}"/>
    <cellStyle name="HeaderGrant 3 14" xfId="1243" xr:uid="{00000000-0005-0000-0000-000067040000}"/>
    <cellStyle name="HeaderGrant 3 2" xfId="1244" xr:uid="{00000000-0005-0000-0000-000068040000}"/>
    <cellStyle name="HeaderGrant 3 2 2" xfId="1245" xr:uid="{00000000-0005-0000-0000-000069040000}"/>
    <cellStyle name="HeaderGrant 3 2 3" xfId="1246" xr:uid="{00000000-0005-0000-0000-00006A040000}"/>
    <cellStyle name="HeaderGrant 3 2 4" xfId="1247" xr:uid="{00000000-0005-0000-0000-00006B040000}"/>
    <cellStyle name="HeaderGrant 3 2 5" xfId="1248" xr:uid="{00000000-0005-0000-0000-00006C040000}"/>
    <cellStyle name="HeaderGrant 3 3" xfId="1249" xr:uid="{00000000-0005-0000-0000-00006D040000}"/>
    <cellStyle name="HeaderGrant 3 3 2" xfId="1250" xr:uid="{00000000-0005-0000-0000-00006E040000}"/>
    <cellStyle name="HeaderGrant 3 3 3" xfId="1251" xr:uid="{00000000-0005-0000-0000-00006F040000}"/>
    <cellStyle name="HeaderGrant 3 3 4" xfId="1252" xr:uid="{00000000-0005-0000-0000-000070040000}"/>
    <cellStyle name="HeaderGrant 3 3 5" xfId="1253" xr:uid="{00000000-0005-0000-0000-000071040000}"/>
    <cellStyle name="HeaderGrant 3 4" xfId="1254" xr:uid="{00000000-0005-0000-0000-000072040000}"/>
    <cellStyle name="HeaderGrant 3 4 2" xfId="1255" xr:uid="{00000000-0005-0000-0000-000073040000}"/>
    <cellStyle name="HeaderGrant 3 4 3" xfId="1256" xr:uid="{00000000-0005-0000-0000-000074040000}"/>
    <cellStyle name="HeaderGrant 3 4 4" xfId="1257" xr:uid="{00000000-0005-0000-0000-000075040000}"/>
    <cellStyle name="HeaderGrant 3 4 5" xfId="1258" xr:uid="{00000000-0005-0000-0000-000076040000}"/>
    <cellStyle name="HeaderGrant 3 5" xfId="1259" xr:uid="{00000000-0005-0000-0000-000077040000}"/>
    <cellStyle name="HeaderGrant 3 5 2" xfId="1260" xr:uid="{00000000-0005-0000-0000-000078040000}"/>
    <cellStyle name="HeaderGrant 3 5 3" xfId="1261" xr:uid="{00000000-0005-0000-0000-000079040000}"/>
    <cellStyle name="HeaderGrant 3 5 4" xfId="1262" xr:uid="{00000000-0005-0000-0000-00007A040000}"/>
    <cellStyle name="HeaderGrant 3 5 5" xfId="1263" xr:uid="{00000000-0005-0000-0000-00007B040000}"/>
    <cellStyle name="HeaderGrant 3 6" xfId="1264" xr:uid="{00000000-0005-0000-0000-00007C040000}"/>
    <cellStyle name="HeaderGrant 3 6 2" xfId="1265" xr:uid="{00000000-0005-0000-0000-00007D040000}"/>
    <cellStyle name="HeaderGrant 3 6 3" xfId="1266" xr:uid="{00000000-0005-0000-0000-00007E040000}"/>
    <cellStyle name="HeaderGrant 3 6 4" xfId="1267" xr:uid="{00000000-0005-0000-0000-00007F040000}"/>
    <cellStyle name="HeaderGrant 3 6 5" xfId="1268" xr:uid="{00000000-0005-0000-0000-000080040000}"/>
    <cellStyle name="HeaderGrant 3 7" xfId="1269" xr:uid="{00000000-0005-0000-0000-000081040000}"/>
    <cellStyle name="HeaderGrant 3 7 2" xfId="1270" xr:uid="{00000000-0005-0000-0000-000082040000}"/>
    <cellStyle name="HeaderGrant 3 7 3" xfId="1271" xr:uid="{00000000-0005-0000-0000-000083040000}"/>
    <cellStyle name="HeaderGrant 3 7 4" xfId="1272" xr:uid="{00000000-0005-0000-0000-000084040000}"/>
    <cellStyle name="HeaderGrant 3 7 5" xfId="1273" xr:uid="{00000000-0005-0000-0000-000085040000}"/>
    <cellStyle name="HeaderGrant 3 8" xfId="1274" xr:uid="{00000000-0005-0000-0000-000086040000}"/>
    <cellStyle name="HeaderGrant 3 8 2" xfId="1275" xr:uid="{00000000-0005-0000-0000-000087040000}"/>
    <cellStyle name="HeaderGrant 3 8 3" xfId="1276" xr:uid="{00000000-0005-0000-0000-000088040000}"/>
    <cellStyle name="HeaderGrant 3 8 4" xfId="1277" xr:uid="{00000000-0005-0000-0000-000089040000}"/>
    <cellStyle name="HeaderGrant 3 8 5" xfId="1278" xr:uid="{00000000-0005-0000-0000-00008A040000}"/>
    <cellStyle name="HeaderGrant 3 9" xfId="1279" xr:uid="{00000000-0005-0000-0000-00008B040000}"/>
    <cellStyle name="HeaderGrant 3 9 2" xfId="1280" xr:uid="{00000000-0005-0000-0000-00008C040000}"/>
    <cellStyle name="HeaderGrant 3 9 3" xfId="1281" xr:uid="{00000000-0005-0000-0000-00008D040000}"/>
    <cellStyle name="HeaderGrant 3 9 4" xfId="1282" xr:uid="{00000000-0005-0000-0000-00008E040000}"/>
    <cellStyle name="HeaderGrant 3 9 5" xfId="1283" xr:uid="{00000000-0005-0000-0000-00008F040000}"/>
    <cellStyle name="HeaderGrant 4" xfId="1284" xr:uid="{00000000-0005-0000-0000-000090040000}"/>
    <cellStyle name="HeaderGrant 4 10" xfId="1285" xr:uid="{00000000-0005-0000-0000-000091040000}"/>
    <cellStyle name="HeaderGrant 4 10 2" xfId="1286" xr:uid="{00000000-0005-0000-0000-000092040000}"/>
    <cellStyle name="HeaderGrant 4 10 3" xfId="1287" xr:uid="{00000000-0005-0000-0000-000093040000}"/>
    <cellStyle name="HeaderGrant 4 10 4" xfId="1288" xr:uid="{00000000-0005-0000-0000-000094040000}"/>
    <cellStyle name="HeaderGrant 4 10 5" xfId="1289" xr:uid="{00000000-0005-0000-0000-000095040000}"/>
    <cellStyle name="HeaderGrant 4 11" xfId="1290" xr:uid="{00000000-0005-0000-0000-000096040000}"/>
    <cellStyle name="HeaderGrant 4 11 2" xfId="1291" xr:uid="{00000000-0005-0000-0000-000097040000}"/>
    <cellStyle name="HeaderGrant 4 11 3" xfId="1292" xr:uid="{00000000-0005-0000-0000-000098040000}"/>
    <cellStyle name="HeaderGrant 4 11 4" xfId="1293" xr:uid="{00000000-0005-0000-0000-000099040000}"/>
    <cellStyle name="HeaderGrant 4 12" xfId="1294" xr:uid="{00000000-0005-0000-0000-00009A040000}"/>
    <cellStyle name="HeaderGrant 4 12 2" xfId="1295" xr:uid="{00000000-0005-0000-0000-00009B040000}"/>
    <cellStyle name="HeaderGrant 4 12 3" xfId="1296" xr:uid="{00000000-0005-0000-0000-00009C040000}"/>
    <cellStyle name="HeaderGrant 4 12 4" xfId="1297" xr:uid="{00000000-0005-0000-0000-00009D040000}"/>
    <cellStyle name="HeaderGrant 4 13" xfId="1298" xr:uid="{00000000-0005-0000-0000-00009E040000}"/>
    <cellStyle name="HeaderGrant 4 13 2" xfId="1299" xr:uid="{00000000-0005-0000-0000-00009F040000}"/>
    <cellStyle name="HeaderGrant 4 13 3" xfId="1300" xr:uid="{00000000-0005-0000-0000-0000A0040000}"/>
    <cellStyle name="HeaderGrant 4 13 4" xfId="1301" xr:uid="{00000000-0005-0000-0000-0000A1040000}"/>
    <cellStyle name="HeaderGrant 4 14" xfId="1302" xr:uid="{00000000-0005-0000-0000-0000A2040000}"/>
    <cellStyle name="HeaderGrant 4 2" xfId="1303" xr:uid="{00000000-0005-0000-0000-0000A3040000}"/>
    <cellStyle name="HeaderGrant 4 2 2" xfId="1304" xr:uid="{00000000-0005-0000-0000-0000A4040000}"/>
    <cellStyle name="HeaderGrant 4 2 3" xfId="1305" xr:uid="{00000000-0005-0000-0000-0000A5040000}"/>
    <cellStyle name="HeaderGrant 4 2 4" xfId="1306" xr:uid="{00000000-0005-0000-0000-0000A6040000}"/>
    <cellStyle name="HeaderGrant 4 2 5" xfId="1307" xr:uid="{00000000-0005-0000-0000-0000A7040000}"/>
    <cellStyle name="HeaderGrant 4 3" xfId="1308" xr:uid="{00000000-0005-0000-0000-0000A8040000}"/>
    <cellStyle name="HeaderGrant 4 3 2" xfId="1309" xr:uid="{00000000-0005-0000-0000-0000A9040000}"/>
    <cellStyle name="HeaderGrant 4 3 3" xfId="1310" xr:uid="{00000000-0005-0000-0000-0000AA040000}"/>
    <cellStyle name="HeaderGrant 4 3 4" xfId="1311" xr:uid="{00000000-0005-0000-0000-0000AB040000}"/>
    <cellStyle name="HeaderGrant 4 3 5" xfId="1312" xr:uid="{00000000-0005-0000-0000-0000AC040000}"/>
    <cellStyle name="HeaderGrant 4 4" xfId="1313" xr:uid="{00000000-0005-0000-0000-0000AD040000}"/>
    <cellStyle name="HeaderGrant 4 4 2" xfId="1314" xr:uid="{00000000-0005-0000-0000-0000AE040000}"/>
    <cellStyle name="HeaderGrant 4 4 3" xfId="1315" xr:uid="{00000000-0005-0000-0000-0000AF040000}"/>
    <cellStyle name="HeaderGrant 4 4 4" xfId="1316" xr:uid="{00000000-0005-0000-0000-0000B0040000}"/>
    <cellStyle name="HeaderGrant 4 4 5" xfId="1317" xr:uid="{00000000-0005-0000-0000-0000B1040000}"/>
    <cellStyle name="HeaderGrant 4 5" xfId="1318" xr:uid="{00000000-0005-0000-0000-0000B2040000}"/>
    <cellStyle name="HeaderGrant 4 5 2" xfId="1319" xr:uid="{00000000-0005-0000-0000-0000B3040000}"/>
    <cellStyle name="HeaderGrant 4 5 3" xfId="1320" xr:uid="{00000000-0005-0000-0000-0000B4040000}"/>
    <cellStyle name="HeaderGrant 4 5 4" xfId="1321" xr:uid="{00000000-0005-0000-0000-0000B5040000}"/>
    <cellStyle name="HeaderGrant 4 5 5" xfId="1322" xr:uid="{00000000-0005-0000-0000-0000B6040000}"/>
    <cellStyle name="HeaderGrant 4 6" xfId="1323" xr:uid="{00000000-0005-0000-0000-0000B7040000}"/>
    <cellStyle name="HeaderGrant 4 6 2" xfId="1324" xr:uid="{00000000-0005-0000-0000-0000B8040000}"/>
    <cellStyle name="HeaderGrant 4 6 3" xfId="1325" xr:uid="{00000000-0005-0000-0000-0000B9040000}"/>
    <cellStyle name="HeaderGrant 4 6 4" xfId="1326" xr:uid="{00000000-0005-0000-0000-0000BA040000}"/>
    <cellStyle name="HeaderGrant 4 6 5" xfId="1327" xr:uid="{00000000-0005-0000-0000-0000BB040000}"/>
    <cellStyle name="HeaderGrant 4 7" xfId="1328" xr:uid="{00000000-0005-0000-0000-0000BC040000}"/>
    <cellStyle name="HeaderGrant 4 7 2" xfId="1329" xr:uid="{00000000-0005-0000-0000-0000BD040000}"/>
    <cellStyle name="HeaderGrant 4 7 3" xfId="1330" xr:uid="{00000000-0005-0000-0000-0000BE040000}"/>
    <cellStyle name="HeaderGrant 4 7 4" xfId="1331" xr:uid="{00000000-0005-0000-0000-0000BF040000}"/>
    <cellStyle name="HeaderGrant 4 7 5" xfId="1332" xr:uid="{00000000-0005-0000-0000-0000C0040000}"/>
    <cellStyle name="HeaderGrant 4 8" xfId="1333" xr:uid="{00000000-0005-0000-0000-0000C1040000}"/>
    <cellStyle name="HeaderGrant 4 8 2" xfId="1334" xr:uid="{00000000-0005-0000-0000-0000C2040000}"/>
    <cellStyle name="HeaderGrant 4 8 3" xfId="1335" xr:uid="{00000000-0005-0000-0000-0000C3040000}"/>
    <cellStyle name="HeaderGrant 4 8 4" xfId="1336" xr:uid="{00000000-0005-0000-0000-0000C4040000}"/>
    <cellStyle name="HeaderGrant 4 8 5" xfId="1337" xr:uid="{00000000-0005-0000-0000-0000C5040000}"/>
    <cellStyle name="HeaderGrant 4 9" xfId="1338" xr:uid="{00000000-0005-0000-0000-0000C6040000}"/>
    <cellStyle name="HeaderGrant 4 9 2" xfId="1339" xr:uid="{00000000-0005-0000-0000-0000C7040000}"/>
    <cellStyle name="HeaderGrant 4 9 3" xfId="1340" xr:uid="{00000000-0005-0000-0000-0000C8040000}"/>
    <cellStyle name="HeaderGrant 4 9 4" xfId="1341" xr:uid="{00000000-0005-0000-0000-0000C9040000}"/>
    <cellStyle name="HeaderGrant 4 9 5" xfId="1342" xr:uid="{00000000-0005-0000-0000-0000CA040000}"/>
    <cellStyle name="HeaderGrant 5" xfId="1343" xr:uid="{00000000-0005-0000-0000-0000CB040000}"/>
    <cellStyle name="HeaderGrant 5 10" xfId="1344" xr:uid="{00000000-0005-0000-0000-0000CC040000}"/>
    <cellStyle name="HeaderGrant 5 10 2" xfId="1345" xr:uid="{00000000-0005-0000-0000-0000CD040000}"/>
    <cellStyle name="HeaderGrant 5 10 3" xfId="1346" xr:uid="{00000000-0005-0000-0000-0000CE040000}"/>
    <cellStyle name="HeaderGrant 5 10 4" xfId="1347" xr:uid="{00000000-0005-0000-0000-0000CF040000}"/>
    <cellStyle name="HeaderGrant 5 10 5" xfId="1348" xr:uid="{00000000-0005-0000-0000-0000D0040000}"/>
    <cellStyle name="HeaderGrant 5 11" xfId="1349" xr:uid="{00000000-0005-0000-0000-0000D1040000}"/>
    <cellStyle name="HeaderGrant 5 11 2" xfId="1350" xr:uid="{00000000-0005-0000-0000-0000D2040000}"/>
    <cellStyle name="HeaderGrant 5 11 3" xfId="1351" xr:uid="{00000000-0005-0000-0000-0000D3040000}"/>
    <cellStyle name="HeaderGrant 5 11 4" xfId="1352" xr:uid="{00000000-0005-0000-0000-0000D4040000}"/>
    <cellStyle name="HeaderGrant 5 11 5" xfId="1353" xr:uid="{00000000-0005-0000-0000-0000D5040000}"/>
    <cellStyle name="HeaderGrant 5 12" xfId="1354" xr:uid="{00000000-0005-0000-0000-0000D6040000}"/>
    <cellStyle name="HeaderGrant 5 12 2" xfId="1355" xr:uid="{00000000-0005-0000-0000-0000D7040000}"/>
    <cellStyle name="HeaderGrant 5 12 3" xfId="1356" xr:uid="{00000000-0005-0000-0000-0000D8040000}"/>
    <cellStyle name="HeaderGrant 5 12 4" xfId="1357" xr:uid="{00000000-0005-0000-0000-0000D9040000}"/>
    <cellStyle name="HeaderGrant 5 12 5" xfId="1358" xr:uid="{00000000-0005-0000-0000-0000DA040000}"/>
    <cellStyle name="HeaderGrant 5 13" xfId="1359" xr:uid="{00000000-0005-0000-0000-0000DB040000}"/>
    <cellStyle name="HeaderGrant 5 13 2" xfId="1360" xr:uid="{00000000-0005-0000-0000-0000DC040000}"/>
    <cellStyle name="HeaderGrant 5 13 3" xfId="1361" xr:uid="{00000000-0005-0000-0000-0000DD040000}"/>
    <cellStyle name="HeaderGrant 5 13 4" xfId="1362" xr:uid="{00000000-0005-0000-0000-0000DE040000}"/>
    <cellStyle name="HeaderGrant 5 13 5" xfId="1363" xr:uid="{00000000-0005-0000-0000-0000DF040000}"/>
    <cellStyle name="HeaderGrant 5 14" xfId="1364" xr:uid="{00000000-0005-0000-0000-0000E0040000}"/>
    <cellStyle name="HeaderGrant 5 14 2" xfId="1365" xr:uid="{00000000-0005-0000-0000-0000E1040000}"/>
    <cellStyle name="HeaderGrant 5 14 3" xfId="1366" xr:uid="{00000000-0005-0000-0000-0000E2040000}"/>
    <cellStyle name="HeaderGrant 5 14 4" xfId="1367" xr:uid="{00000000-0005-0000-0000-0000E3040000}"/>
    <cellStyle name="HeaderGrant 5 14 5" xfId="1368" xr:uid="{00000000-0005-0000-0000-0000E4040000}"/>
    <cellStyle name="HeaderGrant 5 15" xfId="1369" xr:uid="{00000000-0005-0000-0000-0000E5040000}"/>
    <cellStyle name="HeaderGrant 5 15 2" xfId="1370" xr:uid="{00000000-0005-0000-0000-0000E6040000}"/>
    <cellStyle name="HeaderGrant 5 15 3" xfId="1371" xr:uid="{00000000-0005-0000-0000-0000E7040000}"/>
    <cellStyle name="HeaderGrant 5 15 4" xfId="1372" xr:uid="{00000000-0005-0000-0000-0000E8040000}"/>
    <cellStyle name="HeaderGrant 5 15 5" xfId="1373" xr:uid="{00000000-0005-0000-0000-0000E9040000}"/>
    <cellStyle name="HeaderGrant 5 16" xfId="1374" xr:uid="{00000000-0005-0000-0000-0000EA040000}"/>
    <cellStyle name="HeaderGrant 5 16 2" xfId="1375" xr:uid="{00000000-0005-0000-0000-0000EB040000}"/>
    <cellStyle name="HeaderGrant 5 16 3" xfId="1376" xr:uid="{00000000-0005-0000-0000-0000EC040000}"/>
    <cellStyle name="HeaderGrant 5 16 4" xfId="1377" xr:uid="{00000000-0005-0000-0000-0000ED040000}"/>
    <cellStyle name="HeaderGrant 5 16 5" xfId="1378" xr:uid="{00000000-0005-0000-0000-0000EE040000}"/>
    <cellStyle name="HeaderGrant 5 17" xfId="1379" xr:uid="{00000000-0005-0000-0000-0000EF040000}"/>
    <cellStyle name="HeaderGrant 5 17 2" xfId="1380" xr:uid="{00000000-0005-0000-0000-0000F0040000}"/>
    <cellStyle name="HeaderGrant 5 17 3" xfId="1381" xr:uid="{00000000-0005-0000-0000-0000F1040000}"/>
    <cellStyle name="HeaderGrant 5 17 4" xfId="1382" xr:uid="{00000000-0005-0000-0000-0000F2040000}"/>
    <cellStyle name="HeaderGrant 5 17 5" xfId="1383" xr:uid="{00000000-0005-0000-0000-0000F3040000}"/>
    <cellStyle name="HeaderGrant 5 18" xfId="1384" xr:uid="{00000000-0005-0000-0000-0000F4040000}"/>
    <cellStyle name="HeaderGrant 5 18 2" xfId="1385" xr:uid="{00000000-0005-0000-0000-0000F5040000}"/>
    <cellStyle name="HeaderGrant 5 18 3" xfId="1386" xr:uid="{00000000-0005-0000-0000-0000F6040000}"/>
    <cellStyle name="HeaderGrant 5 18 4" xfId="1387" xr:uid="{00000000-0005-0000-0000-0000F7040000}"/>
    <cellStyle name="HeaderGrant 5 18 5" xfId="1388" xr:uid="{00000000-0005-0000-0000-0000F8040000}"/>
    <cellStyle name="HeaderGrant 5 19" xfId="1389" xr:uid="{00000000-0005-0000-0000-0000F9040000}"/>
    <cellStyle name="HeaderGrant 5 19 2" xfId="1390" xr:uid="{00000000-0005-0000-0000-0000FA040000}"/>
    <cellStyle name="HeaderGrant 5 19 3" xfId="1391" xr:uid="{00000000-0005-0000-0000-0000FB040000}"/>
    <cellStyle name="HeaderGrant 5 19 4" xfId="1392" xr:uid="{00000000-0005-0000-0000-0000FC040000}"/>
    <cellStyle name="HeaderGrant 5 19 5" xfId="1393" xr:uid="{00000000-0005-0000-0000-0000FD040000}"/>
    <cellStyle name="HeaderGrant 5 2" xfId="1394" xr:uid="{00000000-0005-0000-0000-0000FE040000}"/>
    <cellStyle name="HeaderGrant 5 2 2" xfId="1395" xr:uid="{00000000-0005-0000-0000-0000FF040000}"/>
    <cellStyle name="HeaderGrant 5 2 3" xfId="1396" xr:uid="{00000000-0005-0000-0000-000000050000}"/>
    <cellStyle name="HeaderGrant 5 2 4" xfId="1397" xr:uid="{00000000-0005-0000-0000-000001050000}"/>
    <cellStyle name="HeaderGrant 5 2 5" xfId="1398" xr:uid="{00000000-0005-0000-0000-000002050000}"/>
    <cellStyle name="HeaderGrant 5 20" xfId="1399" xr:uid="{00000000-0005-0000-0000-000003050000}"/>
    <cellStyle name="HeaderGrant 5 20 2" xfId="1400" xr:uid="{00000000-0005-0000-0000-000004050000}"/>
    <cellStyle name="HeaderGrant 5 20 3" xfId="1401" xr:uid="{00000000-0005-0000-0000-000005050000}"/>
    <cellStyle name="HeaderGrant 5 20 4" xfId="1402" xr:uid="{00000000-0005-0000-0000-000006050000}"/>
    <cellStyle name="HeaderGrant 5 20 5" xfId="1403" xr:uid="{00000000-0005-0000-0000-000007050000}"/>
    <cellStyle name="HeaderGrant 5 21" xfId="1404" xr:uid="{00000000-0005-0000-0000-000008050000}"/>
    <cellStyle name="HeaderGrant 5 21 2" xfId="1405" xr:uid="{00000000-0005-0000-0000-000009050000}"/>
    <cellStyle name="HeaderGrant 5 21 3" xfId="1406" xr:uid="{00000000-0005-0000-0000-00000A050000}"/>
    <cellStyle name="HeaderGrant 5 21 4" xfId="1407" xr:uid="{00000000-0005-0000-0000-00000B050000}"/>
    <cellStyle name="HeaderGrant 5 21 5" xfId="1408" xr:uid="{00000000-0005-0000-0000-00000C050000}"/>
    <cellStyle name="HeaderGrant 5 22" xfId="1409" xr:uid="{00000000-0005-0000-0000-00000D050000}"/>
    <cellStyle name="HeaderGrant 5 22 2" xfId="1410" xr:uid="{00000000-0005-0000-0000-00000E050000}"/>
    <cellStyle name="HeaderGrant 5 22 3" xfId="1411" xr:uid="{00000000-0005-0000-0000-00000F050000}"/>
    <cellStyle name="HeaderGrant 5 22 4" xfId="1412" xr:uid="{00000000-0005-0000-0000-000010050000}"/>
    <cellStyle name="HeaderGrant 5 23" xfId="1413" xr:uid="{00000000-0005-0000-0000-000011050000}"/>
    <cellStyle name="HeaderGrant 5 23 2" xfId="1414" xr:uid="{00000000-0005-0000-0000-000012050000}"/>
    <cellStyle name="HeaderGrant 5 23 3" xfId="1415" xr:uid="{00000000-0005-0000-0000-000013050000}"/>
    <cellStyle name="HeaderGrant 5 23 4" xfId="1416" xr:uid="{00000000-0005-0000-0000-000014050000}"/>
    <cellStyle name="HeaderGrant 5 24" xfId="1417" xr:uid="{00000000-0005-0000-0000-000015050000}"/>
    <cellStyle name="HeaderGrant 5 24 2" xfId="1418" xr:uid="{00000000-0005-0000-0000-000016050000}"/>
    <cellStyle name="HeaderGrant 5 24 3" xfId="1419" xr:uid="{00000000-0005-0000-0000-000017050000}"/>
    <cellStyle name="HeaderGrant 5 24 4" xfId="1420" xr:uid="{00000000-0005-0000-0000-000018050000}"/>
    <cellStyle name="HeaderGrant 5 25" xfId="1421" xr:uid="{00000000-0005-0000-0000-000019050000}"/>
    <cellStyle name="HeaderGrant 5 25 2" xfId="1422" xr:uid="{00000000-0005-0000-0000-00001A050000}"/>
    <cellStyle name="HeaderGrant 5 25 3" xfId="1423" xr:uid="{00000000-0005-0000-0000-00001B050000}"/>
    <cellStyle name="HeaderGrant 5 25 4" xfId="1424" xr:uid="{00000000-0005-0000-0000-00001C050000}"/>
    <cellStyle name="HeaderGrant 5 3" xfId="1425" xr:uid="{00000000-0005-0000-0000-00001D050000}"/>
    <cellStyle name="HeaderGrant 5 3 2" xfId="1426" xr:uid="{00000000-0005-0000-0000-00001E050000}"/>
    <cellStyle name="HeaderGrant 5 3 3" xfId="1427" xr:uid="{00000000-0005-0000-0000-00001F050000}"/>
    <cellStyle name="HeaderGrant 5 3 4" xfId="1428" xr:uid="{00000000-0005-0000-0000-000020050000}"/>
    <cellStyle name="HeaderGrant 5 3 5" xfId="1429" xr:uid="{00000000-0005-0000-0000-000021050000}"/>
    <cellStyle name="HeaderGrant 5 4" xfId="1430" xr:uid="{00000000-0005-0000-0000-000022050000}"/>
    <cellStyle name="HeaderGrant 5 4 2" xfId="1431" xr:uid="{00000000-0005-0000-0000-000023050000}"/>
    <cellStyle name="HeaderGrant 5 4 3" xfId="1432" xr:uid="{00000000-0005-0000-0000-000024050000}"/>
    <cellStyle name="HeaderGrant 5 4 4" xfId="1433" xr:uid="{00000000-0005-0000-0000-000025050000}"/>
    <cellStyle name="HeaderGrant 5 4 5" xfId="1434" xr:uid="{00000000-0005-0000-0000-000026050000}"/>
    <cellStyle name="HeaderGrant 5 5" xfId="1435" xr:uid="{00000000-0005-0000-0000-000027050000}"/>
    <cellStyle name="HeaderGrant 5 5 2" xfId="1436" xr:uid="{00000000-0005-0000-0000-000028050000}"/>
    <cellStyle name="HeaderGrant 5 5 3" xfId="1437" xr:uid="{00000000-0005-0000-0000-000029050000}"/>
    <cellStyle name="HeaderGrant 5 5 4" xfId="1438" xr:uid="{00000000-0005-0000-0000-00002A050000}"/>
    <cellStyle name="HeaderGrant 5 5 5" xfId="1439" xr:uid="{00000000-0005-0000-0000-00002B050000}"/>
    <cellStyle name="HeaderGrant 5 6" xfId="1440" xr:uid="{00000000-0005-0000-0000-00002C050000}"/>
    <cellStyle name="HeaderGrant 5 6 2" xfId="1441" xr:uid="{00000000-0005-0000-0000-00002D050000}"/>
    <cellStyle name="HeaderGrant 5 6 3" xfId="1442" xr:uid="{00000000-0005-0000-0000-00002E050000}"/>
    <cellStyle name="HeaderGrant 5 6 4" xfId="1443" xr:uid="{00000000-0005-0000-0000-00002F050000}"/>
    <cellStyle name="HeaderGrant 5 6 5" xfId="1444" xr:uid="{00000000-0005-0000-0000-000030050000}"/>
    <cellStyle name="HeaderGrant 5 7" xfId="1445" xr:uid="{00000000-0005-0000-0000-000031050000}"/>
    <cellStyle name="HeaderGrant 5 7 2" xfId="1446" xr:uid="{00000000-0005-0000-0000-000032050000}"/>
    <cellStyle name="HeaderGrant 5 7 3" xfId="1447" xr:uid="{00000000-0005-0000-0000-000033050000}"/>
    <cellStyle name="HeaderGrant 5 7 4" xfId="1448" xr:uid="{00000000-0005-0000-0000-000034050000}"/>
    <cellStyle name="HeaderGrant 5 7 5" xfId="1449" xr:uid="{00000000-0005-0000-0000-000035050000}"/>
    <cellStyle name="HeaderGrant 5 8" xfId="1450" xr:uid="{00000000-0005-0000-0000-000036050000}"/>
    <cellStyle name="HeaderGrant 5 8 2" xfId="1451" xr:uid="{00000000-0005-0000-0000-000037050000}"/>
    <cellStyle name="HeaderGrant 5 8 3" xfId="1452" xr:uid="{00000000-0005-0000-0000-000038050000}"/>
    <cellStyle name="HeaderGrant 5 8 4" xfId="1453" xr:uid="{00000000-0005-0000-0000-000039050000}"/>
    <cellStyle name="HeaderGrant 5 8 5" xfId="1454" xr:uid="{00000000-0005-0000-0000-00003A050000}"/>
    <cellStyle name="HeaderGrant 5 9" xfId="1455" xr:uid="{00000000-0005-0000-0000-00003B050000}"/>
    <cellStyle name="HeaderGrant 5 9 2" xfId="1456" xr:uid="{00000000-0005-0000-0000-00003C050000}"/>
    <cellStyle name="HeaderGrant 5 9 3" xfId="1457" xr:uid="{00000000-0005-0000-0000-00003D050000}"/>
    <cellStyle name="HeaderGrant 5 9 4" xfId="1458" xr:uid="{00000000-0005-0000-0000-00003E050000}"/>
    <cellStyle name="HeaderGrant 5 9 5" xfId="1459" xr:uid="{00000000-0005-0000-0000-00003F050000}"/>
    <cellStyle name="HeaderGrant 6" xfId="1460" xr:uid="{00000000-0005-0000-0000-000040050000}"/>
    <cellStyle name="HeaderGrant 6 2" xfId="1461" xr:uid="{00000000-0005-0000-0000-000041050000}"/>
    <cellStyle name="HeaderGrant 6 3" xfId="1462" xr:uid="{00000000-0005-0000-0000-000042050000}"/>
    <cellStyle name="HeaderGrant 6 4" xfId="1463" xr:uid="{00000000-0005-0000-0000-000043050000}"/>
    <cellStyle name="HeaderGrant 6 5" xfId="1464" xr:uid="{00000000-0005-0000-0000-000044050000}"/>
    <cellStyle name="HeaderGrant 7" xfId="1465" xr:uid="{00000000-0005-0000-0000-000045050000}"/>
    <cellStyle name="HeaderGrant 7 2" xfId="1466" xr:uid="{00000000-0005-0000-0000-000046050000}"/>
    <cellStyle name="HeaderGrant 7 3" xfId="1467" xr:uid="{00000000-0005-0000-0000-000047050000}"/>
    <cellStyle name="HeaderGrant 7 4" xfId="1468" xr:uid="{00000000-0005-0000-0000-000048050000}"/>
    <cellStyle name="HeaderGrant 7 5" xfId="1469" xr:uid="{00000000-0005-0000-0000-000049050000}"/>
    <cellStyle name="HeaderGrant 8" xfId="1470" xr:uid="{00000000-0005-0000-0000-00004A050000}"/>
    <cellStyle name="HeaderGrant 8 2" xfId="1471" xr:uid="{00000000-0005-0000-0000-00004B050000}"/>
    <cellStyle name="HeaderGrant 8 3" xfId="1472" xr:uid="{00000000-0005-0000-0000-00004C050000}"/>
    <cellStyle name="HeaderGrant 8 4" xfId="1473" xr:uid="{00000000-0005-0000-0000-00004D050000}"/>
    <cellStyle name="HeaderGrant 8 5" xfId="1474" xr:uid="{00000000-0005-0000-0000-00004E050000}"/>
    <cellStyle name="HeaderGrant 9" xfId="1475" xr:uid="{00000000-0005-0000-0000-00004F050000}"/>
    <cellStyle name="HeaderGrant 9 2" xfId="1476" xr:uid="{00000000-0005-0000-0000-000050050000}"/>
    <cellStyle name="HeaderGrant 9 3" xfId="1477" xr:uid="{00000000-0005-0000-0000-000051050000}"/>
    <cellStyle name="HeaderGrant 9 4" xfId="1478" xr:uid="{00000000-0005-0000-0000-000052050000}"/>
    <cellStyle name="HeaderGrant 9 5" xfId="1479" xr:uid="{00000000-0005-0000-0000-000053050000}"/>
    <cellStyle name="HeaderLEA" xfId="71" xr:uid="{00000000-0005-0000-0000-000054050000}"/>
    <cellStyle name="Heading 1 2" xfId="72" xr:uid="{00000000-0005-0000-0000-000055050000}"/>
    <cellStyle name="Heading 1 2 2" xfId="1480" xr:uid="{00000000-0005-0000-0000-000056050000}"/>
    <cellStyle name="Heading 2 2" xfId="73" xr:uid="{00000000-0005-0000-0000-000057050000}"/>
    <cellStyle name="Heading 2 2 2" xfId="1481" xr:uid="{00000000-0005-0000-0000-000058050000}"/>
    <cellStyle name="Heading 3 2" xfId="74" xr:uid="{00000000-0005-0000-0000-000059050000}"/>
    <cellStyle name="Heading 3 2 2" xfId="1482" xr:uid="{00000000-0005-0000-0000-00005A050000}"/>
    <cellStyle name="Heading 4 2" xfId="75" xr:uid="{00000000-0005-0000-0000-00005B050000}"/>
    <cellStyle name="Heading 4 2 2" xfId="1483" xr:uid="{00000000-0005-0000-0000-00005C050000}"/>
    <cellStyle name="Heading 4 3" xfId="1484" xr:uid="{00000000-0005-0000-0000-00005D050000}"/>
    <cellStyle name="Hyperlink" xfId="3967" builtinId="8"/>
    <cellStyle name="Hyperlink 2" xfId="76" xr:uid="{00000000-0005-0000-0000-00005F050000}"/>
    <cellStyle name="Hyperlink 2 2" xfId="77" xr:uid="{00000000-0005-0000-0000-000060050000}"/>
    <cellStyle name="Hyperlink 2 2 2" xfId="1485" xr:uid="{00000000-0005-0000-0000-000061050000}"/>
    <cellStyle name="Hyperlink 2 3" xfId="1486" xr:uid="{00000000-0005-0000-0000-000062050000}"/>
    <cellStyle name="Hyperlink 2 3 2" xfId="3941" xr:uid="{00000000-0005-0000-0000-000063050000}"/>
    <cellStyle name="Hyperlink 2 4" xfId="1487" xr:uid="{00000000-0005-0000-0000-000064050000}"/>
    <cellStyle name="Hyperlink 2 5" xfId="1488" xr:uid="{00000000-0005-0000-0000-000065050000}"/>
    <cellStyle name="Hyperlink 3" xfId="78" xr:uid="{00000000-0005-0000-0000-000066050000}"/>
    <cellStyle name="Hyperlink 3 2" xfId="1489" xr:uid="{00000000-0005-0000-0000-000067050000}"/>
    <cellStyle name="Hyperlink 4" xfId="79" xr:uid="{00000000-0005-0000-0000-000068050000}"/>
    <cellStyle name="Hyperlink 4 2" xfId="1490" xr:uid="{00000000-0005-0000-0000-000069050000}"/>
    <cellStyle name="Hyperlink 5" xfId="80" xr:uid="{00000000-0005-0000-0000-00006A050000}"/>
    <cellStyle name="Imported" xfId="81" xr:uid="{00000000-0005-0000-0000-00006B050000}"/>
    <cellStyle name="imput" xfId="3927" xr:uid="{00000000-0005-0000-0000-00006C050000}"/>
    <cellStyle name="Input 2" xfId="82" xr:uid="{00000000-0005-0000-0000-00006D050000}"/>
    <cellStyle name="Input 2 10" xfId="1491" xr:uid="{00000000-0005-0000-0000-00006E050000}"/>
    <cellStyle name="Input 2 10 2" xfId="1492" xr:uid="{00000000-0005-0000-0000-00006F050000}"/>
    <cellStyle name="Input 2 10 3" xfId="1493" xr:uid="{00000000-0005-0000-0000-000070050000}"/>
    <cellStyle name="Input 2 10 4" xfId="1494" xr:uid="{00000000-0005-0000-0000-000071050000}"/>
    <cellStyle name="Input 2 10 5" xfId="1495" xr:uid="{00000000-0005-0000-0000-000072050000}"/>
    <cellStyle name="Input 2 11" xfId="1496" xr:uid="{00000000-0005-0000-0000-000073050000}"/>
    <cellStyle name="Input 2 11 2" xfId="1497" xr:uid="{00000000-0005-0000-0000-000074050000}"/>
    <cellStyle name="Input 2 11 3" xfId="1498" xr:uid="{00000000-0005-0000-0000-000075050000}"/>
    <cellStyle name="Input 2 11 4" xfId="1499" xr:uid="{00000000-0005-0000-0000-000076050000}"/>
    <cellStyle name="Input 2 11 5" xfId="1500" xr:uid="{00000000-0005-0000-0000-000077050000}"/>
    <cellStyle name="Input 2 12" xfId="1501" xr:uid="{00000000-0005-0000-0000-000078050000}"/>
    <cellStyle name="Input 2 12 2" xfId="1502" xr:uid="{00000000-0005-0000-0000-000079050000}"/>
    <cellStyle name="Input 2 12 3" xfId="1503" xr:uid="{00000000-0005-0000-0000-00007A050000}"/>
    <cellStyle name="Input 2 12 4" xfId="1504" xr:uid="{00000000-0005-0000-0000-00007B050000}"/>
    <cellStyle name="Input 2 12 5" xfId="1505" xr:uid="{00000000-0005-0000-0000-00007C050000}"/>
    <cellStyle name="Input 2 13" xfId="1506" xr:uid="{00000000-0005-0000-0000-00007D050000}"/>
    <cellStyle name="Input 2 13 2" xfId="1507" xr:uid="{00000000-0005-0000-0000-00007E050000}"/>
    <cellStyle name="Input 2 13 3" xfId="1508" xr:uid="{00000000-0005-0000-0000-00007F050000}"/>
    <cellStyle name="Input 2 13 4" xfId="1509" xr:uid="{00000000-0005-0000-0000-000080050000}"/>
    <cellStyle name="Input 2 14" xfId="1510" xr:uid="{00000000-0005-0000-0000-000081050000}"/>
    <cellStyle name="Input 2 14 2" xfId="1511" xr:uid="{00000000-0005-0000-0000-000082050000}"/>
    <cellStyle name="Input 2 14 3" xfId="1512" xr:uid="{00000000-0005-0000-0000-000083050000}"/>
    <cellStyle name="Input 2 14 4" xfId="1513" xr:uid="{00000000-0005-0000-0000-000084050000}"/>
    <cellStyle name="Input 2 15" xfId="1514" xr:uid="{00000000-0005-0000-0000-000085050000}"/>
    <cellStyle name="Input 2 15 2" xfId="1515" xr:uid="{00000000-0005-0000-0000-000086050000}"/>
    <cellStyle name="Input 2 15 3" xfId="1516" xr:uid="{00000000-0005-0000-0000-000087050000}"/>
    <cellStyle name="Input 2 15 4" xfId="1517" xr:uid="{00000000-0005-0000-0000-000088050000}"/>
    <cellStyle name="Input 2 16" xfId="1518" xr:uid="{00000000-0005-0000-0000-000089050000}"/>
    <cellStyle name="Input 2 2" xfId="1519" xr:uid="{00000000-0005-0000-0000-00008A050000}"/>
    <cellStyle name="Input 2 2 10" xfId="1520" xr:uid="{00000000-0005-0000-0000-00008B050000}"/>
    <cellStyle name="Input 2 2 10 2" xfId="1521" xr:uid="{00000000-0005-0000-0000-00008C050000}"/>
    <cellStyle name="Input 2 2 10 3" xfId="1522" xr:uid="{00000000-0005-0000-0000-00008D050000}"/>
    <cellStyle name="Input 2 2 10 4" xfId="1523" xr:uid="{00000000-0005-0000-0000-00008E050000}"/>
    <cellStyle name="Input 2 2 10 5" xfId="1524" xr:uid="{00000000-0005-0000-0000-00008F050000}"/>
    <cellStyle name="Input 2 2 11" xfId="1525" xr:uid="{00000000-0005-0000-0000-000090050000}"/>
    <cellStyle name="Input 2 2 11 2" xfId="1526" xr:uid="{00000000-0005-0000-0000-000091050000}"/>
    <cellStyle name="Input 2 2 11 3" xfId="1527" xr:uid="{00000000-0005-0000-0000-000092050000}"/>
    <cellStyle name="Input 2 2 11 4" xfId="1528" xr:uid="{00000000-0005-0000-0000-000093050000}"/>
    <cellStyle name="Input 2 2 11 5" xfId="1529" xr:uid="{00000000-0005-0000-0000-000094050000}"/>
    <cellStyle name="Input 2 2 12" xfId="1530" xr:uid="{00000000-0005-0000-0000-000095050000}"/>
    <cellStyle name="Input 2 2 12 2" xfId="1531" xr:uid="{00000000-0005-0000-0000-000096050000}"/>
    <cellStyle name="Input 2 2 12 3" xfId="1532" xr:uid="{00000000-0005-0000-0000-000097050000}"/>
    <cellStyle name="Input 2 2 12 4" xfId="1533" xr:uid="{00000000-0005-0000-0000-000098050000}"/>
    <cellStyle name="Input 2 2 12 5" xfId="1534" xr:uid="{00000000-0005-0000-0000-000099050000}"/>
    <cellStyle name="Input 2 2 13" xfId="1535" xr:uid="{00000000-0005-0000-0000-00009A050000}"/>
    <cellStyle name="Input 2 2 13 2" xfId="1536" xr:uid="{00000000-0005-0000-0000-00009B050000}"/>
    <cellStyle name="Input 2 2 13 3" xfId="1537" xr:uid="{00000000-0005-0000-0000-00009C050000}"/>
    <cellStyle name="Input 2 2 13 4" xfId="1538" xr:uid="{00000000-0005-0000-0000-00009D050000}"/>
    <cellStyle name="Input 2 2 13 5" xfId="1539" xr:uid="{00000000-0005-0000-0000-00009E050000}"/>
    <cellStyle name="Input 2 2 14" xfId="1540" xr:uid="{00000000-0005-0000-0000-00009F050000}"/>
    <cellStyle name="Input 2 2 14 2" xfId="1541" xr:uid="{00000000-0005-0000-0000-0000A0050000}"/>
    <cellStyle name="Input 2 2 14 3" xfId="1542" xr:uid="{00000000-0005-0000-0000-0000A1050000}"/>
    <cellStyle name="Input 2 2 14 4" xfId="1543" xr:uid="{00000000-0005-0000-0000-0000A2050000}"/>
    <cellStyle name="Input 2 2 14 5" xfId="1544" xr:uid="{00000000-0005-0000-0000-0000A3050000}"/>
    <cellStyle name="Input 2 2 15" xfId="1545" xr:uid="{00000000-0005-0000-0000-0000A4050000}"/>
    <cellStyle name="Input 2 2 15 2" xfId="1546" xr:uid="{00000000-0005-0000-0000-0000A5050000}"/>
    <cellStyle name="Input 2 2 15 3" xfId="1547" xr:uid="{00000000-0005-0000-0000-0000A6050000}"/>
    <cellStyle name="Input 2 2 15 4" xfId="1548" xr:uid="{00000000-0005-0000-0000-0000A7050000}"/>
    <cellStyle name="Input 2 2 15 5" xfId="1549" xr:uid="{00000000-0005-0000-0000-0000A8050000}"/>
    <cellStyle name="Input 2 2 16" xfId="1550" xr:uid="{00000000-0005-0000-0000-0000A9050000}"/>
    <cellStyle name="Input 2 2 16 2" xfId="1551" xr:uid="{00000000-0005-0000-0000-0000AA050000}"/>
    <cellStyle name="Input 2 2 16 3" xfId="1552" xr:uid="{00000000-0005-0000-0000-0000AB050000}"/>
    <cellStyle name="Input 2 2 16 4" xfId="1553" xr:uid="{00000000-0005-0000-0000-0000AC050000}"/>
    <cellStyle name="Input 2 2 16 5" xfId="1554" xr:uid="{00000000-0005-0000-0000-0000AD050000}"/>
    <cellStyle name="Input 2 2 17" xfId="1555" xr:uid="{00000000-0005-0000-0000-0000AE050000}"/>
    <cellStyle name="Input 2 2 17 2" xfId="1556" xr:uid="{00000000-0005-0000-0000-0000AF050000}"/>
    <cellStyle name="Input 2 2 17 3" xfId="1557" xr:uid="{00000000-0005-0000-0000-0000B0050000}"/>
    <cellStyle name="Input 2 2 17 4" xfId="1558" xr:uid="{00000000-0005-0000-0000-0000B1050000}"/>
    <cellStyle name="Input 2 2 17 5" xfId="1559" xr:uid="{00000000-0005-0000-0000-0000B2050000}"/>
    <cellStyle name="Input 2 2 18" xfId="1560" xr:uid="{00000000-0005-0000-0000-0000B3050000}"/>
    <cellStyle name="Input 2 2 18 2" xfId="1561" xr:uid="{00000000-0005-0000-0000-0000B4050000}"/>
    <cellStyle name="Input 2 2 18 3" xfId="1562" xr:uid="{00000000-0005-0000-0000-0000B5050000}"/>
    <cellStyle name="Input 2 2 18 4" xfId="1563" xr:uid="{00000000-0005-0000-0000-0000B6050000}"/>
    <cellStyle name="Input 2 2 18 5" xfId="1564" xr:uid="{00000000-0005-0000-0000-0000B7050000}"/>
    <cellStyle name="Input 2 2 19" xfId="1565" xr:uid="{00000000-0005-0000-0000-0000B8050000}"/>
    <cellStyle name="Input 2 2 19 2" xfId="1566" xr:uid="{00000000-0005-0000-0000-0000B9050000}"/>
    <cellStyle name="Input 2 2 19 3" xfId="1567" xr:uid="{00000000-0005-0000-0000-0000BA050000}"/>
    <cellStyle name="Input 2 2 19 4" xfId="1568" xr:uid="{00000000-0005-0000-0000-0000BB050000}"/>
    <cellStyle name="Input 2 2 2" xfId="1569" xr:uid="{00000000-0005-0000-0000-0000BC050000}"/>
    <cellStyle name="Input 2 2 2 2" xfId="1570" xr:uid="{00000000-0005-0000-0000-0000BD050000}"/>
    <cellStyle name="Input 2 2 2 3" xfId="1571" xr:uid="{00000000-0005-0000-0000-0000BE050000}"/>
    <cellStyle name="Input 2 2 2 4" xfId="1572" xr:uid="{00000000-0005-0000-0000-0000BF050000}"/>
    <cellStyle name="Input 2 2 2 5" xfId="1573" xr:uid="{00000000-0005-0000-0000-0000C0050000}"/>
    <cellStyle name="Input 2 2 20" xfId="1574" xr:uid="{00000000-0005-0000-0000-0000C1050000}"/>
    <cellStyle name="Input 2 2 20 2" xfId="1575" xr:uid="{00000000-0005-0000-0000-0000C2050000}"/>
    <cellStyle name="Input 2 2 20 3" xfId="1576" xr:uid="{00000000-0005-0000-0000-0000C3050000}"/>
    <cellStyle name="Input 2 2 20 4" xfId="1577" xr:uid="{00000000-0005-0000-0000-0000C4050000}"/>
    <cellStyle name="Input 2 2 21" xfId="1578" xr:uid="{00000000-0005-0000-0000-0000C5050000}"/>
    <cellStyle name="Input 2 2 21 2" xfId="1579" xr:uid="{00000000-0005-0000-0000-0000C6050000}"/>
    <cellStyle name="Input 2 2 21 3" xfId="1580" xr:uid="{00000000-0005-0000-0000-0000C7050000}"/>
    <cellStyle name="Input 2 2 21 4" xfId="1581" xr:uid="{00000000-0005-0000-0000-0000C8050000}"/>
    <cellStyle name="Input 2 2 22" xfId="1582" xr:uid="{00000000-0005-0000-0000-0000C9050000}"/>
    <cellStyle name="Input 2 2 22 2" xfId="1583" xr:uid="{00000000-0005-0000-0000-0000CA050000}"/>
    <cellStyle name="Input 2 2 22 3" xfId="1584" xr:uid="{00000000-0005-0000-0000-0000CB050000}"/>
    <cellStyle name="Input 2 2 22 4" xfId="1585" xr:uid="{00000000-0005-0000-0000-0000CC050000}"/>
    <cellStyle name="Input 2 2 23" xfId="1586" xr:uid="{00000000-0005-0000-0000-0000CD050000}"/>
    <cellStyle name="Input 2 2 3" xfId="1587" xr:uid="{00000000-0005-0000-0000-0000CE050000}"/>
    <cellStyle name="Input 2 2 3 2" xfId="1588" xr:uid="{00000000-0005-0000-0000-0000CF050000}"/>
    <cellStyle name="Input 2 2 3 3" xfId="1589" xr:uid="{00000000-0005-0000-0000-0000D0050000}"/>
    <cellStyle name="Input 2 2 3 4" xfId="1590" xr:uid="{00000000-0005-0000-0000-0000D1050000}"/>
    <cellStyle name="Input 2 2 3 5" xfId="1591" xr:uid="{00000000-0005-0000-0000-0000D2050000}"/>
    <cellStyle name="Input 2 2 4" xfId="1592" xr:uid="{00000000-0005-0000-0000-0000D3050000}"/>
    <cellStyle name="Input 2 2 4 2" xfId="1593" xr:uid="{00000000-0005-0000-0000-0000D4050000}"/>
    <cellStyle name="Input 2 2 4 3" xfId="1594" xr:uid="{00000000-0005-0000-0000-0000D5050000}"/>
    <cellStyle name="Input 2 2 4 4" xfId="1595" xr:uid="{00000000-0005-0000-0000-0000D6050000}"/>
    <cellStyle name="Input 2 2 4 5" xfId="1596" xr:uid="{00000000-0005-0000-0000-0000D7050000}"/>
    <cellStyle name="Input 2 2 5" xfId="1597" xr:uid="{00000000-0005-0000-0000-0000D8050000}"/>
    <cellStyle name="Input 2 2 5 2" xfId="1598" xr:uid="{00000000-0005-0000-0000-0000D9050000}"/>
    <cellStyle name="Input 2 2 5 3" xfId="1599" xr:uid="{00000000-0005-0000-0000-0000DA050000}"/>
    <cellStyle name="Input 2 2 5 4" xfId="1600" xr:uid="{00000000-0005-0000-0000-0000DB050000}"/>
    <cellStyle name="Input 2 2 5 5" xfId="1601" xr:uid="{00000000-0005-0000-0000-0000DC050000}"/>
    <cellStyle name="Input 2 2 6" xfId="1602" xr:uid="{00000000-0005-0000-0000-0000DD050000}"/>
    <cellStyle name="Input 2 2 6 2" xfId="1603" xr:uid="{00000000-0005-0000-0000-0000DE050000}"/>
    <cellStyle name="Input 2 2 6 3" xfId="1604" xr:uid="{00000000-0005-0000-0000-0000DF050000}"/>
    <cellStyle name="Input 2 2 6 4" xfId="1605" xr:uid="{00000000-0005-0000-0000-0000E0050000}"/>
    <cellStyle name="Input 2 2 6 5" xfId="1606" xr:uid="{00000000-0005-0000-0000-0000E1050000}"/>
    <cellStyle name="Input 2 2 7" xfId="1607" xr:uid="{00000000-0005-0000-0000-0000E2050000}"/>
    <cellStyle name="Input 2 2 7 2" xfId="1608" xr:uid="{00000000-0005-0000-0000-0000E3050000}"/>
    <cellStyle name="Input 2 2 7 3" xfId="1609" xr:uid="{00000000-0005-0000-0000-0000E4050000}"/>
    <cellStyle name="Input 2 2 7 4" xfId="1610" xr:uid="{00000000-0005-0000-0000-0000E5050000}"/>
    <cellStyle name="Input 2 2 7 5" xfId="1611" xr:uid="{00000000-0005-0000-0000-0000E6050000}"/>
    <cellStyle name="Input 2 2 8" xfId="1612" xr:uid="{00000000-0005-0000-0000-0000E7050000}"/>
    <cellStyle name="Input 2 2 8 2" xfId="1613" xr:uid="{00000000-0005-0000-0000-0000E8050000}"/>
    <cellStyle name="Input 2 2 8 3" xfId="1614" xr:uid="{00000000-0005-0000-0000-0000E9050000}"/>
    <cellStyle name="Input 2 2 8 4" xfId="1615" xr:uid="{00000000-0005-0000-0000-0000EA050000}"/>
    <cellStyle name="Input 2 2 8 5" xfId="1616" xr:uid="{00000000-0005-0000-0000-0000EB050000}"/>
    <cellStyle name="Input 2 2 9" xfId="1617" xr:uid="{00000000-0005-0000-0000-0000EC050000}"/>
    <cellStyle name="Input 2 2 9 2" xfId="1618" xr:uid="{00000000-0005-0000-0000-0000ED050000}"/>
    <cellStyle name="Input 2 2 9 3" xfId="1619" xr:uid="{00000000-0005-0000-0000-0000EE050000}"/>
    <cellStyle name="Input 2 2 9 4" xfId="1620" xr:uid="{00000000-0005-0000-0000-0000EF050000}"/>
    <cellStyle name="Input 2 2 9 5" xfId="1621" xr:uid="{00000000-0005-0000-0000-0000F0050000}"/>
    <cellStyle name="Input 2 3" xfId="1622" xr:uid="{00000000-0005-0000-0000-0000F1050000}"/>
    <cellStyle name="Input 2 3 10" xfId="1623" xr:uid="{00000000-0005-0000-0000-0000F2050000}"/>
    <cellStyle name="Input 2 3 10 2" xfId="1624" xr:uid="{00000000-0005-0000-0000-0000F3050000}"/>
    <cellStyle name="Input 2 3 10 3" xfId="1625" xr:uid="{00000000-0005-0000-0000-0000F4050000}"/>
    <cellStyle name="Input 2 3 10 4" xfId="1626" xr:uid="{00000000-0005-0000-0000-0000F5050000}"/>
    <cellStyle name="Input 2 3 10 5" xfId="1627" xr:uid="{00000000-0005-0000-0000-0000F6050000}"/>
    <cellStyle name="Input 2 3 11" xfId="1628" xr:uid="{00000000-0005-0000-0000-0000F7050000}"/>
    <cellStyle name="Input 2 3 11 2" xfId="1629" xr:uid="{00000000-0005-0000-0000-0000F8050000}"/>
    <cellStyle name="Input 2 3 11 3" xfId="1630" xr:uid="{00000000-0005-0000-0000-0000F9050000}"/>
    <cellStyle name="Input 2 3 11 4" xfId="1631" xr:uid="{00000000-0005-0000-0000-0000FA050000}"/>
    <cellStyle name="Input 2 3 11 5" xfId="1632" xr:uid="{00000000-0005-0000-0000-0000FB050000}"/>
    <cellStyle name="Input 2 3 12" xfId="1633" xr:uid="{00000000-0005-0000-0000-0000FC050000}"/>
    <cellStyle name="Input 2 3 12 2" xfId="1634" xr:uid="{00000000-0005-0000-0000-0000FD050000}"/>
    <cellStyle name="Input 2 3 12 3" xfId="1635" xr:uid="{00000000-0005-0000-0000-0000FE050000}"/>
    <cellStyle name="Input 2 3 12 4" xfId="1636" xr:uid="{00000000-0005-0000-0000-0000FF050000}"/>
    <cellStyle name="Input 2 3 12 5" xfId="1637" xr:uid="{00000000-0005-0000-0000-000000060000}"/>
    <cellStyle name="Input 2 3 13" xfId="1638" xr:uid="{00000000-0005-0000-0000-000001060000}"/>
    <cellStyle name="Input 2 3 13 2" xfId="1639" xr:uid="{00000000-0005-0000-0000-000002060000}"/>
    <cellStyle name="Input 2 3 13 3" xfId="1640" xr:uid="{00000000-0005-0000-0000-000003060000}"/>
    <cellStyle name="Input 2 3 13 4" xfId="1641" xr:uid="{00000000-0005-0000-0000-000004060000}"/>
    <cellStyle name="Input 2 3 13 5" xfId="1642" xr:uid="{00000000-0005-0000-0000-000005060000}"/>
    <cellStyle name="Input 2 3 14" xfId="1643" xr:uid="{00000000-0005-0000-0000-000006060000}"/>
    <cellStyle name="Input 2 3 14 2" xfId="1644" xr:uid="{00000000-0005-0000-0000-000007060000}"/>
    <cellStyle name="Input 2 3 14 3" xfId="1645" xr:uid="{00000000-0005-0000-0000-000008060000}"/>
    <cellStyle name="Input 2 3 14 4" xfId="1646" xr:uid="{00000000-0005-0000-0000-000009060000}"/>
    <cellStyle name="Input 2 3 14 5" xfId="1647" xr:uid="{00000000-0005-0000-0000-00000A060000}"/>
    <cellStyle name="Input 2 3 15" xfId="1648" xr:uid="{00000000-0005-0000-0000-00000B060000}"/>
    <cellStyle name="Input 2 3 15 2" xfId="1649" xr:uid="{00000000-0005-0000-0000-00000C060000}"/>
    <cellStyle name="Input 2 3 15 3" xfId="1650" xr:uid="{00000000-0005-0000-0000-00000D060000}"/>
    <cellStyle name="Input 2 3 15 4" xfId="1651" xr:uid="{00000000-0005-0000-0000-00000E060000}"/>
    <cellStyle name="Input 2 3 15 5" xfId="1652" xr:uid="{00000000-0005-0000-0000-00000F060000}"/>
    <cellStyle name="Input 2 3 16" xfId="1653" xr:uid="{00000000-0005-0000-0000-000010060000}"/>
    <cellStyle name="Input 2 3 16 2" xfId="1654" xr:uid="{00000000-0005-0000-0000-000011060000}"/>
    <cellStyle name="Input 2 3 16 3" xfId="1655" xr:uid="{00000000-0005-0000-0000-000012060000}"/>
    <cellStyle name="Input 2 3 16 4" xfId="1656" xr:uid="{00000000-0005-0000-0000-000013060000}"/>
    <cellStyle name="Input 2 3 16 5" xfId="1657" xr:uid="{00000000-0005-0000-0000-000014060000}"/>
    <cellStyle name="Input 2 3 17" xfId="1658" xr:uid="{00000000-0005-0000-0000-000015060000}"/>
    <cellStyle name="Input 2 3 17 2" xfId="1659" xr:uid="{00000000-0005-0000-0000-000016060000}"/>
    <cellStyle name="Input 2 3 17 3" xfId="1660" xr:uid="{00000000-0005-0000-0000-000017060000}"/>
    <cellStyle name="Input 2 3 17 4" xfId="1661" xr:uid="{00000000-0005-0000-0000-000018060000}"/>
    <cellStyle name="Input 2 3 17 5" xfId="1662" xr:uid="{00000000-0005-0000-0000-000019060000}"/>
    <cellStyle name="Input 2 3 18" xfId="1663" xr:uid="{00000000-0005-0000-0000-00001A060000}"/>
    <cellStyle name="Input 2 3 18 2" xfId="1664" xr:uid="{00000000-0005-0000-0000-00001B060000}"/>
    <cellStyle name="Input 2 3 18 3" xfId="1665" xr:uid="{00000000-0005-0000-0000-00001C060000}"/>
    <cellStyle name="Input 2 3 18 4" xfId="1666" xr:uid="{00000000-0005-0000-0000-00001D060000}"/>
    <cellStyle name="Input 2 3 18 5" xfId="1667" xr:uid="{00000000-0005-0000-0000-00001E060000}"/>
    <cellStyle name="Input 2 3 19" xfId="1668" xr:uid="{00000000-0005-0000-0000-00001F060000}"/>
    <cellStyle name="Input 2 3 19 2" xfId="1669" xr:uid="{00000000-0005-0000-0000-000020060000}"/>
    <cellStyle name="Input 2 3 19 3" xfId="1670" xr:uid="{00000000-0005-0000-0000-000021060000}"/>
    <cellStyle name="Input 2 3 19 4" xfId="1671" xr:uid="{00000000-0005-0000-0000-000022060000}"/>
    <cellStyle name="Input 2 3 2" xfId="1672" xr:uid="{00000000-0005-0000-0000-000023060000}"/>
    <cellStyle name="Input 2 3 2 2" xfId="1673" xr:uid="{00000000-0005-0000-0000-000024060000}"/>
    <cellStyle name="Input 2 3 2 3" xfId="1674" xr:uid="{00000000-0005-0000-0000-000025060000}"/>
    <cellStyle name="Input 2 3 2 4" xfId="1675" xr:uid="{00000000-0005-0000-0000-000026060000}"/>
    <cellStyle name="Input 2 3 2 5" xfId="1676" xr:uid="{00000000-0005-0000-0000-000027060000}"/>
    <cellStyle name="Input 2 3 20" xfId="1677" xr:uid="{00000000-0005-0000-0000-000028060000}"/>
    <cellStyle name="Input 2 3 20 2" xfId="1678" xr:uid="{00000000-0005-0000-0000-000029060000}"/>
    <cellStyle name="Input 2 3 20 3" xfId="1679" xr:uid="{00000000-0005-0000-0000-00002A060000}"/>
    <cellStyle name="Input 2 3 20 4" xfId="1680" xr:uid="{00000000-0005-0000-0000-00002B060000}"/>
    <cellStyle name="Input 2 3 21" xfId="1681" xr:uid="{00000000-0005-0000-0000-00002C060000}"/>
    <cellStyle name="Input 2 3 21 2" xfId="1682" xr:uid="{00000000-0005-0000-0000-00002D060000}"/>
    <cellStyle name="Input 2 3 21 3" xfId="1683" xr:uid="{00000000-0005-0000-0000-00002E060000}"/>
    <cellStyle name="Input 2 3 21 4" xfId="1684" xr:uid="{00000000-0005-0000-0000-00002F060000}"/>
    <cellStyle name="Input 2 3 22" xfId="1685" xr:uid="{00000000-0005-0000-0000-000030060000}"/>
    <cellStyle name="Input 2 3 22 2" xfId="1686" xr:uid="{00000000-0005-0000-0000-000031060000}"/>
    <cellStyle name="Input 2 3 22 3" xfId="1687" xr:uid="{00000000-0005-0000-0000-000032060000}"/>
    <cellStyle name="Input 2 3 22 4" xfId="1688" xr:uid="{00000000-0005-0000-0000-000033060000}"/>
    <cellStyle name="Input 2 3 23" xfId="1689" xr:uid="{00000000-0005-0000-0000-000034060000}"/>
    <cellStyle name="Input 2 3 3" xfId="1690" xr:uid="{00000000-0005-0000-0000-000035060000}"/>
    <cellStyle name="Input 2 3 3 2" xfId="1691" xr:uid="{00000000-0005-0000-0000-000036060000}"/>
    <cellStyle name="Input 2 3 3 3" xfId="1692" xr:uid="{00000000-0005-0000-0000-000037060000}"/>
    <cellStyle name="Input 2 3 3 4" xfId="1693" xr:uid="{00000000-0005-0000-0000-000038060000}"/>
    <cellStyle name="Input 2 3 3 5" xfId="1694" xr:uid="{00000000-0005-0000-0000-000039060000}"/>
    <cellStyle name="Input 2 3 4" xfId="1695" xr:uid="{00000000-0005-0000-0000-00003A060000}"/>
    <cellStyle name="Input 2 3 4 2" xfId="1696" xr:uid="{00000000-0005-0000-0000-00003B060000}"/>
    <cellStyle name="Input 2 3 4 3" xfId="1697" xr:uid="{00000000-0005-0000-0000-00003C060000}"/>
    <cellStyle name="Input 2 3 4 4" xfId="1698" xr:uid="{00000000-0005-0000-0000-00003D060000}"/>
    <cellStyle name="Input 2 3 4 5" xfId="1699" xr:uid="{00000000-0005-0000-0000-00003E060000}"/>
    <cellStyle name="Input 2 3 5" xfId="1700" xr:uid="{00000000-0005-0000-0000-00003F060000}"/>
    <cellStyle name="Input 2 3 5 2" xfId="1701" xr:uid="{00000000-0005-0000-0000-000040060000}"/>
    <cellStyle name="Input 2 3 5 3" xfId="1702" xr:uid="{00000000-0005-0000-0000-000041060000}"/>
    <cellStyle name="Input 2 3 5 4" xfId="1703" xr:uid="{00000000-0005-0000-0000-000042060000}"/>
    <cellStyle name="Input 2 3 5 5" xfId="1704" xr:uid="{00000000-0005-0000-0000-000043060000}"/>
    <cellStyle name="Input 2 3 6" xfId="1705" xr:uid="{00000000-0005-0000-0000-000044060000}"/>
    <cellStyle name="Input 2 3 6 2" xfId="1706" xr:uid="{00000000-0005-0000-0000-000045060000}"/>
    <cellStyle name="Input 2 3 6 3" xfId="1707" xr:uid="{00000000-0005-0000-0000-000046060000}"/>
    <cellStyle name="Input 2 3 6 4" xfId="1708" xr:uid="{00000000-0005-0000-0000-000047060000}"/>
    <cellStyle name="Input 2 3 6 5" xfId="1709" xr:uid="{00000000-0005-0000-0000-000048060000}"/>
    <cellStyle name="Input 2 3 7" xfId="1710" xr:uid="{00000000-0005-0000-0000-000049060000}"/>
    <cellStyle name="Input 2 3 7 2" xfId="1711" xr:uid="{00000000-0005-0000-0000-00004A060000}"/>
    <cellStyle name="Input 2 3 7 3" xfId="1712" xr:uid="{00000000-0005-0000-0000-00004B060000}"/>
    <cellStyle name="Input 2 3 7 4" xfId="1713" xr:uid="{00000000-0005-0000-0000-00004C060000}"/>
    <cellStyle name="Input 2 3 7 5" xfId="1714" xr:uid="{00000000-0005-0000-0000-00004D060000}"/>
    <cellStyle name="Input 2 3 8" xfId="1715" xr:uid="{00000000-0005-0000-0000-00004E060000}"/>
    <cellStyle name="Input 2 3 8 2" xfId="1716" xr:uid="{00000000-0005-0000-0000-00004F060000}"/>
    <cellStyle name="Input 2 3 8 3" xfId="1717" xr:uid="{00000000-0005-0000-0000-000050060000}"/>
    <cellStyle name="Input 2 3 8 4" xfId="1718" xr:uid="{00000000-0005-0000-0000-000051060000}"/>
    <cellStyle name="Input 2 3 8 5" xfId="1719" xr:uid="{00000000-0005-0000-0000-000052060000}"/>
    <cellStyle name="Input 2 3 9" xfId="1720" xr:uid="{00000000-0005-0000-0000-000053060000}"/>
    <cellStyle name="Input 2 3 9 2" xfId="1721" xr:uid="{00000000-0005-0000-0000-000054060000}"/>
    <cellStyle name="Input 2 3 9 3" xfId="1722" xr:uid="{00000000-0005-0000-0000-000055060000}"/>
    <cellStyle name="Input 2 3 9 4" xfId="1723" xr:uid="{00000000-0005-0000-0000-000056060000}"/>
    <cellStyle name="Input 2 3 9 5" xfId="1724" xr:uid="{00000000-0005-0000-0000-000057060000}"/>
    <cellStyle name="Input 2 4" xfId="1725" xr:uid="{00000000-0005-0000-0000-000058060000}"/>
    <cellStyle name="Input 2 4 10" xfId="1726" xr:uid="{00000000-0005-0000-0000-000059060000}"/>
    <cellStyle name="Input 2 4 10 2" xfId="1727" xr:uid="{00000000-0005-0000-0000-00005A060000}"/>
    <cellStyle name="Input 2 4 10 3" xfId="1728" xr:uid="{00000000-0005-0000-0000-00005B060000}"/>
    <cellStyle name="Input 2 4 10 4" xfId="1729" xr:uid="{00000000-0005-0000-0000-00005C060000}"/>
    <cellStyle name="Input 2 4 10 5" xfId="1730" xr:uid="{00000000-0005-0000-0000-00005D060000}"/>
    <cellStyle name="Input 2 4 11" xfId="1731" xr:uid="{00000000-0005-0000-0000-00005E060000}"/>
    <cellStyle name="Input 2 4 11 2" xfId="1732" xr:uid="{00000000-0005-0000-0000-00005F060000}"/>
    <cellStyle name="Input 2 4 11 3" xfId="1733" xr:uid="{00000000-0005-0000-0000-000060060000}"/>
    <cellStyle name="Input 2 4 11 4" xfId="1734" xr:uid="{00000000-0005-0000-0000-000061060000}"/>
    <cellStyle name="Input 2 4 11 5" xfId="1735" xr:uid="{00000000-0005-0000-0000-000062060000}"/>
    <cellStyle name="Input 2 4 12" xfId="1736" xr:uid="{00000000-0005-0000-0000-000063060000}"/>
    <cellStyle name="Input 2 4 12 2" xfId="1737" xr:uid="{00000000-0005-0000-0000-000064060000}"/>
    <cellStyle name="Input 2 4 12 3" xfId="1738" xr:uid="{00000000-0005-0000-0000-000065060000}"/>
    <cellStyle name="Input 2 4 12 4" xfId="1739" xr:uid="{00000000-0005-0000-0000-000066060000}"/>
    <cellStyle name="Input 2 4 12 5" xfId="1740" xr:uid="{00000000-0005-0000-0000-000067060000}"/>
    <cellStyle name="Input 2 4 13" xfId="1741" xr:uid="{00000000-0005-0000-0000-000068060000}"/>
    <cellStyle name="Input 2 4 13 2" xfId="1742" xr:uid="{00000000-0005-0000-0000-000069060000}"/>
    <cellStyle name="Input 2 4 13 3" xfId="1743" xr:uid="{00000000-0005-0000-0000-00006A060000}"/>
    <cellStyle name="Input 2 4 13 4" xfId="1744" xr:uid="{00000000-0005-0000-0000-00006B060000}"/>
    <cellStyle name="Input 2 4 13 5" xfId="1745" xr:uid="{00000000-0005-0000-0000-00006C060000}"/>
    <cellStyle name="Input 2 4 14" xfId="1746" xr:uid="{00000000-0005-0000-0000-00006D060000}"/>
    <cellStyle name="Input 2 4 14 2" xfId="1747" xr:uid="{00000000-0005-0000-0000-00006E060000}"/>
    <cellStyle name="Input 2 4 14 3" xfId="1748" xr:uid="{00000000-0005-0000-0000-00006F060000}"/>
    <cellStyle name="Input 2 4 14 4" xfId="1749" xr:uid="{00000000-0005-0000-0000-000070060000}"/>
    <cellStyle name="Input 2 4 14 5" xfId="1750" xr:uid="{00000000-0005-0000-0000-000071060000}"/>
    <cellStyle name="Input 2 4 15" xfId="1751" xr:uid="{00000000-0005-0000-0000-000072060000}"/>
    <cellStyle name="Input 2 4 15 2" xfId="1752" xr:uid="{00000000-0005-0000-0000-000073060000}"/>
    <cellStyle name="Input 2 4 15 3" xfId="1753" xr:uid="{00000000-0005-0000-0000-000074060000}"/>
    <cellStyle name="Input 2 4 15 4" xfId="1754" xr:uid="{00000000-0005-0000-0000-000075060000}"/>
    <cellStyle name="Input 2 4 15 5" xfId="1755" xr:uid="{00000000-0005-0000-0000-000076060000}"/>
    <cellStyle name="Input 2 4 16" xfId="1756" xr:uid="{00000000-0005-0000-0000-000077060000}"/>
    <cellStyle name="Input 2 4 16 2" xfId="1757" xr:uid="{00000000-0005-0000-0000-000078060000}"/>
    <cellStyle name="Input 2 4 16 3" xfId="1758" xr:uid="{00000000-0005-0000-0000-000079060000}"/>
    <cellStyle name="Input 2 4 16 4" xfId="1759" xr:uid="{00000000-0005-0000-0000-00007A060000}"/>
    <cellStyle name="Input 2 4 16 5" xfId="1760" xr:uid="{00000000-0005-0000-0000-00007B060000}"/>
    <cellStyle name="Input 2 4 17" xfId="1761" xr:uid="{00000000-0005-0000-0000-00007C060000}"/>
    <cellStyle name="Input 2 4 17 2" xfId="1762" xr:uid="{00000000-0005-0000-0000-00007D060000}"/>
    <cellStyle name="Input 2 4 17 3" xfId="1763" xr:uid="{00000000-0005-0000-0000-00007E060000}"/>
    <cellStyle name="Input 2 4 17 4" xfId="1764" xr:uid="{00000000-0005-0000-0000-00007F060000}"/>
    <cellStyle name="Input 2 4 17 5" xfId="1765" xr:uid="{00000000-0005-0000-0000-000080060000}"/>
    <cellStyle name="Input 2 4 18" xfId="1766" xr:uid="{00000000-0005-0000-0000-000081060000}"/>
    <cellStyle name="Input 2 4 18 2" xfId="1767" xr:uid="{00000000-0005-0000-0000-000082060000}"/>
    <cellStyle name="Input 2 4 18 3" xfId="1768" xr:uid="{00000000-0005-0000-0000-000083060000}"/>
    <cellStyle name="Input 2 4 18 4" xfId="1769" xr:uid="{00000000-0005-0000-0000-000084060000}"/>
    <cellStyle name="Input 2 4 18 5" xfId="1770" xr:uid="{00000000-0005-0000-0000-000085060000}"/>
    <cellStyle name="Input 2 4 19" xfId="1771" xr:uid="{00000000-0005-0000-0000-000086060000}"/>
    <cellStyle name="Input 2 4 19 2" xfId="1772" xr:uid="{00000000-0005-0000-0000-000087060000}"/>
    <cellStyle name="Input 2 4 19 3" xfId="1773" xr:uid="{00000000-0005-0000-0000-000088060000}"/>
    <cellStyle name="Input 2 4 19 4" xfId="1774" xr:uid="{00000000-0005-0000-0000-000089060000}"/>
    <cellStyle name="Input 2 4 2" xfId="1775" xr:uid="{00000000-0005-0000-0000-00008A060000}"/>
    <cellStyle name="Input 2 4 2 2" xfId="1776" xr:uid="{00000000-0005-0000-0000-00008B060000}"/>
    <cellStyle name="Input 2 4 2 3" xfId="1777" xr:uid="{00000000-0005-0000-0000-00008C060000}"/>
    <cellStyle name="Input 2 4 2 4" xfId="1778" xr:uid="{00000000-0005-0000-0000-00008D060000}"/>
    <cellStyle name="Input 2 4 2 5" xfId="1779" xr:uid="{00000000-0005-0000-0000-00008E060000}"/>
    <cellStyle name="Input 2 4 20" xfId="1780" xr:uid="{00000000-0005-0000-0000-00008F060000}"/>
    <cellStyle name="Input 2 4 20 2" xfId="1781" xr:uid="{00000000-0005-0000-0000-000090060000}"/>
    <cellStyle name="Input 2 4 20 3" xfId="1782" xr:uid="{00000000-0005-0000-0000-000091060000}"/>
    <cellStyle name="Input 2 4 20 4" xfId="1783" xr:uid="{00000000-0005-0000-0000-000092060000}"/>
    <cellStyle name="Input 2 4 21" xfId="1784" xr:uid="{00000000-0005-0000-0000-000093060000}"/>
    <cellStyle name="Input 2 4 21 2" xfId="1785" xr:uid="{00000000-0005-0000-0000-000094060000}"/>
    <cellStyle name="Input 2 4 21 3" xfId="1786" xr:uid="{00000000-0005-0000-0000-000095060000}"/>
    <cellStyle name="Input 2 4 21 4" xfId="1787" xr:uid="{00000000-0005-0000-0000-000096060000}"/>
    <cellStyle name="Input 2 4 22" xfId="1788" xr:uid="{00000000-0005-0000-0000-000097060000}"/>
    <cellStyle name="Input 2 4 22 2" xfId="1789" xr:uid="{00000000-0005-0000-0000-000098060000}"/>
    <cellStyle name="Input 2 4 22 3" xfId="1790" xr:uid="{00000000-0005-0000-0000-000099060000}"/>
    <cellStyle name="Input 2 4 22 4" xfId="1791" xr:uid="{00000000-0005-0000-0000-00009A060000}"/>
    <cellStyle name="Input 2 4 23" xfId="1792" xr:uid="{00000000-0005-0000-0000-00009B060000}"/>
    <cellStyle name="Input 2 4 3" xfId="1793" xr:uid="{00000000-0005-0000-0000-00009C060000}"/>
    <cellStyle name="Input 2 4 3 2" xfId="1794" xr:uid="{00000000-0005-0000-0000-00009D060000}"/>
    <cellStyle name="Input 2 4 3 3" xfId="1795" xr:uid="{00000000-0005-0000-0000-00009E060000}"/>
    <cellStyle name="Input 2 4 3 4" xfId="1796" xr:uid="{00000000-0005-0000-0000-00009F060000}"/>
    <cellStyle name="Input 2 4 3 5" xfId="1797" xr:uid="{00000000-0005-0000-0000-0000A0060000}"/>
    <cellStyle name="Input 2 4 4" xfId="1798" xr:uid="{00000000-0005-0000-0000-0000A1060000}"/>
    <cellStyle name="Input 2 4 4 2" xfId="1799" xr:uid="{00000000-0005-0000-0000-0000A2060000}"/>
    <cellStyle name="Input 2 4 4 3" xfId="1800" xr:uid="{00000000-0005-0000-0000-0000A3060000}"/>
    <cellStyle name="Input 2 4 4 4" xfId="1801" xr:uid="{00000000-0005-0000-0000-0000A4060000}"/>
    <cellStyle name="Input 2 4 4 5" xfId="1802" xr:uid="{00000000-0005-0000-0000-0000A5060000}"/>
    <cellStyle name="Input 2 4 5" xfId="1803" xr:uid="{00000000-0005-0000-0000-0000A6060000}"/>
    <cellStyle name="Input 2 4 5 2" xfId="1804" xr:uid="{00000000-0005-0000-0000-0000A7060000}"/>
    <cellStyle name="Input 2 4 5 3" xfId="1805" xr:uid="{00000000-0005-0000-0000-0000A8060000}"/>
    <cellStyle name="Input 2 4 5 4" xfId="1806" xr:uid="{00000000-0005-0000-0000-0000A9060000}"/>
    <cellStyle name="Input 2 4 5 5" xfId="1807" xr:uid="{00000000-0005-0000-0000-0000AA060000}"/>
    <cellStyle name="Input 2 4 6" xfId="1808" xr:uid="{00000000-0005-0000-0000-0000AB060000}"/>
    <cellStyle name="Input 2 4 6 2" xfId="1809" xr:uid="{00000000-0005-0000-0000-0000AC060000}"/>
    <cellStyle name="Input 2 4 6 3" xfId="1810" xr:uid="{00000000-0005-0000-0000-0000AD060000}"/>
    <cellStyle name="Input 2 4 6 4" xfId="1811" xr:uid="{00000000-0005-0000-0000-0000AE060000}"/>
    <cellStyle name="Input 2 4 6 5" xfId="1812" xr:uid="{00000000-0005-0000-0000-0000AF060000}"/>
    <cellStyle name="Input 2 4 7" xfId="1813" xr:uid="{00000000-0005-0000-0000-0000B0060000}"/>
    <cellStyle name="Input 2 4 7 2" xfId="1814" xr:uid="{00000000-0005-0000-0000-0000B1060000}"/>
    <cellStyle name="Input 2 4 7 3" xfId="1815" xr:uid="{00000000-0005-0000-0000-0000B2060000}"/>
    <cellStyle name="Input 2 4 7 4" xfId="1816" xr:uid="{00000000-0005-0000-0000-0000B3060000}"/>
    <cellStyle name="Input 2 4 7 5" xfId="1817" xr:uid="{00000000-0005-0000-0000-0000B4060000}"/>
    <cellStyle name="Input 2 4 8" xfId="1818" xr:uid="{00000000-0005-0000-0000-0000B5060000}"/>
    <cellStyle name="Input 2 4 8 2" xfId="1819" xr:uid="{00000000-0005-0000-0000-0000B6060000}"/>
    <cellStyle name="Input 2 4 8 3" xfId="1820" xr:uid="{00000000-0005-0000-0000-0000B7060000}"/>
    <cellStyle name="Input 2 4 8 4" xfId="1821" xr:uid="{00000000-0005-0000-0000-0000B8060000}"/>
    <cellStyle name="Input 2 4 8 5" xfId="1822" xr:uid="{00000000-0005-0000-0000-0000B9060000}"/>
    <cellStyle name="Input 2 4 9" xfId="1823" xr:uid="{00000000-0005-0000-0000-0000BA060000}"/>
    <cellStyle name="Input 2 4 9 2" xfId="1824" xr:uid="{00000000-0005-0000-0000-0000BB060000}"/>
    <cellStyle name="Input 2 4 9 3" xfId="1825" xr:uid="{00000000-0005-0000-0000-0000BC060000}"/>
    <cellStyle name="Input 2 4 9 4" xfId="1826" xr:uid="{00000000-0005-0000-0000-0000BD060000}"/>
    <cellStyle name="Input 2 4 9 5" xfId="1827" xr:uid="{00000000-0005-0000-0000-0000BE060000}"/>
    <cellStyle name="Input 2 5" xfId="1828" xr:uid="{00000000-0005-0000-0000-0000BF060000}"/>
    <cellStyle name="Input 2 5 10" xfId="1829" xr:uid="{00000000-0005-0000-0000-0000C0060000}"/>
    <cellStyle name="Input 2 5 10 2" xfId="1830" xr:uid="{00000000-0005-0000-0000-0000C1060000}"/>
    <cellStyle name="Input 2 5 10 3" xfId="1831" xr:uid="{00000000-0005-0000-0000-0000C2060000}"/>
    <cellStyle name="Input 2 5 10 4" xfId="1832" xr:uid="{00000000-0005-0000-0000-0000C3060000}"/>
    <cellStyle name="Input 2 5 10 5" xfId="1833" xr:uid="{00000000-0005-0000-0000-0000C4060000}"/>
    <cellStyle name="Input 2 5 11" xfId="1834" xr:uid="{00000000-0005-0000-0000-0000C5060000}"/>
    <cellStyle name="Input 2 5 11 2" xfId="1835" xr:uid="{00000000-0005-0000-0000-0000C6060000}"/>
    <cellStyle name="Input 2 5 11 3" xfId="1836" xr:uid="{00000000-0005-0000-0000-0000C7060000}"/>
    <cellStyle name="Input 2 5 11 4" xfId="1837" xr:uid="{00000000-0005-0000-0000-0000C8060000}"/>
    <cellStyle name="Input 2 5 11 5" xfId="1838" xr:uid="{00000000-0005-0000-0000-0000C9060000}"/>
    <cellStyle name="Input 2 5 12" xfId="1839" xr:uid="{00000000-0005-0000-0000-0000CA060000}"/>
    <cellStyle name="Input 2 5 12 2" xfId="1840" xr:uid="{00000000-0005-0000-0000-0000CB060000}"/>
    <cellStyle name="Input 2 5 12 3" xfId="1841" xr:uid="{00000000-0005-0000-0000-0000CC060000}"/>
    <cellStyle name="Input 2 5 12 4" xfId="1842" xr:uid="{00000000-0005-0000-0000-0000CD060000}"/>
    <cellStyle name="Input 2 5 12 5" xfId="1843" xr:uid="{00000000-0005-0000-0000-0000CE060000}"/>
    <cellStyle name="Input 2 5 13" xfId="1844" xr:uid="{00000000-0005-0000-0000-0000CF060000}"/>
    <cellStyle name="Input 2 5 13 2" xfId="1845" xr:uid="{00000000-0005-0000-0000-0000D0060000}"/>
    <cellStyle name="Input 2 5 13 3" xfId="1846" xr:uid="{00000000-0005-0000-0000-0000D1060000}"/>
    <cellStyle name="Input 2 5 13 4" xfId="1847" xr:uid="{00000000-0005-0000-0000-0000D2060000}"/>
    <cellStyle name="Input 2 5 13 5" xfId="1848" xr:uid="{00000000-0005-0000-0000-0000D3060000}"/>
    <cellStyle name="Input 2 5 14" xfId="1849" xr:uid="{00000000-0005-0000-0000-0000D4060000}"/>
    <cellStyle name="Input 2 5 14 2" xfId="1850" xr:uid="{00000000-0005-0000-0000-0000D5060000}"/>
    <cellStyle name="Input 2 5 14 3" xfId="1851" xr:uid="{00000000-0005-0000-0000-0000D6060000}"/>
    <cellStyle name="Input 2 5 14 4" xfId="1852" xr:uid="{00000000-0005-0000-0000-0000D7060000}"/>
    <cellStyle name="Input 2 5 14 5" xfId="1853" xr:uid="{00000000-0005-0000-0000-0000D8060000}"/>
    <cellStyle name="Input 2 5 15" xfId="1854" xr:uid="{00000000-0005-0000-0000-0000D9060000}"/>
    <cellStyle name="Input 2 5 15 2" xfId="1855" xr:uid="{00000000-0005-0000-0000-0000DA060000}"/>
    <cellStyle name="Input 2 5 15 3" xfId="1856" xr:uid="{00000000-0005-0000-0000-0000DB060000}"/>
    <cellStyle name="Input 2 5 15 4" xfId="1857" xr:uid="{00000000-0005-0000-0000-0000DC060000}"/>
    <cellStyle name="Input 2 5 15 5" xfId="1858" xr:uid="{00000000-0005-0000-0000-0000DD060000}"/>
    <cellStyle name="Input 2 5 16" xfId="1859" xr:uid="{00000000-0005-0000-0000-0000DE060000}"/>
    <cellStyle name="Input 2 5 16 2" xfId="1860" xr:uid="{00000000-0005-0000-0000-0000DF060000}"/>
    <cellStyle name="Input 2 5 16 3" xfId="1861" xr:uid="{00000000-0005-0000-0000-0000E0060000}"/>
    <cellStyle name="Input 2 5 16 4" xfId="1862" xr:uid="{00000000-0005-0000-0000-0000E1060000}"/>
    <cellStyle name="Input 2 5 16 5" xfId="1863" xr:uid="{00000000-0005-0000-0000-0000E2060000}"/>
    <cellStyle name="Input 2 5 17" xfId="1864" xr:uid="{00000000-0005-0000-0000-0000E3060000}"/>
    <cellStyle name="Input 2 5 17 2" xfId="1865" xr:uid="{00000000-0005-0000-0000-0000E4060000}"/>
    <cellStyle name="Input 2 5 17 3" xfId="1866" xr:uid="{00000000-0005-0000-0000-0000E5060000}"/>
    <cellStyle name="Input 2 5 17 4" xfId="1867" xr:uid="{00000000-0005-0000-0000-0000E6060000}"/>
    <cellStyle name="Input 2 5 17 5" xfId="1868" xr:uid="{00000000-0005-0000-0000-0000E7060000}"/>
    <cellStyle name="Input 2 5 18" xfId="1869" xr:uid="{00000000-0005-0000-0000-0000E8060000}"/>
    <cellStyle name="Input 2 5 18 2" xfId="1870" xr:uid="{00000000-0005-0000-0000-0000E9060000}"/>
    <cellStyle name="Input 2 5 18 3" xfId="1871" xr:uid="{00000000-0005-0000-0000-0000EA060000}"/>
    <cellStyle name="Input 2 5 18 4" xfId="1872" xr:uid="{00000000-0005-0000-0000-0000EB060000}"/>
    <cellStyle name="Input 2 5 18 5" xfId="1873" xr:uid="{00000000-0005-0000-0000-0000EC060000}"/>
    <cellStyle name="Input 2 5 19" xfId="1874" xr:uid="{00000000-0005-0000-0000-0000ED060000}"/>
    <cellStyle name="Input 2 5 19 2" xfId="1875" xr:uid="{00000000-0005-0000-0000-0000EE060000}"/>
    <cellStyle name="Input 2 5 19 3" xfId="1876" xr:uid="{00000000-0005-0000-0000-0000EF060000}"/>
    <cellStyle name="Input 2 5 19 4" xfId="1877" xr:uid="{00000000-0005-0000-0000-0000F0060000}"/>
    <cellStyle name="Input 2 5 2" xfId="1878" xr:uid="{00000000-0005-0000-0000-0000F1060000}"/>
    <cellStyle name="Input 2 5 2 2" xfId="1879" xr:uid="{00000000-0005-0000-0000-0000F2060000}"/>
    <cellStyle name="Input 2 5 2 3" xfId="1880" xr:uid="{00000000-0005-0000-0000-0000F3060000}"/>
    <cellStyle name="Input 2 5 2 4" xfId="1881" xr:uid="{00000000-0005-0000-0000-0000F4060000}"/>
    <cellStyle name="Input 2 5 2 5" xfId="1882" xr:uid="{00000000-0005-0000-0000-0000F5060000}"/>
    <cellStyle name="Input 2 5 20" xfId="1883" xr:uid="{00000000-0005-0000-0000-0000F6060000}"/>
    <cellStyle name="Input 2 5 20 2" xfId="1884" xr:uid="{00000000-0005-0000-0000-0000F7060000}"/>
    <cellStyle name="Input 2 5 20 3" xfId="1885" xr:uid="{00000000-0005-0000-0000-0000F8060000}"/>
    <cellStyle name="Input 2 5 20 4" xfId="1886" xr:uid="{00000000-0005-0000-0000-0000F9060000}"/>
    <cellStyle name="Input 2 5 21" xfId="1887" xr:uid="{00000000-0005-0000-0000-0000FA060000}"/>
    <cellStyle name="Input 2 5 21 2" xfId="1888" xr:uid="{00000000-0005-0000-0000-0000FB060000}"/>
    <cellStyle name="Input 2 5 21 3" xfId="1889" xr:uid="{00000000-0005-0000-0000-0000FC060000}"/>
    <cellStyle name="Input 2 5 21 4" xfId="1890" xr:uid="{00000000-0005-0000-0000-0000FD060000}"/>
    <cellStyle name="Input 2 5 22" xfId="1891" xr:uid="{00000000-0005-0000-0000-0000FE060000}"/>
    <cellStyle name="Input 2 5 22 2" xfId="1892" xr:uid="{00000000-0005-0000-0000-0000FF060000}"/>
    <cellStyle name="Input 2 5 22 3" xfId="1893" xr:uid="{00000000-0005-0000-0000-000000070000}"/>
    <cellStyle name="Input 2 5 22 4" xfId="1894" xr:uid="{00000000-0005-0000-0000-000001070000}"/>
    <cellStyle name="Input 2 5 23" xfId="1895" xr:uid="{00000000-0005-0000-0000-000002070000}"/>
    <cellStyle name="Input 2 5 3" xfId="1896" xr:uid="{00000000-0005-0000-0000-000003070000}"/>
    <cellStyle name="Input 2 5 3 2" xfId="1897" xr:uid="{00000000-0005-0000-0000-000004070000}"/>
    <cellStyle name="Input 2 5 3 3" xfId="1898" xr:uid="{00000000-0005-0000-0000-000005070000}"/>
    <cellStyle name="Input 2 5 3 4" xfId="1899" xr:uid="{00000000-0005-0000-0000-000006070000}"/>
    <cellStyle name="Input 2 5 3 5" xfId="1900" xr:uid="{00000000-0005-0000-0000-000007070000}"/>
    <cellStyle name="Input 2 5 4" xfId="1901" xr:uid="{00000000-0005-0000-0000-000008070000}"/>
    <cellStyle name="Input 2 5 4 2" xfId="1902" xr:uid="{00000000-0005-0000-0000-000009070000}"/>
    <cellStyle name="Input 2 5 4 3" xfId="1903" xr:uid="{00000000-0005-0000-0000-00000A070000}"/>
    <cellStyle name="Input 2 5 4 4" xfId="1904" xr:uid="{00000000-0005-0000-0000-00000B070000}"/>
    <cellStyle name="Input 2 5 4 5" xfId="1905" xr:uid="{00000000-0005-0000-0000-00000C070000}"/>
    <cellStyle name="Input 2 5 5" xfId="1906" xr:uid="{00000000-0005-0000-0000-00000D070000}"/>
    <cellStyle name="Input 2 5 5 2" xfId="1907" xr:uid="{00000000-0005-0000-0000-00000E070000}"/>
    <cellStyle name="Input 2 5 5 3" xfId="1908" xr:uid="{00000000-0005-0000-0000-00000F070000}"/>
    <cellStyle name="Input 2 5 5 4" xfId="1909" xr:uid="{00000000-0005-0000-0000-000010070000}"/>
    <cellStyle name="Input 2 5 5 5" xfId="1910" xr:uid="{00000000-0005-0000-0000-000011070000}"/>
    <cellStyle name="Input 2 5 6" xfId="1911" xr:uid="{00000000-0005-0000-0000-000012070000}"/>
    <cellStyle name="Input 2 5 6 2" xfId="1912" xr:uid="{00000000-0005-0000-0000-000013070000}"/>
    <cellStyle name="Input 2 5 6 3" xfId="1913" xr:uid="{00000000-0005-0000-0000-000014070000}"/>
    <cellStyle name="Input 2 5 6 4" xfId="1914" xr:uid="{00000000-0005-0000-0000-000015070000}"/>
    <cellStyle name="Input 2 5 6 5" xfId="1915" xr:uid="{00000000-0005-0000-0000-000016070000}"/>
    <cellStyle name="Input 2 5 7" xfId="1916" xr:uid="{00000000-0005-0000-0000-000017070000}"/>
    <cellStyle name="Input 2 5 7 2" xfId="1917" xr:uid="{00000000-0005-0000-0000-000018070000}"/>
    <cellStyle name="Input 2 5 7 3" xfId="1918" xr:uid="{00000000-0005-0000-0000-000019070000}"/>
    <cellStyle name="Input 2 5 7 4" xfId="1919" xr:uid="{00000000-0005-0000-0000-00001A070000}"/>
    <cellStyle name="Input 2 5 7 5" xfId="1920" xr:uid="{00000000-0005-0000-0000-00001B070000}"/>
    <cellStyle name="Input 2 5 8" xfId="1921" xr:uid="{00000000-0005-0000-0000-00001C070000}"/>
    <cellStyle name="Input 2 5 8 2" xfId="1922" xr:uid="{00000000-0005-0000-0000-00001D070000}"/>
    <cellStyle name="Input 2 5 8 3" xfId="1923" xr:uid="{00000000-0005-0000-0000-00001E070000}"/>
    <cellStyle name="Input 2 5 8 4" xfId="1924" xr:uid="{00000000-0005-0000-0000-00001F070000}"/>
    <cellStyle name="Input 2 5 8 5" xfId="1925" xr:uid="{00000000-0005-0000-0000-000020070000}"/>
    <cellStyle name="Input 2 5 9" xfId="1926" xr:uid="{00000000-0005-0000-0000-000021070000}"/>
    <cellStyle name="Input 2 5 9 2" xfId="1927" xr:uid="{00000000-0005-0000-0000-000022070000}"/>
    <cellStyle name="Input 2 5 9 3" xfId="1928" xr:uid="{00000000-0005-0000-0000-000023070000}"/>
    <cellStyle name="Input 2 5 9 4" xfId="1929" xr:uid="{00000000-0005-0000-0000-000024070000}"/>
    <cellStyle name="Input 2 5 9 5" xfId="1930" xr:uid="{00000000-0005-0000-0000-000025070000}"/>
    <cellStyle name="Input 2 6" xfId="1931" xr:uid="{00000000-0005-0000-0000-000026070000}"/>
    <cellStyle name="Input 2 6 10" xfId="1932" xr:uid="{00000000-0005-0000-0000-000027070000}"/>
    <cellStyle name="Input 2 6 10 2" xfId="1933" xr:uid="{00000000-0005-0000-0000-000028070000}"/>
    <cellStyle name="Input 2 6 10 3" xfId="1934" xr:uid="{00000000-0005-0000-0000-000029070000}"/>
    <cellStyle name="Input 2 6 10 4" xfId="1935" xr:uid="{00000000-0005-0000-0000-00002A070000}"/>
    <cellStyle name="Input 2 6 10 5" xfId="1936" xr:uid="{00000000-0005-0000-0000-00002B070000}"/>
    <cellStyle name="Input 2 6 11" xfId="1937" xr:uid="{00000000-0005-0000-0000-00002C070000}"/>
    <cellStyle name="Input 2 6 11 2" xfId="1938" xr:uid="{00000000-0005-0000-0000-00002D070000}"/>
    <cellStyle name="Input 2 6 11 3" xfId="1939" xr:uid="{00000000-0005-0000-0000-00002E070000}"/>
    <cellStyle name="Input 2 6 11 4" xfId="1940" xr:uid="{00000000-0005-0000-0000-00002F070000}"/>
    <cellStyle name="Input 2 6 11 5" xfId="1941" xr:uid="{00000000-0005-0000-0000-000030070000}"/>
    <cellStyle name="Input 2 6 12" xfId="1942" xr:uid="{00000000-0005-0000-0000-000031070000}"/>
    <cellStyle name="Input 2 6 12 2" xfId="1943" xr:uid="{00000000-0005-0000-0000-000032070000}"/>
    <cellStyle name="Input 2 6 12 3" xfId="1944" xr:uid="{00000000-0005-0000-0000-000033070000}"/>
    <cellStyle name="Input 2 6 12 4" xfId="1945" xr:uid="{00000000-0005-0000-0000-000034070000}"/>
    <cellStyle name="Input 2 6 12 5" xfId="1946" xr:uid="{00000000-0005-0000-0000-000035070000}"/>
    <cellStyle name="Input 2 6 13" xfId="1947" xr:uid="{00000000-0005-0000-0000-000036070000}"/>
    <cellStyle name="Input 2 6 13 2" xfId="1948" xr:uid="{00000000-0005-0000-0000-000037070000}"/>
    <cellStyle name="Input 2 6 13 3" xfId="1949" xr:uid="{00000000-0005-0000-0000-000038070000}"/>
    <cellStyle name="Input 2 6 13 4" xfId="1950" xr:uid="{00000000-0005-0000-0000-000039070000}"/>
    <cellStyle name="Input 2 6 13 5" xfId="1951" xr:uid="{00000000-0005-0000-0000-00003A070000}"/>
    <cellStyle name="Input 2 6 14" xfId="1952" xr:uid="{00000000-0005-0000-0000-00003B070000}"/>
    <cellStyle name="Input 2 6 14 2" xfId="1953" xr:uid="{00000000-0005-0000-0000-00003C070000}"/>
    <cellStyle name="Input 2 6 14 3" xfId="1954" xr:uid="{00000000-0005-0000-0000-00003D070000}"/>
    <cellStyle name="Input 2 6 14 4" xfId="1955" xr:uid="{00000000-0005-0000-0000-00003E070000}"/>
    <cellStyle name="Input 2 6 14 5" xfId="1956" xr:uid="{00000000-0005-0000-0000-00003F070000}"/>
    <cellStyle name="Input 2 6 15" xfId="1957" xr:uid="{00000000-0005-0000-0000-000040070000}"/>
    <cellStyle name="Input 2 6 15 2" xfId="1958" xr:uid="{00000000-0005-0000-0000-000041070000}"/>
    <cellStyle name="Input 2 6 15 3" xfId="1959" xr:uid="{00000000-0005-0000-0000-000042070000}"/>
    <cellStyle name="Input 2 6 15 4" xfId="1960" xr:uid="{00000000-0005-0000-0000-000043070000}"/>
    <cellStyle name="Input 2 6 15 5" xfId="1961" xr:uid="{00000000-0005-0000-0000-000044070000}"/>
    <cellStyle name="Input 2 6 16" xfId="1962" xr:uid="{00000000-0005-0000-0000-000045070000}"/>
    <cellStyle name="Input 2 6 16 2" xfId="1963" xr:uid="{00000000-0005-0000-0000-000046070000}"/>
    <cellStyle name="Input 2 6 16 3" xfId="1964" xr:uid="{00000000-0005-0000-0000-000047070000}"/>
    <cellStyle name="Input 2 6 16 4" xfId="1965" xr:uid="{00000000-0005-0000-0000-000048070000}"/>
    <cellStyle name="Input 2 6 16 5" xfId="1966" xr:uid="{00000000-0005-0000-0000-000049070000}"/>
    <cellStyle name="Input 2 6 17" xfId="1967" xr:uid="{00000000-0005-0000-0000-00004A070000}"/>
    <cellStyle name="Input 2 6 17 2" xfId="1968" xr:uid="{00000000-0005-0000-0000-00004B070000}"/>
    <cellStyle name="Input 2 6 17 3" xfId="1969" xr:uid="{00000000-0005-0000-0000-00004C070000}"/>
    <cellStyle name="Input 2 6 17 4" xfId="1970" xr:uid="{00000000-0005-0000-0000-00004D070000}"/>
    <cellStyle name="Input 2 6 17 5" xfId="1971" xr:uid="{00000000-0005-0000-0000-00004E070000}"/>
    <cellStyle name="Input 2 6 18" xfId="1972" xr:uid="{00000000-0005-0000-0000-00004F070000}"/>
    <cellStyle name="Input 2 6 18 2" xfId="1973" xr:uid="{00000000-0005-0000-0000-000050070000}"/>
    <cellStyle name="Input 2 6 18 3" xfId="1974" xr:uid="{00000000-0005-0000-0000-000051070000}"/>
    <cellStyle name="Input 2 6 18 4" xfId="1975" xr:uid="{00000000-0005-0000-0000-000052070000}"/>
    <cellStyle name="Input 2 6 18 5" xfId="1976" xr:uid="{00000000-0005-0000-0000-000053070000}"/>
    <cellStyle name="Input 2 6 19" xfId="1977" xr:uid="{00000000-0005-0000-0000-000054070000}"/>
    <cellStyle name="Input 2 6 19 2" xfId="1978" xr:uid="{00000000-0005-0000-0000-000055070000}"/>
    <cellStyle name="Input 2 6 19 3" xfId="1979" xr:uid="{00000000-0005-0000-0000-000056070000}"/>
    <cellStyle name="Input 2 6 19 4" xfId="1980" xr:uid="{00000000-0005-0000-0000-000057070000}"/>
    <cellStyle name="Input 2 6 19 5" xfId="1981" xr:uid="{00000000-0005-0000-0000-000058070000}"/>
    <cellStyle name="Input 2 6 2" xfId="1982" xr:uid="{00000000-0005-0000-0000-000059070000}"/>
    <cellStyle name="Input 2 6 2 2" xfId="1983" xr:uid="{00000000-0005-0000-0000-00005A070000}"/>
    <cellStyle name="Input 2 6 2 3" xfId="1984" xr:uid="{00000000-0005-0000-0000-00005B070000}"/>
    <cellStyle name="Input 2 6 2 4" xfId="1985" xr:uid="{00000000-0005-0000-0000-00005C070000}"/>
    <cellStyle name="Input 2 6 2 5" xfId="1986" xr:uid="{00000000-0005-0000-0000-00005D070000}"/>
    <cellStyle name="Input 2 6 20" xfId="1987" xr:uid="{00000000-0005-0000-0000-00005E070000}"/>
    <cellStyle name="Input 2 6 20 2" xfId="1988" xr:uid="{00000000-0005-0000-0000-00005F070000}"/>
    <cellStyle name="Input 2 6 20 3" xfId="1989" xr:uid="{00000000-0005-0000-0000-000060070000}"/>
    <cellStyle name="Input 2 6 20 4" xfId="1990" xr:uid="{00000000-0005-0000-0000-000061070000}"/>
    <cellStyle name="Input 2 6 20 5" xfId="1991" xr:uid="{00000000-0005-0000-0000-000062070000}"/>
    <cellStyle name="Input 2 6 21" xfId="1992" xr:uid="{00000000-0005-0000-0000-000063070000}"/>
    <cellStyle name="Input 2 6 21 2" xfId="1993" xr:uid="{00000000-0005-0000-0000-000064070000}"/>
    <cellStyle name="Input 2 6 21 3" xfId="1994" xr:uid="{00000000-0005-0000-0000-000065070000}"/>
    <cellStyle name="Input 2 6 21 4" xfId="1995" xr:uid="{00000000-0005-0000-0000-000066070000}"/>
    <cellStyle name="Input 2 6 21 5" xfId="1996" xr:uid="{00000000-0005-0000-0000-000067070000}"/>
    <cellStyle name="Input 2 6 22" xfId="1997" xr:uid="{00000000-0005-0000-0000-000068070000}"/>
    <cellStyle name="Input 2 6 22 2" xfId="1998" xr:uid="{00000000-0005-0000-0000-000069070000}"/>
    <cellStyle name="Input 2 6 22 3" xfId="1999" xr:uid="{00000000-0005-0000-0000-00006A070000}"/>
    <cellStyle name="Input 2 6 22 4" xfId="2000" xr:uid="{00000000-0005-0000-0000-00006B070000}"/>
    <cellStyle name="Input 2 6 23" xfId="2001" xr:uid="{00000000-0005-0000-0000-00006C070000}"/>
    <cellStyle name="Input 2 6 23 2" xfId="2002" xr:uid="{00000000-0005-0000-0000-00006D070000}"/>
    <cellStyle name="Input 2 6 23 3" xfId="2003" xr:uid="{00000000-0005-0000-0000-00006E070000}"/>
    <cellStyle name="Input 2 6 23 4" xfId="2004" xr:uid="{00000000-0005-0000-0000-00006F070000}"/>
    <cellStyle name="Input 2 6 24" xfId="2005" xr:uid="{00000000-0005-0000-0000-000070070000}"/>
    <cellStyle name="Input 2 6 24 2" xfId="2006" xr:uid="{00000000-0005-0000-0000-000071070000}"/>
    <cellStyle name="Input 2 6 24 3" xfId="2007" xr:uid="{00000000-0005-0000-0000-000072070000}"/>
    <cellStyle name="Input 2 6 24 4" xfId="2008" xr:uid="{00000000-0005-0000-0000-000073070000}"/>
    <cellStyle name="Input 2 6 25" xfId="2009" xr:uid="{00000000-0005-0000-0000-000074070000}"/>
    <cellStyle name="Input 2 6 25 2" xfId="2010" xr:uid="{00000000-0005-0000-0000-000075070000}"/>
    <cellStyle name="Input 2 6 25 3" xfId="2011" xr:uid="{00000000-0005-0000-0000-000076070000}"/>
    <cellStyle name="Input 2 6 25 4" xfId="2012" xr:uid="{00000000-0005-0000-0000-000077070000}"/>
    <cellStyle name="Input 2 6 3" xfId="2013" xr:uid="{00000000-0005-0000-0000-000078070000}"/>
    <cellStyle name="Input 2 6 3 2" xfId="2014" xr:uid="{00000000-0005-0000-0000-000079070000}"/>
    <cellStyle name="Input 2 6 3 3" xfId="2015" xr:uid="{00000000-0005-0000-0000-00007A070000}"/>
    <cellStyle name="Input 2 6 3 4" xfId="2016" xr:uid="{00000000-0005-0000-0000-00007B070000}"/>
    <cellStyle name="Input 2 6 3 5" xfId="2017" xr:uid="{00000000-0005-0000-0000-00007C070000}"/>
    <cellStyle name="Input 2 6 4" xfId="2018" xr:uid="{00000000-0005-0000-0000-00007D070000}"/>
    <cellStyle name="Input 2 6 4 2" xfId="2019" xr:uid="{00000000-0005-0000-0000-00007E070000}"/>
    <cellStyle name="Input 2 6 4 3" xfId="2020" xr:uid="{00000000-0005-0000-0000-00007F070000}"/>
    <cellStyle name="Input 2 6 4 4" xfId="2021" xr:uid="{00000000-0005-0000-0000-000080070000}"/>
    <cellStyle name="Input 2 6 4 5" xfId="2022" xr:uid="{00000000-0005-0000-0000-000081070000}"/>
    <cellStyle name="Input 2 6 5" xfId="2023" xr:uid="{00000000-0005-0000-0000-000082070000}"/>
    <cellStyle name="Input 2 6 5 2" xfId="2024" xr:uid="{00000000-0005-0000-0000-000083070000}"/>
    <cellStyle name="Input 2 6 5 3" xfId="2025" xr:uid="{00000000-0005-0000-0000-000084070000}"/>
    <cellStyle name="Input 2 6 5 4" xfId="2026" xr:uid="{00000000-0005-0000-0000-000085070000}"/>
    <cellStyle name="Input 2 6 5 5" xfId="2027" xr:uid="{00000000-0005-0000-0000-000086070000}"/>
    <cellStyle name="Input 2 6 6" xfId="2028" xr:uid="{00000000-0005-0000-0000-000087070000}"/>
    <cellStyle name="Input 2 6 6 2" xfId="2029" xr:uid="{00000000-0005-0000-0000-000088070000}"/>
    <cellStyle name="Input 2 6 6 3" xfId="2030" xr:uid="{00000000-0005-0000-0000-000089070000}"/>
    <cellStyle name="Input 2 6 6 4" xfId="2031" xr:uid="{00000000-0005-0000-0000-00008A070000}"/>
    <cellStyle name="Input 2 6 6 5" xfId="2032" xr:uid="{00000000-0005-0000-0000-00008B070000}"/>
    <cellStyle name="Input 2 6 7" xfId="2033" xr:uid="{00000000-0005-0000-0000-00008C070000}"/>
    <cellStyle name="Input 2 6 7 2" xfId="2034" xr:uid="{00000000-0005-0000-0000-00008D070000}"/>
    <cellStyle name="Input 2 6 7 3" xfId="2035" xr:uid="{00000000-0005-0000-0000-00008E070000}"/>
    <cellStyle name="Input 2 6 7 4" xfId="2036" xr:uid="{00000000-0005-0000-0000-00008F070000}"/>
    <cellStyle name="Input 2 6 7 5" xfId="2037" xr:uid="{00000000-0005-0000-0000-000090070000}"/>
    <cellStyle name="Input 2 6 8" xfId="2038" xr:uid="{00000000-0005-0000-0000-000091070000}"/>
    <cellStyle name="Input 2 6 8 2" xfId="2039" xr:uid="{00000000-0005-0000-0000-000092070000}"/>
    <cellStyle name="Input 2 6 8 3" xfId="2040" xr:uid="{00000000-0005-0000-0000-000093070000}"/>
    <cellStyle name="Input 2 6 8 4" xfId="2041" xr:uid="{00000000-0005-0000-0000-000094070000}"/>
    <cellStyle name="Input 2 6 8 5" xfId="2042" xr:uid="{00000000-0005-0000-0000-000095070000}"/>
    <cellStyle name="Input 2 6 9" xfId="2043" xr:uid="{00000000-0005-0000-0000-000096070000}"/>
    <cellStyle name="Input 2 6 9 2" xfId="2044" xr:uid="{00000000-0005-0000-0000-000097070000}"/>
    <cellStyle name="Input 2 6 9 3" xfId="2045" xr:uid="{00000000-0005-0000-0000-000098070000}"/>
    <cellStyle name="Input 2 6 9 4" xfId="2046" xr:uid="{00000000-0005-0000-0000-000099070000}"/>
    <cellStyle name="Input 2 6 9 5" xfId="2047" xr:uid="{00000000-0005-0000-0000-00009A070000}"/>
    <cellStyle name="Input 2 7" xfId="2048" xr:uid="{00000000-0005-0000-0000-00009B070000}"/>
    <cellStyle name="Input 2 7 2" xfId="2049" xr:uid="{00000000-0005-0000-0000-00009C070000}"/>
    <cellStyle name="Input 2 7 3" xfId="2050" xr:uid="{00000000-0005-0000-0000-00009D070000}"/>
    <cellStyle name="Input 2 7 4" xfId="2051" xr:uid="{00000000-0005-0000-0000-00009E070000}"/>
    <cellStyle name="Input 2 7 5" xfId="2052" xr:uid="{00000000-0005-0000-0000-00009F070000}"/>
    <cellStyle name="Input 2 8" xfId="2053" xr:uid="{00000000-0005-0000-0000-0000A0070000}"/>
    <cellStyle name="Input 2 8 2" xfId="2054" xr:uid="{00000000-0005-0000-0000-0000A1070000}"/>
    <cellStyle name="Input 2 8 3" xfId="2055" xr:uid="{00000000-0005-0000-0000-0000A2070000}"/>
    <cellStyle name="Input 2 8 4" xfId="2056" xr:uid="{00000000-0005-0000-0000-0000A3070000}"/>
    <cellStyle name="Input 2 8 5" xfId="2057" xr:uid="{00000000-0005-0000-0000-0000A4070000}"/>
    <cellStyle name="Input 2 9" xfId="2058" xr:uid="{00000000-0005-0000-0000-0000A5070000}"/>
    <cellStyle name="Input 2 9 2" xfId="2059" xr:uid="{00000000-0005-0000-0000-0000A6070000}"/>
    <cellStyle name="Input 2 9 3" xfId="2060" xr:uid="{00000000-0005-0000-0000-0000A7070000}"/>
    <cellStyle name="Input 2 9 4" xfId="2061" xr:uid="{00000000-0005-0000-0000-0000A8070000}"/>
    <cellStyle name="Input 2 9 5" xfId="2062" xr:uid="{00000000-0005-0000-0000-0000A9070000}"/>
    <cellStyle name="LEAName" xfId="83" xr:uid="{00000000-0005-0000-0000-0000AA070000}"/>
    <cellStyle name="LEAName 2" xfId="2063" xr:uid="{00000000-0005-0000-0000-0000AB070000}"/>
    <cellStyle name="LEANumber" xfId="84" xr:uid="{00000000-0005-0000-0000-0000AC070000}"/>
    <cellStyle name="LEANumber 2" xfId="2064" xr:uid="{00000000-0005-0000-0000-0000AD070000}"/>
    <cellStyle name="Linked Cell 2" xfId="85" xr:uid="{00000000-0005-0000-0000-0000AE070000}"/>
    <cellStyle name="Linked Cell 2 2" xfId="2065" xr:uid="{00000000-0005-0000-0000-0000AF070000}"/>
    <cellStyle name="log projection" xfId="86" xr:uid="{00000000-0005-0000-0000-0000B0070000}"/>
    <cellStyle name="Neutral 2" xfId="87" xr:uid="{00000000-0005-0000-0000-0000B1070000}"/>
    <cellStyle name="Neutral 2 2" xfId="2066" xr:uid="{00000000-0005-0000-0000-0000B2070000}"/>
    <cellStyle name="Neutral 3" xfId="3969" xr:uid="{99151CE0-5588-41B3-9A88-B31386AAA186}"/>
    <cellStyle name="Normal" xfId="0" builtinId="0"/>
    <cellStyle name="Normal - Style1" xfId="88" xr:uid="{00000000-0005-0000-0000-0000B4070000}"/>
    <cellStyle name="Normal - Style2" xfId="89" xr:uid="{00000000-0005-0000-0000-0000B5070000}"/>
    <cellStyle name="Normal - Style3" xfId="90" xr:uid="{00000000-0005-0000-0000-0000B6070000}"/>
    <cellStyle name="Normal - Style4" xfId="91" xr:uid="{00000000-0005-0000-0000-0000B7070000}"/>
    <cellStyle name="Normal - Style5" xfId="92" xr:uid="{00000000-0005-0000-0000-0000B8070000}"/>
    <cellStyle name="Normal 10" xfId="93" xr:uid="{00000000-0005-0000-0000-0000B9070000}"/>
    <cellStyle name="Normal 10 2" xfId="94" xr:uid="{00000000-0005-0000-0000-0000BA070000}"/>
    <cellStyle name="Normal 10 2 2" xfId="2067" xr:uid="{00000000-0005-0000-0000-0000BB070000}"/>
    <cellStyle name="Normal 10 2 2 2" xfId="2068" xr:uid="{00000000-0005-0000-0000-0000BC070000}"/>
    <cellStyle name="Normal 10 3" xfId="2069" xr:uid="{00000000-0005-0000-0000-0000BD070000}"/>
    <cellStyle name="Normal 10 3 2" xfId="2070" xr:uid="{00000000-0005-0000-0000-0000BE070000}"/>
    <cellStyle name="Normal 10 4" xfId="2071" xr:uid="{00000000-0005-0000-0000-0000BF070000}"/>
    <cellStyle name="Normal 10 4 2" xfId="2072" xr:uid="{00000000-0005-0000-0000-0000C0070000}"/>
    <cellStyle name="Normal 10 4 2 2" xfId="2073" xr:uid="{00000000-0005-0000-0000-0000C1070000}"/>
    <cellStyle name="Normal 10 4 3" xfId="2074" xr:uid="{00000000-0005-0000-0000-0000C2070000}"/>
    <cellStyle name="Normal 10 5" xfId="2075" xr:uid="{00000000-0005-0000-0000-0000C3070000}"/>
    <cellStyle name="Normal 10 6" xfId="2076" xr:uid="{00000000-0005-0000-0000-0000C4070000}"/>
    <cellStyle name="Normal 11" xfId="95" xr:uid="{00000000-0005-0000-0000-0000C5070000}"/>
    <cellStyle name="Normal 11 2" xfId="2077" xr:uid="{00000000-0005-0000-0000-0000C6070000}"/>
    <cellStyle name="Normal 11 2 10" xfId="201" xr:uid="{00000000-0005-0000-0000-0000C7070000}"/>
    <cellStyle name="Normal 11 2 2" xfId="3919" xr:uid="{00000000-0005-0000-0000-0000C8070000}"/>
    <cellStyle name="Normal 11 3" xfId="208" xr:uid="{00000000-0005-0000-0000-0000C9070000}"/>
    <cellStyle name="Normal 11 4" xfId="2078" xr:uid="{00000000-0005-0000-0000-0000CA070000}"/>
    <cellStyle name="Normal 12" xfId="96" xr:uid="{00000000-0005-0000-0000-0000CB070000}"/>
    <cellStyle name="Normal 12 2" xfId="97" xr:uid="{00000000-0005-0000-0000-0000CC070000}"/>
    <cellStyle name="Normal 12 2 2" xfId="2079" xr:uid="{00000000-0005-0000-0000-0000CD070000}"/>
    <cellStyle name="Normal 12 3" xfId="2080" xr:uid="{00000000-0005-0000-0000-0000CE070000}"/>
    <cellStyle name="Normal 12 3 2" xfId="2081" xr:uid="{00000000-0005-0000-0000-0000CF070000}"/>
    <cellStyle name="Normal 12 4" xfId="2082" xr:uid="{00000000-0005-0000-0000-0000D0070000}"/>
    <cellStyle name="Normal 12 5" xfId="2083" xr:uid="{00000000-0005-0000-0000-0000D1070000}"/>
    <cellStyle name="Normal 13" xfId="98" xr:uid="{00000000-0005-0000-0000-0000D2070000}"/>
    <cellStyle name="Normal 13 2" xfId="2084" xr:uid="{00000000-0005-0000-0000-0000D3070000}"/>
    <cellStyle name="Normal 13 3" xfId="2085" xr:uid="{00000000-0005-0000-0000-0000D4070000}"/>
    <cellStyle name="Normal 13 4" xfId="2086" xr:uid="{00000000-0005-0000-0000-0000D5070000}"/>
    <cellStyle name="Normal 14" xfId="99" xr:uid="{00000000-0005-0000-0000-0000D6070000}"/>
    <cellStyle name="Normal 14 2" xfId="100" xr:uid="{00000000-0005-0000-0000-0000D7070000}"/>
    <cellStyle name="Normal 14 2 2" xfId="2087" xr:uid="{00000000-0005-0000-0000-0000D8070000}"/>
    <cellStyle name="Normal 14 3" xfId="202" xr:uid="{00000000-0005-0000-0000-0000D9070000}"/>
    <cellStyle name="Normal 14 4" xfId="2088" xr:uid="{00000000-0005-0000-0000-0000DA070000}"/>
    <cellStyle name="Normal 15" xfId="101" xr:uid="{00000000-0005-0000-0000-0000DB070000}"/>
    <cellStyle name="Normal 15 2" xfId="2089" xr:uid="{00000000-0005-0000-0000-0000DC070000}"/>
    <cellStyle name="Normal 16" xfId="102" xr:uid="{00000000-0005-0000-0000-0000DD070000}"/>
    <cellStyle name="Normal 16 2" xfId="2090" xr:uid="{00000000-0005-0000-0000-0000DE070000}"/>
    <cellStyle name="Normal 16 3" xfId="2091" xr:uid="{00000000-0005-0000-0000-0000DF070000}"/>
    <cellStyle name="Normal 17" xfId="103" xr:uid="{00000000-0005-0000-0000-0000E0070000}"/>
    <cellStyle name="Normal 17 2" xfId="2092" xr:uid="{00000000-0005-0000-0000-0000E1070000}"/>
    <cellStyle name="Normal 17 3" xfId="2093" xr:uid="{00000000-0005-0000-0000-0000E2070000}"/>
    <cellStyle name="Normal 18" xfId="104" xr:uid="{00000000-0005-0000-0000-0000E3070000}"/>
    <cellStyle name="Normal 18 2" xfId="2094" xr:uid="{00000000-0005-0000-0000-0000E4070000}"/>
    <cellStyle name="Normal 18 3" xfId="2095" xr:uid="{00000000-0005-0000-0000-0000E5070000}"/>
    <cellStyle name="Normal 19" xfId="184" xr:uid="{00000000-0005-0000-0000-0000E6070000}"/>
    <cellStyle name="Normal 19 2" xfId="2096" xr:uid="{00000000-0005-0000-0000-0000E7070000}"/>
    <cellStyle name="Normal 19 3" xfId="2097" xr:uid="{00000000-0005-0000-0000-0000E8070000}"/>
    <cellStyle name="Normal 19 4" xfId="2098" xr:uid="{00000000-0005-0000-0000-0000E9070000}"/>
    <cellStyle name="Normal 2" xfId="105" xr:uid="{00000000-0005-0000-0000-0000EA070000}"/>
    <cellStyle name="Normal 2 10" xfId="2099" xr:uid="{00000000-0005-0000-0000-0000EB070000}"/>
    <cellStyle name="Normal 2 11" xfId="2100" xr:uid="{00000000-0005-0000-0000-0000EC070000}"/>
    <cellStyle name="Normal 2 12" xfId="2101" xr:uid="{00000000-0005-0000-0000-0000ED070000}"/>
    <cellStyle name="Normal 2 13" xfId="2102" xr:uid="{00000000-0005-0000-0000-0000EE070000}"/>
    <cellStyle name="Normal 2 14" xfId="2103" xr:uid="{00000000-0005-0000-0000-0000EF070000}"/>
    <cellStyle name="Normal 2 14 2" xfId="2104" xr:uid="{00000000-0005-0000-0000-0000F0070000}"/>
    <cellStyle name="Normal 2 15" xfId="2105" xr:uid="{00000000-0005-0000-0000-0000F1070000}"/>
    <cellStyle name="Normal 2 16" xfId="2106" xr:uid="{00000000-0005-0000-0000-0000F2070000}"/>
    <cellStyle name="Normal 2 17" xfId="2107" xr:uid="{00000000-0005-0000-0000-0000F3070000}"/>
    <cellStyle name="Normal 2 18" xfId="2108" xr:uid="{00000000-0005-0000-0000-0000F4070000}"/>
    <cellStyle name="Normal 2 19" xfId="2109" xr:uid="{00000000-0005-0000-0000-0000F5070000}"/>
    <cellStyle name="Normal 2 2" xfId="106" xr:uid="{00000000-0005-0000-0000-0000F6070000}"/>
    <cellStyle name="Normal 2 2 10" xfId="2110" xr:uid="{00000000-0005-0000-0000-0000F7070000}"/>
    <cellStyle name="Normal 2 2 10 2" xfId="2111" xr:uid="{00000000-0005-0000-0000-0000F8070000}"/>
    <cellStyle name="Normal 2 2 11" xfId="2112" xr:uid="{00000000-0005-0000-0000-0000F9070000}"/>
    <cellStyle name="Normal 2 2 11 2" xfId="2113" xr:uid="{00000000-0005-0000-0000-0000FA070000}"/>
    <cellStyle name="Normal 2 2 12" xfId="2114" xr:uid="{00000000-0005-0000-0000-0000FB070000}"/>
    <cellStyle name="Normal 2 2 13" xfId="2115" xr:uid="{00000000-0005-0000-0000-0000FC070000}"/>
    <cellStyle name="Normal 2 2 14" xfId="3974" xr:uid="{8399A3C9-D66C-4F09-8847-DF02E45A8759}"/>
    <cellStyle name="Normal 2 2 2" xfId="107" xr:uid="{00000000-0005-0000-0000-0000FD070000}"/>
    <cellStyle name="Normal 2 2 2 2" xfId="2116" xr:uid="{00000000-0005-0000-0000-0000FE070000}"/>
    <cellStyle name="Normal 2 2 2 2 2" xfId="2117" xr:uid="{00000000-0005-0000-0000-0000FF070000}"/>
    <cellStyle name="Normal 2 2 2 2 3" xfId="2118" xr:uid="{00000000-0005-0000-0000-000000080000}"/>
    <cellStyle name="Normal 2 2 2 2 4" xfId="3944" xr:uid="{00000000-0005-0000-0000-000001080000}"/>
    <cellStyle name="Normal 2 2 2 3" xfId="2119" xr:uid="{00000000-0005-0000-0000-000002080000}"/>
    <cellStyle name="Normal 2 2 2 3 2" xfId="2120" xr:uid="{00000000-0005-0000-0000-000003080000}"/>
    <cellStyle name="Normal 2 2 2 3 3" xfId="3929" xr:uid="{00000000-0005-0000-0000-000004080000}"/>
    <cellStyle name="Normal 2 2 2 4" xfId="2121" xr:uid="{00000000-0005-0000-0000-000005080000}"/>
    <cellStyle name="Normal 2 2 2 4 2" xfId="2122" xr:uid="{00000000-0005-0000-0000-000006080000}"/>
    <cellStyle name="Normal 2 2 2 5" xfId="2123" xr:uid="{00000000-0005-0000-0000-000007080000}"/>
    <cellStyle name="Normal 2 2 2 5 2" xfId="2124" xr:uid="{00000000-0005-0000-0000-000008080000}"/>
    <cellStyle name="Normal 2 2 2 6" xfId="2125" xr:uid="{00000000-0005-0000-0000-000009080000}"/>
    <cellStyle name="Normal 2 2 2 6 2" xfId="2126" xr:uid="{00000000-0005-0000-0000-00000A080000}"/>
    <cellStyle name="Normal 2 2 2 7" xfId="2127" xr:uid="{00000000-0005-0000-0000-00000B080000}"/>
    <cellStyle name="Normal 2 2 2 7 2" xfId="2128" xr:uid="{00000000-0005-0000-0000-00000C080000}"/>
    <cellStyle name="Normal 2 2 2 8" xfId="2129" xr:uid="{00000000-0005-0000-0000-00000D080000}"/>
    <cellStyle name="Normal 2 2 2 9" xfId="2130" xr:uid="{00000000-0005-0000-0000-00000E080000}"/>
    <cellStyle name="Normal 2 2 3" xfId="108" xr:uid="{00000000-0005-0000-0000-00000F080000}"/>
    <cellStyle name="Normal 2 2 3 2" xfId="2131" xr:uid="{00000000-0005-0000-0000-000010080000}"/>
    <cellStyle name="Normal 2 2 3 2 2" xfId="3945" xr:uid="{00000000-0005-0000-0000-000011080000}"/>
    <cellStyle name="Normal 2 2 3 3" xfId="2132" xr:uid="{00000000-0005-0000-0000-000012080000}"/>
    <cellStyle name="Normal 2 2 3 3 2" xfId="3930" xr:uid="{00000000-0005-0000-0000-000013080000}"/>
    <cellStyle name="Normal 2 2 4" xfId="2133" xr:uid="{00000000-0005-0000-0000-000014080000}"/>
    <cellStyle name="Normal 2 2 4 2" xfId="2134" xr:uid="{00000000-0005-0000-0000-000015080000}"/>
    <cellStyle name="Normal 2 2 4 3" xfId="3917" xr:uid="{00000000-0005-0000-0000-000016080000}"/>
    <cellStyle name="Normal 2 2 5" xfId="2135" xr:uid="{00000000-0005-0000-0000-000017080000}"/>
    <cellStyle name="Normal 2 2 5 2" xfId="2136" xr:uid="{00000000-0005-0000-0000-000018080000}"/>
    <cellStyle name="Normal 2 2 5 3" xfId="3943" xr:uid="{00000000-0005-0000-0000-000019080000}"/>
    <cellStyle name="Normal 2 2 6" xfId="2137" xr:uid="{00000000-0005-0000-0000-00001A080000}"/>
    <cellStyle name="Normal 2 2 6 2" xfId="2138" xr:uid="{00000000-0005-0000-0000-00001B080000}"/>
    <cellStyle name="Normal 2 2 6 3" xfId="3928" xr:uid="{00000000-0005-0000-0000-00001C080000}"/>
    <cellStyle name="Normal 2 2 7" xfId="2139" xr:uid="{00000000-0005-0000-0000-00001D080000}"/>
    <cellStyle name="Normal 2 2 7 2" xfId="2140" xr:uid="{00000000-0005-0000-0000-00001E080000}"/>
    <cellStyle name="Normal 2 2 8" xfId="2141" xr:uid="{00000000-0005-0000-0000-00001F080000}"/>
    <cellStyle name="Normal 2 2 8 2" xfId="2142" xr:uid="{00000000-0005-0000-0000-000020080000}"/>
    <cellStyle name="Normal 2 2 9" xfId="2143" xr:uid="{00000000-0005-0000-0000-000021080000}"/>
    <cellStyle name="Normal 2 2 9 2" xfId="2144" xr:uid="{00000000-0005-0000-0000-000022080000}"/>
    <cellStyle name="Normal 2 3" xfId="109" xr:uid="{00000000-0005-0000-0000-000023080000}"/>
    <cellStyle name="Normal 2 3 2" xfId="2145" xr:uid="{00000000-0005-0000-0000-000024080000}"/>
    <cellStyle name="Normal 2 3 2 2" xfId="3946" xr:uid="{00000000-0005-0000-0000-000025080000}"/>
    <cellStyle name="Normal 2 3 3" xfId="2146" xr:uid="{00000000-0005-0000-0000-000026080000}"/>
    <cellStyle name="Normal 2 3 3 2" xfId="3931" xr:uid="{00000000-0005-0000-0000-000027080000}"/>
    <cellStyle name="Normal 2 4" xfId="110" xr:uid="{00000000-0005-0000-0000-000028080000}"/>
    <cellStyle name="Normal 2 4 2" xfId="2147" xr:uid="{00000000-0005-0000-0000-000029080000}"/>
    <cellStyle name="Normal 2 5" xfId="111" xr:uid="{00000000-0005-0000-0000-00002A080000}"/>
    <cellStyle name="Normal 2 5 2" xfId="2148" xr:uid="{00000000-0005-0000-0000-00002B080000}"/>
    <cellStyle name="Normal 2 5 3" xfId="2149" xr:uid="{00000000-0005-0000-0000-00002C080000}"/>
    <cellStyle name="Normal 2 6" xfId="2150" xr:uid="{00000000-0005-0000-0000-00002D080000}"/>
    <cellStyle name="Normal 2 6 2" xfId="2151" xr:uid="{00000000-0005-0000-0000-00002E080000}"/>
    <cellStyle name="Normal 2 6 3" xfId="3942" xr:uid="{00000000-0005-0000-0000-00002F080000}"/>
    <cellStyle name="Normal 2 7" xfId="2152" xr:uid="{00000000-0005-0000-0000-000030080000}"/>
    <cellStyle name="Normal 2 7 2" xfId="2153" xr:uid="{00000000-0005-0000-0000-000031080000}"/>
    <cellStyle name="Normal 2 7 3" xfId="3920" xr:uid="{00000000-0005-0000-0000-000032080000}"/>
    <cellStyle name="Normal 2 8" xfId="2154" xr:uid="{00000000-0005-0000-0000-000033080000}"/>
    <cellStyle name="Normal 2 8 2" xfId="2155" xr:uid="{00000000-0005-0000-0000-000034080000}"/>
    <cellStyle name="Normal 2 9" xfId="112" xr:uid="{00000000-0005-0000-0000-000035080000}"/>
    <cellStyle name="Normal 2 9 2" xfId="2156" xr:uid="{00000000-0005-0000-0000-000036080000}"/>
    <cellStyle name="Normal 2_Acads List" xfId="113" xr:uid="{00000000-0005-0000-0000-000037080000}"/>
    <cellStyle name="Normal 20" xfId="203" xr:uid="{00000000-0005-0000-0000-000038080000}"/>
    <cellStyle name="Normal 20 2" xfId="2157" xr:uid="{00000000-0005-0000-0000-000039080000}"/>
    <cellStyle name="Normal 20 3" xfId="2158" xr:uid="{00000000-0005-0000-0000-00003A080000}"/>
    <cellStyle name="Normal 21" xfId="2159" xr:uid="{00000000-0005-0000-0000-00003B080000}"/>
    <cellStyle name="Normal 21 2" xfId="2160" xr:uid="{00000000-0005-0000-0000-00003C080000}"/>
    <cellStyle name="Normal 22" xfId="2161" xr:uid="{00000000-0005-0000-0000-00003D080000}"/>
    <cellStyle name="Normal 22 2" xfId="2162" xr:uid="{00000000-0005-0000-0000-00003E080000}"/>
    <cellStyle name="Normal 23" xfId="2163" xr:uid="{00000000-0005-0000-0000-00003F080000}"/>
    <cellStyle name="Normal 24" xfId="2164" xr:uid="{00000000-0005-0000-0000-000040080000}"/>
    <cellStyle name="Normal 25" xfId="2165" xr:uid="{00000000-0005-0000-0000-000041080000}"/>
    <cellStyle name="Normal 26" xfId="2166" xr:uid="{00000000-0005-0000-0000-000042080000}"/>
    <cellStyle name="Normal 27" xfId="2167" xr:uid="{00000000-0005-0000-0000-000043080000}"/>
    <cellStyle name="Normal 28" xfId="2168" xr:uid="{00000000-0005-0000-0000-000044080000}"/>
    <cellStyle name="Normal 29" xfId="2169" xr:uid="{00000000-0005-0000-0000-000045080000}"/>
    <cellStyle name="Normal 3" xfId="114" xr:uid="{00000000-0005-0000-0000-000046080000}"/>
    <cellStyle name="Normal 3 10" xfId="2170" xr:uid="{00000000-0005-0000-0000-000047080000}"/>
    <cellStyle name="Normal 3 11" xfId="2171" xr:uid="{00000000-0005-0000-0000-000048080000}"/>
    <cellStyle name="Normal 3 12" xfId="2172" xr:uid="{00000000-0005-0000-0000-000049080000}"/>
    <cellStyle name="Normal 3 13" xfId="2173" xr:uid="{00000000-0005-0000-0000-00004A080000}"/>
    <cellStyle name="Normal 3 13 2" xfId="2174" xr:uid="{00000000-0005-0000-0000-00004B080000}"/>
    <cellStyle name="Normal 3 14" xfId="2175" xr:uid="{00000000-0005-0000-0000-00004C080000}"/>
    <cellStyle name="Normal 3 2" xfId="115" xr:uid="{00000000-0005-0000-0000-00004D080000}"/>
    <cellStyle name="Normal 3 2 2" xfId="116" xr:uid="{00000000-0005-0000-0000-00004E080000}"/>
    <cellStyle name="Normal 3 2 2 2" xfId="2176" xr:uid="{00000000-0005-0000-0000-00004F080000}"/>
    <cellStyle name="Normal 3 2 3" xfId="2177" xr:uid="{00000000-0005-0000-0000-000050080000}"/>
    <cellStyle name="Normal 3 2 4" xfId="2178" xr:uid="{00000000-0005-0000-0000-000051080000}"/>
    <cellStyle name="Normal 3 2 5" xfId="2179" xr:uid="{00000000-0005-0000-0000-000052080000}"/>
    <cellStyle name="Normal 3 2 6" xfId="2180" xr:uid="{00000000-0005-0000-0000-000053080000}"/>
    <cellStyle name="Normal 3 2 7" xfId="2181" xr:uid="{00000000-0005-0000-0000-000054080000}"/>
    <cellStyle name="Normal 3 2 8" xfId="2182" xr:uid="{00000000-0005-0000-0000-000055080000}"/>
    <cellStyle name="Normal 3 2_Main Allocation Sheet" xfId="2183" xr:uid="{00000000-0005-0000-0000-000056080000}"/>
    <cellStyle name="Normal 3 3" xfId="117" xr:uid="{00000000-0005-0000-0000-000057080000}"/>
    <cellStyle name="Normal 3 3 2" xfId="2184" xr:uid="{00000000-0005-0000-0000-000058080000}"/>
    <cellStyle name="Normal 3 3 3" xfId="2185" xr:uid="{00000000-0005-0000-0000-000059080000}"/>
    <cellStyle name="Normal 3 4" xfId="118" xr:uid="{00000000-0005-0000-0000-00005A080000}"/>
    <cellStyle name="Normal 3 4 2" xfId="2186" xr:uid="{00000000-0005-0000-0000-00005B080000}"/>
    <cellStyle name="Normal 3 4 3" xfId="2187" xr:uid="{00000000-0005-0000-0000-00005C080000}"/>
    <cellStyle name="Normal 3 4 3 2 2" xfId="3972" xr:uid="{C6C539FD-2601-4A5A-BF5F-2D761F15B6D4}"/>
    <cellStyle name="Normal 3 5" xfId="2188" xr:uid="{00000000-0005-0000-0000-00005D080000}"/>
    <cellStyle name="Normal 3 5 2" xfId="2189" xr:uid="{00000000-0005-0000-0000-00005E080000}"/>
    <cellStyle name="Normal 3 5 3" xfId="3947" xr:uid="{00000000-0005-0000-0000-00005F080000}"/>
    <cellStyle name="Normal 3 6" xfId="2190" xr:uid="{00000000-0005-0000-0000-000060080000}"/>
    <cellStyle name="Normal 3 6 2" xfId="2191" xr:uid="{00000000-0005-0000-0000-000061080000}"/>
    <cellStyle name="Normal 3 7" xfId="2192" xr:uid="{00000000-0005-0000-0000-000062080000}"/>
    <cellStyle name="Normal 3 8" xfId="2193" xr:uid="{00000000-0005-0000-0000-000063080000}"/>
    <cellStyle name="Normal 3 9" xfId="2194" xr:uid="{00000000-0005-0000-0000-000064080000}"/>
    <cellStyle name="Normal 3_Colleges and Providers" xfId="2195" xr:uid="{00000000-0005-0000-0000-000065080000}"/>
    <cellStyle name="Normal 30" xfId="2196" xr:uid="{00000000-0005-0000-0000-000066080000}"/>
    <cellStyle name="Normal 31" xfId="2197" xr:uid="{00000000-0005-0000-0000-000067080000}"/>
    <cellStyle name="Normal 32" xfId="3954" xr:uid="{00000000-0005-0000-0000-000068080000}"/>
    <cellStyle name="Normal 33" xfId="2198" xr:uid="{00000000-0005-0000-0000-000069080000}"/>
    <cellStyle name="Normal 34" xfId="3971" xr:uid="{29569DA8-044C-4BD8-A441-7DEF3B1DEF36}"/>
    <cellStyle name="Normal 35" xfId="3958" xr:uid="{00000000-0005-0000-0000-00006A080000}"/>
    <cellStyle name="Normal 36" xfId="3973" xr:uid="{26E38277-1009-4A66-847D-5B85D9A1940F}"/>
    <cellStyle name="Normal 4" xfId="119" xr:uid="{00000000-0005-0000-0000-00006B080000}"/>
    <cellStyle name="Normal 4 10" xfId="2199" xr:uid="{00000000-0005-0000-0000-00006C080000}"/>
    <cellStyle name="Normal 4 10 2" xfId="2200" xr:uid="{00000000-0005-0000-0000-00006D080000}"/>
    <cellStyle name="Normal 4 11" xfId="2201" xr:uid="{00000000-0005-0000-0000-00006E080000}"/>
    <cellStyle name="Normal 4 2" xfId="120" xr:uid="{00000000-0005-0000-0000-00006F080000}"/>
    <cellStyle name="Normal 4 2 2" xfId="2202" xr:uid="{00000000-0005-0000-0000-000070080000}"/>
    <cellStyle name="Normal 4 2 2 2" xfId="2203" xr:uid="{00000000-0005-0000-0000-000071080000}"/>
    <cellStyle name="Normal 4 2 2 2 2" xfId="2204" xr:uid="{00000000-0005-0000-0000-000072080000}"/>
    <cellStyle name="Normal 4 2 2 2 2 2" xfId="2205" xr:uid="{00000000-0005-0000-0000-000073080000}"/>
    <cellStyle name="Normal 4 2 2 2 3" xfId="2206" xr:uid="{00000000-0005-0000-0000-000074080000}"/>
    <cellStyle name="Normal 4 2 2 3" xfId="2207" xr:uid="{00000000-0005-0000-0000-000075080000}"/>
    <cellStyle name="Normal 4 2 2 3 2" xfId="2208" xr:uid="{00000000-0005-0000-0000-000076080000}"/>
    <cellStyle name="Normal 4 2 2 4" xfId="2209" xr:uid="{00000000-0005-0000-0000-000077080000}"/>
    <cellStyle name="Normal 4 2 2 5" xfId="3949" xr:uid="{00000000-0005-0000-0000-000078080000}"/>
    <cellStyle name="Normal 4 2 3" xfId="2210" xr:uid="{00000000-0005-0000-0000-000079080000}"/>
    <cellStyle name="Normal 4 2 3 2" xfId="2211" xr:uid="{00000000-0005-0000-0000-00007A080000}"/>
    <cellStyle name="Normal 4 2 3 2 2" xfId="2212" xr:uid="{00000000-0005-0000-0000-00007B080000}"/>
    <cellStyle name="Normal 4 2 3 3" xfId="2213" xr:uid="{00000000-0005-0000-0000-00007C080000}"/>
    <cellStyle name="Normal 4 2 3 4" xfId="3938" xr:uid="{00000000-0005-0000-0000-00007D080000}"/>
    <cellStyle name="Normal 4 2 4" xfId="2214" xr:uid="{00000000-0005-0000-0000-00007E080000}"/>
    <cellStyle name="Normal 4 2 4 2" xfId="2215" xr:uid="{00000000-0005-0000-0000-00007F080000}"/>
    <cellStyle name="Normal 4 2 5" xfId="2216" xr:uid="{00000000-0005-0000-0000-000080080000}"/>
    <cellStyle name="Normal 4 2 6" xfId="2217" xr:uid="{00000000-0005-0000-0000-000081080000}"/>
    <cellStyle name="Normal 4 3" xfId="121" xr:uid="{00000000-0005-0000-0000-000082080000}"/>
    <cellStyle name="Normal 4 3 2" xfId="2218" xr:uid="{00000000-0005-0000-0000-000083080000}"/>
    <cellStyle name="Normal 4 3 2 2" xfId="2219" xr:uid="{00000000-0005-0000-0000-000084080000}"/>
    <cellStyle name="Normal 4 3 2 2 2" xfId="2220" xr:uid="{00000000-0005-0000-0000-000085080000}"/>
    <cellStyle name="Normal 4 3 2 2 2 2" xfId="2221" xr:uid="{00000000-0005-0000-0000-000086080000}"/>
    <cellStyle name="Normal 4 3 2 2 3" xfId="2222" xr:uid="{00000000-0005-0000-0000-000087080000}"/>
    <cellStyle name="Normal 4 3 2 3" xfId="2223" xr:uid="{00000000-0005-0000-0000-000088080000}"/>
    <cellStyle name="Normal 4 3 2 3 2" xfId="2224" xr:uid="{00000000-0005-0000-0000-000089080000}"/>
    <cellStyle name="Normal 4 3 2 4" xfId="2225" xr:uid="{00000000-0005-0000-0000-00008A080000}"/>
    <cellStyle name="Normal 4 3 2 5" xfId="3950" xr:uid="{00000000-0005-0000-0000-00008B080000}"/>
    <cellStyle name="Normal 4 3 3" xfId="2226" xr:uid="{00000000-0005-0000-0000-00008C080000}"/>
    <cellStyle name="Normal 4 3 3 2" xfId="2227" xr:uid="{00000000-0005-0000-0000-00008D080000}"/>
    <cellStyle name="Normal 4 3 3 2 2" xfId="2228" xr:uid="{00000000-0005-0000-0000-00008E080000}"/>
    <cellStyle name="Normal 4 3 3 3" xfId="2229" xr:uid="{00000000-0005-0000-0000-00008F080000}"/>
    <cellStyle name="Normal 4 3 3 4" xfId="3932" xr:uid="{00000000-0005-0000-0000-000090080000}"/>
    <cellStyle name="Normal 4 3 4" xfId="2230" xr:uid="{00000000-0005-0000-0000-000091080000}"/>
    <cellStyle name="Normal 4 3 4 2" xfId="2231" xr:uid="{00000000-0005-0000-0000-000092080000}"/>
    <cellStyle name="Normal 4 3 5" xfId="2232" xr:uid="{00000000-0005-0000-0000-000093080000}"/>
    <cellStyle name="Normal 4 3 6" xfId="2233" xr:uid="{00000000-0005-0000-0000-000094080000}"/>
    <cellStyle name="Normal 4 4" xfId="2234" xr:uid="{00000000-0005-0000-0000-000095080000}"/>
    <cellStyle name="Normal 4 4 2" xfId="2235" xr:uid="{00000000-0005-0000-0000-000096080000}"/>
    <cellStyle name="Normal 4 4 2 2" xfId="2236" xr:uid="{00000000-0005-0000-0000-000097080000}"/>
    <cellStyle name="Normal 4 4 2 2 2" xfId="2237" xr:uid="{00000000-0005-0000-0000-000098080000}"/>
    <cellStyle name="Normal 4 4 2 2 2 2" xfId="2238" xr:uid="{00000000-0005-0000-0000-000099080000}"/>
    <cellStyle name="Normal 4 4 2 2 3" xfId="2239" xr:uid="{00000000-0005-0000-0000-00009A080000}"/>
    <cellStyle name="Normal 4 4 2 3" xfId="2240" xr:uid="{00000000-0005-0000-0000-00009B080000}"/>
    <cellStyle name="Normal 4 4 2 3 2" xfId="2241" xr:uid="{00000000-0005-0000-0000-00009C080000}"/>
    <cellStyle name="Normal 4 4 2 4" xfId="2242" xr:uid="{00000000-0005-0000-0000-00009D080000}"/>
    <cellStyle name="Normal 4 4 3" xfId="2243" xr:uid="{00000000-0005-0000-0000-00009E080000}"/>
    <cellStyle name="Normal 4 4 3 2" xfId="2244" xr:uid="{00000000-0005-0000-0000-00009F080000}"/>
    <cellStyle name="Normal 4 4 3 2 2" xfId="2245" xr:uid="{00000000-0005-0000-0000-0000A0080000}"/>
    <cellStyle name="Normal 4 4 3 3" xfId="2246" xr:uid="{00000000-0005-0000-0000-0000A1080000}"/>
    <cellStyle name="Normal 4 4 4" xfId="2247" xr:uid="{00000000-0005-0000-0000-0000A2080000}"/>
    <cellStyle name="Normal 4 4 4 2" xfId="2248" xr:uid="{00000000-0005-0000-0000-0000A3080000}"/>
    <cellStyle name="Normal 4 4 5" xfId="2249" xr:uid="{00000000-0005-0000-0000-0000A4080000}"/>
    <cellStyle name="Normal 4 5" xfId="2250" xr:uid="{00000000-0005-0000-0000-0000A5080000}"/>
    <cellStyle name="Normal 4 5 2" xfId="2251" xr:uid="{00000000-0005-0000-0000-0000A6080000}"/>
    <cellStyle name="Normal 4 5 2 2" xfId="2252" xr:uid="{00000000-0005-0000-0000-0000A7080000}"/>
    <cellStyle name="Normal 4 5 2 2 2" xfId="2253" xr:uid="{00000000-0005-0000-0000-0000A8080000}"/>
    <cellStyle name="Normal 4 5 2 3" xfId="2254" xr:uid="{00000000-0005-0000-0000-0000A9080000}"/>
    <cellStyle name="Normal 4 5 3" xfId="2255" xr:uid="{00000000-0005-0000-0000-0000AA080000}"/>
    <cellStyle name="Normal 4 5 3 2" xfId="2256" xr:uid="{00000000-0005-0000-0000-0000AB080000}"/>
    <cellStyle name="Normal 4 5 4" xfId="2257" xr:uid="{00000000-0005-0000-0000-0000AC080000}"/>
    <cellStyle name="Normal 4 5 5" xfId="3948" xr:uid="{00000000-0005-0000-0000-0000AD080000}"/>
    <cellStyle name="Normal 4 6" xfId="2258" xr:uid="{00000000-0005-0000-0000-0000AE080000}"/>
    <cellStyle name="Normal 4 6 2" xfId="2259" xr:uid="{00000000-0005-0000-0000-0000AF080000}"/>
    <cellStyle name="Normal 4 6 2 2" xfId="2260" xr:uid="{00000000-0005-0000-0000-0000B0080000}"/>
    <cellStyle name="Normal 4 6 2 2 2" xfId="2261" xr:uid="{00000000-0005-0000-0000-0000B1080000}"/>
    <cellStyle name="Normal 4 6 2 3" xfId="2262" xr:uid="{00000000-0005-0000-0000-0000B2080000}"/>
    <cellStyle name="Normal 4 6 3" xfId="2263" xr:uid="{00000000-0005-0000-0000-0000B3080000}"/>
    <cellStyle name="Normal 4 6 3 2" xfId="2264" xr:uid="{00000000-0005-0000-0000-0000B4080000}"/>
    <cellStyle name="Normal 4 6 4" xfId="2265" xr:uid="{00000000-0005-0000-0000-0000B5080000}"/>
    <cellStyle name="Normal 4 6 5" xfId="3923" xr:uid="{00000000-0005-0000-0000-0000B6080000}"/>
    <cellStyle name="Normal 4 7" xfId="2266" xr:uid="{00000000-0005-0000-0000-0000B7080000}"/>
    <cellStyle name="Normal 4 7 2" xfId="2267" xr:uid="{00000000-0005-0000-0000-0000B8080000}"/>
    <cellStyle name="Normal 4 7 2 2" xfId="2268" xr:uid="{00000000-0005-0000-0000-0000B9080000}"/>
    <cellStyle name="Normal 4 7 3" xfId="2269" xr:uid="{00000000-0005-0000-0000-0000BA080000}"/>
    <cellStyle name="Normal 4 8" xfId="2270" xr:uid="{00000000-0005-0000-0000-0000BB080000}"/>
    <cellStyle name="Normal 4 8 2" xfId="2271" xr:uid="{00000000-0005-0000-0000-0000BC080000}"/>
    <cellStyle name="Normal 4 9" xfId="2272" xr:uid="{00000000-0005-0000-0000-0000BD080000}"/>
    <cellStyle name="Normal 4 9 2" xfId="2273" xr:uid="{00000000-0005-0000-0000-0000BE080000}"/>
    <cellStyle name="Normal 4_Regional Readiness Sheet" xfId="2274" xr:uid="{00000000-0005-0000-0000-0000BF080000}"/>
    <cellStyle name="Normal 48" xfId="2275" xr:uid="{00000000-0005-0000-0000-0000C0080000}"/>
    <cellStyle name="Normal 5" xfId="122" xr:uid="{00000000-0005-0000-0000-0000C1080000}"/>
    <cellStyle name="Normal 5 2" xfId="123" xr:uid="{00000000-0005-0000-0000-0000C2080000}"/>
    <cellStyle name="Normal 5 2 2" xfId="124" xr:uid="{00000000-0005-0000-0000-0000C3080000}"/>
    <cellStyle name="Normal 5 2 3" xfId="2276" xr:uid="{00000000-0005-0000-0000-0000C4080000}"/>
    <cellStyle name="Normal 5 3" xfId="125" xr:uid="{00000000-0005-0000-0000-0000C5080000}"/>
    <cellStyle name="Normal 5 3 2" xfId="126" xr:uid="{00000000-0005-0000-0000-0000C6080000}"/>
    <cellStyle name="Normal 5 3 3" xfId="2277" xr:uid="{00000000-0005-0000-0000-0000C7080000}"/>
    <cellStyle name="Normal 5 4" xfId="127" xr:uid="{00000000-0005-0000-0000-0000C8080000}"/>
    <cellStyle name="Normal 5 5" xfId="128" xr:uid="{00000000-0005-0000-0000-0000C9080000}"/>
    <cellStyle name="Normal 5 6" xfId="2278" xr:uid="{00000000-0005-0000-0000-0000CA080000}"/>
    <cellStyle name="Normal 5 6 2" xfId="3951" xr:uid="{00000000-0005-0000-0000-0000CB080000}"/>
    <cellStyle name="Normal 5 7" xfId="3924" xr:uid="{00000000-0005-0000-0000-0000CC080000}"/>
    <cellStyle name="Normal 58 2" xfId="3959" xr:uid="{00000000-0005-0000-0000-0000CD080000}"/>
    <cellStyle name="Normal 58 2 2" xfId="3962" xr:uid="{00000000-0005-0000-0000-0000CE080000}"/>
    <cellStyle name="Normal 58 2 2 21" xfId="3964" xr:uid="{AAD84B4D-1FBB-4848-AE2E-96F69F3B2F12}"/>
    <cellStyle name="Normal 6" xfId="129" xr:uid="{00000000-0005-0000-0000-0000CF080000}"/>
    <cellStyle name="Normal 6 2" xfId="130" xr:uid="{00000000-0005-0000-0000-0000D0080000}"/>
    <cellStyle name="Normal 6 2 2" xfId="2279" xr:uid="{00000000-0005-0000-0000-0000D1080000}"/>
    <cellStyle name="Normal 6 2 3" xfId="2280" xr:uid="{00000000-0005-0000-0000-0000D2080000}"/>
    <cellStyle name="Normal 6 2 4" xfId="2281" xr:uid="{00000000-0005-0000-0000-0000D3080000}"/>
    <cellStyle name="Normal 6 3" xfId="131" xr:uid="{00000000-0005-0000-0000-0000D4080000}"/>
    <cellStyle name="Normal 6 3 2" xfId="132" xr:uid="{00000000-0005-0000-0000-0000D5080000}"/>
    <cellStyle name="Normal 6 3 2 2" xfId="2282" xr:uid="{00000000-0005-0000-0000-0000D6080000}"/>
    <cellStyle name="Normal 6 3 3" xfId="2283" xr:uid="{00000000-0005-0000-0000-0000D7080000}"/>
    <cellStyle name="Normal 6 3 4" xfId="3933" xr:uid="{00000000-0005-0000-0000-0000D8080000}"/>
    <cellStyle name="Normal 6 4" xfId="133" xr:uid="{00000000-0005-0000-0000-0000D9080000}"/>
    <cellStyle name="Normal 6 4 2" xfId="2284" xr:uid="{00000000-0005-0000-0000-0000DA080000}"/>
    <cellStyle name="Normal 6 5" xfId="2285" xr:uid="{00000000-0005-0000-0000-0000DB080000}"/>
    <cellStyle name="Normal 6 5 2" xfId="3952" xr:uid="{00000000-0005-0000-0000-0000DC080000}"/>
    <cellStyle name="Normal 6 6" xfId="3955" xr:uid="{00000000-0005-0000-0000-0000DD080000}"/>
    <cellStyle name="Normal 60" xfId="3960" xr:uid="{00000000-0005-0000-0000-0000DE080000}"/>
    <cellStyle name="Normal 60 21" xfId="3963" xr:uid="{EDCAFD6D-5E1D-42F3-8F77-D52E65179751}"/>
    <cellStyle name="Normal 7" xfId="134" xr:uid="{00000000-0005-0000-0000-0000DF080000}"/>
    <cellStyle name="Normal 7 2" xfId="135" xr:uid="{00000000-0005-0000-0000-0000E0080000}"/>
    <cellStyle name="Normal 7 2 2" xfId="2286" xr:uid="{00000000-0005-0000-0000-0000E1080000}"/>
    <cellStyle name="Normal 7 2 3" xfId="2287" xr:uid="{00000000-0005-0000-0000-0000E2080000}"/>
    <cellStyle name="Normal 7 3" xfId="2288" xr:uid="{00000000-0005-0000-0000-0000E3080000}"/>
    <cellStyle name="Normal 7 3 2" xfId="3953" xr:uid="{00000000-0005-0000-0000-0000E4080000}"/>
    <cellStyle name="Normal 7 4" xfId="2289" xr:uid="{00000000-0005-0000-0000-0000E5080000}"/>
    <cellStyle name="Normal 7 4 2" xfId="2290" xr:uid="{00000000-0005-0000-0000-0000E6080000}"/>
    <cellStyle name="Normal 7 4 3" xfId="3934" xr:uid="{00000000-0005-0000-0000-0000E7080000}"/>
    <cellStyle name="Normal 7 5" xfId="2291" xr:uid="{00000000-0005-0000-0000-0000E8080000}"/>
    <cellStyle name="Normal 7 6" xfId="3956" xr:uid="{00000000-0005-0000-0000-0000E9080000}"/>
    <cellStyle name="Normal 8" xfId="136" xr:uid="{00000000-0005-0000-0000-0000EA080000}"/>
    <cellStyle name="Normal 8 2" xfId="137" xr:uid="{00000000-0005-0000-0000-0000EB080000}"/>
    <cellStyle name="Normal 8 2 2" xfId="2292" xr:uid="{00000000-0005-0000-0000-0000EC080000}"/>
    <cellStyle name="Normal 8 3" xfId="204" xr:uid="{00000000-0005-0000-0000-0000ED080000}"/>
    <cellStyle name="Normal 8 4" xfId="3935" xr:uid="{00000000-0005-0000-0000-0000EE080000}"/>
    <cellStyle name="Normal 9" xfId="138" xr:uid="{00000000-0005-0000-0000-0000EF080000}"/>
    <cellStyle name="Normal 9 2" xfId="139" xr:uid="{00000000-0005-0000-0000-0000F0080000}"/>
    <cellStyle name="Normal 9 2 2" xfId="2293" xr:uid="{00000000-0005-0000-0000-0000F1080000}"/>
    <cellStyle name="Normal 9 2 2 2" xfId="2294" xr:uid="{00000000-0005-0000-0000-0000F2080000}"/>
    <cellStyle name="Normal 9 2 3" xfId="2295" xr:uid="{00000000-0005-0000-0000-0000F3080000}"/>
    <cellStyle name="Normal 9 3" xfId="2296" xr:uid="{00000000-0005-0000-0000-0000F4080000}"/>
    <cellStyle name="Normal 9 3 2" xfId="2297" xr:uid="{00000000-0005-0000-0000-0000F5080000}"/>
    <cellStyle name="Normal 9 4" xfId="2298" xr:uid="{00000000-0005-0000-0000-0000F6080000}"/>
    <cellStyle name="Normal 9 4 2" xfId="2299" xr:uid="{00000000-0005-0000-0000-0000F7080000}"/>
    <cellStyle name="Normal 9 4 2 2" xfId="2300" xr:uid="{00000000-0005-0000-0000-0000F8080000}"/>
    <cellStyle name="Normal 9 4 3" xfId="2301" xr:uid="{00000000-0005-0000-0000-0000F9080000}"/>
    <cellStyle name="Normal 9 5" xfId="2302" xr:uid="{00000000-0005-0000-0000-0000FA080000}"/>
    <cellStyle name="NormalStyleCurrency" xfId="2303" xr:uid="{00000000-0005-0000-0000-0000FC080000}"/>
    <cellStyle name="NormalStyleText" xfId="2304" xr:uid="{00000000-0005-0000-0000-0000FD080000}"/>
    <cellStyle name="Note 2" xfId="140" xr:uid="{00000000-0005-0000-0000-0000FE080000}"/>
    <cellStyle name="Note 2 2" xfId="141" xr:uid="{00000000-0005-0000-0000-0000FF080000}"/>
    <cellStyle name="Note 2 2 10" xfId="2305" xr:uid="{00000000-0005-0000-0000-000000090000}"/>
    <cellStyle name="Note 2 2 10 2" xfId="2306" xr:uid="{00000000-0005-0000-0000-000001090000}"/>
    <cellStyle name="Note 2 2 10 3" xfId="2307" xr:uid="{00000000-0005-0000-0000-000002090000}"/>
    <cellStyle name="Note 2 2 10 4" xfId="2308" xr:uid="{00000000-0005-0000-0000-000003090000}"/>
    <cellStyle name="Note 2 2 10 5" xfId="2309" xr:uid="{00000000-0005-0000-0000-000004090000}"/>
    <cellStyle name="Note 2 2 11" xfId="2310" xr:uid="{00000000-0005-0000-0000-000005090000}"/>
    <cellStyle name="Note 2 2 11 2" xfId="2311" xr:uid="{00000000-0005-0000-0000-000006090000}"/>
    <cellStyle name="Note 2 2 11 3" xfId="2312" xr:uid="{00000000-0005-0000-0000-000007090000}"/>
    <cellStyle name="Note 2 2 11 4" xfId="2313" xr:uid="{00000000-0005-0000-0000-000008090000}"/>
    <cellStyle name="Note 2 2 11 5" xfId="2314" xr:uid="{00000000-0005-0000-0000-000009090000}"/>
    <cellStyle name="Note 2 2 12" xfId="2315" xr:uid="{00000000-0005-0000-0000-00000A090000}"/>
    <cellStyle name="Note 2 2 12 2" xfId="2316" xr:uid="{00000000-0005-0000-0000-00000B090000}"/>
    <cellStyle name="Note 2 2 12 3" xfId="2317" xr:uid="{00000000-0005-0000-0000-00000C090000}"/>
    <cellStyle name="Note 2 2 12 4" xfId="2318" xr:uid="{00000000-0005-0000-0000-00000D090000}"/>
    <cellStyle name="Note 2 2 12 5" xfId="2319" xr:uid="{00000000-0005-0000-0000-00000E090000}"/>
    <cellStyle name="Note 2 2 13" xfId="2320" xr:uid="{00000000-0005-0000-0000-00000F090000}"/>
    <cellStyle name="Note 2 2 13 2" xfId="2321" xr:uid="{00000000-0005-0000-0000-000010090000}"/>
    <cellStyle name="Note 2 2 13 3" xfId="2322" xr:uid="{00000000-0005-0000-0000-000011090000}"/>
    <cellStyle name="Note 2 2 13 4" xfId="2323" xr:uid="{00000000-0005-0000-0000-000012090000}"/>
    <cellStyle name="Note 2 2 14" xfId="2324" xr:uid="{00000000-0005-0000-0000-000013090000}"/>
    <cellStyle name="Note 2 2 14 2" xfId="2325" xr:uid="{00000000-0005-0000-0000-000014090000}"/>
    <cellStyle name="Note 2 2 14 3" xfId="2326" xr:uid="{00000000-0005-0000-0000-000015090000}"/>
    <cellStyle name="Note 2 2 14 4" xfId="2327" xr:uid="{00000000-0005-0000-0000-000016090000}"/>
    <cellStyle name="Note 2 2 15" xfId="2328" xr:uid="{00000000-0005-0000-0000-000017090000}"/>
    <cellStyle name="Note 2 2 15 2" xfId="2329" xr:uid="{00000000-0005-0000-0000-000018090000}"/>
    <cellStyle name="Note 2 2 15 3" xfId="2330" xr:uid="{00000000-0005-0000-0000-000019090000}"/>
    <cellStyle name="Note 2 2 15 4" xfId="2331" xr:uid="{00000000-0005-0000-0000-00001A090000}"/>
    <cellStyle name="Note 2 2 2" xfId="142" xr:uid="{00000000-0005-0000-0000-00001B090000}"/>
    <cellStyle name="Note 2 2 2 10" xfId="2332" xr:uid="{00000000-0005-0000-0000-00001C090000}"/>
    <cellStyle name="Note 2 2 2 10 2" xfId="2333" xr:uid="{00000000-0005-0000-0000-00001D090000}"/>
    <cellStyle name="Note 2 2 2 10 3" xfId="2334" xr:uid="{00000000-0005-0000-0000-00001E090000}"/>
    <cellStyle name="Note 2 2 2 10 4" xfId="2335" xr:uid="{00000000-0005-0000-0000-00001F090000}"/>
    <cellStyle name="Note 2 2 2 10 5" xfId="2336" xr:uid="{00000000-0005-0000-0000-000020090000}"/>
    <cellStyle name="Note 2 2 2 11" xfId="2337" xr:uid="{00000000-0005-0000-0000-000021090000}"/>
    <cellStyle name="Note 2 2 2 11 2" xfId="2338" xr:uid="{00000000-0005-0000-0000-000022090000}"/>
    <cellStyle name="Note 2 2 2 11 3" xfId="2339" xr:uid="{00000000-0005-0000-0000-000023090000}"/>
    <cellStyle name="Note 2 2 2 11 4" xfId="2340" xr:uid="{00000000-0005-0000-0000-000024090000}"/>
    <cellStyle name="Note 2 2 2 11 5" xfId="2341" xr:uid="{00000000-0005-0000-0000-000025090000}"/>
    <cellStyle name="Note 2 2 2 12" xfId="2342" xr:uid="{00000000-0005-0000-0000-000026090000}"/>
    <cellStyle name="Note 2 2 2 12 2" xfId="2343" xr:uid="{00000000-0005-0000-0000-000027090000}"/>
    <cellStyle name="Note 2 2 2 12 3" xfId="2344" xr:uid="{00000000-0005-0000-0000-000028090000}"/>
    <cellStyle name="Note 2 2 2 12 4" xfId="2345" xr:uid="{00000000-0005-0000-0000-000029090000}"/>
    <cellStyle name="Note 2 2 2 12 5" xfId="2346" xr:uid="{00000000-0005-0000-0000-00002A090000}"/>
    <cellStyle name="Note 2 2 2 13" xfId="2347" xr:uid="{00000000-0005-0000-0000-00002B090000}"/>
    <cellStyle name="Note 2 2 2 13 2" xfId="2348" xr:uid="{00000000-0005-0000-0000-00002C090000}"/>
    <cellStyle name="Note 2 2 2 13 3" xfId="2349" xr:uid="{00000000-0005-0000-0000-00002D090000}"/>
    <cellStyle name="Note 2 2 2 13 4" xfId="2350" xr:uid="{00000000-0005-0000-0000-00002E090000}"/>
    <cellStyle name="Note 2 2 2 13 5" xfId="2351" xr:uid="{00000000-0005-0000-0000-00002F090000}"/>
    <cellStyle name="Note 2 2 2 14" xfId="2352" xr:uid="{00000000-0005-0000-0000-000030090000}"/>
    <cellStyle name="Note 2 2 2 14 2" xfId="2353" xr:uid="{00000000-0005-0000-0000-000031090000}"/>
    <cellStyle name="Note 2 2 2 14 3" xfId="2354" xr:uid="{00000000-0005-0000-0000-000032090000}"/>
    <cellStyle name="Note 2 2 2 14 4" xfId="2355" xr:uid="{00000000-0005-0000-0000-000033090000}"/>
    <cellStyle name="Note 2 2 2 14 5" xfId="2356" xr:uid="{00000000-0005-0000-0000-000034090000}"/>
    <cellStyle name="Note 2 2 2 15" xfId="2357" xr:uid="{00000000-0005-0000-0000-000035090000}"/>
    <cellStyle name="Note 2 2 2 15 2" xfId="2358" xr:uid="{00000000-0005-0000-0000-000036090000}"/>
    <cellStyle name="Note 2 2 2 15 3" xfId="2359" xr:uid="{00000000-0005-0000-0000-000037090000}"/>
    <cellStyle name="Note 2 2 2 15 4" xfId="2360" xr:uid="{00000000-0005-0000-0000-000038090000}"/>
    <cellStyle name="Note 2 2 2 15 5" xfId="2361" xr:uid="{00000000-0005-0000-0000-000039090000}"/>
    <cellStyle name="Note 2 2 2 16" xfId="2362" xr:uid="{00000000-0005-0000-0000-00003A090000}"/>
    <cellStyle name="Note 2 2 2 16 2" xfId="2363" xr:uid="{00000000-0005-0000-0000-00003B090000}"/>
    <cellStyle name="Note 2 2 2 16 3" xfId="2364" xr:uid="{00000000-0005-0000-0000-00003C090000}"/>
    <cellStyle name="Note 2 2 2 16 4" xfId="2365" xr:uid="{00000000-0005-0000-0000-00003D090000}"/>
    <cellStyle name="Note 2 2 2 16 5" xfId="2366" xr:uid="{00000000-0005-0000-0000-00003E090000}"/>
    <cellStyle name="Note 2 2 2 17" xfId="2367" xr:uid="{00000000-0005-0000-0000-00003F090000}"/>
    <cellStyle name="Note 2 2 2 17 2" xfId="2368" xr:uid="{00000000-0005-0000-0000-000040090000}"/>
    <cellStyle name="Note 2 2 2 17 3" xfId="2369" xr:uid="{00000000-0005-0000-0000-000041090000}"/>
    <cellStyle name="Note 2 2 2 17 4" xfId="2370" xr:uid="{00000000-0005-0000-0000-000042090000}"/>
    <cellStyle name="Note 2 2 2 17 5" xfId="2371" xr:uid="{00000000-0005-0000-0000-000043090000}"/>
    <cellStyle name="Note 2 2 2 18" xfId="2372" xr:uid="{00000000-0005-0000-0000-000044090000}"/>
    <cellStyle name="Note 2 2 2 18 2" xfId="2373" xr:uid="{00000000-0005-0000-0000-000045090000}"/>
    <cellStyle name="Note 2 2 2 18 3" xfId="2374" xr:uid="{00000000-0005-0000-0000-000046090000}"/>
    <cellStyle name="Note 2 2 2 18 4" xfId="2375" xr:uid="{00000000-0005-0000-0000-000047090000}"/>
    <cellStyle name="Note 2 2 2 18 5" xfId="2376" xr:uid="{00000000-0005-0000-0000-000048090000}"/>
    <cellStyle name="Note 2 2 2 19" xfId="2377" xr:uid="{00000000-0005-0000-0000-000049090000}"/>
    <cellStyle name="Note 2 2 2 19 2" xfId="2378" xr:uid="{00000000-0005-0000-0000-00004A090000}"/>
    <cellStyle name="Note 2 2 2 19 3" xfId="2379" xr:uid="{00000000-0005-0000-0000-00004B090000}"/>
    <cellStyle name="Note 2 2 2 19 4" xfId="2380" xr:uid="{00000000-0005-0000-0000-00004C090000}"/>
    <cellStyle name="Note 2 2 2 2" xfId="2381" xr:uid="{00000000-0005-0000-0000-00004D090000}"/>
    <cellStyle name="Note 2 2 2 2 2" xfId="2382" xr:uid="{00000000-0005-0000-0000-00004E090000}"/>
    <cellStyle name="Note 2 2 2 2 3" xfId="2383" xr:uid="{00000000-0005-0000-0000-00004F090000}"/>
    <cellStyle name="Note 2 2 2 2 4" xfId="2384" xr:uid="{00000000-0005-0000-0000-000050090000}"/>
    <cellStyle name="Note 2 2 2 2 5" xfId="2385" xr:uid="{00000000-0005-0000-0000-000051090000}"/>
    <cellStyle name="Note 2 2 2 20" xfId="2386" xr:uid="{00000000-0005-0000-0000-000052090000}"/>
    <cellStyle name="Note 2 2 2 20 2" xfId="2387" xr:uid="{00000000-0005-0000-0000-000053090000}"/>
    <cellStyle name="Note 2 2 2 20 3" xfId="2388" xr:uid="{00000000-0005-0000-0000-000054090000}"/>
    <cellStyle name="Note 2 2 2 20 4" xfId="2389" xr:uid="{00000000-0005-0000-0000-000055090000}"/>
    <cellStyle name="Note 2 2 2 21" xfId="2390" xr:uid="{00000000-0005-0000-0000-000056090000}"/>
    <cellStyle name="Note 2 2 2 21 2" xfId="2391" xr:uid="{00000000-0005-0000-0000-000057090000}"/>
    <cellStyle name="Note 2 2 2 21 3" xfId="2392" xr:uid="{00000000-0005-0000-0000-000058090000}"/>
    <cellStyle name="Note 2 2 2 21 4" xfId="2393" xr:uid="{00000000-0005-0000-0000-000059090000}"/>
    <cellStyle name="Note 2 2 2 22" xfId="2394" xr:uid="{00000000-0005-0000-0000-00005A090000}"/>
    <cellStyle name="Note 2 2 2 22 2" xfId="2395" xr:uid="{00000000-0005-0000-0000-00005B090000}"/>
    <cellStyle name="Note 2 2 2 22 3" xfId="2396" xr:uid="{00000000-0005-0000-0000-00005C090000}"/>
    <cellStyle name="Note 2 2 2 22 4" xfId="2397" xr:uid="{00000000-0005-0000-0000-00005D090000}"/>
    <cellStyle name="Note 2 2 2 23" xfId="2398" xr:uid="{00000000-0005-0000-0000-00005E090000}"/>
    <cellStyle name="Note 2 2 2 3" xfId="2399" xr:uid="{00000000-0005-0000-0000-00005F090000}"/>
    <cellStyle name="Note 2 2 2 3 2" xfId="2400" xr:uid="{00000000-0005-0000-0000-000060090000}"/>
    <cellStyle name="Note 2 2 2 3 3" xfId="2401" xr:uid="{00000000-0005-0000-0000-000061090000}"/>
    <cellStyle name="Note 2 2 2 3 4" xfId="2402" xr:uid="{00000000-0005-0000-0000-000062090000}"/>
    <cellStyle name="Note 2 2 2 3 5" xfId="2403" xr:uid="{00000000-0005-0000-0000-000063090000}"/>
    <cellStyle name="Note 2 2 2 4" xfId="2404" xr:uid="{00000000-0005-0000-0000-000064090000}"/>
    <cellStyle name="Note 2 2 2 4 2" xfId="2405" xr:uid="{00000000-0005-0000-0000-000065090000}"/>
    <cellStyle name="Note 2 2 2 4 3" xfId="2406" xr:uid="{00000000-0005-0000-0000-000066090000}"/>
    <cellStyle name="Note 2 2 2 4 4" xfId="2407" xr:uid="{00000000-0005-0000-0000-000067090000}"/>
    <cellStyle name="Note 2 2 2 4 5" xfId="2408" xr:uid="{00000000-0005-0000-0000-000068090000}"/>
    <cellStyle name="Note 2 2 2 5" xfId="2409" xr:uid="{00000000-0005-0000-0000-000069090000}"/>
    <cellStyle name="Note 2 2 2 5 2" xfId="2410" xr:uid="{00000000-0005-0000-0000-00006A090000}"/>
    <cellStyle name="Note 2 2 2 5 3" xfId="2411" xr:uid="{00000000-0005-0000-0000-00006B090000}"/>
    <cellStyle name="Note 2 2 2 5 4" xfId="2412" xr:uid="{00000000-0005-0000-0000-00006C090000}"/>
    <cellStyle name="Note 2 2 2 5 5" xfId="2413" xr:uid="{00000000-0005-0000-0000-00006D090000}"/>
    <cellStyle name="Note 2 2 2 6" xfId="2414" xr:uid="{00000000-0005-0000-0000-00006E090000}"/>
    <cellStyle name="Note 2 2 2 6 2" xfId="2415" xr:uid="{00000000-0005-0000-0000-00006F090000}"/>
    <cellStyle name="Note 2 2 2 6 3" xfId="2416" xr:uid="{00000000-0005-0000-0000-000070090000}"/>
    <cellStyle name="Note 2 2 2 6 4" xfId="2417" xr:uid="{00000000-0005-0000-0000-000071090000}"/>
    <cellStyle name="Note 2 2 2 6 5" xfId="2418" xr:uid="{00000000-0005-0000-0000-000072090000}"/>
    <cellStyle name="Note 2 2 2 7" xfId="2419" xr:uid="{00000000-0005-0000-0000-000073090000}"/>
    <cellStyle name="Note 2 2 2 7 2" xfId="2420" xr:uid="{00000000-0005-0000-0000-000074090000}"/>
    <cellStyle name="Note 2 2 2 7 3" xfId="2421" xr:uid="{00000000-0005-0000-0000-000075090000}"/>
    <cellStyle name="Note 2 2 2 7 4" xfId="2422" xr:uid="{00000000-0005-0000-0000-000076090000}"/>
    <cellStyle name="Note 2 2 2 7 5" xfId="2423" xr:uid="{00000000-0005-0000-0000-000077090000}"/>
    <cellStyle name="Note 2 2 2 8" xfId="2424" xr:uid="{00000000-0005-0000-0000-000078090000}"/>
    <cellStyle name="Note 2 2 2 8 2" xfId="2425" xr:uid="{00000000-0005-0000-0000-000079090000}"/>
    <cellStyle name="Note 2 2 2 8 3" xfId="2426" xr:uid="{00000000-0005-0000-0000-00007A090000}"/>
    <cellStyle name="Note 2 2 2 8 4" xfId="2427" xr:uid="{00000000-0005-0000-0000-00007B090000}"/>
    <cellStyle name="Note 2 2 2 8 5" xfId="2428" xr:uid="{00000000-0005-0000-0000-00007C090000}"/>
    <cellStyle name="Note 2 2 2 9" xfId="2429" xr:uid="{00000000-0005-0000-0000-00007D090000}"/>
    <cellStyle name="Note 2 2 2 9 2" xfId="2430" xr:uid="{00000000-0005-0000-0000-00007E090000}"/>
    <cellStyle name="Note 2 2 2 9 3" xfId="2431" xr:uid="{00000000-0005-0000-0000-00007F090000}"/>
    <cellStyle name="Note 2 2 2 9 4" xfId="2432" xr:uid="{00000000-0005-0000-0000-000080090000}"/>
    <cellStyle name="Note 2 2 2 9 5" xfId="2433" xr:uid="{00000000-0005-0000-0000-000081090000}"/>
    <cellStyle name="Note 2 2 3" xfId="2434" xr:uid="{00000000-0005-0000-0000-000082090000}"/>
    <cellStyle name="Note 2 2 3 10" xfId="2435" xr:uid="{00000000-0005-0000-0000-000083090000}"/>
    <cellStyle name="Note 2 2 3 10 2" xfId="2436" xr:uid="{00000000-0005-0000-0000-000084090000}"/>
    <cellStyle name="Note 2 2 3 10 3" xfId="2437" xr:uid="{00000000-0005-0000-0000-000085090000}"/>
    <cellStyle name="Note 2 2 3 10 4" xfId="2438" xr:uid="{00000000-0005-0000-0000-000086090000}"/>
    <cellStyle name="Note 2 2 3 10 5" xfId="2439" xr:uid="{00000000-0005-0000-0000-000087090000}"/>
    <cellStyle name="Note 2 2 3 11" xfId="2440" xr:uid="{00000000-0005-0000-0000-000088090000}"/>
    <cellStyle name="Note 2 2 3 11 2" xfId="2441" xr:uid="{00000000-0005-0000-0000-000089090000}"/>
    <cellStyle name="Note 2 2 3 11 3" xfId="2442" xr:uid="{00000000-0005-0000-0000-00008A090000}"/>
    <cellStyle name="Note 2 2 3 11 4" xfId="2443" xr:uid="{00000000-0005-0000-0000-00008B090000}"/>
    <cellStyle name="Note 2 2 3 11 5" xfId="2444" xr:uid="{00000000-0005-0000-0000-00008C090000}"/>
    <cellStyle name="Note 2 2 3 12" xfId="2445" xr:uid="{00000000-0005-0000-0000-00008D090000}"/>
    <cellStyle name="Note 2 2 3 12 2" xfId="2446" xr:uid="{00000000-0005-0000-0000-00008E090000}"/>
    <cellStyle name="Note 2 2 3 12 3" xfId="2447" xr:uid="{00000000-0005-0000-0000-00008F090000}"/>
    <cellStyle name="Note 2 2 3 12 4" xfId="2448" xr:uid="{00000000-0005-0000-0000-000090090000}"/>
    <cellStyle name="Note 2 2 3 12 5" xfId="2449" xr:uid="{00000000-0005-0000-0000-000091090000}"/>
    <cellStyle name="Note 2 2 3 13" xfId="2450" xr:uid="{00000000-0005-0000-0000-000092090000}"/>
    <cellStyle name="Note 2 2 3 13 2" xfId="2451" xr:uid="{00000000-0005-0000-0000-000093090000}"/>
    <cellStyle name="Note 2 2 3 13 3" xfId="2452" xr:uid="{00000000-0005-0000-0000-000094090000}"/>
    <cellStyle name="Note 2 2 3 13 4" xfId="2453" xr:uid="{00000000-0005-0000-0000-000095090000}"/>
    <cellStyle name="Note 2 2 3 13 5" xfId="2454" xr:uid="{00000000-0005-0000-0000-000096090000}"/>
    <cellStyle name="Note 2 2 3 14" xfId="2455" xr:uid="{00000000-0005-0000-0000-000097090000}"/>
    <cellStyle name="Note 2 2 3 14 2" xfId="2456" xr:uid="{00000000-0005-0000-0000-000098090000}"/>
    <cellStyle name="Note 2 2 3 14 3" xfId="2457" xr:uid="{00000000-0005-0000-0000-000099090000}"/>
    <cellStyle name="Note 2 2 3 14 4" xfId="2458" xr:uid="{00000000-0005-0000-0000-00009A090000}"/>
    <cellStyle name="Note 2 2 3 14 5" xfId="2459" xr:uid="{00000000-0005-0000-0000-00009B090000}"/>
    <cellStyle name="Note 2 2 3 15" xfId="2460" xr:uid="{00000000-0005-0000-0000-00009C090000}"/>
    <cellStyle name="Note 2 2 3 15 2" xfId="2461" xr:uid="{00000000-0005-0000-0000-00009D090000}"/>
    <cellStyle name="Note 2 2 3 15 3" xfId="2462" xr:uid="{00000000-0005-0000-0000-00009E090000}"/>
    <cellStyle name="Note 2 2 3 15 4" xfId="2463" xr:uid="{00000000-0005-0000-0000-00009F090000}"/>
    <cellStyle name="Note 2 2 3 15 5" xfId="2464" xr:uid="{00000000-0005-0000-0000-0000A0090000}"/>
    <cellStyle name="Note 2 2 3 16" xfId="2465" xr:uid="{00000000-0005-0000-0000-0000A1090000}"/>
    <cellStyle name="Note 2 2 3 16 2" xfId="2466" xr:uid="{00000000-0005-0000-0000-0000A2090000}"/>
    <cellStyle name="Note 2 2 3 16 3" xfId="2467" xr:uid="{00000000-0005-0000-0000-0000A3090000}"/>
    <cellStyle name="Note 2 2 3 16 4" xfId="2468" xr:uid="{00000000-0005-0000-0000-0000A4090000}"/>
    <cellStyle name="Note 2 2 3 16 5" xfId="2469" xr:uid="{00000000-0005-0000-0000-0000A5090000}"/>
    <cellStyle name="Note 2 2 3 17" xfId="2470" xr:uid="{00000000-0005-0000-0000-0000A6090000}"/>
    <cellStyle name="Note 2 2 3 17 2" xfId="2471" xr:uid="{00000000-0005-0000-0000-0000A7090000}"/>
    <cellStyle name="Note 2 2 3 17 3" xfId="2472" xr:uid="{00000000-0005-0000-0000-0000A8090000}"/>
    <cellStyle name="Note 2 2 3 17 4" xfId="2473" xr:uid="{00000000-0005-0000-0000-0000A9090000}"/>
    <cellStyle name="Note 2 2 3 17 5" xfId="2474" xr:uid="{00000000-0005-0000-0000-0000AA090000}"/>
    <cellStyle name="Note 2 2 3 18" xfId="2475" xr:uid="{00000000-0005-0000-0000-0000AB090000}"/>
    <cellStyle name="Note 2 2 3 18 2" xfId="2476" xr:uid="{00000000-0005-0000-0000-0000AC090000}"/>
    <cellStyle name="Note 2 2 3 18 3" xfId="2477" xr:uid="{00000000-0005-0000-0000-0000AD090000}"/>
    <cellStyle name="Note 2 2 3 18 4" xfId="2478" xr:uid="{00000000-0005-0000-0000-0000AE090000}"/>
    <cellStyle name="Note 2 2 3 18 5" xfId="2479" xr:uid="{00000000-0005-0000-0000-0000AF090000}"/>
    <cellStyle name="Note 2 2 3 19" xfId="2480" xr:uid="{00000000-0005-0000-0000-0000B0090000}"/>
    <cellStyle name="Note 2 2 3 19 2" xfId="2481" xr:uid="{00000000-0005-0000-0000-0000B1090000}"/>
    <cellStyle name="Note 2 2 3 19 3" xfId="2482" xr:uid="{00000000-0005-0000-0000-0000B2090000}"/>
    <cellStyle name="Note 2 2 3 19 4" xfId="2483" xr:uid="{00000000-0005-0000-0000-0000B3090000}"/>
    <cellStyle name="Note 2 2 3 2" xfId="2484" xr:uid="{00000000-0005-0000-0000-0000B4090000}"/>
    <cellStyle name="Note 2 2 3 2 2" xfId="2485" xr:uid="{00000000-0005-0000-0000-0000B5090000}"/>
    <cellStyle name="Note 2 2 3 2 3" xfId="2486" xr:uid="{00000000-0005-0000-0000-0000B6090000}"/>
    <cellStyle name="Note 2 2 3 2 4" xfId="2487" xr:uid="{00000000-0005-0000-0000-0000B7090000}"/>
    <cellStyle name="Note 2 2 3 2 5" xfId="2488" xr:uid="{00000000-0005-0000-0000-0000B8090000}"/>
    <cellStyle name="Note 2 2 3 20" xfId="2489" xr:uid="{00000000-0005-0000-0000-0000B9090000}"/>
    <cellStyle name="Note 2 2 3 20 2" xfId="2490" xr:uid="{00000000-0005-0000-0000-0000BA090000}"/>
    <cellStyle name="Note 2 2 3 20 3" xfId="2491" xr:uid="{00000000-0005-0000-0000-0000BB090000}"/>
    <cellStyle name="Note 2 2 3 20 4" xfId="2492" xr:uid="{00000000-0005-0000-0000-0000BC090000}"/>
    <cellStyle name="Note 2 2 3 21" xfId="2493" xr:uid="{00000000-0005-0000-0000-0000BD090000}"/>
    <cellStyle name="Note 2 2 3 21 2" xfId="2494" xr:uid="{00000000-0005-0000-0000-0000BE090000}"/>
    <cellStyle name="Note 2 2 3 21 3" xfId="2495" xr:uid="{00000000-0005-0000-0000-0000BF090000}"/>
    <cellStyle name="Note 2 2 3 21 4" xfId="2496" xr:uid="{00000000-0005-0000-0000-0000C0090000}"/>
    <cellStyle name="Note 2 2 3 22" xfId="2497" xr:uid="{00000000-0005-0000-0000-0000C1090000}"/>
    <cellStyle name="Note 2 2 3 22 2" xfId="2498" xr:uid="{00000000-0005-0000-0000-0000C2090000}"/>
    <cellStyle name="Note 2 2 3 22 3" xfId="2499" xr:uid="{00000000-0005-0000-0000-0000C3090000}"/>
    <cellStyle name="Note 2 2 3 22 4" xfId="2500" xr:uid="{00000000-0005-0000-0000-0000C4090000}"/>
    <cellStyle name="Note 2 2 3 23" xfId="2501" xr:uid="{00000000-0005-0000-0000-0000C5090000}"/>
    <cellStyle name="Note 2 2 3 3" xfId="2502" xr:uid="{00000000-0005-0000-0000-0000C6090000}"/>
    <cellStyle name="Note 2 2 3 3 2" xfId="2503" xr:uid="{00000000-0005-0000-0000-0000C7090000}"/>
    <cellStyle name="Note 2 2 3 3 3" xfId="2504" xr:uid="{00000000-0005-0000-0000-0000C8090000}"/>
    <cellStyle name="Note 2 2 3 3 4" xfId="2505" xr:uid="{00000000-0005-0000-0000-0000C9090000}"/>
    <cellStyle name="Note 2 2 3 3 5" xfId="2506" xr:uid="{00000000-0005-0000-0000-0000CA090000}"/>
    <cellStyle name="Note 2 2 3 4" xfId="2507" xr:uid="{00000000-0005-0000-0000-0000CB090000}"/>
    <cellStyle name="Note 2 2 3 4 2" xfId="2508" xr:uid="{00000000-0005-0000-0000-0000CC090000}"/>
    <cellStyle name="Note 2 2 3 4 3" xfId="2509" xr:uid="{00000000-0005-0000-0000-0000CD090000}"/>
    <cellStyle name="Note 2 2 3 4 4" xfId="2510" xr:uid="{00000000-0005-0000-0000-0000CE090000}"/>
    <cellStyle name="Note 2 2 3 4 5" xfId="2511" xr:uid="{00000000-0005-0000-0000-0000CF090000}"/>
    <cellStyle name="Note 2 2 3 5" xfId="2512" xr:uid="{00000000-0005-0000-0000-0000D0090000}"/>
    <cellStyle name="Note 2 2 3 5 2" xfId="2513" xr:uid="{00000000-0005-0000-0000-0000D1090000}"/>
    <cellStyle name="Note 2 2 3 5 3" xfId="2514" xr:uid="{00000000-0005-0000-0000-0000D2090000}"/>
    <cellStyle name="Note 2 2 3 5 4" xfId="2515" xr:uid="{00000000-0005-0000-0000-0000D3090000}"/>
    <cellStyle name="Note 2 2 3 5 5" xfId="2516" xr:uid="{00000000-0005-0000-0000-0000D4090000}"/>
    <cellStyle name="Note 2 2 3 6" xfId="2517" xr:uid="{00000000-0005-0000-0000-0000D5090000}"/>
    <cellStyle name="Note 2 2 3 6 2" xfId="2518" xr:uid="{00000000-0005-0000-0000-0000D6090000}"/>
    <cellStyle name="Note 2 2 3 6 3" xfId="2519" xr:uid="{00000000-0005-0000-0000-0000D7090000}"/>
    <cellStyle name="Note 2 2 3 6 4" xfId="2520" xr:uid="{00000000-0005-0000-0000-0000D8090000}"/>
    <cellStyle name="Note 2 2 3 6 5" xfId="2521" xr:uid="{00000000-0005-0000-0000-0000D9090000}"/>
    <cellStyle name="Note 2 2 3 7" xfId="2522" xr:uid="{00000000-0005-0000-0000-0000DA090000}"/>
    <cellStyle name="Note 2 2 3 7 2" xfId="2523" xr:uid="{00000000-0005-0000-0000-0000DB090000}"/>
    <cellStyle name="Note 2 2 3 7 3" xfId="2524" xr:uid="{00000000-0005-0000-0000-0000DC090000}"/>
    <cellStyle name="Note 2 2 3 7 4" xfId="2525" xr:uid="{00000000-0005-0000-0000-0000DD090000}"/>
    <cellStyle name="Note 2 2 3 7 5" xfId="2526" xr:uid="{00000000-0005-0000-0000-0000DE090000}"/>
    <cellStyle name="Note 2 2 3 8" xfId="2527" xr:uid="{00000000-0005-0000-0000-0000DF090000}"/>
    <cellStyle name="Note 2 2 3 8 2" xfId="2528" xr:uid="{00000000-0005-0000-0000-0000E0090000}"/>
    <cellStyle name="Note 2 2 3 8 3" xfId="2529" xr:uid="{00000000-0005-0000-0000-0000E1090000}"/>
    <cellStyle name="Note 2 2 3 8 4" xfId="2530" xr:uid="{00000000-0005-0000-0000-0000E2090000}"/>
    <cellStyle name="Note 2 2 3 8 5" xfId="2531" xr:uid="{00000000-0005-0000-0000-0000E3090000}"/>
    <cellStyle name="Note 2 2 3 9" xfId="2532" xr:uid="{00000000-0005-0000-0000-0000E4090000}"/>
    <cellStyle name="Note 2 2 3 9 2" xfId="2533" xr:uid="{00000000-0005-0000-0000-0000E5090000}"/>
    <cellStyle name="Note 2 2 3 9 3" xfId="2534" xr:uid="{00000000-0005-0000-0000-0000E6090000}"/>
    <cellStyle name="Note 2 2 3 9 4" xfId="2535" xr:uid="{00000000-0005-0000-0000-0000E7090000}"/>
    <cellStyle name="Note 2 2 3 9 5" xfId="2536" xr:uid="{00000000-0005-0000-0000-0000E8090000}"/>
    <cellStyle name="Note 2 2 4" xfId="2537" xr:uid="{00000000-0005-0000-0000-0000E9090000}"/>
    <cellStyle name="Note 2 2 4 10" xfId="2538" xr:uid="{00000000-0005-0000-0000-0000EA090000}"/>
    <cellStyle name="Note 2 2 4 10 2" xfId="2539" xr:uid="{00000000-0005-0000-0000-0000EB090000}"/>
    <cellStyle name="Note 2 2 4 10 3" xfId="2540" xr:uid="{00000000-0005-0000-0000-0000EC090000}"/>
    <cellStyle name="Note 2 2 4 10 4" xfId="2541" xr:uid="{00000000-0005-0000-0000-0000ED090000}"/>
    <cellStyle name="Note 2 2 4 10 5" xfId="2542" xr:uid="{00000000-0005-0000-0000-0000EE090000}"/>
    <cellStyle name="Note 2 2 4 11" xfId="2543" xr:uid="{00000000-0005-0000-0000-0000EF090000}"/>
    <cellStyle name="Note 2 2 4 11 2" xfId="2544" xr:uid="{00000000-0005-0000-0000-0000F0090000}"/>
    <cellStyle name="Note 2 2 4 11 3" xfId="2545" xr:uid="{00000000-0005-0000-0000-0000F1090000}"/>
    <cellStyle name="Note 2 2 4 11 4" xfId="2546" xr:uid="{00000000-0005-0000-0000-0000F2090000}"/>
    <cellStyle name="Note 2 2 4 11 5" xfId="2547" xr:uid="{00000000-0005-0000-0000-0000F3090000}"/>
    <cellStyle name="Note 2 2 4 12" xfId="2548" xr:uid="{00000000-0005-0000-0000-0000F4090000}"/>
    <cellStyle name="Note 2 2 4 12 2" xfId="2549" xr:uid="{00000000-0005-0000-0000-0000F5090000}"/>
    <cellStyle name="Note 2 2 4 12 3" xfId="2550" xr:uid="{00000000-0005-0000-0000-0000F6090000}"/>
    <cellStyle name="Note 2 2 4 12 4" xfId="2551" xr:uid="{00000000-0005-0000-0000-0000F7090000}"/>
    <cellStyle name="Note 2 2 4 12 5" xfId="2552" xr:uid="{00000000-0005-0000-0000-0000F8090000}"/>
    <cellStyle name="Note 2 2 4 13" xfId="2553" xr:uid="{00000000-0005-0000-0000-0000F9090000}"/>
    <cellStyle name="Note 2 2 4 13 2" xfId="2554" xr:uid="{00000000-0005-0000-0000-0000FA090000}"/>
    <cellStyle name="Note 2 2 4 13 3" xfId="2555" xr:uid="{00000000-0005-0000-0000-0000FB090000}"/>
    <cellStyle name="Note 2 2 4 13 4" xfId="2556" xr:uid="{00000000-0005-0000-0000-0000FC090000}"/>
    <cellStyle name="Note 2 2 4 13 5" xfId="2557" xr:uid="{00000000-0005-0000-0000-0000FD090000}"/>
    <cellStyle name="Note 2 2 4 14" xfId="2558" xr:uid="{00000000-0005-0000-0000-0000FE090000}"/>
    <cellStyle name="Note 2 2 4 14 2" xfId="2559" xr:uid="{00000000-0005-0000-0000-0000FF090000}"/>
    <cellStyle name="Note 2 2 4 14 3" xfId="2560" xr:uid="{00000000-0005-0000-0000-0000000A0000}"/>
    <cellStyle name="Note 2 2 4 14 4" xfId="2561" xr:uid="{00000000-0005-0000-0000-0000010A0000}"/>
    <cellStyle name="Note 2 2 4 14 5" xfId="2562" xr:uid="{00000000-0005-0000-0000-0000020A0000}"/>
    <cellStyle name="Note 2 2 4 15" xfId="2563" xr:uid="{00000000-0005-0000-0000-0000030A0000}"/>
    <cellStyle name="Note 2 2 4 15 2" xfId="2564" xr:uid="{00000000-0005-0000-0000-0000040A0000}"/>
    <cellStyle name="Note 2 2 4 15 3" xfId="2565" xr:uid="{00000000-0005-0000-0000-0000050A0000}"/>
    <cellStyle name="Note 2 2 4 15 4" xfId="2566" xr:uid="{00000000-0005-0000-0000-0000060A0000}"/>
    <cellStyle name="Note 2 2 4 15 5" xfId="2567" xr:uid="{00000000-0005-0000-0000-0000070A0000}"/>
    <cellStyle name="Note 2 2 4 16" xfId="2568" xr:uid="{00000000-0005-0000-0000-0000080A0000}"/>
    <cellStyle name="Note 2 2 4 16 2" xfId="2569" xr:uid="{00000000-0005-0000-0000-0000090A0000}"/>
    <cellStyle name="Note 2 2 4 16 3" xfId="2570" xr:uid="{00000000-0005-0000-0000-00000A0A0000}"/>
    <cellStyle name="Note 2 2 4 16 4" xfId="2571" xr:uid="{00000000-0005-0000-0000-00000B0A0000}"/>
    <cellStyle name="Note 2 2 4 16 5" xfId="2572" xr:uid="{00000000-0005-0000-0000-00000C0A0000}"/>
    <cellStyle name="Note 2 2 4 17" xfId="2573" xr:uid="{00000000-0005-0000-0000-00000D0A0000}"/>
    <cellStyle name="Note 2 2 4 17 2" xfId="2574" xr:uid="{00000000-0005-0000-0000-00000E0A0000}"/>
    <cellStyle name="Note 2 2 4 17 3" xfId="2575" xr:uid="{00000000-0005-0000-0000-00000F0A0000}"/>
    <cellStyle name="Note 2 2 4 17 4" xfId="2576" xr:uid="{00000000-0005-0000-0000-0000100A0000}"/>
    <cellStyle name="Note 2 2 4 17 5" xfId="2577" xr:uid="{00000000-0005-0000-0000-0000110A0000}"/>
    <cellStyle name="Note 2 2 4 18" xfId="2578" xr:uid="{00000000-0005-0000-0000-0000120A0000}"/>
    <cellStyle name="Note 2 2 4 18 2" xfId="2579" xr:uid="{00000000-0005-0000-0000-0000130A0000}"/>
    <cellStyle name="Note 2 2 4 18 3" xfId="2580" xr:uid="{00000000-0005-0000-0000-0000140A0000}"/>
    <cellStyle name="Note 2 2 4 18 4" xfId="2581" xr:uid="{00000000-0005-0000-0000-0000150A0000}"/>
    <cellStyle name="Note 2 2 4 18 5" xfId="2582" xr:uid="{00000000-0005-0000-0000-0000160A0000}"/>
    <cellStyle name="Note 2 2 4 19" xfId="2583" xr:uid="{00000000-0005-0000-0000-0000170A0000}"/>
    <cellStyle name="Note 2 2 4 19 2" xfId="2584" xr:uid="{00000000-0005-0000-0000-0000180A0000}"/>
    <cellStyle name="Note 2 2 4 19 3" xfId="2585" xr:uid="{00000000-0005-0000-0000-0000190A0000}"/>
    <cellStyle name="Note 2 2 4 19 4" xfId="2586" xr:uid="{00000000-0005-0000-0000-00001A0A0000}"/>
    <cellStyle name="Note 2 2 4 2" xfId="2587" xr:uid="{00000000-0005-0000-0000-00001B0A0000}"/>
    <cellStyle name="Note 2 2 4 2 2" xfId="2588" xr:uid="{00000000-0005-0000-0000-00001C0A0000}"/>
    <cellStyle name="Note 2 2 4 2 3" xfId="2589" xr:uid="{00000000-0005-0000-0000-00001D0A0000}"/>
    <cellStyle name="Note 2 2 4 2 4" xfId="2590" xr:uid="{00000000-0005-0000-0000-00001E0A0000}"/>
    <cellStyle name="Note 2 2 4 2 5" xfId="2591" xr:uid="{00000000-0005-0000-0000-00001F0A0000}"/>
    <cellStyle name="Note 2 2 4 20" xfId="2592" xr:uid="{00000000-0005-0000-0000-0000200A0000}"/>
    <cellStyle name="Note 2 2 4 20 2" xfId="2593" xr:uid="{00000000-0005-0000-0000-0000210A0000}"/>
    <cellStyle name="Note 2 2 4 20 3" xfId="2594" xr:uid="{00000000-0005-0000-0000-0000220A0000}"/>
    <cellStyle name="Note 2 2 4 20 4" xfId="2595" xr:uid="{00000000-0005-0000-0000-0000230A0000}"/>
    <cellStyle name="Note 2 2 4 21" xfId="2596" xr:uid="{00000000-0005-0000-0000-0000240A0000}"/>
    <cellStyle name="Note 2 2 4 21 2" xfId="2597" xr:uid="{00000000-0005-0000-0000-0000250A0000}"/>
    <cellStyle name="Note 2 2 4 21 3" xfId="2598" xr:uid="{00000000-0005-0000-0000-0000260A0000}"/>
    <cellStyle name="Note 2 2 4 21 4" xfId="2599" xr:uid="{00000000-0005-0000-0000-0000270A0000}"/>
    <cellStyle name="Note 2 2 4 22" xfId="2600" xr:uid="{00000000-0005-0000-0000-0000280A0000}"/>
    <cellStyle name="Note 2 2 4 22 2" xfId="2601" xr:uid="{00000000-0005-0000-0000-0000290A0000}"/>
    <cellStyle name="Note 2 2 4 22 3" xfId="2602" xr:uid="{00000000-0005-0000-0000-00002A0A0000}"/>
    <cellStyle name="Note 2 2 4 22 4" xfId="2603" xr:uid="{00000000-0005-0000-0000-00002B0A0000}"/>
    <cellStyle name="Note 2 2 4 23" xfId="2604" xr:uid="{00000000-0005-0000-0000-00002C0A0000}"/>
    <cellStyle name="Note 2 2 4 3" xfId="2605" xr:uid="{00000000-0005-0000-0000-00002D0A0000}"/>
    <cellStyle name="Note 2 2 4 3 2" xfId="2606" xr:uid="{00000000-0005-0000-0000-00002E0A0000}"/>
    <cellStyle name="Note 2 2 4 3 3" xfId="2607" xr:uid="{00000000-0005-0000-0000-00002F0A0000}"/>
    <cellStyle name="Note 2 2 4 3 4" xfId="2608" xr:uid="{00000000-0005-0000-0000-0000300A0000}"/>
    <cellStyle name="Note 2 2 4 3 5" xfId="2609" xr:uid="{00000000-0005-0000-0000-0000310A0000}"/>
    <cellStyle name="Note 2 2 4 4" xfId="2610" xr:uid="{00000000-0005-0000-0000-0000320A0000}"/>
    <cellStyle name="Note 2 2 4 4 2" xfId="2611" xr:uid="{00000000-0005-0000-0000-0000330A0000}"/>
    <cellStyle name="Note 2 2 4 4 3" xfId="2612" xr:uid="{00000000-0005-0000-0000-0000340A0000}"/>
    <cellStyle name="Note 2 2 4 4 4" xfId="2613" xr:uid="{00000000-0005-0000-0000-0000350A0000}"/>
    <cellStyle name="Note 2 2 4 4 5" xfId="2614" xr:uid="{00000000-0005-0000-0000-0000360A0000}"/>
    <cellStyle name="Note 2 2 4 5" xfId="2615" xr:uid="{00000000-0005-0000-0000-0000370A0000}"/>
    <cellStyle name="Note 2 2 4 5 2" xfId="2616" xr:uid="{00000000-0005-0000-0000-0000380A0000}"/>
    <cellStyle name="Note 2 2 4 5 3" xfId="2617" xr:uid="{00000000-0005-0000-0000-0000390A0000}"/>
    <cellStyle name="Note 2 2 4 5 4" xfId="2618" xr:uid="{00000000-0005-0000-0000-00003A0A0000}"/>
    <cellStyle name="Note 2 2 4 5 5" xfId="2619" xr:uid="{00000000-0005-0000-0000-00003B0A0000}"/>
    <cellStyle name="Note 2 2 4 6" xfId="2620" xr:uid="{00000000-0005-0000-0000-00003C0A0000}"/>
    <cellStyle name="Note 2 2 4 6 2" xfId="2621" xr:uid="{00000000-0005-0000-0000-00003D0A0000}"/>
    <cellStyle name="Note 2 2 4 6 3" xfId="2622" xr:uid="{00000000-0005-0000-0000-00003E0A0000}"/>
    <cellStyle name="Note 2 2 4 6 4" xfId="2623" xr:uid="{00000000-0005-0000-0000-00003F0A0000}"/>
    <cellStyle name="Note 2 2 4 6 5" xfId="2624" xr:uid="{00000000-0005-0000-0000-0000400A0000}"/>
    <cellStyle name="Note 2 2 4 7" xfId="2625" xr:uid="{00000000-0005-0000-0000-0000410A0000}"/>
    <cellStyle name="Note 2 2 4 7 2" xfId="2626" xr:uid="{00000000-0005-0000-0000-0000420A0000}"/>
    <cellStyle name="Note 2 2 4 7 3" xfId="2627" xr:uid="{00000000-0005-0000-0000-0000430A0000}"/>
    <cellStyle name="Note 2 2 4 7 4" xfId="2628" xr:uid="{00000000-0005-0000-0000-0000440A0000}"/>
    <cellStyle name="Note 2 2 4 7 5" xfId="2629" xr:uid="{00000000-0005-0000-0000-0000450A0000}"/>
    <cellStyle name="Note 2 2 4 8" xfId="2630" xr:uid="{00000000-0005-0000-0000-0000460A0000}"/>
    <cellStyle name="Note 2 2 4 8 2" xfId="2631" xr:uid="{00000000-0005-0000-0000-0000470A0000}"/>
    <cellStyle name="Note 2 2 4 8 3" xfId="2632" xr:uid="{00000000-0005-0000-0000-0000480A0000}"/>
    <cellStyle name="Note 2 2 4 8 4" xfId="2633" xr:uid="{00000000-0005-0000-0000-0000490A0000}"/>
    <cellStyle name="Note 2 2 4 8 5" xfId="2634" xr:uid="{00000000-0005-0000-0000-00004A0A0000}"/>
    <cellStyle name="Note 2 2 4 9" xfId="2635" xr:uid="{00000000-0005-0000-0000-00004B0A0000}"/>
    <cellStyle name="Note 2 2 4 9 2" xfId="2636" xr:uid="{00000000-0005-0000-0000-00004C0A0000}"/>
    <cellStyle name="Note 2 2 4 9 3" xfId="2637" xr:uid="{00000000-0005-0000-0000-00004D0A0000}"/>
    <cellStyle name="Note 2 2 4 9 4" xfId="2638" xr:uid="{00000000-0005-0000-0000-00004E0A0000}"/>
    <cellStyle name="Note 2 2 4 9 5" xfId="2639" xr:uid="{00000000-0005-0000-0000-00004F0A0000}"/>
    <cellStyle name="Note 2 2 5" xfId="2640" xr:uid="{00000000-0005-0000-0000-0000500A0000}"/>
    <cellStyle name="Note 2 2 5 10" xfId="2641" xr:uid="{00000000-0005-0000-0000-0000510A0000}"/>
    <cellStyle name="Note 2 2 5 10 2" xfId="2642" xr:uid="{00000000-0005-0000-0000-0000520A0000}"/>
    <cellStyle name="Note 2 2 5 10 3" xfId="2643" xr:uid="{00000000-0005-0000-0000-0000530A0000}"/>
    <cellStyle name="Note 2 2 5 10 4" xfId="2644" xr:uid="{00000000-0005-0000-0000-0000540A0000}"/>
    <cellStyle name="Note 2 2 5 10 5" xfId="2645" xr:uid="{00000000-0005-0000-0000-0000550A0000}"/>
    <cellStyle name="Note 2 2 5 11" xfId="2646" xr:uid="{00000000-0005-0000-0000-0000560A0000}"/>
    <cellStyle name="Note 2 2 5 11 2" xfId="2647" xr:uid="{00000000-0005-0000-0000-0000570A0000}"/>
    <cellStyle name="Note 2 2 5 11 3" xfId="2648" xr:uid="{00000000-0005-0000-0000-0000580A0000}"/>
    <cellStyle name="Note 2 2 5 11 4" xfId="2649" xr:uid="{00000000-0005-0000-0000-0000590A0000}"/>
    <cellStyle name="Note 2 2 5 11 5" xfId="2650" xr:uid="{00000000-0005-0000-0000-00005A0A0000}"/>
    <cellStyle name="Note 2 2 5 12" xfId="2651" xr:uid="{00000000-0005-0000-0000-00005B0A0000}"/>
    <cellStyle name="Note 2 2 5 12 2" xfId="2652" xr:uid="{00000000-0005-0000-0000-00005C0A0000}"/>
    <cellStyle name="Note 2 2 5 12 3" xfId="2653" xr:uid="{00000000-0005-0000-0000-00005D0A0000}"/>
    <cellStyle name="Note 2 2 5 12 4" xfId="2654" xr:uid="{00000000-0005-0000-0000-00005E0A0000}"/>
    <cellStyle name="Note 2 2 5 12 5" xfId="2655" xr:uid="{00000000-0005-0000-0000-00005F0A0000}"/>
    <cellStyle name="Note 2 2 5 13" xfId="2656" xr:uid="{00000000-0005-0000-0000-0000600A0000}"/>
    <cellStyle name="Note 2 2 5 13 2" xfId="2657" xr:uid="{00000000-0005-0000-0000-0000610A0000}"/>
    <cellStyle name="Note 2 2 5 13 3" xfId="2658" xr:uid="{00000000-0005-0000-0000-0000620A0000}"/>
    <cellStyle name="Note 2 2 5 13 4" xfId="2659" xr:uid="{00000000-0005-0000-0000-0000630A0000}"/>
    <cellStyle name="Note 2 2 5 13 5" xfId="2660" xr:uid="{00000000-0005-0000-0000-0000640A0000}"/>
    <cellStyle name="Note 2 2 5 14" xfId="2661" xr:uid="{00000000-0005-0000-0000-0000650A0000}"/>
    <cellStyle name="Note 2 2 5 14 2" xfId="2662" xr:uid="{00000000-0005-0000-0000-0000660A0000}"/>
    <cellStyle name="Note 2 2 5 14 3" xfId="2663" xr:uid="{00000000-0005-0000-0000-0000670A0000}"/>
    <cellStyle name="Note 2 2 5 14 4" xfId="2664" xr:uid="{00000000-0005-0000-0000-0000680A0000}"/>
    <cellStyle name="Note 2 2 5 14 5" xfId="2665" xr:uid="{00000000-0005-0000-0000-0000690A0000}"/>
    <cellStyle name="Note 2 2 5 15" xfId="2666" xr:uid="{00000000-0005-0000-0000-00006A0A0000}"/>
    <cellStyle name="Note 2 2 5 15 2" xfId="2667" xr:uid="{00000000-0005-0000-0000-00006B0A0000}"/>
    <cellStyle name="Note 2 2 5 15 3" xfId="2668" xr:uid="{00000000-0005-0000-0000-00006C0A0000}"/>
    <cellStyle name="Note 2 2 5 15 4" xfId="2669" xr:uid="{00000000-0005-0000-0000-00006D0A0000}"/>
    <cellStyle name="Note 2 2 5 15 5" xfId="2670" xr:uid="{00000000-0005-0000-0000-00006E0A0000}"/>
    <cellStyle name="Note 2 2 5 16" xfId="2671" xr:uid="{00000000-0005-0000-0000-00006F0A0000}"/>
    <cellStyle name="Note 2 2 5 16 2" xfId="2672" xr:uid="{00000000-0005-0000-0000-0000700A0000}"/>
    <cellStyle name="Note 2 2 5 16 3" xfId="2673" xr:uid="{00000000-0005-0000-0000-0000710A0000}"/>
    <cellStyle name="Note 2 2 5 16 4" xfId="2674" xr:uid="{00000000-0005-0000-0000-0000720A0000}"/>
    <cellStyle name="Note 2 2 5 16 5" xfId="2675" xr:uid="{00000000-0005-0000-0000-0000730A0000}"/>
    <cellStyle name="Note 2 2 5 17" xfId="2676" xr:uid="{00000000-0005-0000-0000-0000740A0000}"/>
    <cellStyle name="Note 2 2 5 17 2" xfId="2677" xr:uid="{00000000-0005-0000-0000-0000750A0000}"/>
    <cellStyle name="Note 2 2 5 17 3" xfId="2678" xr:uid="{00000000-0005-0000-0000-0000760A0000}"/>
    <cellStyle name="Note 2 2 5 17 4" xfId="2679" xr:uid="{00000000-0005-0000-0000-0000770A0000}"/>
    <cellStyle name="Note 2 2 5 17 5" xfId="2680" xr:uid="{00000000-0005-0000-0000-0000780A0000}"/>
    <cellStyle name="Note 2 2 5 18" xfId="2681" xr:uid="{00000000-0005-0000-0000-0000790A0000}"/>
    <cellStyle name="Note 2 2 5 18 2" xfId="2682" xr:uid="{00000000-0005-0000-0000-00007A0A0000}"/>
    <cellStyle name="Note 2 2 5 18 3" xfId="2683" xr:uid="{00000000-0005-0000-0000-00007B0A0000}"/>
    <cellStyle name="Note 2 2 5 18 4" xfId="2684" xr:uid="{00000000-0005-0000-0000-00007C0A0000}"/>
    <cellStyle name="Note 2 2 5 18 5" xfId="2685" xr:uid="{00000000-0005-0000-0000-00007D0A0000}"/>
    <cellStyle name="Note 2 2 5 19" xfId="2686" xr:uid="{00000000-0005-0000-0000-00007E0A0000}"/>
    <cellStyle name="Note 2 2 5 19 2" xfId="2687" xr:uid="{00000000-0005-0000-0000-00007F0A0000}"/>
    <cellStyle name="Note 2 2 5 19 3" xfId="2688" xr:uid="{00000000-0005-0000-0000-0000800A0000}"/>
    <cellStyle name="Note 2 2 5 19 4" xfId="2689" xr:uid="{00000000-0005-0000-0000-0000810A0000}"/>
    <cellStyle name="Note 2 2 5 2" xfId="2690" xr:uid="{00000000-0005-0000-0000-0000820A0000}"/>
    <cellStyle name="Note 2 2 5 2 2" xfId="2691" xr:uid="{00000000-0005-0000-0000-0000830A0000}"/>
    <cellStyle name="Note 2 2 5 2 3" xfId="2692" xr:uid="{00000000-0005-0000-0000-0000840A0000}"/>
    <cellStyle name="Note 2 2 5 2 4" xfId="2693" xr:uid="{00000000-0005-0000-0000-0000850A0000}"/>
    <cellStyle name="Note 2 2 5 2 5" xfId="2694" xr:uid="{00000000-0005-0000-0000-0000860A0000}"/>
    <cellStyle name="Note 2 2 5 20" xfId="2695" xr:uid="{00000000-0005-0000-0000-0000870A0000}"/>
    <cellStyle name="Note 2 2 5 20 2" xfId="2696" xr:uid="{00000000-0005-0000-0000-0000880A0000}"/>
    <cellStyle name="Note 2 2 5 20 3" xfId="2697" xr:uid="{00000000-0005-0000-0000-0000890A0000}"/>
    <cellStyle name="Note 2 2 5 20 4" xfId="2698" xr:uid="{00000000-0005-0000-0000-00008A0A0000}"/>
    <cellStyle name="Note 2 2 5 21" xfId="2699" xr:uid="{00000000-0005-0000-0000-00008B0A0000}"/>
    <cellStyle name="Note 2 2 5 21 2" xfId="2700" xr:uid="{00000000-0005-0000-0000-00008C0A0000}"/>
    <cellStyle name="Note 2 2 5 21 3" xfId="2701" xr:uid="{00000000-0005-0000-0000-00008D0A0000}"/>
    <cellStyle name="Note 2 2 5 21 4" xfId="2702" xr:uid="{00000000-0005-0000-0000-00008E0A0000}"/>
    <cellStyle name="Note 2 2 5 22" xfId="2703" xr:uid="{00000000-0005-0000-0000-00008F0A0000}"/>
    <cellStyle name="Note 2 2 5 22 2" xfId="2704" xr:uid="{00000000-0005-0000-0000-0000900A0000}"/>
    <cellStyle name="Note 2 2 5 22 3" xfId="2705" xr:uid="{00000000-0005-0000-0000-0000910A0000}"/>
    <cellStyle name="Note 2 2 5 22 4" xfId="2706" xr:uid="{00000000-0005-0000-0000-0000920A0000}"/>
    <cellStyle name="Note 2 2 5 23" xfId="2707" xr:uid="{00000000-0005-0000-0000-0000930A0000}"/>
    <cellStyle name="Note 2 2 5 3" xfId="2708" xr:uid="{00000000-0005-0000-0000-0000940A0000}"/>
    <cellStyle name="Note 2 2 5 3 2" xfId="2709" xr:uid="{00000000-0005-0000-0000-0000950A0000}"/>
    <cellStyle name="Note 2 2 5 3 3" xfId="2710" xr:uid="{00000000-0005-0000-0000-0000960A0000}"/>
    <cellStyle name="Note 2 2 5 3 4" xfId="2711" xr:uid="{00000000-0005-0000-0000-0000970A0000}"/>
    <cellStyle name="Note 2 2 5 3 5" xfId="2712" xr:uid="{00000000-0005-0000-0000-0000980A0000}"/>
    <cellStyle name="Note 2 2 5 4" xfId="2713" xr:uid="{00000000-0005-0000-0000-0000990A0000}"/>
    <cellStyle name="Note 2 2 5 4 2" xfId="2714" xr:uid="{00000000-0005-0000-0000-00009A0A0000}"/>
    <cellStyle name="Note 2 2 5 4 3" xfId="2715" xr:uid="{00000000-0005-0000-0000-00009B0A0000}"/>
    <cellStyle name="Note 2 2 5 4 4" xfId="2716" xr:uid="{00000000-0005-0000-0000-00009C0A0000}"/>
    <cellStyle name="Note 2 2 5 4 5" xfId="2717" xr:uid="{00000000-0005-0000-0000-00009D0A0000}"/>
    <cellStyle name="Note 2 2 5 5" xfId="2718" xr:uid="{00000000-0005-0000-0000-00009E0A0000}"/>
    <cellStyle name="Note 2 2 5 5 2" xfId="2719" xr:uid="{00000000-0005-0000-0000-00009F0A0000}"/>
    <cellStyle name="Note 2 2 5 5 3" xfId="2720" xr:uid="{00000000-0005-0000-0000-0000A00A0000}"/>
    <cellStyle name="Note 2 2 5 5 4" xfId="2721" xr:uid="{00000000-0005-0000-0000-0000A10A0000}"/>
    <cellStyle name="Note 2 2 5 5 5" xfId="2722" xr:uid="{00000000-0005-0000-0000-0000A20A0000}"/>
    <cellStyle name="Note 2 2 5 6" xfId="2723" xr:uid="{00000000-0005-0000-0000-0000A30A0000}"/>
    <cellStyle name="Note 2 2 5 6 2" xfId="2724" xr:uid="{00000000-0005-0000-0000-0000A40A0000}"/>
    <cellStyle name="Note 2 2 5 6 3" xfId="2725" xr:uid="{00000000-0005-0000-0000-0000A50A0000}"/>
    <cellStyle name="Note 2 2 5 6 4" xfId="2726" xr:uid="{00000000-0005-0000-0000-0000A60A0000}"/>
    <cellStyle name="Note 2 2 5 6 5" xfId="2727" xr:uid="{00000000-0005-0000-0000-0000A70A0000}"/>
    <cellStyle name="Note 2 2 5 7" xfId="2728" xr:uid="{00000000-0005-0000-0000-0000A80A0000}"/>
    <cellStyle name="Note 2 2 5 7 2" xfId="2729" xr:uid="{00000000-0005-0000-0000-0000A90A0000}"/>
    <cellStyle name="Note 2 2 5 7 3" xfId="2730" xr:uid="{00000000-0005-0000-0000-0000AA0A0000}"/>
    <cellStyle name="Note 2 2 5 7 4" xfId="2731" xr:uid="{00000000-0005-0000-0000-0000AB0A0000}"/>
    <cellStyle name="Note 2 2 5 7 5" xfId="2732" xr:uid="{00000000-0005-0000-0000-0000AC0A0000}"/>
    <cellStyle name="Note 2 2 5 8" xfId="2733" xr:uid="{00000000-0005-0000-0000-0000AD0A0000}"/>
    <cellStyle name="Note 2 2 5 8 2" xfId="2734" xr:uid="{00000000-0005-0000-0000-0000AE0A0000}"/>
    <cellStyle name="Note 2 2 5 8 3" xfId="2735" xr:uid="{00000000-0005-0000-0000-0000AF0A0000}"/>
    <cellStyle name="Note 2 2 5 8 4" xfId="2736" xr:uid="{00000000-0005-0000-0000-0000B00A0000}"/>
    <cellStyle name="Note 2 2 5 8 5" xfId="2737" xr:uid="{00000000-0005-0000-0000-0000B10A0000}"/>
    <cellStyle name="Note 2 2 5 9" xfId="2738" xr:uid="{00000000-0005-0000-0000-0000B20A0000}"/>
    <cellStyle name="Note 2 2 5 9 2" xfId="2739" xr:uid="{00000000-0005-0000-0000-0000B30A0000}"/>
    <cellStyle name="Note 2 2 5 9 3" xfId="2740" xr:uid="{00000000-0005-0000-0000-0000B40A0000}"/>
    <cellStyle name="Note 2 2 5 9 4" xfId="2741" xr:uid="{00000000-0005-0000-0000-0000B50A0000}"/>
    <cellStyle name="Note 2 2 5 9 5" xfId="2742" xr:uid="{00000000-0005-0000-0000-0000B60A0000}"/>
    <cellStyle name="Note 2 2 6" xfId="2743" xr:uid="{00000000-0005-0000-0000-0000B70A0000}"/>
    <cellStyle name="Note 2 2 6 10" xfId="2744" xr:uid="{00000000-0005-0000-0000-0000B80A0000}"/>
    <cellStyle name="Note 2 2 6 10 2" xfId="2745" xr:uid="{00000000-0005-0000-0000-0000B90A0000}"/>
    <cellStyle name="Note 2 2 6 10 3" xfId="2746" xr:uid="{00000000-0005-0000-0000-0000BA0A0000}"/>
    <cellStyle name="Note 2 2 6 10 4" xfId="2747" xr:uid="{00000000-0005-0000-0000-0000BB0A0000}"/>
    <cellStyle name="Note 2 2 6 10 5" xfId="2748" xr:uid="{00000000-0005-0000-0000-0000BC0A0000}"/>
    <cellStyle name="Note 2 2 6 11" xfId="2749" xr:uid="{00000000-0005-0000-0000-0000BD0A0000}"/>
    <cellStyle name="Note 2 2 6 11 2" xfId="2750" xr:uid="{00000000-0005-0000-0000-0000BE0A0000}"/>
    <cellStyle name="Note 2 2 6 11 3" xfId="2751" xr:uid="{00000000-0005-0000-0000-0000BF0A0000}"/>
    <cellStyle name="Note 2 2 6 11 4" xfId="2752" xr:uid="{00000000-0005-0000-0000-0000C00A0000}"/>
    <cellStyle name="Note 2 2 6 11 5" xfId="2753" xr:uid="{00000000-0005-0000-0000-0000C10A0000}"/>
    <cellStyle name="Note 2 2 6 12" xfId="2754" xr:uid="{00000000-0005-0000-0000-0000C20A0000}"/>
    <cellStyle name="Note 2 2 6 12 2" xfId="2755" xr:uid="{00000000-0005-0000-0000-0000C30A0000}"/>
    <cellStyle name="Note 2 2 6 12 3" xfId="2756" xr:uid="{00000000-0005-0000-0000-0000C40A0000}"/>
    <cellStyle name="Note 2 2 6 12 4" xfId="2757" xr:uid="{00000000-0005-0000-0000-0000C50A0000}"/>
    <cellStyle name="Note 2 2 6 12 5" xfId="2758" xr:uid="{00000000-0005-0000-0000-0000C60A0000}"/>
    <cellStyle name="Note 2 2 6 13" xfId="2759" xr:uid="{00000000-0005-0000-0000-0000C70A0000}"/>
    <cellStyle name="Note 2 2 6 13 2" xfId="2760" xr:uid="{00000000-0005-0000-0000-0000C80A0000}"/>
    <cellStyle name="Note 2 2 6 13 3" xfId="2761" xr:uid="{00000000-0005-0000-0000-0000C90A0000}"/>
    <cellStyle name="Note 2 2 6 13 4" xfId="2762" xr:uid="{00000000-0005-0000-0000-0000CA0A0000}"/>
    <cellStyle name="Note 2 2 6 13 5" xfId="2763" xr:uid="{00000000-0005-0000-0000-0000CB0A0000}"/>
    <cellStyle name="Note 2 2 6 14" xfId="2764" xr:uid="{00000000-0005-0000-0000-0000CC0A0000}"/>
    <cellStyle name="Note 2 2 6 14 2" xfId="2765" xr:uid="{00000000-0005-0000-0000-0000CD0A0000}"/>
    <cellStyle name="Note 2 2 6 14 3" xfId="2766" xr:uid="{00000000-0005-0000-0000-0000CE0A0000}"/>
    <cellStyle name="Note 2 2 6 14 4" xfId="2767" xr:uid="{00000000-0005-0000-0000-0000CF0A0000}"/>
    <cellStyle name="Note 2 2 6 14 5" xfId="2768" xr:uid="{00000000-0005-0000-0000-0000D00A0000}"/>
    <cellStyle name="Note 2 2 6 15" xfId="2769" xr:uid="{00000000-0005-0000-0000-0000D10A0000}"/>
    <cellStyle name="Note 2 2 6 15 2" xfId="2770" xr:uid="{00000000-0005-0000-0000-0000D20A0000}"/>
    <cellStyle name="Note 2 2 6 15 3" xfId="2771" xr:uid="{00000000-0005-0000-0000-0000D30A0000}"/>
    <cellStyle name="Note 2 2 6 15 4" xfId="2772" xr:uid="{00000000-0005-0000-0000-0000D40A0000}"/>
    <cellStyle name="Note 2 2 6 15 5" xfId="2773" xr:uid="{00000000-0005-0000-0000-0000D50A0000}"/>
    <cellStyle name="Note 2 2 6 16" xfId="2774" xr:uid="{00000000-0005-0000-0000-0000D60A0000}"/>
    <cellStyle name="Note 2 2 6 16 2" xfId="2775" xr:uid="{00000000-0005-0000-0000-0000D70A0000}"/>
    <cellStyle name="Note 2 2 6 16 3" xfId="2776" xr:uid="{00000000-0005-0000-0000-0000D80A0000}"/>
    <cellStyle name="Note 2 2 6 16 4" xfId="2777" xr:uid="{00000000-0005-0000-0000-0000D90A0000}"/>
    <cellStyle name="Note 2 2 6 16 5" xfId="2778" xr:uid="{00000000-0005-0000-0000-0000DA0A0000}"/>
    <cellStyle name="Note 2 2 6 17" xfId="2779" xr:uid="{00000000-0005-0000-0000-0000DB0A0000}"/>
    <cellStyle name="Note 2 2 6 17 2" xfId="2780" xr:uid="{00000000-0005-0000-0000-0000DC0A0000}"/>
    <cellStyle name="Note 2 2 6 17 3" xfId="2781" xr:uid="{00000000-0005-0000-0000-0000DD0A0000}"/>
    <cellStyle name="Note 2 2 6 17 4" xfId="2782" xr:uid="{00000000-0005-0000-0000-0000DE0A0000}"/>
    <cellStyle name="Note 2 2 6 17 5" xfId="2783" xr:uid="{00000000-0005-0000-0000-0000DF0A0000}"/>
    <cellStyle name="Note 2 2 6 18" xfId="2784" xr:uid="{00000000-0005-0000-0000-0000E00A0000}"/>
    <cellStyle name="Note 2 2 6 18 2" xfId="2785" xr:uid="{00000000-0005-0000-0000-0000E10A0000}"/>
    <cellStyle name="Note 2 2 6 18 3" xfId="2786" xr:uid="{00000000-0005-0000-0000-0000E20A0000}"/>
    <cellStyle name="Note 2 2 6 18 4" xfId="2787" xr:uid="{00000000-0005-0000-0000-0000E30A0000}"/>
    <cellStyle name="Note 2 2 6 18 5" xfId="2788" xr:uid="{00000000-0005-0000-0000-0000E40A0000}"/>
    <cellStyle name="Note 2 2 6 19" xfId="2789" xr:uid="{00000000-0005-0000-0000-0000E50A0000}"/>
    <cellStyle name="Note 2 2 6 19 2" xfId="2790" xr:uid="{00000000-0005-0000-0000-0000E60A0000}"/>
    <cellStyle name="Note 2 2 6 19 3" xfId="2791" xr:uid="{00000000-0005-0000-0000-0000E70A0000}"/>
    <cellStyle name="Note 2 2 6 19 4" xfId="2792" xr:uid="{00000000-0005-0000-0000-0000E80A0000}"/>
    <cellStyle name="Note 2 2 6 19 5" xfId="2793" xr:uid="{00000000-0005-0000-0000-0000E90A0000}"/>
    <cellStyle name="Note 2 2 6 2" xfId="2794" xr:uid="{00000000-0005-0000-0000-0000EA0A0000}"/>
    <cellStyle name="Note 2 2 6 2 2" xfId="2795" xr:uid="{00000000-0005-0000-0000-0000EB0A0000}"/>
    <cellStyle name="Note 2 2 6 2 3" xfId="2796" xr:uid="{00000000-0005-0000-0000-0000EC0A0000}"/>
    <cellStyle name="Note 2 2 6 2 4" xfId="2797" xr:uid="{00000000-0005-0000-0000-0000ED0A0000}"/>
    <cellStyle name="Note 2 2 6 2 5" xfId="2798" xr:uid="{00000000-0005-0000-0000-0000EE0A0000}"/>
    <cellStyle name="Note 2 2 6 20" xfId="2799" xr:uid="{00000000-0005-0000-0000-0000EF0A0000}"/>
    <cellStyle name="Note 2 2 6 20 2" xfId="2800" xr:uid="{00000000-0005-0000-0000-0000F00A0000}"/>
    <cellStyle name="Note 2 2 6 20 3" xfId="2801" xr:uid="{00000000-0005-0000-0000-0000F10A0000}"/>
    <cellStyle name="Note 2 2 6 20 4" xfId="2802" xr:uid="{00000000-0005-0000-0000-0000F20A0000}"/>
    <cellStyle name="Note 2 2 6 20 5" xfId="2803" xr:uid="{00000000-0005-0000-0000-0000F30A0000}"/>
    <cellStyle name="Note 2 2 6 21" xfId="2804" xr:uid="{00000000-0005-0000-0000-0000F40A0000}"/>
    <cellStyle name="Note 2 2 6 21 2" xfId="2805" xr:uid="{00000000-0005-0000-0000-0000F50A0000}"/>
    <cellStyle name="Note 2 2 6 21 3" xfId="2806" xr:uid="{00000000-0005-0000-0000-0000F60A0000}"/>
    <cellStyle name="Note 2 2 6 21 4" xfId="2807" xr:uid="{00000000-0005-0000-0000-0000F70A0000}"/>
    <cellStyle name="Note 2 2 6 21 5" xfId="2808" xr:uid="{00000000-0005-0000-0000-0000F80A0000}"/>
    <cellStyle name="Note 2 2 6 22" xfId="2809" xr:uid="{00000000-0005-0000-0000-0000F90A0000}"/>
    <cellStyle name="Note 2 2 6 22 2" xfId="2810" xr:uid="{00000000-0005-0000-0000-0000FA0A0000}"/>
    <cellStyle name="Note 2 2 6 22 3" xfId="2811" xr:uid="{00000000-0005-0000-0000-0000FB0A0000}"/>
    <cellStyle name="Note 2 2 6 22 4" xfId="2812" xr:uid="{00000000-0005-0000-0000-0000FC0A0000}"/>
    <cellStyle name="Note 2 2 6 23" xfId="2813" xr:uid="{00000000-0005-0000-0000-0000FD0A0000}"/>
    <cellStyle name="Note 2 2 6 23 2" xfId="2814" xr:uid="{00000000-0005-0000-0000-0000FE0A0000}"/>
    <cellStyle name="Note 2 2 6 23 3" xfId="2815" xr:uid="{00000000-0005-0000-0000-0000FF0A0000}"/>
    <cellStyle name="Note 2 2 6 23 4" xfId="2816" xr:uid="{00000000-0005-0000-0000-0000000B0000}"/>
    <cellStyle name="Note 2 2 6 24" xfId="2817" xr:uid="{00000000-0005-0000-0000-0000010B0000}"/>
    <cellStyle name="Note 2 2 6 24 2" xfId="2818" xr:uid="{00000000-0005-0000-0000-0000020B0000}"/>
    <cellStyle name="Note 2 2 6 24 3" xfId="2819" xr:uid="{00000000-0005-0000-0000-0000030B0000}"/>
    <cellStyle name="Note 2 2 6 24 4" xfId="2820" xr:uid="{00000000-0005-0000-0000-0000040B0000}"/>
    <cellStyle name="Note 2 2 6 25" xfId="2821" xr:uid="{00000000-0005-0000-0000-0000050B0000}"/>
    <cellStyle name="Note 2 2 6 25 2" xfId="2822" xr:uid="{00000000-0005-0000-0000-0000060B0000}"/>
    <cellStyle name="Note 2 2 6 25 3" xfId="2823" xr:uid="{00000000-0005-0000-0000-0000070B0000}"/>
    <cellStyle name="Note 2 2 6 25 4" xfId="2824" xr:uid="{00000000-0005-0000-0000-0000080B0000}"/>
    <cellStyle name="Note 2 2 6 3" xfId="2825" xr:uid="{00000000-0005-0000-0000-0000090B0000}"/>
    <cellStyle name="Note 2 2 6 3 2" xfId="2826" xr:uid="{00000000-0005-0000-0000-00000A0B0000}"/>
    <cellStyle name="Note 2 2 6 3 3" xfId="2827" xr:uid="{00000000-0005-0000-0000-00000B0B0000}"/>
    <cellStyle name="Note 2 2 6 3 4" xfId="2828" xr:uid="{00000000-0005-0000-0000-00000C0B0000}"/>
    <cellStyle name="Note 2 2 6 3 5" xfId="2829" xr:uid="{00000000-0005-0000-0000-00000D0B0000}"/>
    <cellStyle name="Note 2 2 6 4" xfId="2830" xr:uid="{00000000-0005-0000-0000-00000E0B0000}"/>
    <cellStyle name="Note 2 2 6 4 2" xfId="2831" xr:uid="{00000000-0005-0000-0000-00000F0B0000}"/>
    <cellStyle name="Note 2 2 6 4 3" xfId="2832" xr:uid="{00000000-0005-0000-0000-0000100B0000}"/>
    <cellStyle name="Note 2 2 6 4 4" xfId="2833" xr:uid="{00000000-0005-0000-0000-0000110B0000}"/>
    <cellStyle name="Note 2 2 6 4 5" xfId="2834" xr:uid="{00000000-0005-0000-0000-0000120B0000}"/>
    <cellStyle name="Note 2 2 6 5" xfId="2835" xr:uid="{00000000-0005-0000-0000-0000130B0000}"/>
    <cellStyle name="Note 2 2 6 5 2" xfId="2836" xr:uid="{00000000-0005-0000-0000-0000140B0000}"/>
    <cellStyle name="Note 2 2 6 5 3" xfId="2837" xr:uid="{00000000-0005-0000-0000-0000150B0000}"/>
    <cellStyle name="Note 2 2 6 5 4" xfId="2838" xr:uid="{00000000-0005-0000-0000-0000160B0000}"/>
    <cellStyle name="Note 2 2 6 5 5" xfId="2839" xr:uid="{00000000-0005-0000-0000-0000170B0000}"/>
    <cellStyle name="Note 2 2 6 6" xfId="2840" xr:uid="{00000000-0005-0000-0000-0000180B0000}"/>
    <cellStyle name="Note 2 2 6 6 2" xfId="2841" xr:uid="{00000000-0005-0000-0000-0000190B0000}"/>
    <cellStyle name="Note 2 2 6 6 3" xfId="2842" xr:uid="{00000000-0005-0000-0000-00001A0B0000}"/>
    <cellStyle name="Note 2 2 6 6 4" xfId="2843" xr:uid="{00000000-0005-0000-0000-00001B0B0000}"/>
    <cellStyle name="Note 2 2 6 6 5" xfId="2844" xr:uid="{00000000-0005-0000-0000-00001C0B0000}"/>
    <cellStyle name="Note 2 2 6 7" xfId="2845" xr:uid="{00000000-0005-0000-0000-00001D0B0000}"/>
    <cellStyle name="Note 2 2 6 7 2" xfId="2846" xr:uid="{00000000-0005-0000-0000-00001E0B0000}"/>
    <cellStyle name="Note 2 2 6 7 3" xfId="2847" xr:uid="{00000000-0005-0000-0000-00001F0B0000}"/>
    <cellStyle name="Note 2 2 6 7 4" xfId="2848" xr:uid="{00000000-0005-0000-0000-0000200B0000}"/>
    <cellStyle name="Note 2 2 6 7 5" xfId="2849" xr:uid="{00000000-0005-0000-0000-0000210B0000}"/>
    <cellStyle name="Note 2 2 6 8" xfId="2850" xr:uid="{00000000-0005-0000-0000-0000220B0000}"/>
    <cellStyle name="Note 2 2 6 8 2" xfId="2851" xr:uid="{00000000-0005-0000-0000-0000230B0000}"/>
    <cellStyle name="Note 2 2 6 8 3" xfId="2852" xr:uid="{00000000-0005-0000-0000-0000240B0000}"/>
    <cellStyle name="Note 2 2 6 8 4" xfId="2853" xr:uid="{00000000-0005-0000-0000-0000250B0000}"/>
    <cellStyle name="Note 2 2 6 8 5" xfId="2854" xr:uid="{00000000-0005-0000-0000-0000260B0000}"/>
    <cellStyle name="Note 2 2 6 9" xfId="2855" xr:uid="{00000000-0005-0000-0000-0000270B0000}"/>
    <cellStyle name="Note 2 2 6 9 2" xfId="2856" xr:uid="{00000000-0005-0000-0000-0000280B0000}"/>
    <cellStyle name="Note 2 2 6 9 3" xfId="2857" xr:uid="{00000000-0005-0000-0000-0000290B0000}"/>
    <cellStyle name="Note 2 2 6 9 4" xfId="2858" xr:uid="{00000000-0005-0000-0000-00002A0B0000}"/>
    <cellStyle name="Note 2 2 6 9 5" xfId="2859" xr:uid="{00000000-0005-0000-0000-00002B0B0000}"/>
    <cellStyle name="Note 2 2 7" xfId="2860" xr:uid="{00000000-0005-0000-0000-00002C0B0000}"/>
    <cellStyle name="Note 2 2 7 2" xfId="2861" xr:uid="{00000000-0005-0000-0000-00002D0B0000}"/>
    <cellStyle name="Note 2 2 7 3" xfId="2862" xr:uid="{00000000-0005-0000-0000-00002E0B0000}"/>
    <cellStyle name="Note 2 2 7 4" xfId="2863" xr:uid="{00000000-0005-0000-0000-00002F0B0000}"/>
    <cellStyle name="Note 2 2 7 5" xfId="2864" xr:uid="{00000000-0005-0000-0000-0000300B0000}"/>
    <cellStyle name="Note 2 2 8" xfId="2865" xr:uid="{00000000-0005-0000-0000-0000310B0000}"/>
    <cellStyle name="Note 2 2 8 2" xfId="2866" xr:uid="{00000000-0005-0000-0000-0000320B0000}"/>
    <cellStyle name="Note 2 2 8 3" xfId="2867" xr:uid="{00000000-0005-0000-0000-0000330B0000}"/>
    <cellStyle name="Note 2 2 8 4" xfId="2868" xr:uid="{00000000-0005-0000-0000-0000340B0000}"/>
    <cellStyle name="Note 2 2 8 5" xfId="2869" xr:uid="{00000000-0005-0000-0000-0000350B0000}"/>
    <cellStyle name="Note 2 2 9" xfId="2870" xr:uid="{00000000-0005-0000-0000-0000360B0000}"/>
    <cellStyle name="Note 2 2 9 2" xfId="2871" xr:uid="{00000000-0005-0000-0000-0000370B0000}"/>
    <cellStyle name="Note 2 2 9 3" xfId="2872" xr:uid="{00000000-0005-0000-0000-0000380B0000}"/>
    <cellStyle name="Note 2 2 9 4" xfId="2873" xr:uid="{00000000-0005-0000-0000-0000390B0000}"/>
    <cellStyle name="Note 2 2 9 5" xfId="2874" xr:uid="{00000000-0005-0000-0000-00003A0B0000}"/>
    <cellStyle name="Note 2 3" xfId="143" xr:uid="{00000000-0005-0000-0000-00003B0B0000}"/>
    <cellStyle name="Note 2 3 2" xfId="144" xr:uid="{00000000-0005-0000-0000-00003C0B0000}"/>
    <cellStyle name="Note 2 3 3" xfId="2875" xr:uid="{00000000-0005-0000-0000-00003D0B0000}"/>
    <cellStyle name="Note 2 4" xfId="145" xr:uid="{00000000-0005-0000-0000-00003E0B0000}"/>
    <cellStyle name="Note 2 4 2" xfId="146" xr:uid="{00000000-0005-0000-0000-00003F0B0000}"/>
    <cellStyle name="Note 2 5" xfId="147" xr:uid="{00000000-0005-0000-0000-0000400B0000}"/>
    <cellStyle name="Note 2 5 2" xfId="148" xr:uid="{00000000-0005-0000-0000-0000410B0000}"/>
    <cellStyle name="Note 2 6" xfId="149" xr:uid="{00000000-0005-0000-0000-0000420B0000}"/>
    <cellStyle name="Note 2 6 2" xfId="150" xr:uid="{00000000-0005-0000-0000-0000430B0000}"/>
    <cellStyle name="Note 3" xfId="151" xr:uid="{00000000-0005-0000-0000-0000440B0000}"/>
    <cellStyle name="Note 3 2" xfId="152" xr:uid="{00000000-0005-0000-0000-0000450B0000}"/>
    <cellStyle name="Note 3 2 2" xfId="153" xr:uid="{00000000-0005-0000-0000-0000460B0000}"/>
    <cellStyle name="Note 3 2 3" xfId="2876" xr:uid="{00000000-0005-0000-0000-0000470B0000}"/>
    <cellStyle name="Note 3 3" xfId="154" xr:uid="{00000000-0005-0000-0000-0000480B0000}"/>
    <cellStyle name="Note 3 3 2" xfId="155" xr:uid="{00000000-0005-0000-0000-0000490B0000}"/>
    <cellStyle name="Note 3 4" xfId="156" xr:uid="{00000000-0005-0000-0000-00004A0B0000}"/>
    <cellStyle name="Note 3 5" xfId="2877" xr:uid="{00000000-0005-0000-0000-00004B0B0000}"/>
    <cellStyle name="Note 4" xfId="157" xr:uid="{00000000-0005-0000-0000-00004C0B0000}"/>
    <cellStyle name="Note 4 2" xfId="158" xr:uid="{00000000-0005-0000-0000-00004D0B0000}"/>
    <cellStyle name="Note 4 3" xfId="2878" xr:uid="{00000000-0005-0000-0000-00004E0B0000}"/>
    <cellStyle name="Note 5" xfId="159" xr:uid="{00000000-0005-0000-0000-00004F0B0000}"/>
    <cellStyle name="Note 5 2" xfId="160" xr:uid="{00000000-0005-0000-0000-0000500B0000}"/>
    <cellStyle name="Note 6" xfId="161" xr:uid="{00000000-0005-0000-0000-0000510B0000}"/>
    <cellStyle name="Note 6 2" xfId="162" xr:uid="{00000000-0005-0000-0000-0000520B0000}"/>
    <cellStyle name="Note 7" xfId="163" xr:uid="{00000000-0005-0000-0000-0000530B0000}"/>
    <cellStyle name="Note 7 2" xfId="164" xr:uid="{00000000-0005-0000-0000-0000540B0000}"/>
    <cellStyle name="Note 8" xfId="165" xr:uid="{00000000-0005-0000-0000-0000550B0000}"/>
    <cellStyle name="Note 8 2" xfId="166" xr:uid="{00000000-0005-0000-0000-0000560B0000}"/>
    <cellStyle name="Number" xfId="167" xr:uid="{00000000-0005-0000-0000-0000570B0000}"/>
    <cellStyle name="Number 2" xfId="2879" xr:uid="{00000000-0005-0000-0000-0000580B0000}"/>
    <cellStyle name="Output 2" xfId="168" xr:uid="{00000000-0005-0000-0000-0000590B0000}"/>
    <cellStyle name="Output 2 10" xfId="2880" xr:uid="{00000000-0005-0000-0000-00005A0B0000}"/>
    <cellStyle name="Output 2 10 2" xfId="2881" xr:uid="{00000000-0005-0000-0000-00005B0B0000}"/>
    <cellStyle name="Output 2 10 3" xfId="2882" xr:uid="{00000000-0005-0000-0000-00005C0B0000}"/>
    <cellStyle name="Output 2 10 4" xfId="2883" xr:uid="{00000000-0005-0000-0000-00005D0B0000}"/>
    <cellStyle name="Output 2 10 5" xfId="2884" xr:uid="{00000000-0005-0000-0000-00005E0B0000}"/>
    <cellStyle name="Output 2 11" xfId="2885" xr:uid="{00000000-0005-0000-0000-00005F0B0000}"/>
    <cellStyle name="Output 2 11 2" xfId="2886" xr:uid="{00000000-0005-0000-0000-0000600B0000}"/>
    <cellStyle name="Output 2 11 3" xfId="2887" xr:uid="{00000000-0005-0000-0000-0000610B0000}"/>
    <cellStyle name="Output 2 11 4" xfId="2888" xr:uid="{00000000-0005-0000-0000-0000620B0000}"/>
    <cellStyle name="Output 2 11 5" xfId="2889" xr:uid="{00000000-0005-0000-0000-0000630B0000}"/>
    <cellStyle name="Output 2 12" xfId="2890" xr:uid="{00000000-0005-0000-0000-0000640B0000}"/>
    <cellStyle name="Output 2 12 2" xfId="2891" xr:uid="{00000000-0005-0000-0000-0000650B0000}"/>
    <cellStyle name="Output 2 12 3" xfId="2892" xr:uid="{00000000-0005-0000-0000-0000660B0000}"/>
    <cellStyle name="Output 2 12 4" xfId="2893" xr:uid="{00000000-0005-0000-0000-0000670B0000}"/>
    <cellStyle name="Output 2 12 5" xfId="2894" xr:uid="{00000000-0005-0000-0000-0000680B0000}"/>
    <cellStyle name="Output 2 13" xfId="2895" xr:uid="{00000000-0005-0000-0000-0000690B0000}"/>
    <cellStyle name="Output 2 13 2" xfId="2896" xr:uid="{00000000-0005-0000-0000-00006A0B0000}"/>
    <cellStyle name="Output 2 13 3" xfId="2897" xr:uid="{00000000-0005-0000-0000-00006B0B0000}"/>
    <cellStyle name="Output 2 13 4" xfId="2898" xr:uid="{00000000-0005-0000-0000-00006C0B0000}"/>
    <cellStyle name="Output 2 14" xfId="2899" xr:uid="{00000000-0005-0000-0000-00006D0B0000}"/>
    <cellStyle name="Output 2 14 2" xfId="2900" xr:uid="{00000000-0005-0000-0000-00006E0B0000}"/>
    <cellStyle name="Output 2 14 3" xfId="2901" xr:uid="{00000000-0005-0000-0000-00006F0B0000}"/>
    <cellStyle name="Output 2 14 4" xfId="2902" xr:uid="{00000000-0005-0000-0000-0000700B0000}"/>
    <cellStyle name="Output 2 15" xfId="2903" xr:uid="{00000000-0005-0000-0000-0000710B0000}"/>
    <cellStyle name="Output 2 15 2" xfId="2904" xr:uid="{00000000-0005-0000-0000-0000720B0000}"/>
    <cellStyle name="Output 2 15 3" xfId="2905" xr:uid="{00000000-0005-0000-0000-0000730B0000}"/>
    <cellStyle name="Output 2 15 4" xfId="2906" xr:uid="{00000000-0005-0000-0000-0000740B0000}"/>
    <cellStyle name="Output 2 16" xfId="2907" xr:uid="{00000000-0005-0000-0000-0000750B0000}"/>
    <cellStyle name="Output 2 2" xfId="2908" xr:uid="{00000000-0005-0000-0000-0000760B0000}"/>
    <cellStyle name="Output 2 2 10" xfId="2909" xr:uid="{00000000-0005-0000-0000-0000770B0000}"/>
    <cellStyle name="Output 2 2 10 2" xfId="2910" xr:uid="{00000000-0005-0000-0000-0000780B0000}"/>
    <cellStyle name="Output 2 2 10 3" xfId="2911" xr:uid="{00000000-0005-0000-0000-0000790B0000}"/>
    <cellStyle name="Output 2 2 10 4" xfId="2912" xr:uid="{00000000-0005-0000-0000-00007A0B0000}"/>
    <cellStyle name="Output 2 2 10 5" xfId="2913" xr:uid="{00000000-0005-0000-0000-00007B0B0000}"/>
    <cellStyle name="Output 2 2 11" xfId="2914" xr:uid="{00000000-0005-0000-0000-00007C0B0000}"/>
    <cellStyle name="Output 2 2 11 2" xfId="2915" xr:uid="{00000000-0005-0000-0000-00007D0B0000}"/>
    <cellStyle name="Output 2 2 11 3" xfId="2916" xr:uid="{00000000-0005-0000-0000-00007E0B0000}"/>
    <cellStyle name="Output 2 2 11 4" xfId="2917" xr:uid="{00000000-0005-0000-0000-00007F0B0000}"/>
    <cellStyle name="Output 2 2 11 5" xfId="2918" xr:uid="{00000000-0005-0000-0000-0000800B0000}"/>
    <cellStyle name="Output 2 2 12" xfId="2919" xr:uid="{00000000-0005-0000-0000-0000810B0000}"/>
    <cellStyle name="Output 2 2 12 2" xfId="2920" xr:uid="{00000000-0005-0000-0000-0000820B0000}"/>
    <cellStyle name="Output 2 2 12 3" xfId="2921" xr:uid="{00000000-0005-0000-0000-0000830B0000}"/>
    <cellStyle name="Output 2 2 12 4" xfId="2922" xr:uid="{00000000-0005-0000-0000-0000840B0000}"/>
    <cellStyle name="Output 2 2 12 5" xfId="2923" xr:uid="{00000000-0005-0000-0000-0000850B0000}"/>
    <cellStyle name="Output 2 2 13" xfId="2924" xr:uid="{00000000-0005-0000-0000-0000860B0000}"/>
    <cellStyle name="Output 2 2 13 2" xfId="2925" xr:uid="{00000000-0005-0000-0000-0000870B0000}"/>
    <cellStyle name="Output 2 2 13 3" xfId="2926" xr:uid="{00000000-0005-0000-0000-0000880B0000}"/>
    <cellStyle name="Output 2 2 13 4" xfId="2927" xr:uid="{00000000-0005-0000-0000-0000890B0000}"/>
    <cellStyle name="Output 2 2 13 5" xfId="2928" xr:uid="{00000000-0005-0000-0000-00008A0B0000}"/>
    <cellStyle name="Output 2 2 14" xfId="2929" xr:uid="{00000000-0005-0000-0000-00008B0B0000}"/>
    <cellStyle name="Output 2 2 14 2" xfId="2930" xr:uid="{00000000-0005-0000-0000-00008C0B0000}"/>
    <cellStyle name="Output 2 2 14 3" xfId="2931" xr:uid="{00000000-0005-0000-0000-00008D0B0000}"/>
    <cellStyle name="Output 2 2 14 4" xfId="2932" xr:uid="{00000000-0005-0000-0000-00008E0B0000}"/>
    <cellStyle name="Output 2 2 15" xfId="2933" xr:uid="{00000000-0005-0000-0000-00008F0B0000}"/>
    <cellStyle name="Output 2 2 15 2" xfId="2934" xr:uid="{00000000-0005-0000-0000-0000900B0000}"/>
    <cellStyle name="Output 2 2 15 3" xfId="2935" xr:uid="{00000000-0005-0000-0000-0000910B0000}"/>
    <cellStyle name="Output 2 2 15 4" xfId="2936" xr:uid="{00000000-0005-0000-0000-0000920B0000}"/>
    <cellStyle name="Output 2 2 16" xfId="2937" xr:uid="{00000000-0005-0000-0000-0000930B0000}"/>
    <cellStyle name="Output 2 2 16 2" xfId="2938" xr:uid="{00000000-0005-0000-0000-0000940B0000}"/>
    <cellStyle name="Output 2 2 16 3" xfId="2939" xr:uid="{00000000-0005-0000-0000-0000950B0000}"/>
    <cellStyle name="Output 2 2 16 4" xfId="2940" xr:uid="{00000000-0005-0000-0000-0000960B0000}"/>
    <cellStyle name="Output 2 2 17" xfId="2941" xr:uid="{00000000-0005-0000-0000-0000970B0000}"/>
    <cellStyle name="Output 2 2 2" xfId="2942" xr:uid="{00000000-0005-0000-0000-0000980B0000}"/>
    <cellStyle name="Output 2 2 2 2" xfId="2943" xr:uid="{00000000-0005-0000-0000-0000990B0000}"/>
    <cellStyle name="Output 2 2 2 3" xfId="2944" xr:uid="{00000000-0005-0000-0000-00009A0B0000}"/>
    <cellStyle name="Output 2 2 2 4" xfId="2945" xr:uid="{00000000-0005-0000-0000-00009B0B0000}"/>
    <cellStyle name="Output 2 2 2 5" xfId="2946" xr:uid="{00000000-0005-0000-0000-00009C0B0000}"/>
    <cellStyle name="Output 2 2 3" xfId="2947" xr:uid="{00000000-0005-0000-0000-00009D0B0000}"/>
    <cellStyle name="Output 2 2 3 2" xfId="2948" xr:uid="{00000000-0005-0000-0000-00009E0B0000}"/>
    <cellStyle name="Output 2 2 3 3" xfId="2949" xr:uid="{00000000-0005-0000-0000-00009F0B0000}"/>
    <cellStyle name="Output 2 2 3 4" xfId="2950" xr:uid="{00000000-0005-0000-0000-0000A00B0000}"/>
    <cellStyle name="Output 2 2 3 5" xfId="2951" xr:uid="{00000000-0005-0000-0000-0000A10B0000}"/>
    <cellStyle name="Output 2 2 4" xfId="2952" xr:uid="{00000000-0005-0000-0000-0000A20B0000}"/>
    <cellStyle name="Output 2 2 4 2" xfId="2953" xr:uid="{00000000-0005-0000-0000-0000A30B0000}"/>
    <cellStyle name="Output 2 2 4 3" xfId="2954" xr:uid="{00000000-0005-0000-0000-0000A40B0000}"/>
    <cellStyle name="Output 2 2 4 4" xfId="2955" xr:uid="{00000000-0005-0000-0000-0000A50B0000}"/>
    <cellStyle name="Output 2 2 4 5" xfId="2956" xr:uid="{00000000-0005-0000-0000-0000A60B0000}"/>
    <cellStyle name="Output 2 2 5" xfId="2957" xr:uid="{00000000-0005-0000-0000-0000A70B0000}"/>
    <cellStyle name="Output 2 2 5 2" xfId="2958" xr:uid="{00000000-0005-0000-0000-0000A80B0000}"/>
    <cellStyle name="Output 2 2 5 3" xfId="2959" xr:uid="{00000000-0005-0000-0000-0000A90B0000}"/>
    <cellStyle name="Output 2 2 5 4" xfId="2960" xr:uid="{00000000-0005-0000-0000-0000AA0B0000}"/>
    <cellStyle name="Output 2 2 5 5" xfId="2961" xr:uid="{00000000-0005-0000-0000-0000AB0B0000}"/>
    <cellStyle name="Output 2 2 6" xfId="2962" xr:uid="{00000000-0005-0000-0000-0000AC0B0000}"/>
    <cellStyle name="Output 2 2 6 2" xfId="2963" xr:uid="{00000000-0005-0000-0000-0000AD0B0000}"/>
    <cellStyle name="Output 2 2 6 3" xfId="2964" xr:uid="{00000000-0005-0000-0000-0000AE0B0000}"/>
    <cellStyle name="Output 2 2 6 4" xfId="2965" xr:uid="{00000000-0005-0000-0000-0000AF0B0000}"/>
    <cellStyle name="Output 2 2 6 5" xfId="2966" xr:uid="{00000000-0005-0000-0000-0000B00B0000}"/>
    <cellStyle name="Output 2 2 7" xfId="2967" xr:uid="{00000000-0005-0000-0000-0000B10B0000}"/>
    <cellStyle name="Output 2 2 7 2" xfId="2968" xr:uid="{00000000-0005-0000-0000-0000B20B0000}"/>
    <cellStyle name="Output 2 2 7 3" xfId="2969" xr:uid="{00000000-0005-0000-0000-0000B30B0000}"/>
    <cellStyle name="Output 2 2 7 4" xfId="2970" xr:uid="{00000000-0005-0000-0000-0000B40B0000}"/>
    <cellStyle name="Output 2 2 7 5" xfId="2971" xr:uid="{00000000-0005-0000-0000-0000B50B0000}"/>
    <cellStyle name="Output 2 2 8" xfId="2972" xr:uid="{00000000-0005-0000-0000-0000B60B0000}"/>
    <cellStyle name="Output 2 2 8 2" xfId="2973" xr:uid="{00000000-0005-0000-0000-0000B70B0000}"/>
    <cellStyle name="Output 2 2 8 3" xfId="2974" xr:uid="{00000000-0005-0000-0000-0000B80B0000}"/>
    <cellStyle name="Output 2 2 8 4" xfId="2975" xr:uid="{00000000-0005-0000-0000-0000B90B0000}"/>
    <cellStyle name="Output 2 2 8 5" xfId="2976" xr:uid="{00000000-0005-0000-0000-0000BA0B0000}"/>
    <cellStyle name="Output 2 2 9" xfId="2977" xr:uid="{00000000-0005-0000-0000-0000BB0B0000}"/>
    <cellStyle name="Output 2 2 9 2" xfId="2978" xr:uid="{00000000-0005-0000-0000-0000BC0B0000}"/>
    <cellStyle name="Output 2 2 9 3" xfId="2979" xr:uid="{00000000-0005-0000-0000-0000BD0B0000}"/>
    <cellStyle name="Output 2 2 9 4" xfId="2980" xr:uid="{00000000-0005-0000-0000-0000BE0B0000}"/>
    <cellStyle name="Output 2 2 9 5" xfId="2981" xr:uid="{00000000-0005-0000-0000-0000BF0B0000}"/>
    <cellStyle name="Output 2 3" xfId="2982" xr:uid="{00000000-0005-0000-0000-0000C00B0000}"/>
    <cellStyle name="Output 2 3 10" xfId="2983" xr:uid="{00000000-0005-0000-0000-0000C10B0000}"/>
    <cellStyle name="Output 2 3 10 2" xfId="2984" xr:uid="{00000000-0005-0000-0000-0000C20B0000}"/>
    <cellStyle name="Output 2 3 10 3" xfId="2985" xr:uid="{00000000-0005-0000-0000-0000C30B0000}"/>
    <cellStyle name="Output 2 3 10 4" xfId="2986" xr:uid="{00000000-0005-0000-0000-0000C40B0000}"/>
    <cellStyle name="Output 2 3 10 5" xfId="2987" xr:uid="{00000000-0005-0000-0000-0000C50B0000}"/>
    <cellStyle name="Output 2 3 11" xfId="2988" xr:uid="{00000000-0005-0000-0000-0000C60B0000}"/>
    <cellStyle name="Output 2 3 11 2" xfId="2989" xr:uid="{00000000-0005-0000-0000-0000C70B0000}"/>
    <cellStyle name="Output 2 3 11 3" xfId="2990" xr:uid="{00000000-0005-0000-0000-0000C80B0000}"/>
    <cellStyle name="Output 2 3 11 4" xfId="2991" xr:uid="{00000000-0005-0000-0000-0000C90B0000}"/>
    <cellStyle name="Output 2 3 11 5" xfId="2992" xr:uid="{00000000-0005-0000-0000-0000CA0B0000}"/>
    <cellStyle name="Output 2 3 12" xfId="2993" xr:uid="{00000000-0005-0000-0000-0000CB0B0000}"/>
    <cellStyle name="Output 2 3 12 2" xfId="2994" xr:uid="{00000000-0005-0000-0000-0000CC0B0000}"/>
    <cellStyle name="Output 2 3 12 3" xfId="2995" xr:uid="{00000000-0005-0000-0000-0000CD0B0000}"/>
    <cellStyle name="Output 2 3 12 4" xfId="2996" xr:uid="{00000000-0005-0000-0000-0000CE0B0000}"/>
    <cellStyle name="Output 2 3 12 5" xfId="2997" xr:uid="{00000000-0005-0000-0000-0000CF0B0000}"/>
    <cellStyle name="Output 2 3 13" xfId="2998" xr:uid="{00000000-0005-0000-0000-0000D00B0000}"/>
    <cellStyle name="Output 2 3 13 2" xfId="2999" xr:uid="{00000000-0005-0000-0000-0000D10B0000}"/>
    <cellStyle name="Output 2 3 13 3" xfId="3000" xr:uid="{00000000-0005-0000-0000-0000D20B0000}"/>
    <cellStyle name="Output 2 3 13 4" xfId="3001" xr:uid="{00000000-0005-0000-0000-0000D30B0000}"/>
    <cellStyle name="Output 2 3 13 5" xfId="3002" xr:uid="{00000000-0005-0000-0000-0000D40B0000}"/>
    <cellStyle name="Output 2 3 14" xfId="3003" xr:uid="{00000000-0005-0000-0000-0000D50B0000}"/>
    <cellStyle name="Output 2 3 14 2" xfId="3004" xr:uid="{00000000-0005-0000-0000-0000D60B0000}"/>
    <cellStyle name="Output 2 3 14 3" xfId="3005" xr:uid="{00000000-0005-0000-0000-0000D70B0000}"/>
    <cellStyle name="Output 2 3 14 4" xfId="3006" xr:uid="{00000000-0005-0000-0000-0000D80B0000}"/>
    <cellStyle name="Output 2 3 15" xfId="3007" xr:uid="{00000000-0005-0000-0000-0000D90B0000}"/>
    <cellStyle name="Output 2 3 15 2" xfId="3008" xr:uid="{00000000-0005-0000-0000-0000DA0B0000}"/>
    <cellStyle name="Output 2 3 15 3" xfId="3009" xr:uid="{00000000-0005-0000-0000-0000DB0B0000}"/>
    <cellStyle name="Output 2 3 15 4" xfId="3010" xr:uid="{00000000-0005-0000-0000-0000DC0B0000}"/>
    <cellStyle name="Output 2 3 16" xfId="3011" xr:uid="{00000000-0005-0000-0000-0000DD0B0000}"/>
    <cellStyle name="Output 2 3 16 2" xfId="3012" xr:uid="{00000000-0005-0000-0000-0000DE0B0000}"/>
    <cellStyle name="Output 2 3 16 3" xfId="3013" xr:uid="{00000000-0005-0000-0000-0000DF0B0000}"/>
    <cellStyle name="Output 2 3 16 4" xfId="3014" xr:uid="{00000000-0005-0000-0000-0000E00B0000}"/>
    <cellStyle name="Output 2 3 17" xfId="3015" xr:uid="{00000000-0005-0000-0000-0000E10B0000}"/>
    <cellStyle name="Output 2 3 2" xfId="3016" xr:uid="{00000000-0005-0000-0000-0000E20B0000}"/>
    <cellStyle name="Output 2 3 2 2" xfId="3017" xr:uid="{00000000-0005-0000-0000-0000E30B0000}"/>
    <cellStyle name="Output 2 3 2 3" xfId="3018" xr:uid="{00000000-0005-0000-0000-0000E40B0000}"/>
    <cellStyle name="Output 2 3 2 4" xfId="3019" xr:uid="{00000000-0005-0000-0000-0000E50B0000}"/>
    <cellStyle name="Output 2 3 2 5" xfId="3020" xr:uid="{00000000-0005-0000-0000-0000E60B0000}"/>
    <cellStyle name="Output 2 3 3" xfId="3021" xr:uid="{00000000-0005-0000-0000-0000E70B0000}"/>
    <cellStyle name="Output 2 3 3 2" xfId="3022" xr:uid="{00000000-0005-0000-0000-0000E80B0000}"/>
    <cellStyle name="Output 2 3 3 3" xfId="3023" xr:uid="{00000000-0005-0000-0000-0000E90B0000}"/>
    <cellStyle name="Output 2 3 3 4" xfId="3024" xr:uid="{00000000-0005-0000-0000-0000EA0B0000}"/>
    <cellStyle name="Output 2 3 3 5" xfId="3025" xr:uid="{00000000-0005-0000-0000-0000EB0B0000}"/>
    <cellStyle name="Output 2 3 4" xfId="3026" xr:uid="{00000000-0005-0000-0000-0000EC0B0000}"/>
    <cellStyle name="Output 2 3 4 2" xfId="3027" xr:uid="{00000000-0005-0000-0000-0000ED0B0000}"/>
    <cellStyle name="Output 2 3 4 3" xfId="3028" xr:uid="{00000000-0005-0000-0000-0000EE0B0000}"/>
    <cellStyle name="Output 2 3 4 4" xfId="3029" xr:uid="{00000000-0005-0000-0000-0000EF0B0000}"/>
    <cellStyle name="Output 2 3 4 5" xfId="3030" xr:uid="{00000000-0005-0000-0000-0000F00B0000}"/>
    <cellStyle name="Output 2 3 5" xfId="3031" xr:uid="{00000000-0005-0000-0000-0000F10B0000}"/>
    <cellStyle name="Output 2 3 5 2" xfId="3032" xr:uid="{00000000-0005-0000-0000-0000F20B0000}"/>
    <cellStyle name="Output 2 3 5 3" xfId="3033" xr:uid="{00000000-0005-0000-0000-0000F30B0000}"/>
    <cellStyle name="Output 2 3 5 4" xfId="3034" xr:uid="{00000000-0005-0000-0000-0000F40B0000}"/>
    <cellStyle name="Output 2 3 5 5" xfId="3035" xr:uid="{00000000-0005-0000-0000-0000F50B0000}"/>
    <cellStyle name="Output 2 3 6" xfId="3036" xr:uid="{00000000-0005-0000-0000-0000F60B0000}"/>
    <cellStyle name="Output 2 3 6 2" xfId="3037" xr:uid="{00000000-0005-0000-0000-0000F70B0000}"/>
    <cellStyle name="Output 2 3 6 3" xfId="3038" xr:uid="{00000000-0005-0000-0000-0000F80B0000}"/>
    <cellStyle name="Output 2 3 6 4" xfId="3039" xr:uid="{00000000-0005-0000-0000-0000F90B0000}"/>
    <cellStyle name="Output 2 3 6 5" xfId="3040" xr:uid="{00000000-0005-0000-0000-0000FA0B0000}"/>
    <cellStyle name="Output 2 3 7" xfId="3041" xr:uid="{00000000-0005-0000-0000-0000FB0B0000}"/>
    <cellStyle name="Output 2 3 7 2" xfId="3042" xr:uid="{00000000-0005-0000-0000-0000FC0B0000}"/>
    <cellStyle name="Output 2 3 7 3" xfId="3043" xr:uid="{00000000-0005-0000-0000-0000FD0B0000}"/>
    <cellStyle name="Output 2 3 7 4" xfId="3044" xr:uid="{00000000-0005-0000-0000-0000FE0B0000}"/>
    <cellStyle name="Output 2 3 7 5" xfId="3045" xr:uid="{00000000-0005-0000-0000-0000FF0B0000}"/>
    <cellStyle name="Output 2 3 8" xfId="3046" xr:uid="{00000000-0005-0000-0000-0000000C0000}"/>
    <cellStyle name="Output 2 3 8 2" xfId="3047" xr:uid="{00000000-0005-0000-0000-0000010C0000}"/>
    <cellStyle name="Output 2 3 8 3" xfId="3048" xr:uid="{00000000-0005-0000-0000-0000020C0000}"/>
    <cellStyle name="Output 2 3 8 4" xfId="3049" xr:uid="{00000000-0005-0000-0000-0000030C0000}"/>
    <cellStyle name="Output 2 3 8 5" xfId="3050" xr:uid="{00000000-0005-0000-0000-0000040C0000}"/>
    <cellStyle name="Output 2 3 9" xfId="3051" xr:uid="{00000000-0005-0000-0000-0000050C0000}"/>
    <cellStyle name="Output 2 3 9 2" xfId="3052" xr:uid="{00000000-0005-0000-0000-0000060C0000}"/>
    <cellStyle name="Output 2 3 9 3" xfId="3053" xr:uid="{00000000-0005-0000-0000-0000070C0000}"/>
    <cellStyle name="Output 2 3 9 4" xfId="3054" xr:uid="{00000000-0005-0000-0000-0000080C0000}"/>
    <cellStyle name="Output 2 3 9 5" xfId="3055" xr:uid="{00000000-0005-0000-0000-0000090C0000}"/>
    <cellStyle name="Output 2 4" xfId="3056" xr:uid="{00000000-0005-0000-0000-00000A0C0000}"/>
    <cellStyle name="Output 2 4 10" xfId="3057" xr:uid="{00000000-0005-0000-0000-00000B0C0000}"/>
    <cellStyle name="Output 2 4 10 2" xfId="3058" xr:uid="{00000000-0005-0000-0000-00000C0C0000}"/>
    <cellStyle name="Output 2 4 10 3" xfId="3059" xr:uid="{00000000-0005-0000-0000-00000D0C0000}"/>
    <cellStyle name="Output 2 4 10 4" xfId="3060" xr:uid="{00000000-0005-0000-0000-00000E0C0000}"/>
    <cellStyle name="Output 2 4 10 5" xfId="3061" xr:uid="{00000000-0005-0000-0000-00000F0C0000}"/>
    <cellStyle name="Output 2 4 11" xfId="3062" xr:uid="{00000000-0005-0000-0000-0000100C0000}"/>
    <cellStyle name="Output 2 4 11 2" xfId="3063" xr:uid="{00000000-0005-0000-0000-0000110C0000}"/>
    <cellStyle name="Output 2 4 11 3" xfId="3064" xr:uid="{00000000-0005-0000-0000-0000120C0000}"/>
    <cellStyle name="Output 2 4 11 4" xfId="3065" xr:uid="{00000000-0005-0000-0000-0000130C0000}"/>
    <cellStyle name="Output 2 4 11 5" xfId="3066" xr:uid="{00000000-0005-0000-0000-0000140C0000}"/>
    <cellStyle name="Output 2 4 12" xfId="3067" xr:uid="{00000000-0005-0000-0000-0000150C0000}"/>
    <cellStyle name="Output 2 4 12 2" xfId="3068" xr:uid="{00000000-0005-0000-0000-0000160C0000}"/>
    <cellStyle name="Output 2 4 12 3" xfId="3069" xr:uid="{00000000-0005-0000-0000-0000170C0000}"/>
    <cellStyle name="Output 2 4 12 4" xfId="3070" xr:uid="{00000000-0005-0000-0000-0000180C0000}"/>
    <cellStyle name="Output 2 4 12 5" xfId="3071" xr:uid="{00000000-0005-0000-0000-0000190C0000}"/>
    <cellStyle name="Output 2 4 13" xfId="3072" xr:uid="{00000000-0005-0000-0000-00001A0C0000}"/>
    <cellStyle name="Output 2 4 13 2" xfId="3073" xr:uid="{00000000-0005-0000-0000-00001B0C0000}"/>
    <cellStyle name="Output 2 4 13 3" xfId="3074" xr:uid="{00000000-0005-0000-0000-00001C0C0000}"/>
    <cellStyle name="Output 2 4 13 4" xfId="3075" xr:uid="{00000000-0005-0000-0000-00001D0C0000}"/>
    <cellStyle name="Output 2 4 13 5" xfId="3076" xr:uid="{00000000-0005-0000-0000-00001E0C0000}"/>
    <cellStyle name="Output 2 4 14" xfId="3077" xr:uid="{00000000-0005-0000-0000-00001F0C0000}"/>
    <cellStyle name="Output 2 4 14 2" xfId="3078" xr:uid="{00000000-0005-0000-0000-0000200C0000}"/>
    <cellStyle name="Output 2 4 14 3" xfId="3079" xr:uid="{00000000-0005-0000-0000-0000210C0000}"/>
    <cellStyle name="Output 2 4 14 4" xfId="3080" xr:uid="{00000000-0005-0000-0000-0000220C0000}"/>
    <cellStyle name="Output 2 4 15" xfId="3081" xr:uid="{00000000-0005-0000-0000-0000230C0000}"/>
    <cellStyle name="Output 2 4 15 2" xfId="3082" xr:uid="{00000000-0005-0000-0000-0000240C0000}"/>
    <cellStyle name="Output 2 4 15 3" xfId="3083" xr:uid="{00000000-0005-0000-0000-0000250C0000}"/>
    <cellStyle name="Output 2 4 15 4" xfId="3084" xr:uid="{00000000-0005-0000-0000-0000260C0000}"/>
    <cellStyle name="Output 2 4 16" xfId="3085" xr:uid="{00000000-0005-0000-0000-0000270C0000}"/>
    <cellStyle name="Output 2 4 16 2" xfId="3086" xr:uid="{00000000-0005-0000-0000-0000280C0000}"/>
    <cellStyle name="Output 2 4 16 3" xfId="3087" xr:uid="{00000000-0005-0000-0000-0000290C0000}"/>
    <cellStyle name="Output 2 4 16 4" xfId="3088" xr:uid="{00000000-0005-0000-0000-00002A0C0000}"/>
    <cellStyle name="Output 2 4 17" xfId="3089" xr:uid="{00000000-0005-0000-0000-00002B0C0000}"/>
    <cellStyle name="Output 2 4 2" xfId="3090" xr:uid="{00000000-0005-0000-0000-00002C0C0000}"/>
    <cellStyle name="Output 2 4 2 2" xfId="3091" xr:uid="{00000000-0005-0000-0000-00002D0C0000}"/>
    <cellStyle name="Output 2 4 2 3" xfId="3092" xr:uid="{00000000-0005-0000-0000-00002E0C0000}"/>
    <cellStyle name="Output 2 4 2 4" xfId="3093" xr:uid="{00000000-0005-0000-0000-00002F0C0000}"/>
    <cellStyle name="Output 2 4 2 5" xfId="3094" xr:uid="{00000000-0005-0000-0000-0000300C0000}"/>
    <cellStyle name="Output 2 4 3" xfId="3095" xr:uid="{00000000-0005-0000-0000-0000310C0000}"/>
    <cellStyle name="Output 2 4 3 2" xfId="3096" xr:uid="{00000000-0005-0000-0000-0000320C0000}"/>
    <cellStyle name="Output 2 4 3 3" xfId="3097" xr:uid="{00000000-0005-0000-0000-0000330C0000}"/>
    <cellStyle name="Output 2 4 3 4" xfId="3098" xr:uid="{00000000-0005-0000-0000-0000340C0000}"/>
    <cellStyle name="Output 2 4 3 5" xfId="3099" xr:uid="{00000000-0005-0000-0000-0000350C0000}"/>
    <cellStyle name="Output 2 4 4" xfId="3100" xr:uid="{00000000-0005-0000-0000-0000360C0000}"/>
    <cellStyle name="Output 2 4 4 2" xfId="3101" xr:uid="{00000000-0005-0000-0000-0000370C0000}"/>
    <cellStyle name="Output 2 4 4 3" xfId="3102" xr:uid="{00000000-0005-0000-0000-0000380C0000}"/>
    <cellStyle name="Output 2 4 4 4" xfId="3103" xr:uid="{00000000-0005-0000-0000-0000390C0000}"/>
    <cellStyle name="Output 2 4 4 5" xfId="3104" xr:uid="{00000000-0005-0000-0000-00003A0C0000}"/>
    <cellStyle name="Output 2 4 5" xfId="3105" xr:uid="{00000000-0005-0000-0000-00003B0C0000}"/>
    <cellStyle name="Output 2 4 5 2" xfId="3106" xr:uid="{00000000-0005-0000-0000-00003C0C0000}"/>
    <cellStyle name="Output 2 4 5 3" xfId="3107" xr:uid="{00000000-0005-0000-0000-00003D0C0000}"/>
    <cellStyle name="Output 2 4 5 4" xfId="3108" xr:uid="{00000000-0005-0000-0000-00003E0C0000}"/>
    <cellStyle name="Output 2 4 5 5" xfId="3109" xr:uid="{00000000-0005-0000-0000-00003F0C0000}"/>
    <cellStyle name="Output 2 4 6" xfId="3110" xr:uid="{00000000-0005-0000-0000-0000400C0000}"/>
    <cellStyle name="Output 2 4 6 2" xfId="3111" xr:uid="{00000000-0005-0000-0000-0000410C0000}"/>
    <cellStyle name="Output 2 4 6 3" xfId="3112" xr:uid="{00000000-0005-0000-0000-0000420C0000}"/>
    <cellStyle name="Output 2 4 6 4" xfId="3113" xr:uid="{00000000-0005-0000-0000-0000430C0000}"/>
    <cellStyle name="Output 2 4 6 5" xfId="3114" xr:uid="{00000000-0005-0000-0000-0000440C0000}"/>
    <cellStyle name="Output 2 4 7" xfId="3115" xr:uid="{00000000-0005-0000-0000-0000450C0000}"/>
    <cellStyle name="Output 2 4 7 2" xfId="3116" xr:uid="{00000000-0005-0000-0000-0000460C0000}"/>
    <cellStyle name="Output 2 4 7 3" xfId="3117" xr:uid="{00000000-0005-0000-0000-0000470C0000}"/>
    <cellStyle name="Output 2 4 7 4" xfId="3118" xr:uid="{00000000-0005-0000-0000-0000480C0000}"/>
    <cellStyle name="Output 2 4 7 5" xfId="3119" xr:uid="{00000000-0005-0000-0000-0000490C0000}"/>
    <cellStyle name="Output 2 4 8" xfId="3120" xr:uid="{00000000-0005-0000-0000-00004A0C0000}"/>
    <cellStyle name="Output 2 4 8 2" xfId="3121" xr:uid="{00000000-0005-0000-0000-00004B0C0000}"/>
    <cellStyle name="Output 2 4 8 3" xfId="3122" xr:uid="{00000000-0005-0000-0000-00004C0C0000}"/>
    <cellStyle name="Output 2 4 8 4" xfId="3123" xr:uid="{00000000-0005-0000-0000-00004D0C0000}"/>
    <cellStyle name="Output 2 4 8 5" xfId="3124" xr:uid="{00000000-0005-0000-0000-00004E0C0000}"/>
    <cellStyle name="Output 2 4 9" xfId="3125" xr:uid="{00000000-0005-0000-0000-00004F0C0000}"/>
    <cellStyle name="Output 2 4 9 2" xfId="3126" xr:uid="{00000000-0005-0000-0000-0000500C0000}"/>
    <cellStyle name="Output 2 4 9 3" xfId="3127" xr:uid="{00000000-0005-0000-0000-0000510C0000}"/>
    <cellStyle name="Output 2 4 9 4" xfId="3128" xr:uid="{00000000-0005-0000-0000-0000520C0000}"/>
    <cellStyle name="Output 2 4 9 5" xfId="3129" xr:uid="{00000000-0005-0000-0000-0000530C0000}"/>
    <cellStyle name="Output 2 5" xfId="3130" xr:uid="{00000000-0005-0000-0000-0000540C0000}"/>
    <cellStyle name="Output 2 5 10" xfId="3131" xr:uid="{00000000-0005-0000-0000-0000550C0000}"/>
    <cellStyle name="Output 2 5 10 2" xfId="3132" xr:uid="{00000000-0005-0000-0000-0000560C0000}"/>
    <cellStyle name="Output 2 5 10 3" xfId="3133" xr:uid="{00000000-0005-0000-0000-0000570C0000}"/>
    <cellStyle name="Output 2 5 10 4" xfId="3134" xr:uid="{00000000-0005-0000-0000-0000580C0000}"/>
    <cellStyle name="Output 2 5 10 5" xfId="3135" xr:uid="{00000000-0005-0000-0000-0000590C0000}"/>
    <cellStyle name="Output 2 5 11" xfId="3136" xr:uid="{00000000-0005-0000-0000-00005A0C0000}"/>
    <cellStyle name="Output 2 5 11 2" xfId="3137" xr:uid="{00000000-0005-0000-0000-00005B0C0000}"/>
    <cellStyle name="Output 2 5 11 3" xfId="3138" xr:uid="{00000000-0005-0000-0000-00005C0C0000}"/>
    <cellStyle name="Output 2 5 11 4" xfId="3139" xr:uid="{00000000-0005-0000-0000-00005D0C0000}"/>
    <cellStyle name="Output 2 5 11 5" xfId="3140" xr:uid="{00000000-0005-0000-0000-00005E0C0000}"/>
    <cellStyle name="Output 2 5 12" xfId="3141" xr:uid="{00000000-0005-0000-0000-00005F0C0000}"/>
    <cellStyle name="Output 2 5 12 2" xfId="3142" xr:uid="{00000000-0005-0000-0000-0000600C0000}"/>
    <cellStyle name="Output 2 5 12 3" xfId="3143" xr:uid="{00000000-0005-0000-0000-0000610C0000}"/>
    <cellStyle name="Output 2 5 12 4" xfId="3144" xr:uid="{00000000-0005-0000-0000-0000620C0000}"/>
    <cellStyle name="Output 2 5 12 5" xfId="3145" xr:uid="{00000000-0005-0000-0000-0000630C0000}"/>
    <cellStyle name="Output 2 5 13" xfId="3146" xr:uid="{00000000-0005-0000-0000-0000640C0000}"/>
    <cellStyle name="Output 2 5 13 2" xfId="3147" xr:uid="{00000000-0005-0000-0000-0000650C0000}"/>
    <cellStyle name="Output 2 5 13 3" xfId="3148" xr:uid="{00000000-0005-0000-0000-0000660C0000}"/>
    <cellStyle name="Output 2 5 13 4" xfId="3149" xr:uid="{00000000-0005-0000-0000-0000670C0000}"/>
    <cellStyle name="Output 2 5 13 5" xfId="3150" xr:uid="{00000000-0005-0000-0000-0000680C0000}"/>
    <cellStyle name="Output 2 5 14" xfId="3151" xr:uid="{00000000-0005-0000-0000-0000690C0000}"/>
    <cellStyle name="Output 2 5 14 2" xfId="3152" xr:uid="{00000000-0005-0000-0000-00006A0C0000}"/>
    <cellStyle name="Output 2 5 14 3" xfId="3153" xr:uid="{00000000-0005-0000-0000-00006B0C0000}"/>
    <cellStyle name="Output 2 5 14 4" xfId="3154" xr:uid="{00000000-0005-0000-0000-00006C0C0000}"/>
    <cellStyle name="Output 2 5 15" xfId="3155" xr:uid="{00000000-0005-0000-0000-00006D0C0000}"/>
    <cellStyle name="Output 2 5 15 2" xfId="3156" xr:uid="{00000000-0005-0000-0000-00006E0C0000}"/>
    <cellStyle name="Output 2 5 15 3" xfId="3157" xr:uid="{00000000-0005-0000-0000-00006F0C0000}"/>
    <cellStyle name="Output 2 5 15 4" xfId="3158" xr:uid="{00000000-0005-0000-0000-0000700C0000}"/>
    <cellStyle name="Output 2 5 16" xfId="3159" xr:uid="{00000000-0005-0000-0000-0000710C0000}"/>
    <cellStyle name="Output 2 5 16 2" xfId="3160" xr:uid="{00000000-0005-0000-0000-0000720C0000}"/>
    <cellStyle name="Output 2 5 16 3" xfId="3161" xr:uid="{00000000-0005-0000-0000-0000730C0000}"/>
    <cellStyle name="Output 2 5 16 4" xfId="3162" xr:uid="{00000000-0005-0000-0000-0000740C0000}"/>
    <cellStyle name="Output 2 5 17" xfId="3163" xr:uid="{00000000-0005-0000-0000-0000750C0000}"/>
    <cellStyle name="Output 2 5 2" xfId="3164" xr:uid="{00000000-0005-0000-0000-0000760C0000}"/>
    <cellStyle name="Output 2 5 2 2" xfId="3165" xr:uid="{00000000-0005-0000-0000-0000770C0000}"/>
    <cellStyle name="Output 2 5 2 3" xfId="3166" xr:uid="{00000000-0005-0000-0000-0000780C0000}"/>
    <cellStyle name="Output 2 5 2 4" xfId="3167" xr:uid="{00000000-0005-0000-0000-0000790C0000}"/>
    <cellStyle name="Output 2 5 2 5" xfId="3168" xr:uid="{00000000-0005-0000-0000-00007A0C0000}"/>
    <cellStyle name="Output 2 5 3" xfId="3169" xr:uid="{00000000-0005-0000-0000-00007B0C0000}"/>
    <cellStyle name="Output 2 5 3 2" xfId="3170" xr:uid="{00000000-0005-0000-0000-00007C0C0000}"/>
    <cellStyle name="Output 2 5 3 3" xfId="3171" xr:uid="{00000000-0005-0000-0000-00007D0C0000}"/>
    <cellStyle name="Output 2 5 3 4" xfId="3172" xr:uid="{00000000-0005-0000-0000-00007E0C0000}"/>
    <cellStyle name="Output 2 5 3 5" xfId="3173" xr:uid="{00000000-0005-0000-0000-00007F0C0000}"/>
    <cellStyle name="Output 2 5 4" xfId="3174" xr:uid="{00000000-0005-0000-0000-0000800C0000}"/>
    <cellStyle name="Output 2 5 4 2" xfId="3175" xr:uid="{00000000-0005-0000-0000-0000810C0000}"/>
    <cellStyle name="Output 2 5 4 3" xfId="3176" xr:uid="{00000000-0005-0000-0000-0000820C0000}"/>
    <cellStyle name="Output 2 5 4 4" xfId="3177" xr:uid="{00000000-0005-0000-0000-0000830C0000}"/>
    <cellStyle name="Output 2 5 4 5" xfId="3178" xr:uid="{00000000-0005-0000-0000-0000840C0000}"/>
    <cellStyle name="Output 2 5 5" xfId="3179" xr:uid="{00000000-0005-0000-0000-0000850C0000}"/>
    <cellStyle name="Output 2 5 5 2" xfId="3180" xr:uid="{00000000-0005-0000-0000-0000860C0000}"/>
    <cellStyle name="Output 2 5 5 3" xfId="3181" xr:uid="{00000000-0005-0000-0000-0000870C0000}"/>
    <cellStyle name="Output 2 5 5 4" xfId="3182" xr:uid="{00000000-0005-0000-0000-0000880C0000}"/>
    <cellStyle name="Output 2 5 5 5" xfId="3183" xr:uid="{00000000-0005-0000-0000-0000890C0000}"/>
    <cellStyle name="Output 2 5 6" xfId="3184" xr:uid="{00000000-0005-0000-0000-00008A0C0000}"/>
    <cellStyle name="Output 2 5 6 2" xfId="3185" xr:uid="{00000000-0005-0000-0000-00008B0C0000}"/>
    <cellStyle name="Output 2 5 6 3" xfId="3186" xr:uid="{00000000-0005-0000-0000-00008C0C0000}"/>
    <cellStyle name="Output 2 5 6 4" xfId="3187" xr:uid="{00000000-0005-0000-0000-00008D0C0000}"/>
    <cellStyle name="Output 2 5 6 5" xfId="3188" xr:uid="{00000000-0005-0000-0000-00008E0C0000}"/>
    <cellStyle name="Output 2 5 7" xfId="3189" xr:uid="{00000000-0005-0000-0000-00008F0C0000}"/>
    <cellStyle name="Output 2 5 7 2" xfId="3190" xr:uid="{00000000-0005-0000-0000-0000900C0000}"/>
    <cellStyle name="Output 2 5 7 3" xfId="3191" xr:uid="{00000000-0005-0000-0000-0000910C0000}"/>
    <cellStyle name="Output 2 5 7 4" xfId="3192" xr:uid="{00000000-0005-0000-0000-0000920C0000}"/>
    <cellStyle name="Output 2 5 7 5" xfId="3193" xr:uid="{00000000-0005-0000-0000-0000930C0000}"/>
    <cellStyle name="Output 2 5 8" xfId="3194" xr:uid="{00000000-0005-0000-0000-0000940C0000}"/>
    <cellStyle name="Output 2 5 8 2" xfId="3195" xr:uid="{00000000-0005-0000-0000-0000950C0000}"/>
    <cellStyle name="Output 2 5 8 3" xfId="3196" xr:uid="{00000000-0005-0000-0000-0000960C0000}"/>
    <cellStyle name="Output 2 5 8 4" xfId="3197" xr:uid="{00000000-0005-0000-0000-0000970C0000}"/>
    <cellStyle name="Output 2 5 8 5" xfId="3198" xr:uid="{00000000-0005-0000-0000-0000980C0000}"/>
    <cellStyle name="Output 2 5 9" xfId="3199" xr:uid="{00000000-0005-0000-0000-0000990C0000}"/>
    <cellStyle name="Output 2 5 9 2" xfId="3200" xr:uid="{00000000-0005-0000-0000-00009A0C0000}"/>
    <cellStyle name="Output 2 5 9 3" xfId="3201" xr:uid="{00000000-0005-0000-0000-00009B0C0000}"/>
    <cellStyle name="Output 2 5 9 4" xfId="3202" xr:uid="{00000000-0005-0000-0000-00009C0C0000}"/>
    <cellStyle name="Output 2 5 9 5" xfId="3203" xr:uid="{00000000-0005-0000-0000-00009D0C0000}"/>
    <cellStyle name="Output 2 6" xfId="3204" xr:uid="{00000000-0005-0000-0000-00009E0C0000}"/>
    <cellStyle name="Output 2 6 10" xfId="3205" xr:uid="{00000000-0005-0000-0000-00009F0C0000}"/>
    <cellStyle name="Output 2 6 10 2" xfId="3206" xr:uid="{00000000-0005-0000-0000-0000A00C0000}"/>
    <cellStyle name="Output 2 6 10 3" xfId="3207" xr:uid="{00000000-0005-0000-0000-0000A10C0000}"/>
    <cellStyle name="Output 2 6 10 4" xfId="3208" xr:uid="{00000000-0005-0000-0000-0000A20C0000}"/>
    <cellStyle name="Output 2 6 10 5" xfId="3209" xr:uid="{00000000-0005-0000-0000-0000A30C0000}"/>
    <cellStyle name="Output 2 6 11" xfId="3210" xr:uid="{00000000-0005-0000-0000-0000A40C0000}"/>
    <cellStyle name="Output 2 6 11 2" xfId="3211" xr:uid="{00000000-0005-0000-0000-0000A50C0000}"/>
    <cellStyle name="Output 2 6 11 3" xfId="3212" xr:uid="{00000000-0005-0000-0000-0000A60C0000}"/>
    <cellStyle name="Output 2 6 11 4" xfId="3213" xr:uid="{00000000-0005-0000-0000-0000A70C0000}"/>
    <cellStyle name="Output 2 6 11 5" xfId="3214" xr:uid="{00000000-0005-0000-0000-0000A80C0000}"/>
    <cellStyle name="Output 2 6 12" xfId="3215" xr:uid="{00000000-0005-0000-0000-0000A90C0000}"/>
    <cellStyle name="Output 2 6 12 2" xfId="3216" xr:uid="{00000000-0005-0000-0000-0000AA0C0000}"/>
    <cellStyle name="Output 2 6 12 3" xfId="3217" xr:uid="{00000000-0005-0000-0000-0000AB0C0000}"/>
    <cellStyle name="Output 2 6 12 4" xfId="3218" xr:uid="{00000000-0005-0000-0000-0000AC0C0000}"/>
    <cellStyle name="Output 2 6 12 5" xfId="3219" xr:uid="{00000000-0005-0000-0000-0000AD0C0000}"/>
    <cellStyle name="Output 2 6 13" xfId="3220" xr:uid="{00000000-0005-0000-0000-0000AE0C0000}"/>
    <cellStyle name="Output 2 6 13 2" xfId="3221" xr:uid="{00000000-0005-0000-0000-0000AF0C0000}"/>
    <cellStyle name="Output 2 6 13 3" xfId="3222" xr:uid="{00000000-0005-0000-0000-0000B00C0000}"/>
    <cellStyle name="Output 2 6 13 4" xfId="3223" xr:uid="{00000000-0005-0000-0000-0000B10C0000}"/>
    <cellStyle name="Output 2 6 13 5" xfId="3224" xr:uid="{00000000-0005-0000-0000-0000B20C0000}"/>
    <cellStyle name="Output 2 6 14" xfId="3225" xr:uid="{00000000-0005-0000-0000-0000B30C0000}"/>
    <cellStyle name="Output 2 6 14 2" xfId="3226" xr:uid="{00000000-0005-0000-0000-0000B40C0000}"/>
    <cellStyle name="Output 2 6 14 3" xfId="3227" xr:uid="{00000000-0005-0000-0000-0000B50C0000}"/>
    <cellStyle name="Output 2 6 14 4" xfId="3228" xr:uid="{00000000-0005-0000-0000-0000B60C0000}"/>
    <cellStyle name="Output 2 6 14 5" xfId="3229" xr:uid="{00000000-0005-0000-0000-0000B70C0000}"/>
    <cellStyle name="Output 2 6 15" xfId="3230" xr:uid="{00000000-0005-0000-0000-0000B80C0000}"/>
    <cellStyle name="Output 2 6 15 2" xfId="3231" xr:uid="{00000000-0005-0000-0000-0000B90C0000}"/>
    <cellStyle name="Output 2 6 15 3" xfId="3232" xr:uid="{00000000-0005-0000-0000-0000BA0C0000}"/>
    <cellStyle name="Output 2 6 15 4" xfId="3233" xr:uid="{00000000-0005-0000-0000-0000BB0C0000}"/>
    <cellStyle name="Output 2 6 15 5" xfId="3234" xr:uid="{00000000-0005-0000-0000-0000BC0C0000}"/>
    <cellStyle name="Output 2 6 16" xfId="3235" xr:uid="{00000000-0005-0000-0000-0000BD0C0000}"/>
    <cellStyle name="Output 2 6 16 2" xfId="3236" xr:uid="{00000000-0005-0000-0000-0000BE0C0000}"/>
    <cellStyle name="Output 2 6 16 3" xfId="3237" xr:uid="{00000000-0005-0000-0000-0000BF0C0000}"/>
    <cellStyle name="Output 2 6 16 4" xfId="3238" xr:uid="{00000000-0005-0000-0000-0000C00C0000}"/>
    <cellStyle name="Output 2 6 16 5" xfId="3239" xr:uid="{00000000-0005-0000-0000-0000C10C0000}"/>
    <cellStyle name="Output 2 6 17" xfId="3240" xr:uid="{00000000-0005-0000-0000-0000C20C0000}"/>
    <cellStyle name="Output 2 6 17 2" xfId="3241" xr:uid="{00000000-0005-0000-0000-0000C30C0000}"/>
    <cellStyle name="Output 2 6 17 3" xfId="3242" xr:uid="{00000000-0005-0000-0000-0000C40C0000}"/>
    <cellStyle name="Output 2 6 17 4" xfId="3243" xr:uid="{00000000-0005-0000-0000-0000C50C0000}"/>
    <cellStyle name="Output 2 6 17 5" xfId="3244" xr:uid="{00000000-0005-0000-0000-0000C60C0000}"/>
    <cellStyle name="Output 2 6 18" xfId="3245" xr:uid="{00000000-0005-0000-0000-0000C70C0000}"/>
    <cellStyle name="Output 2 6 18 2" xfId="3246" xr:uid="{00000000-0005-0000-0000-0000C80C0000}"/>
    <cellStyle name="Output 2 6 18 3" xfId="3247" xr:uid="{00000000-0005-0000-0000-0000C90C0000}"/>
    <cellStyle name="Output 2 6 18 4" xfId="3248" xr:uid="{00000000-0005-0000-0000-0000CA0C0000}"/>
    <cellStyle name="Output 2 6 18 5" xfId="3249" xr:uid="{00000000-0005-0000-0000-0000CB0C0000}"/>
    <cellStyle name="Output 2 6 19" xfId="3250" xr:uid="{00000000-0005-0000-0000-0000CC0C0000}"/>
    <cellStyle name="Output 2 6 19 2" xfId="3251" xr:uid="{00000000-0005-0000-0000-0000CD0C0000}"/>
    <cellStyle name="Output 2 6 19 3" xfId="3252" xr:uid="{00000000-0005-0000-0000-0000CE0C0000}"/>
    <cellStyle name="Output 2 6 19 4" xfId="3253" xr:uid="{00000000-0005-0000-0000-0000CF0C0000}"/>
    <cellStyle name="Output 2 6 19 5" xfId="3254" xr:uid="{00000000-0005-0000-0000-0000D00C0000}"/>
    <cellStyle name="Output 2 6 2" xfId="3255" xr:uid="{00000000-0005-0000-0000-0000D10C0000}"/>
    <cellStyle name="Output 2 6 2 2" xfId="3256" xr:uid="{00000000-0005-0000-0000-0000D20C0000}"/>
    <cellStyle name="Output 2 6 2 3" xfId="3257" xr:uid="{00000000-0005-0000-0000-0000D30C0000}"/>
    <cellStyle name="Output 2 6 2 4" xfId="3258" xr:uid="{00000000-0005-0000-0000-0000D40C0000}"/>
    <cellStyle name="Output 2 6 2 5" xfId="3259" xr:uid="{00000000-0005-0000-0000-0000D50C0000}"/>
    <cellStyle name="Output 2 6 20" xfId="3260" xr:uid="{00000000-0005-0000-0000-0000D60C0000}"/>
    <cellStyle name="Output 2 6 20 2" xfId="3261" xr:uid="{00000000-0005-0000-0000-0000D70C0000}"/>
    <cellStyle name="Output 2 6 20 3" xfId="3262" xr:uid="{00000000-0005-0000-0000-0000D80C0000}"/>
    <cellStyle name="Output 2 6 20 4" xfId="3263" xr:uid="{00000000-0005-0000-0000-0000D90C0000}"/>
    <cellStyle name="Output 2 6 20 5" xfId="3264" xr:uid="{00000000-0005-0000-0000-0000DA0C0000}"/>
    <cellStyle name="Output 2 6 21" xfId="3265" xr:uid="{00000000-0005-0000-0000-0000DB0C0000}"/>
    <cellStyle name="Output 2 6 21 2" xfId="3266" xr:uid="{00000000-0005-0000-0000-0000DC0C0000}"/>
    <cellStyle name="Output 2 6 21 3" xfId="3267" xr:uid="{00000000-0005-0000-0000-0000DD0C0000}"/>
    <cellStyle name="Output 2 6 21 4" xfId="3268" xr:uid="{00000000-0005-0000-0000-0000DE0C0000}"/>
    <cellStyle name="Output 2 6 21 5" xfId="3269" xr:uid="{00000000-0005-0000-0000-0000DF0C0000}"/>
    <cellStyle name="Output 2 6 22" xfId="3270" xr:uid="{00000000-0005-0000-0000-0000E00C0000}"/>
    <cellStyle name="Output 2 6 22 2" xfId="3271" xr:uid="{00000000-0005-0000-0000-0000E10C0000}"/>
    <cellStyle name="Output 2 6 22 3" xfId="3272" xr:uid="{00000000-0005-0000-0000-0000E20C0000}"/>
    <cellStyle name="Output 2 6 22 4" xfId="3273" xr:uid="{00000000-0005-0000-0000-0000E30C0000}"/>
    <cellStyle name="Output 2 6 23" xfId="3274" xr:uid="{00000000-0005-0000-0000-0000E40C0000}"/>
    <cellStyle name="Output 2 6 23 2" xfId="3275" xr:uid="{00000000-0005-0000-0000-0000E50C0000}"/>
    <cellStyle name="Output 2 6 23 3" xfId="3276" xr:uid="{00000000-0005-0000-0000-0000E60C0000}"/>
    <cellStyle name="Output 2 6 23 4" xfId="3277" xr:uid="{00000000-0005-0000-0000-0000E70C0000}"/>
    <cellStyle name="Output 2 6 24" xfId="3278" xr:uid="{00000000-0005-0000-0000-0000E80C0000}"/>
    <cellStyle name="Output 2 6 24 2" xfId="3279" xr:uid="{00000000-0005-0000-0000-0000E90C0000}"/>
    <cellStyle name="Output 2 6 24 3" xfId="3280" xr:uid="{00000000-0005-0000-0000-0000EA0C0000}"/>
    <cellStyle name="Output 2 6 24 4" xfId="3281" xr:uid="{00000000-0005-0000-0000-0000EB0C0000}"/>
    <cellStyle name="Output 2 6 25" xfId="3282" xr:uid="{00000000-0005-0000-0000-0000EC0C0000}"/>
    <cellStyle name="Output 2 6 25 2" xfId="3283" xr:uid="{00000000-0005-0000-0000-0000ED0C0000}"/>
    <cellStyle name="Output 2 6 25 3" xfId="3284" xr:uid="{00000000-0005-0000-0000-0000EE0C0000}"/>
    <cellStyle name="Output 2 6 25 4" xfId="3285" xr:uid="{00000000-0005-0000-0000-0000EF0C0000}"/>
    <cellStyle name="Output 2 6 3" xfId="3286" xr:uid="{00000000-0005-0000-0000-0000F00C0000}"/>
    <cellStyle name="Output 2 6 3 2" xfId="3287" xr:uid="{00000000-0005-0000-0000-0000F10C0000}"/>
    <cellStyle name="Output 2 6 3 3" xfId="3288" xr:uid="{00000000-0005-0000-0000-0000F20C0000}"/>
    <cellStyle name="Output 2 6 3 4" xfId="3289" xr:uid="{00000000-0005-0000-0000-0000F30C0000}"/>
    <cellStyle name="Output 2 6 3 5" xfId="3290" xr:uid="{00000000-0005-0000-0000-0000F40C0000}"/>
    <cellStyle name="Output 2 6 4" xfId="3291" xr:uid="{00000000-0005-0000-0000-0000F50C0000}"/>
    <cellStyle name="Output 2 6 4 2" xfId="3292" xr:uid="{00000000-0005-0000-0000-0000F60C0000}"/>
    <cellStyle name="Output 2 6 4 3" xfId="3293" xr:uid="{00000000-0005-0000-0000-0000F70C0000}"/>
    <cellStyle name="Output 2 6 4 4" xfId="3294" xr:uid="{00000000-0005-0000-0000-0000F80C0000}"/>
    <cellStyle name="Output 2 6 4 5" xfId="3295" xr:uid="{00000000-0005-0000-0000-0000F90C0000}"/>
    <cellStyle name="Output 2 6 5" xfId="3296" xr:uid="{00000000-0005-0000-0000-0000FA0C0000}"/>
    <cellStyle name="Output 2 6 5 2" xfId="3297" xr:uid="{00000000-0005-0000-0000-0000FB0C0000}"/>
    <cellStyle name="Output 2 6 5 3" xfId="3298" xr:uid="{00000000-0005-0000-0000-0000FC0C0000}"/>
    <cellStyle name="Output 2 6 5 4" xfId="3299" xr:uid="{00000000-0005-0000-0000-0000FD0C0000}"/>
    <cellStyle name="Output 2 6 5 5" xfId="3300" xr:uid="{00000000-0005-0000-0000-0000FE0C0000}"/>
    <cellStyle name="Output 2 6 6" xfId="3301" xr:uid="{00000000-0005-0000-0000-0000FF0C0000}"/>
    <cellStyle name="Output 2 6 6 2" xfId="3302" xr:uid="{00000000-0005-0000-0000-0000000D0000}"/>
    <cellStyle name="Output 2 6 6 3" xfId="3303" xr:uid="{00000000-0005-0000-0000-0000010D0000}"/>
    <cellStyle name="Output 2 6 6 4" xfId="3304" xr:uid="{00000000-0005-0000-0000-0000020D0000}"/>
    <cellStyle name="Output 2 6 6 5" xfId="3305" xr:uid="{00000000-0005-0000-0000-0000030D0000}"/>
    <cellStyle name="Output 2 6 7" xfId="3306" xr:uid="{00000000-0005-0000-0000-0000040D0000}"/>
    <cellStyle name="Output 2 6 7 2" xfId="3307" xr:uid="{00000000-0005-0000-0000-0000050D0000}"/>
    <cellStyle name="Output 2 6 7 3" xfId="3308" xr:uid="{00000000-0005-0000-0000-0000060D0000}"/>
    <cellStyle name="Output 2 6 7 4" xfId="3309" xr:uid="{00000000-0005-0000-0000-0000070D0000}"/>
    <cellStyle name="Output 2 6 7 5" xfId="3310" xr:uid="{00000000-0005-0000-0000-0000080D0000}"/>
    <cellStyle name="Output 2 6 8" xfId="3311" xr:uid="{00000000-0005-0000-0000-0000090D0000}"/>
    <cellStyle name="Output 2 6 8 2" xfId="3312" xr:uid="{00000000-0005-0000-0000-00000A0D0000}"/>
    <cellStyle name="Output 2 6 8 3" xfId="3313" xr:uid="{00000000-0005-0000-0000-00000B0D0000}"/>
    <cellStyle name="Output 2 6 8 4" xfId="3314" xr:uid="{00000000-0005-0000-0000-00000C0D0000}"/>
    <cellStyle name="Output 2 6 8 5" xfId="3315" xr:uid="{00000000-0005-0000-0000-00000D0D0000}"/>
    <cellStyle name="Output 2 6 9" xfId="3316" xr:uid="{00000000-0005-0000-0000-00000E0D0000}"/>
    <cellStyle name="Output 2 6 9 2" xfId="3317" xr:uid="{00000000-0005-0000-0000-00000F0D0000}"/>
    <cellStyle name="Output 2 6 9 3" xfId="3318" xr:uid="{00000000-0005-0000-0000-0000100D0000}"/>
    <cellStyle name="Output 2 6 9 4" xfId="3319" xr:uid="{00000000-0005-0000-0000-0000110D0000}"/>
    <cellStyle name="Output 2 6 9 5" xfId="3320" xr:uid="{00000000-0005-0000-0000-0000120D0000}"/>
    <cellStyle name="Output 2 7" xfId="3321" xr:uid="{00000000-0005-0000-0000-0000130D0000}"/>
    <cellStyle name="Output 2 7 2" xfId="3322" xr:uid="{00000000-0005-0000-0000-0000140D0000}"/>
    <cellStyle name="Output 2 7 3" xfId="3323" xr:uid="{00000000-0005-0000-0000-0000150D0000}"/>
    <cellStyle name="Output 2 7 4" xfId="3324" xr:uid="{00000000-0005-0000-0000-0000160D0000}"/>
    <cellStyle name="Output 2 7 5" xfId="3325" xr:uid="{00000000-0005-0000-0000-0000170D0000}"/>
    <cellStyle name="Output 2 8" xfId="3326" xr:uid="{00000000-0005-0000-0000-0000180D0000}"/>
    <cellStyle name="Output 2 8 2" xfId="3327" xr:uid="{00000000-0005-0000-0000-0000190D0000}"/>
    <cellStyle name="Output 2 8 3" xfId="3328" xr:uid="{00000000-0005-0000-0000-00001A0D0000}"/>
    <cellStyle name="Output 2 8 4" xfId="3329" xr:uid="{00000000-0005-0000-0000-00001B0D0000}"/>
    <cellStyle name="Output 2 8 5" xfId="3330" xr:uid="{00000000-0005-0000-0000-00001C0D0000}"/>
    <cellStyle name="Output 2 9" xfId="3331" xr:uid="{00000000-0005-0000-0000-00001D0D0000}"/>
    <cellStyle name="Output 2 9 2" xfId="3332" xr:uid="{00000000-0005-0000-0000-00001E0D0000}"/>
    <cellStyle name="Output 2 9 3" xfId="3333" xr:uid="{00000000-0005-0000-0000-00001F0D0000}"/>
    <cellStyle name="Output 2 9 4" xfId="3334" xr:uid="{00000000-0005-0000-0000-0000200D0000}"/>
    <cellStyle name="Output 2 9 5" xfId="3335" xr:uid="{00000000-0005-0000-0000-0000210D0000}"/>
    <cellStyle name="Percent" xfId="2" builtinId="5"/>
    <cellStyle name="Percent 10" xfId="3336" xr:uid="{00000000-0005-0000-0000-0000230D0000}"/>
    <cellStyle name="Percent 17" xfId="3337" xr:uid="{00000000-0005-0000-0000-0000240D0000}"/>
    <cellStyle name="Percent 2" xfId="169" xr:uid="{00000000-0005-0000-0000-0000250D0000}"/>
    <cellStyle name="Percent 2 2" xfId="185" xr:uid="{00000000-0005-0000-0000-0000260D0000}"/>
    <cellStyle name="Percent 2 2 2" xfId="3338" xr:uid="{00000000-0005-0000-0000-0000270D0000}"/>
    <cellStyle name="Percent 2 2 3" xfId="3339" xr:uid="{00000000-0005-0000-0000-0000280D0000}"/>
    <cellStyle name="Percent 2 2 4" xfId="3340" xr:uid="{00000000-0005-0000-0000-0000290D0000}"/>
    <cellStyle name="Percent 2 2 4 2" xfId="3341" xr:uid="{00000000-0005-0000-0000-00002A0D0000}"/>
    <cellStyle name="Percent 2 2 5" xfId="3342" xr:uid="{00000000-0005-0000-0000-00002B0D0000}"/>
    <cellStyle name="Percent 2 2 6" xfId="3343" xr:uid="{00000000-0005-0000-0000-00002C0D0000}"/>
    <cellStyle name="Percent 2 3" xfId="3344" xr:uid="{00000000-0005-0000-0000-00002D0D0000}"/>
    <cellStyle name="Percent 2 3 2" xfId="3345" xr:uid="{00000000-0005-0000-0000-00002E0D0000}"/>
    <cellStyle name="Percent 2 4" xfId="3346" xr:uid="{00000000-0005-0000-0000-00002F0D0000}"/>
    <cellStyle name="Percent 2 4 2" xfId="3347" xr:uid="{00000000-0005-0000-0000-0000300D0000}"/>
    <cellStyle name="Percent 2 5" xfId="3348" xr:uid="{00000000-0005-0000-0000-0000310D0000}"/>
    <cellStyle name="Percent 2 6" xfId="3349" xr:uid="{00000000-0005-0000-0000-0000320D0000}"/>
    <cellStyle name="Percent 2 7" xfId="3350" xr:uid="{00000000-0005-0000-0000-0000330D0000}"/>
    <cellStyle name="Percent 3" xfId="170" xr:uid="{00000000-0005-0000-0000-0000340D0000}"/>
    <cellStyle name="Percent 3 2" xfId="205" xr:uid="{00000000-0005-0000-0000-0000350D0000}"/>
    <cellStyle name="Percent 3 2 2" xfId="3918" xr:uid="{00000000-0005-0000-0000-0000360D0000}"/>
    <cellStyle name="Percent 3 3" xfId="3351" xr:uid="{00000000-0005-0000-0000-0000370D0000}"/>
    <cellStyle name="Percent 3 4" xfId="3352" xr:uid="{00000000-0005-0000-0000-0000380D0000}"/>
    <cellStyle name="Percent 3 5" xfId="3353" xr:uid="{00000000-0005-0000-0000-0000390D0000}"/>
    <cellStyle name="Percent 4" xfId="206" xr:uid="{00000000-0005-0000-0000-00003A0D0000}"/>
    <cellStyle name="Percent 4 2" xfId="3354" xr:uid="{00000000-0005-0000-0000-00003B0D0000}"/>
    <cellStyle name="Percent 4 3" xfId="3355" xr:uid="{00000000-0005-0000-0000-00003C0D0000}"/>
    <cellStyle name="Percent 4 4" xfId="3356" xr:uid="{00000000-0005-0000-0000-00003D0D0000}"/>
    <cellStyle name="Percent 4 5" xfId="3357" xr:uid="{00000000-0005-0000-0000-00003E0D0000}"/>
    <cellStyle name="Percent 5" xfId="3358" xr:uid="{00000000-0005-0000-0000-00003F0D0000}"/>
    <cellStyle name="Percent 5 2" xfId="3359" xr:uid="{00000000-0005-0000-0000-0000400D0000}"/>
    <cellStyle name="Percent 5 3" xfId="3360" xr:uid="{00000000-0005-0000-0000-0000410D0000}"/>
    <cellStyle name="Percent 5 4" xfId="3361" xr:uid="{00000000-0005-0000-0000-0000420D0000}"/>
    <cellStyle name="Percent 6" xfId="3362" xr:uid="{00000000-0005-0000-0000-0000430D0000}"/>
    <cellStyle name="Percent 6 2" xfId="3363" xr:uid="{00000000-0005-0000-0000-0000440D0000}"/>
    <cellStyle name="Percent 6 3" xfId="3364" xr:uid="{00000000-0005-0000-0000-0000450D0000}"/>
    <cellStyle name="Percent 7" xfId="3365" xr:uid="{00000000-0005-0000-0000-0000460D0000}"/>
    <cellStyle name="Percent 7 2" xfId="3366" xr:uid="{00000000-0005-0000-0000-0000470D0000}"/>
    <cellStyle name="Percent 7 3" xfId="3367" xr:uid="{00000000-0005-0000-0000-0000480D0000}"/>
    <cellStyle name="Percent 7 4" xfId="3368" xr:uid="{00000000-0005-0000-0000-0000490D0000}"/>
    <cellStyle name="Percent 8" xfId="3369" xr:uid="{00000000-0005-0000-0000-00004A0D0000}"/>
    <cellStyle name="Percent 8 2" xfId="3370" xr:uid="{00000000-0005-0000-0000-00004B0D0000}"/>
    <cellStyle name="Percent 8 3" xfId="3371" xr:uid="{00000000-0005-0000-0000-00004C0D0000}"/>
    <cellStyle name="Percent 9" xfId="3372" xr:uid="{00000000-0005-0000-0000-00004D0D0000}"/>
    <cellStyle name="Percent 9 2" xfId="3373" xr:uid="{00000000-0005-0000-0000-00004E0D0000}"/>
    <cellStyle name="provisional PN158/97" xfId="171" xr:uid="{00000000-0005-0000-0000-00004F0D0000}"/>
    <cellStyle name="P嗴_x000c_〘 ńバ঒〘 " xfId="3374" xr:uid="{00000000-0005-0000-0000-0000500D0000}"/>
    <cellStyle name="P嗴_x000c_〘 ńバ঒〘  2" xfId="3375" xr:uid="{00000000-0005-0000-0000-0000510D0000}"/>
    <cellStyle name="P嗴_x000c_〘 ńバ঒〘 _Main Allocation Sheet" xfId="3376" xr:uid="{00000000-0005-0000-0000-0000520D0000}"/>
    <cellStyle name="Sheet Title" xfId="3377" xr:uid="{00000000-0005-0000-0000-0000530D0000}"/>
    <cellStyle name="Style 1" xfId="172" xr:uid="{00000000-0005-0000-0000-0000540D0000}"/>
    <cellStyle name="Style 1 2" xfId="207" xr:uid="{00000000-0005-0000-0000-0000550D0000}"/>
    <cellStyle name="Style 1 2 2" xfId="3378" xr:uid="{00000000-0005-0000-0000-0000560D0000}"/>
    <cellStyle name="Style 1 3" xfId="3379" xr:uid="{00000000-0005-0000-0000-0000570D0000}"/>
    <cellStyle name="Style 1_Main Allocation Sheet" xfId="3380" xr:uid="{00000000-0005-0000-0000-0000580D0000}"/>
    <cellStyle name="style1456487729786" xfId="182" xr:uid="{00000000-0005-0000-0000-0000590D0000}"/>
    <cellStyle name="style1456487878690" xfId="183" xr:uid="{00000000-0005-0000-0000-00005A0D0000}"/>
    <cellStyle name="sub" xfId="173" xr:uid="{00000000-0005-0000-0000-00005B0D0000}"/>
    <cellStyle name="table imported" xfId="174" xr:uid="{00000000-0005-0000-0000-00005C0D0000}"/>
    <cellStyle name="table sum" xfId="175" xr:uid="{00000000-0005-0000-0000-00005D0D0000}"/>
    <cellStyle name="table values" xfId="176" xr:uid="{00000000-0005-0000-0000-00005E0D0000}"/>
    <cellStyle name="Title 2" xfId="177" xr:uid="{00000000-0005-0000-0000-00005F0D0000}"/>
    <cellStyle name="TitleStyle" xfId="3922" xr:uid="{00000000-0005-0000-0000-0000600D0000}"/>
    <cellStyle name="TitleStyle 2" xfId="3936" xr:uid="{00000000-0005-0000-0000-0000610D0000}"/>
    <cellStyle name="TitleStyle 3" xfId="3937" xr:uid="{00000000-0005-0000-0000-0000620D0000}"/>
    <cellStyle name="Total 2" xfId="178" xr:uid="{00000000-0005-0000-0000-0000630D0000}"/>
    <cellStyle name="Total 2 10" xfId="3381" xr:uid="{00000000-0005-0000-0000-0000640D0000}"/>
    <cellStyle name="Total 2 10 2" xfId="3382" xr:uid="{00000000-0005-0000-0000-0000650D0000}"/>
    <cellStyle name="Total 2 10 3" xfId="3383" xr:uid="{00000000-0005-0000-0000-0000660D0000}"/>
    <cellStyle name="Total 2 10 4" xfId="3384" xr:uid="{00000000-0005-0000-0000-0000670D0000}"/>
    <cellStyle name="Total 2 10 5" xfId="3385" xr:uid="{00000000-0005-0000-0000-0000680D0000}"/>
    <cellStyle name="Total 2 11" xfId="3386" xr:uid="{00000000-0005-0000-0000-0000690D0000}"/>
    <cellStyle name="Total 2 11 2" xfId="3387" xr:uid="{00000000-0005-0000-0000-00006A0D0000}"/>
    <cellStyle name="Total 2 11 3" xfId="3388" xr:uid="{00000000-0005-0000-0000-00006B0D0000}"/>
    <cellStyle name="Total 2 11 4" xfId="3389" xr:uid="{00000000-0005-0000-0000-00006C0D0000}"/>
    <cellStyle name="Total 2 11 5" xfId="3390" xr:uid="{00000000-0005-0000-0000-00006D0D0000}"/>
    <cellStyle name="Total 2 12" xfId="3391" xr:uid="{00000000-0005-0000-0000-00006E0D0000}"/>
    <cellStyle name="Total 2 12 2" xfId="3392" xr:uid="{00000000-0005-0000-0000-00006F0D0000}"/>
    <cellStyle name="Total 2 12 3" xfId="3393" xr:uid="{00000000-0005-0000-0000-0000700D0000}"/>
    <cellStyle name="Total 2 12 4" xfId="3394" xr:uid="{00000000-0005-0000-0000-0000710D0000}"/>
    <cellStyle name="Total 2 12 5" xfId="3395" xr:uid="{00000000-0005-0000-0000-0000720D0000}"/>
    <cellStyle name="Total 2 13" xfId="3396" xr:uid="{00000000-0005-0000-0000-0000730D0000}"/>
    <cellStyle name="Total 2 13 2" xfId="3397" xr:uid="{00000000-0005-0000-0000-0000740D0000}"/>
    <cellStyle name="Total 2 13 3" xfId="3398" xr:uid="{00000000-0005-0000-0000-0000750D0000}"/>
    <cellStyle name="Total 2 13 4" xfId="3399" xr:uid="{00000000-0005-0000-0000-0000760D0000}"/>
    <cellStyle name="Total 2 14" xfId="3400" xr:uid="{00000000-0005-0000-0000-0000770D0000}"/>
    <cellStyle name="Total 2 14 2" xfId="3401" xr:uid="{00000000-0005-0000-0000-0000780D0000}"/>
    <cellStyle name="Total 2 14 3" xfId="3402" xr:uid="{00000000-0005-0000-0000-0000790D0000}"/>
    <cellStyle name="Total 2 14 4" xfId="3403" xr:uid="{00000000-0005-0000-0000-00007A0D0000}"/>
    <cellStyle name="Total 2 15" xfId="3404" xr:uid="{00000000-0005-0000-0000-00007B0D0000}"/>
    <cellStyle name="Total 2 15 2" xfId="3405" xr:uid="{00000000-0005-0000-0000-00007C0D0000}"/>
    <cellStyle name="Total 2 15 3" xfId="3406" xr:uid="{00000000-0005-0000-0000-00007D0D0000}"/>
    <cellStyle name="Total 2 15 4" xfId="3407" xr:uid="{00000000-0005-0000-0000-00007E0D0000}"/>
    <cellStyle name="Total 2 16" xfId="3408" xr:uid="{00000000-0005-0000-0000-00007F0D0000}"/>
    <cellStyle name="Total 2 2" xfId="3409" xr:uid="{00000000-0005-0000-0000-0000800D0000}"/>
    <cellStyle name="Total 2 2 10" xfId="3410" xr:uid="{00000000-0005-0000-0000-0000810D0000}"/>
    <cellStyle name="Total 2 2 10 2" xfId="3411" xr:uid="{00000000-0005-0000-0000-0000820D0000}"/>
    <cellStyle name="Total 2 2 10 3" xfId="3412" xr:uid="{00000000-0005-0000-0000-0000830D0000}"/>
    <cellStyle name="Total 2 2 10 4" xfId="3413" xr:uid="{00000000-0005-0000-0000-0000840D0000}"/>
    <cellStyle name="Total 2 2 10 5" xfId="3414" xr:uid="{00000000-0005-0000-0000-0000850D0000}"/>
    <cellStyle name="Total 2 2 11" xfId="3415" xr:uid="{00000000-0005-0000-0000-0000860D0000}"/>
    <cellStyle name="Total 2 2 11 2" xfId="3416" xr:uid="{00000000-0005-0000-0000-0000870D0000}"/>
    <cellStyle name="Total 2 2 11 3" xfId="3417" xr:uid="{00000000-0005-0000-0000-0000880D0000}"/>
    <cellStyle name="Total 2 2 11 4" xfId="3418" xr:uid="{00000000-0005-0000-0000-0000890D0000}"/>
    <cellStyle name="Total 2 2 11 5" xfId="3419" xr:uid="{00000000-0005-0000-0000-00008A0D0000}"/>
    <cellStyle name="Total 2 2 12" xfId="3420" xr:uid="{00000000-0005-0000-0000-00008B0D0000}"/>
    <cellStyle name="Total 2 2 12 2" xfId="3421" xr:uid="{00000000-0005-0000-0000-00008C0D0000}"/>
    <cellStyle name="Total 2 2 12 3" xfId="3422" xr:uid="{00000000-0005-0000-0000-00008D0D0000}"/>
    <cellStyle name="Total 2 2 12 4" xfId="3423" xr:uid="{00000000-0005-0000-0000-00008E0D0000}"/>
    <cellStyle name="Total 2 2 12 5" xfId="3424" xr:uid="{00000000-0005-0000-0000-00008F0D0000}"/>
    <cellStyle name="Total 2 2 13" xfId="3425" xr:uid="{00000000-0005-0000-0000-0000900D0000}"/>
    <cellStyle name="Total 2 2 13 2" xfId="3426" xr:uid="{00000000-0005-0000-0000-0000910D0000}"/>
    <cellStyle name="Total 2 2 13 3" xfId="3427" xr:uid="{00000000-0005-0000-0000-0000920D0000}"/>
    <cellStyle name="Total 2 2 13 4" xfId="3428" xr:uid="{00000000-0005-0000-0000-0000930D0000}"/>
    <cellStyle name="Total 2 2 13 5" xfId="3429" xr:uid="{00000000-0005-0000-0000-0000940D0000}"/>
    <cellStyle name="Total 2 2 14" xfId="3430" xr:uid="{00000000-0005-0000-0000-0000950D0000}"/>
    <cellStyle name="Total 2 2 14 2" xfId="3431" xr:uid="{00000000-0005-0000-0000-0000960D0000}"/>
    <cellStyle name="Total 2 2 14 3" xfId="3432" xr:uid="{00000000-0005-0000-0000-0000970D0000}"/>
    <cellStyle name="Total 2 2 14 4" xfId="3433" xr:uid="{00000000-0005-0000-0000-0000980D0000}"/>
    <cellStyle name="Total 2 2 14 5" xfId="3434" xr:uid="{00000000-0005-0000-0000-0000990D0000}"/>
    <cellStyle name="Total 2 2 15" xfId="3435" xr:uid="{00000000-0005-0000-0000-00009A0D0000}"/>
    <cellStyle name="Total 2 2 15 2" xfId="3436" xr:uid="{00000000-0005-0000-0000-00009B0D0000}"/>
    <cellStyle name="Total 2 2 15 3" xfId="3437" xr:uid="{00000000-0005-0000-0000-00009C0D0000}"/>
    <cellStyle name="Total 2 2 15 4" xfId="3438" xr:uid="{00000000-0005-0000-0000-00009D0D0000}"/>
    <cellStyle name="Total 2 2 15 5" xfId="3439" xr:uid="{00000000-0005-0000-0000-00009E0D0000}"/>
    <cellStyle name="Total 2 2 16" xfId="3440" xr:uid="{00000000-0005-0000-0000-00009F0D0000}"/>
    <cellStyle name="Total 2 2 16 2" xfId="3441" xr:uid="{00000000-0005-0000-0000-0000A00D0000}"/>
    <cellStyle name="Total 2 2 16 3" xfId="3442" xr:uid="{00000000-0005-0000-0000-0000A10D0000}"/>
    <cellStyle name="Total 2 2 16 4" xfId="3443" xr:uid="{00000000-0005-0000-0000-0000A20D0000}"/>
    <cellStyle name="Total 2 2 16 5" xfId="3444" xr:uid="{00000000-0005-0000-0000-0000A30D0000}"/>
    <cellStyle name="Total 2 2 17" xfId="3445" xr:uid="{00000000-0005-0000-0000-0000A40D0000}"/>
    <cellStyle name="Total 2 2 17 2" xfId="3446" xr:uid="{00000000-0005-0000-0000-0000A50D0000}"/>
    <cellStyle name="Total 2 2 17 3" xfId="3447" xr:uid="{00000000-0005-0000-0000-0000A60D0000}"/>
    <cellStyle name="Total 2 2 17 4" xfId="3448" xr:uid="{00000000-0005-0000-0000-0000A70D0000}"/>
    <cellStyle name="Total 2 2 18" xfId="3449" xr:uid="{00000000-0005-0000-0000-0000A80D0000}"/>
    <cellStyle name="Total 2 2 18 2" xfId="3450" xr:uid="{00000000-0005-0000-0000-0000A90D0000}"/>
    <cellStyle name="Total 2 2 18 3" xfId="3451" xr:uid="{00000000-0005-0000-0000-0000AA0D0000}"/>
    <cellStyle name="Total 2 2 18 4" xfId="3452" xr:uid="{00000000-0005-0000-0000-0000AB0D0000}"/>
    <cellStyle name="Total 2 2 19" xfId="3453" xr:uid="{00000000-0005-0000-0000-0000AC0D0000}"/>
    <cellStyle name="Total 2 2 19 2" xfId="3454" xr:uid="{00000000-0005-0000-0000-0000AD0D0000}"/>
    <cellStyle name="Total 2 2 19 3" xfId="3455" xr:uid="{00000000-0005-0000-0000-0000AE0D0000}"/>
    <cellStyle name="Total 2 2 19 4" xfId="3456" xr:uid="{00000000-0005-0000-0000-0000AF0D0000}"/>
    <cellStyle name="Total 2 2 2" xfId="3457" xr:uid="{00000000-0005-0000-0000-0000B00D0000}"/>
    <cellStyle name="Total 2 2 2 2" xfId="3458" xr:uid="{00000000-0005-0000-0000-0000B10D0000}"/>
    <cellStyle name="Total 2 2 2 3" xfId="3459" xr:uid="{00000000-0005-0000-0000-0000B20D0000}"/>
    <cellStyle name="Total 2 2 2 4" xfId="3460" xr:uid="{00000000-0005-0000-0000-0000B30D0000}"/>
    <cellStyle name="Total 2 2 2 5" xfId="3461" xr:uid="{00000000-0005-0000-0000-0000B40D0000}"/>
    <cellStyle name="Total 2 2 20" xfId="3462" xr:uid="{00000000-0005-0000-0000-0000B50D0000}"/>
    <cellStyle name="Total 2 2 20 2" xfId="3463" xr:uid="{00000000-0005-0000-0000-0000B60D0000}"/>
    <cellStyle name="Total 2 2 20 3" xfId="3464" xr:uid="{00000000-0005-0000-0000-0000B70D0000}"/>
    <cellStyle name="Total 2 2 20 4" xfId="3465" xr:uid="{00000000-0005-0000-0000-0000B80D0000}"/>
    <cellStyle name="Total 2 2 21" xfId="3466" xr:uid="{00000000-0005-0000-0000-0000B90D0000}"/>
    <cellStyle name="Total 2 2 3" xfId="3467" xr:uid="{00000000-0005-0000-0000-0000BA0D0000}"/>
    <cellStyle name="Total 2 2 3 2" xfId="3468" xr:uid="{00000000-0005-0000-0000-0000BB0D0000}"/>
    <cellStyle name="Total 2 2 3 3" xfId="3469" xr:uid="{00000000-0005-0000-0000-0000BC0D0000}"/>
    <cellStyle name="Total 2 2 3 4" xfId="3470" xr:uid="{00000000-0005-0000-0000-0000BD0D0000}"/>
    <cellStyle name="Total 2 2 3 5" xfId="3471" xr:uid="{00000000-0005-0000-0000-0000BE0D0000}"/>
    <cellStyle name="Total 2 2 4" xfId="3472" xr:uid="{00000000-0005-0000-0000-0000BF0D0000}"/>
    <cellStyle name="Total 2 2 4 2" xfId="3473" xr:uid="{00000000-0005-0000-0000-0000C00D0000}"/>
    <cellStyle name="Total 2 2 4 3" xfId="3474" xr:uid="{00000000-0005-0000-0000-0000C10D0000}"/>
    <cellStyle name="Total 2 2 4 4" xfId="3475" xr:uid="{00000000-0005-0000-0000-0000C20D0000}"/>
    <cellStyle name="Total 2 2 4 5" xfId="3476" xr:uid="{00000000-0005-0000-0000-0000C30D0000}"/>
    <cellStyle name="Total 2 2 5" xfId="3477" xr:uid="{00000000-0005-0000-0000-0000C40D0000}"/>
    <cellStyle name="Total 2 2 5 2" xfId="3478" xr:uid="{00000000-0005-0000-0000-0000C50D0000}"/>
    <cellStyle name="Total 2 2 5 3" xfId="3479" xr:uid="{00000000-0005-0000-0000-0000C60D0000}"/>
    <cellStyle name="Total 2 2 5 4" xfId="3480" xr:uid="{00000000-0005-0000-0000-0000C70D0000}"/>
    <cellStyle name="Total 2 2 5 5" xfId="3481" xr:uid="{00000000-0005-0000-0000-0000C80D0000}"/>
    <cellStyle name="Total 2 2 6" xfId="3482" xr:uid="{00000000-0005-0000-0000-0000C90D0000}"/>
    <cellStyle name="Total 2 2 6 2" xfId="3483" xr:uid="{00000000-0005-0000-0000-0000CA0D0000}"/>
    <cellStyle name="Total 2 2 6 3" xfId="3484" xr:uid="{00000000-0005-0000-0000-0000CB0D0000}"/>
    <cellStyle name="Total 2 2 6 4" xfId="3485" xr:uid="{00000000-0005-0000-0000-0000CC0D0000}"/>
    <cellStyle name="Total 2 2 6 5" xfId="3486" xr:uid="{00000000-0005-0000-0000-0000CD0D0000}"/>
    <cellStyle name="Total 2 2 7" xfId="3487" xr:uid="{00000000-0005-0000-0000-0000CE0D0000}"/>
    <cellStyle name="Total 2 2 7 2" xfId="3488" xr:uid="{00000000-0005-0000-0000-0000CF0D0000}"/>
    <cellStyle name="Total 2 2 7 3" xfId="3489" xr:uid="{00000000-0005-0000-0000-0000D00D0000}"/>
    <cellStyle name="Total 2 2 7 4" xfId="3490" xr:uid="{00000000-0005-0000-0000-0000D10D0000}"/>
    <cellStyle name="Total 2 2 7 5" xfId="3491" xr:uid="{00000000-0005-0000-0000-0000D20D0000}"/>
    <cellStyle name="Total 2 2 8" xfId="3492" xr:uid="{00000000-0005-0000-0000-0000D30D0000}"/>
    <cellStyle name="Total 2 2 8 2" xfId="3493" xr:uid="{00000000-0005-0000-0000-0000D40D0000}"/>
    <cellStyle name="Total 2 2 8 3" xfId="3494" xr:uid="{00000000-0005-0000-0000-0000D50D0000}"/>
    <cellStyle name="Total 2 2 8 4" xfId="3495" xr:uid="{00000000-0005-0000-0000-0000D60D0000}"/>
    <cellStyle name="Total 2 2 8 5" xfId="3496" xr:uid="{00000000-0005-0000-0000-0000D70D0000}"/>
    <cellStyle name="Total 2 2 9" xfId="3497" xr:uid="{00000000-0005-0000-0000-0000D80D0000}"/>
    <cellStyle name="Total 2 2 9 2" xfId="3498" xr:uid="{00000000-0005-0000-0000-0000D90D0000}"/>
    <cellStyle name="Total 2 2 9 3" xfId="3499" xr:uid="{00000000-0005-0000-0000-0000DA0D0000}"/>
    <cellStyle name="Total 2 2 9 4" xfId="3500" xr:uid="{00000000-0005-0000-0000-0000DB0D0000}"/>
    <cellStyle name="Total 2 2 9 5" xfId="3501" xr:uid="{00000000-0005-0000-0000-0000DC0D0000}"/>
    <cellStyle name="Total 2 3" xfId="3502" xr:uid="{00000000-0005-0000-0000-0000DD0D0000}"/>
    <cellStyle name="Total 2 3 10" xfId="3503" xr:uid="{00000000-0005-0000-0000-0000DE0D0000}"/>
    <cellStyle name="Total 2 3 10 2" xfId="3504" xr:uid="{00000000-0005-0000-0000-0000DF0D0000}"/>
    <cellStyle name="Total 2 3 10 3" xfId="3505" xr:uid="{00000000-0005-0000-0000-0000E00D0000}"/>
    <cellStyle name="Total 2 3 10 4" xfId="3506" xr:uid="{00000000-0005-0000-0000-0000E10D0000}"/>
    <cellStyle name="Total 2 3 10 5" xfId="3507" xr:uid="{00000000-0005-0000-0000-0000E20D0000}"/>
    <cellStyle name="Total 2 3 11" xfId="3508" xr:uid="{00000000-0005-0000-0000-0000E30D0000}"/>
    <cellStyle name="Total 2 3 11 2" xfId="3509" xr:uid="{00000000-0005-0000-0000-0000E40D0000}"/>
    <cellStyle name="Total 2 3 11 3" xfId="3510" xr:uid="{00000000-0005-0000-0000-0000E50D0000}"/>
    <cellStyle name="Total 2 3 11 4" xfId="3511" xr:uid="{00000000-0005-0000-0000-0000E60D0000}"/>
    <cellStyle name="Total 2 3 11 5" xfId="3512" xr:uid="{00000000-0005-0000-0000-0000E70D0000}"/>
    <cellStyle name="Total 2 3 12" xfId="3513" xr:uid="{00000000-0005-0000-0000-0000E80D0000}"/>
    <cellStyle name="Total 2 3 12 2" xfId="3514" xr:uid="{00000000-0005-0000-0000-0000E90D0000}"/>
    <cellStyle name="Total 2 3 12 3" xfId="3515" xr:uid="{00000000-0005-0000-0000-0000EA0D0000}"/>
    <cellStyle name="Total 2 3 12 4" xfId="3516" xr:uid="{00000000-0005-0000-0000-0000EB0D0000}"/>
    <cellStyle name="Total 2 3 12 5" xfId="3517" xr:uid="{00000000-0005-0000-0000-0000EC0D0000}"/>
    <cellStyle name="Total 2 3 13" xfId="3518" xr:uid="{00000000-0005-0000-0000-0000ED0D0000}"/>
    <cellStyle name="Total 2 3 13 2" xfId="3519" xr:uid="{00000000-0005-0000-0000-0000EE0D0000}"/>
    <cellStyle name="Total 2 3 13 3" xfId="3520" xr:uid="{00000000-0005-0000-0000-0000EF0D0000}"/>
    <cellStyle name="Total 2 3 13 4" xfId="3521" xr:uid="{00000000-0005-0000-0000-0000F00D0000}"/>
    <cellStyle name="Total 2 3 13 5" xfId="3522" xr:uid="{00000000-0005-0000-0000-0000F10D0000}"/>
    <cellStyle name="Total 2 3 14" xfId="3523" xr:uid="{00000000-0005-0000-0000-0000F20D0000}"/>
    <cellStyle name="Total 2 3 14 2" xfId="3524" xr:uid="{00000000-0005-0000-0000-0000F30D0000}"/>
    <cellStyle name="Total 2 3 14 3" xfId="3525" xr:uid="{00000000-0005-0000-0000-0000F40D0000}"/>
    <cellStyle name="Total 2 3 14 4" xfId="3526" xr:uid="{00000000-0005-0000-0000-0000F50D0000}"/>
    <cellStyle name="Total 2 3 14 5" xfId="3527" xr:uid="{00000000-0005-0000-0000-0000F60D0000}"/>
    <cellStyle name="Total 2 3 15" xfId="3528" xr:uid="{00000000-0005-0000-0000-0000F70D0000}"/>
    <cellStyle name="Total 2 3 15 2" xfId="3529" xr:uid="{00000000-0005-0000-0000-0000F80D0000}"/>
    <cellStyle name="Total 2 3 15 3" xfId="3530" xr:uid="{00000000-0005-0000-0000-0000F90D0000}"/>
    <cellStyle name="Total 2 3 15 4" xfId="3531" xr:uid="{00000000-0005-0000-0000-0000FA0D0000}"/>
    <cellStyle name="Total 2 3 15 5" xfId="3532" xr:uid="{00000000-0005-0000-0000-0000FB0D0000}"/>
    <cellStyle name="Total 2 3 16" xfId="3533" xr:uid="{00000000-0005-0000-0000-0000FC0D0000}"/>
    <cellStyle name="Total 2 3 16 2" xfId="3534" xr:uid="{00000000-0005-0000-0000-0000FD0D0000}"/>
    <cellStyle name="Total 2 3 16 3" xfId="3535" xr:uid="{00000000-0005-0000-0000-0000FE0D0000}"/>
    <cellStyle name="Total 2 3 16 4" xfId="3536" xr:uid="{00000000-0005-0000-0000-0000FF0D0000}"/>
    <cellStyle name="Total 2 3 16 5" xfId="3537" xr:uid="{00000000-0005-0000-0000-0000000E0000}"/>
    <cellStyle name="Total 2 3 17" xfId="3538" xr:uid="{00000000-0005-0000-0000-0000010E0000}"/>
    <cellStyle name="Total 2 3 17 2" xfId="3539" xr:uid="{00000000-0005-0000-0000-0000020E0000}"/>
    <cellStyle name="Total 2 3 17 3" xfId="3540" xr:uid="{00000000-0005-0000-0000-0000030E0000}"/>
    <cellStyle name="Total 2 3 17 4" xfId="3541" xr:uid="{00000000-0005-0000-0000-0000040E0000}"/>
    <cellStyle name="Total 2 3 18" xfId="3542" xr:uid="{00000000-0005-0000-0000-0000050E0000}"/>
    <cellStyle name="Total 2 3 18 2" xfId="3543" xr:uid="{00000000-0005-0000-0000-0000060E0000}"/>
    <cellStyle name="Total 2 3 18 3" xfId="3544" xr:uid="{00000000-0005-0000-0000-0000070E0000}"/>
    <cellStyle name="Total 2 3 18 4" xfId="3545" xr:uid="{00000000-0005-0000-0000-0000080E0000}"/>
    <cellStyle name="Total 2 3 19" xfId="3546" xr:uid="{00000000-0005-0000-0000-0000090E0000}"/>
    <cellStyle name="Total 2 3 19 2" xfId="3547" xr:uid="{00000000-0005-0000-0000-00000A0E0000}"/>
    <cellStyle name="Total 2 3 19 3" xfId="3548" xr:uid="{00000000-0005-0000-0000-00000B0E0000}"/>
    <cellStyle name="Total 2 3 19 4" xfId="3549" xr:uid="{00000000-0005-0000-0000-00000C0E0000}"/>
    <cellStyle name="Total 2 3 2" xfId="3550" xr:uid="{00000000-0005-0000-0000-00000D0E0000}"/>
    <cellStyle name="Total 2 3 2 2" xfId="3551" xr:uid="{00000000-0005-0000-0000-00000E0E0000}"/>
    <cellStyle name="Total 2 3 2 3" xfId="3552" xr:uid="{00000000-0005-0000-0000-00000F0E0000}"/>
    <cellStyle name="Total 2 3 2 4" xfId="3553" xr:uid="{00000000-0005-0000-0000-0000100E0000}"/>
    <cellStyle name="Total 2 3 2 5" xfId="3554" xr:uid="{00000000-0005-0000-0000-0000110E0000}"/>
    <cellStyle name="Total 2 3 20" xfId="3555" xr:uid="{00000000-0005-0000-0000-0000120E0000}"/>
    <cellStyle name="Total 2 3 20 2" xfId="3556" xr:uid="{00000000-0005-0000-0000-0000130E0000}"/>
    <cellStyle name="Total 2 3 20 3" xfId="3557" xr:uid="{00000000-0005-0000-0000-0000140E0000}"/>
    <cellStyle name="Total 2 3 20 4" xfId="3558" xr:uid="{00000000-0005-0000-0000-0000150E0000}"/>
    <cellStyle name="Total 2 3 21" xfId="3559" xr:uid="{00000000-0005-0000-0000-0000160E0000}"/>
    <cellStyle name="Total 2 3 3" xfId="3560" xr:uid="{00000000-0005-0000-0000-0000170E0000}"/>
    <cellStyle name="Total 2 3 3 2" xfId="3561" xr:uid="{00000000-0005-0000-0000-0000180E0000}"/>
    <cellStyle name="Total 2 3 3 3" xfId="3562" xr:uid="{00000000-0005-0000-0000-0000190E0000}"/>
    <cellStyle name="Total 2 3 3 4" xfId="3563" xr:uid="{00000000-0005-0000-0000-00001A0E0000}"/>
    <cellStyle name="Total 2 3 3 5" xfId="3564" xr:uid="{00000000-0005-0000-0000-00001B0E0000}"/>
    <cellStyle name="Total 2 3 4" xfId="3565" xr:uid="{00000000-0005-0000-0000-00001C0E0000}"/>
    <cellStyle name="Total 2 3 4 2" xfId="3566" xr:uid="{00000000-0005-0000-0000-00001D0E0000}"/>
    <cellStyle name="Total 2 3 4 3" xfId="3567" xr:uid="{00000000-0005-0000-0000-00001E0E0000}"/>
    <cellStyle name="Total 2 3 4 4" xfId="3568" xr:uid="{00000000-0005-0000-0000-00001F0E0000}"/>
    <cellStyle name="Total 2 3 4 5" xfId="3569" xr:uid="{00000000-0005-0000-0000-0000200E0000}"/>
    <cellStyle name="Total 2 3 5" xfId="3570" xr:uid="{00000000-0005-0000-0000-0000210E0000}"/>
    <cellStyle name="Total 2 3 5 2" xfId="3571" xr:uid="{00000000-0005-0000-0000-0000220E0000}"/>
    <cellStyle name="Total 2 3 5 3" xfId="3572" xr:uid="{00000000-0005-0000-0000-0000230E0000}"/>
    <cellStyle name="Total 2 3 5 4" xfId="3573" xr:uid="{00000000-0005-0000-0000-0000240E0000}"/>
    <cellStyle name="Total 2 3 5 5" xfId="3574" xr:uid="{00000000-0005-0000-0000-0000250E0000}"/>
    <cellStyle name="Total 2 3 6" xfId="3575" xr:uid="{00000000-0005-0000-0000-0000260E0000}"/>
    <cellStyle name="Total 2 3 6 2" xfId="3576" xr:uid="{00000000-0005-0000-0000-0000270E0000}"/>
    <cellStyle name="Total 2 3 6 3" xfId="3577" xr:uid="{00000000-0005-0000-0000-0000280E0000}"/>
    <cellStyle name="Total 2 3 6 4" xfId="3578" xr:uid="{00000000-0005-0000-0000-0000290E0000}"/>
    <cellStyle name="Total 2 3 6 5" xfId="3579" xr:uid="{00000000-0005-0000-0000-00002A0E0000}"/>
    <cellStyle name="Total 2 3 7" xfId="3580" xr:uid="{00000000-0005-0000-0000-00002B0E0000}"/>
    <cellStyle name="Total 2 3 7 2" xfId="3581" xr:uid="{00000000-0005-0000-0000-00002C0E0000}"/>
    <cellStyle name="Total 2 3 7 3" xfId="3582" xr:uid="{00000000-0005-0000-0000-00002D0E0000}"/>
    <cellStyle name="Total 2 3 7 4" xfId="3583" xr:uid="{00000000-0005-0000-0000-00002E0E0000}"/>
    <cellStyle name="Total 2 3 7 5" xfId="3584" xr:uid="{00000000-0005-0000-0000-00002F0E0000}"/>
    <cellStyle name="Total 2 3 8" xfId="3585" xr:uid="{00000000-0005-0000-0000-0000300E0000}"/>
    <cellStyle name="Total 2 3 8 2" xfId="3586" xr:uid="{00000000-0005-0000-0000-0000310E0000}"/>
    <cellStyle name="Total 2 3 8 3" xfId="3587" xr:uid="{00000000-0005-0000-0000-0000320E0000}"/>
    <cellStyle name="Total 2 3 8 4" xfId="3588" xr:uid="{00000000-0005-0000-0000-0000330E0000}"/>
    <cellStyle name="Total 2 3 8 5" xfId="3589" xr:uid="{00000000-0005-0000-0000-0000340E0000}"/>
    <cellStyle name="Total 2 3 9" xfId="3590" xr:uid="{00000000-0005-0000-0000-0000350E0000}"/>
    <cellStyle name="Total 2 3 9 2" xfId="3591" xr:uid="{00000000-0005-0000-0000-0000360E0000}"/>
    <cellStyle name="Total 2 3 9 3" xfId="3592" xr:uid="{00000000-0005-0000-0000-0000370E0000}"/>
    <cellStyle name="Total 2 3 9 4" xfId="3593" xr:uid="{00000000-0005-0000-0000-0000380E0000}"/>
    <cellStyle name="Total 2 3 9 5" xfId="3594" xr:uid="{00000000-0005-0000-0000-0000390E0000}"/>
    <cellStyle name="Total 2 4" xfId="3595" xr:uid="{00000000-0005-0000-0000-00003A0E0000}"/>
    <cellStyle name="Total 2 4 10" xfId="3596" xr:uid="{00000000-0005-0000-0000-00003B0E0000}"/>
    <cellStyle name="Total 2 4 10 2" xfId="3597" xr:uid="{00000000-0005-0000-0000-00003C0E0000}"/>
    <cellStyle name="Total 2 4 10 3" xfId="3598" xr:uid="{00000000-0005-0000-0000-00003D0E0000}"/>
    <cellStyle name="Total 2 4 10 4" xfId="3599" xr:uid="{00000000-0005-0000-0000-00003E0E0000}"/>
    <cellStyle name="Total 2 4 10 5" xfId="3600" xr:uid="{00000000-0005-0000-0000-00003F0E0000}"/>
    <cellStyle name="Total 2 4 11" xfId="3601" xr:uid="{00000000-0005-0000-0000-0000400E0000}"/>
    <cellStyle name="Total 2 4 11 2" xfId="3602" xr:uid="{00000000-0005-0000-0000-0000410E0000}"/>
    <cellStyle name="Total 2 4 11 3" xfId="3603" xr:uid="{00000000-0005-0000-0000-0000420E0000}"/>
    <cellStyle name="Total 2 4 11 4" xfId="3604" xr:uid="{00000000-0005-0000-0000-0000430E0000}"/>
    <cellStyle name="Total 2 4 11 5" xfId="3605" xr:uid="{00000000-0005-0000-0000-0000440E0000}"/>
    <cellStyle name="Total 2 4 12" xfId="3606" xr:uid="{00000000-0005-0000-0000-0000450E0000}"/>
    <cellStyle name="Total 2 4 12 2" xfId="3607" xr:uid="{00000000-0005-0000-0000-0000460E0000}"/>
    <cellStyle name="Total 2 4 12 3" xfId="3608" xr:uid="{00000000-0005-0000-0000-0000470E0000}"/>
    <cellStyle name="Total 2 4 12 4" xfId="3609" xr:uid="{00000000-0005-0000-0000-0000480E0000}"/>
    <cellStyle name="Total 2 4 12 5" xfId="3610" xr:uid="{00000000-0005-0000-0000-0000490E0000}"/>
    <cellStyle name="Total 2 4 13" xfId="3611" xr:uid="{00000000-0005-0000-0000-00004A0E0000}"/>
    <cellStyle name="Total 2 4 13 2" xfId="3612" xr:uid="{00000000-0005-0000-0000-00004B0E0000}"/>
    <cellStyle name="Total 2 4 13 3" xfId="3613" xr:uid="{00000000-0005-0000-0000-00004C0E0000}"/>
    <cellStyle name="Total 2 4 13 4" xfId="3614" xr:uid="{00000000-0005-0000-0000-00004D0E0000}"/>
    <cellStyle name="Total 2 4 13 5" xfId="3615" xr:uid="{00000000-0005-0000-0000-00004E0E0000}"/>
    <cellStyle name="Total 2 4 14" xfId="3616" xr:uid="{00000000-0005-0000-0000-00004F0E0000}"/>
    <cellStyle name="Total 2 4 14 2" xfId="3617" xr:uid="{00000000-0005-0000-0000-0000500E0000}"/>
    <cellStyle name="Total 2 4 14 3" xfId="3618" xr:uid="{00000000-0005-0000-0000-0000510E0000}"/>
    <cellStyle name="Total 2 4 14 4" xfId="3619" xr:uid="{00000000-0005-0000-0000-0000520E0000}"/>
    <cellStyle name="Total 2 4 14 5" xfId="3620" xr:uid="{00000000-0005-0000-0000-0000530E0000}"/>
    <cellStyle name="Total 2 4 15" xfId="3621" xr:uid="{00000000-0005-0000-0000-0000540E0000}"/>
    <cellStyle name="Total 2 4 15 2" xfId="3622" xr:uid="{00000000-0005-0000-0000-0000550E0000}"/>
    <cellStyle name="Total 2 4 15 3" xfId="3623" xr:uid="{00000000-0005-0000-0000-0000560E0000}"/>
    <cellStyle name="Total 2 4 15 4" xfId="3624" xr:uid="{00000000-0005-0000-0000-0000570E0000}"/>
    <cellStyle name="Total 2 4 15 5" xfId="3625" xr:uid="{00000000-0005-0000-0000-0000580E0000}"/>
    <cellStyle name="Total 2 4 16" xfId="3626" xr:uid="{00000000-0005-0000-0000-0000590E0000}"/>
    <cellStyle name="Total 2 4 16 2" xfId="3627" xr:uid="{00000000-0005-0000-0000-00005A0E0000}"/>
    <cellStyle name="Total 2 4 16 3" xfId="3628" xr:uid="{00000000-0005-0000-0000-00005B0E0000}"/>
    <cellStyle name="Total 2 4 16 4" xfId="3629" xr:uid="{00000000-0005-0000-0000-00005C0E0000}"/>
    <cellStyle name="Total 2 4 16 5" xfId="3630" xr:uid="{00000000-0005-0000-0000-00005D0E0000}"/>
    <cellStyle name="Total 2 4 17" xfId="3631" xr:uid="{00000000-0005-0000-0000-00005E0E0000}"/>
    <cellStyle name="Total 2 4 17 2" xfId="3632" xr:uid="{00000000-0005-0000-0000-00005F0E0000}"/>
    <cellStyle name="Total 2 4 17 3" xfId="3633" xr:uid="{00000000-0005-0000-0000-0000600E0000}"/>
    <cellStyle name="Total 2 4 17 4" xfId="3634" xr:uid="{00000000-0005-0000-0000-0000610E0000}"/>
    <cellStyle name="Total 2 4 18" xfId="3635" xr:uid="{00000000-0005-0000-0000-0000620E0000}"/>
    <cellStyle name="Total 2 4 18 2" xfId="3636" xr:uid="{00000000-0005-0000-0000-0000630E0000}"/>
    <cellStyle name="Total 2 4 18 3" xfId="3637" xr:uid="{00000000-0005-0000-0000-0000640E0000}"/>
    <cellStyle name="Total 2 4 18 4" xfId="3638" xr:uid="{00000000-0005-0000-0000-0000650E0000}"/>
    <cellStyle name="Total 2 4 19" xfId="3639" xr:uid="{00000000-0005-0000-0000-0000660E0000}"/>
    <cellStyle name="Total 2 4 19 2" xfId="3640" xr:uid="{00000000-0005-0000-0000-0000670E0000}"/>
    <cellStyle name="Total 2 4 19 3" xfId="3641" xr:uid="{00000000-0005-0000-0000-0000680E0000}"/>
    <cellStyle name="Total 2 4 19 4" xfId="3642" xr:uid="{00000000-0005-0000-0000-0000690E0000}"/>
    <cellStyle name="Total 2 4 2" xfId="3643" xr:uid="{00000000-0005-0000-0000-00006A0E0000}"/>
    <cellStyle name="Total 2 4 2 2" xfId="3644" xr:uid="{00000000-0005-0000-0000-00006B0E0000}"/>
    <cellStyle name="Total 2 4 2 3" xfId="3645" xr:uid="{00000000-0005-0000-0000-00006C0E0000}"/>
    <cellStyle name="Total 2 4 2 4" xfId="3646" xr:uid="{00000000-0005-0000-0000-00006D0E0000}"/>
    <cellStyle name="Total 2 4 2 5" xfId="3647" xr:uid="{00000000-0005-0000-0000-00006E0E0000}"/>
    <cellStyle name="Total 2 4 20" xfId="3648" xr:uid="{00000000-0005-0000-0000-00006F0E0000}"/>
    <cellStyle name="Total 2 4 20 2" xfId="3649" xr:uid="{00000000-0005-0000-0000-0000700E0000}"/>
    <cellStyle name="Total 2 4 20 3" xfId="3650" xr:uid="{00000000-0005-0000-0000-0000710E0000}"/>
    <cellStyle name="Total 2 4 20 4" xfId="3651" xr:uid="{00000000-0005-0000-0000-0000720E0000}"/>
    <cellStyle name="Total 2 4 21" xfId="3652" xr:uid="{00000000-0005-0000-0000-0000730E0000}"/>
    <cellStyle name="Total 2 4 3" xfId="3653" xr:uid="{00000000-0005-0000-0000-0000740E0000}"/>
    <cellStyle name="Total 2 4 3 2" xfId="3654" xr:uid="{00000000-0005-0000-0000-0000750E0000}"/>
    <cellStyle name="Total 2 4 3 3" xfId="3655" xr:uid="{00000000-0005-0000-0000-0000760E0000}"/>
    <cellStyle name="Total 2 4 3 4" xfId="3656" xr:uid="{00000000-0005-0000-0000-0000770E0000}"/>
    <cellStyle name="Total 2 4 3 5" xfId="3657" xr:uid="{00000000-0005-0000-0000-0000780E0000}"/>
    <cellStyle name="Total 2 4 4" xfId="3658" xr:uid="{00000000-0005-0000-0000-0000790E0000}"/>
    <cellStyle name="Total 2 4 4 2" xfId="3659" xr:uid="{00000000-0005-0000-0000-00007A0E0000}"/>
    <cellStyle name="Total 2 4 4 3" xfId="3660" xr:uid="{00000000-0005-0000-0000-00007B0E0000}"/>
    <cellStyle name="Total 2 4 4 4" xfId="3661" xr:uid="{00000000-0005-0000-0000-00007C0E0000}"/>
    <cellStyle name="Total 2 4 4 5" xfId="3662" xr:uid="{00000000-0005-0000-0000-00007D0E0000}"/>
    <cellStyle name="Total 2 4 5" xfId="3663" xr:uid="{00000000-0005-0000-0000-00007E0E0000}"/>
    <cellStyle name="Total 2 4 5 2" xfId="3664" xr:uid="{00000000-0005-0000-0000-00007F0E0000}"/>
    <cellStyle name="Total 2 4 5 3" xfId="3665" xr:uid="{00000000-0005-0000-0000-0000800E0000}"/>
    <cellStyle name="Total 2 4 5 4" xfId="3666" xr:uid="{00000000-0005-0000-0000-0000810E0000}"/>
    <cellStyle name="Total 2 4 5 5" xfId="3667" xr:uid="{00000000-0005-0000-0000-0000820E0000}"/>
    <cellStyle name="Total 2 4 6" xfId="3668" xr:uid="{00000000-0005-0000-0000-0000830E0000}"/>
    <cellStyle name="Total 2 4 6 2" xfId="3669" xr:uid="{00000000-0005-0000-0000-0000840E0000}"/>
    <cellStyle name="Total 2 4 6 3" xfId="3670" xr:uid="{00000000-0005-0000-0000-0000850E0000}"/>
    <cellStyle name="Total 2 4 6 4" xfId="3671" xr:uid="{00000000-0005-0000-0000-0000860E0000}"/>
    <cellStyle name="Total 2 4 6 5" xfId="3672" xr:uid="{00000000-0005-0000-0000-0000870E0000}"/>
    <cellStyle name="Total 2 4 7" xfId="3673" xr:uid="{00000000-0005-0000-0000-0000880E0000}"/>
    <cellStyle name="Total 2 4 7 2" xfId="3674" xr:uid="{00000000-0005-0000-0000-0000890E0000}"/>
    <cellStyle name="Total 2 4 7 3" xfId="3675" xr:uid="{00000000-0005-0000-0000-00008A0E0000}"/>
    <cellStyle name="Total 2 4 7 4" xfId="3676" xr:uid="{00000000-0005-0000-0000-00008B0E0000}"/>
    <cellStyle name="Total 2 4 7 5" xfId="3677" xr:uid="{00000000-0005-0000-0000-00008C0E0000}"/>
    <cellStyle name="Total 2 4 8" xfId="3678" xr:uid="{00000000-0005-0000-0000-00008D0E0000}"/>
    <cellStyle name="Total 2 4 8 2" xfId="3679" xr:uid="{00000000-0005-0000-0000-00008E0E0000}"/>
    <cellStyle name="Total 2 4 8 3" xfId="3680" xr:uid="{00000000-0005-0000-0000-00008F0E0000}"/>
    <cellStyle name="Total 2 4 8 4" xfId="3681" xr:uid="{00000000-0005-0000-0000-0000900E0000}"/>
    <cellStyle name="Total 2 4 8 5" xfId="3682" xr:uid="{00000000-0005-0000-0000-0000910E0000}"/>
    <cellStyle name="Total 2 4 9" xfId="3683" xr:uid="{00000000-0005-0000-0000-0000920E0000}"/>
    <cellStyle name="Total 2 4 9 2" xfId="3684" xr:uid="{00000000-0005-0000-0000-0000930E0000}"/>
    <cellStyle name="Total 2 4 9 3" xfId="3685" xr:uid="{00000000-0005-0000-0000-0000940E0000}"/>
    <cellStyle name="Total 2 4 9 4" xfId="3686" xr:uid="{00000000-0005-0000-0000-0000950E0000}"/>
    <cellStyle name="Total 2 4 9 5" xfId="3687" xr:uid="{00000000-0005-0000-0000-0000960E0000}"/>
    <cellStyle name="Total 2 5" xfId="3688" xr:uid="{00000000-0005-0000-0000-0000970E0000}"/>
    <cellStyle name="Total 2 5 10" xfId="3689" xr:uid="{00000000-0005-0000-0000-0000980E0000}"/>
    <cellStyle name="Total 2 5 10 2" xfId="3690" xr:uid="{00000000-0005-0000-0000-0000990E0000}"/>
    <cellStyle name="Total 2 5 10 3" xfId="3691" xr:uid="{00000000-0005-0000-0000-00009A0E0000}"/>
    <cellStyle name="Total 2 5 10 4" xfId="3692" xr:uid="{00000000-0005-0000-0000-00009B0E0000}"/>
    <cellStyle name="Total 2 5 10 5" xfId="3693" xr:uid="{00000000-0005-0000-0000-00009C0E0000}"/>
    <cellStyle name="Total 2 5 11" xfId="3694" xr:uid="{00000000-0005-0000-0000-00009D0E0000}"/>
    <cellStyle name="Total 2 5 11 2" xfId="3695" xr:uid="{00000000-0005-0000-0000-00009E0E0000}"/>
    <cellStyle name="Total 2 5 11 3" xfId="3696" xr:uid="{00000000-0005-0000-0000-00009F0E0000}"/>
    <cellStyle name="Total 2 5 11 4" xfId="3697" xr:uid="{00000000-0005-0000-0000-0000A00E0000}"/>
    <cellStyle name="Total 2 5 11 5" xfId="3698" xr:uid="{00000000-0005-0000-0000-0000A10E0000}"/>
    <cellStyle name="Total 2 5 12" xfId="3699" xr:uid="{00000000-0005-0000-0000-0000A20E0000}"/>
    <cellStyle name="Total 2 5 12 2" xfId="3700" xr:uid="{00000000-0005-0000-0000-0000A30E0000}"/>
    <cellStyle name="Total 2 5 12 3" xfId="3701" xr:uid="{00000000-0005-0000-0000-0000A40E0000}"/>
    <cellStyle name="Total 2 5 12 4" xfId="3702" xr:uid="{00000000-0005-0000-0000-0000A50E0000}"/>
    <cellStyle name="Total 2 5 12 5" xfId="3703" xr:uid="{00000000-0005-0000-0000-0000A60E0000}"/>
    <cellStyle name="Total 2 5 13" xfId="3704" xr:uid="{00000000-0005-0000-0000-0000A70E0000}"/>
    <cellStyle name="Total 2 5 13 2" xfId="3705" xr:uid="{00000000-0005-0000-0000-0000A80E0000}"/>
    <cellStyle name="Total 2 5 13 3" xfId="3706" xr:uid="{00000000-0005-0000-0000-0000A90E0000}"/>
    <cellStyle name="Total 2 5 13 4" xfId="3707" xr:uid="{00000000-0005-0000-0000-0000AA0E0000}"/>
    <cellStyle name="Total 2 5 13 5" xfId="3708" xr:uid="{00000000-0005-0000-0000-0000AB0E0000}"/>
    <cellStyle name="Total 2 5 14" xfId="3709" xr:uid="{00000000-0005-0000-0000-0000AC0E0000}"/>
    <cellStyle name="Total 2 5 14 2" xfId="3710" xr:uid="{00000000-0005-0000-0000-0000AD0E0000}"/>
    <cellStyle name="Total 2 5 14 3" xfId="3711" xr:uid="{00000000-0005-0000-0000-0000AE0E0000}"/>
    <cellStyle name="Total 2 5 14 4" xfId="3712" xr:uid="{00000000-0005-0000-0000-0000AF0E0000}"/>
    <cellStyle name="Total 2 5 14 5" xfId="3713" xr:uid="{00000000-0005-0000-0000-0000B00E0000}"/>
    <cellStyle name="Total 2 5 15" xfId="3714" xr:uid="{00000000-0005-0000-0000-0000B10E0000}"/>
    <cellStyle name="Total 2 5 15 2" xfId="3715" xr:uid="{00000000-0005-0000-0000-0000B20E0000}"/>
    <cellStyle name="Total 2 5 15 3" xfId="3716" xr:uid="{00000000-0005-0000-0000-0000B30E0000}"/>
    <cellStyle name="Total 2 5 15 4" xfId="3717" xr:uid="{00000000-0005-0000-0000-0000B40E0000}"/>
    <cellStyle name="Total 2 5 15 5" xfId="3718" xr:uid="{00000000-0005-0000-0000-0000B50E0000}"/>
    <cellStyle name="Total 2 5 16" xfId="3719" xr:uid="{00000000-0005-0000-0000-0000B60E0000}"/>
    <cellStyle name="Total 2 5 16 2" xfId="3720" xr:uid="{00000000-0005-0000-0000-0000B70E0000}"/>
    <cellStyle name="Total 2 5 16 3" xfId="3721" xr:uid="{00000000-0005-0000-0000-0000B80E0000}"/>
    <cellStyle name="Total 2 5 16 4" xfId="3722" xr:uid="{00000000-0005-0000-0000-0000B90E0000}"/>
    <cellStyle name="Total 2 5 16 5" xfId="3723" xr:uid="{00000000-0005-0000-0000-0000BA0E0000}"/>
    <cellStyle name="Total 2 5 17" xfId="3724" xr:uid="{00000000-0005-0000-0000-0000BB0E0000}"/>
    <cellStyle name="Total 2 5 17 2" xfId="3725" xr:uid="{00000000-0005-0000-0000-0000BC0E0000}"/>
    <cellStyle name="Total 2 5 17 3" xfId="3726" xr:uid="{00000000-0005-0000-0000-0000BD0E0000}"/>
    <cellStyle name="Total 2 5 17 4" xfId="3727" xr:uid="{00000000-0005-0000-0000-0000BE0E0000}"/>
    <cellStyle name="Total 2 5 18" xfId="3728" xr:uid="{00000000-0005-0000-0000-0000BF0E0000}"/>
    <cellStyle name="Total 2 5 18 2" xfId="3729" xr:uid="{00000000-0005-0000-0000-0000C00E0000}"/>
    <cellStyle name="Total 2 5 18 3" xfId="3730" xr:uid="{00000000-0005-0000-0000-0000C10E0000}"/>
    <cellStyle name="Total 2 5 18 4" xfId="3731" xr:uid="{00000000-0005-0000-0000-0000C20E0000}"/>
    <cellStyle name="Total 2 5 19" xfId="3732" xr:uid="{00000000-0005-0000-0000-0000C30E0000}"/>
    <cellStyle name="Total 2 5 19 2" xfId="3733" xr:uid="{00000000-0005-0000-0000-0000C40E0000}"/>
    <cellStyle name="Total 2 5 19 3" xfId="3734" xr:uid="{00000000-0005-0000-0000-0000C50E0000}"/>
    <cellStyle name="Total 2 5 19 4" xfId="3735" xr:uid="{00000000-0005-0000-0000-0000C60E0000}"/>
    <cellStyle name="Total 2 5 2" xfId="3736" xr:uid="{00000000-0005-0000-0000-0000C70E0000}"/>
    <cellStyle name="Total 2 5 2 2" xfId="3737" xr:uid="{00000000-0005-0000-0000-0000C80E0000}"/>
    <cellStyle name="Total 2 5 2 3" xfId="3738" xr:uid="{00000000-0005-0000-0000-0000C90E0000}"/>
    <cellStyle name="Total 2 5 2 4" xfId="3739" xr:uid="{00000000-0005-0000-0000-0000CA0E0000}"/>
    <cellStyle name="Total 2 5 2 5" xfId="3740" xr:uid="{00000000-0005-0000-0000-0000CB0E0000}"/>
    <cellStyle name="Total 2 5 20" xfId="3741" xr:uid="{00000000-0005-0000-0000-0000CC0E0000}"/>
    <cellStyle name="Total 2 5 20 2" xfId="3742" xr:uid="{00000000-0005-0000-0000-0000CD0E0000}"/>
    <cellStyle name="Total 2 5 20 3" xfId="3743" xr:uid="{00000000-0005-0000-0000-0000CE0E0000}"/>
    <cellStyle name="Total 2 5 20 4" xfId="3744" xr:uid="{00000000-0005-0000-0000-0000CF0E0000}"/>
    <cellStyle name="Total 2 5 21" xfId="3745" xr:uid="{00000000-0005-0000-0000-0000D00E0000}"/>
    <cellStyle name="Total 2 5 3" xfId="3746" xr:uid="{00000000-0005-0000-0000-0000D10E0000}"/>
    <cellStyle name="Total 2 5 3 2" xfId="3747" xr:uid="{00000000-0005-0000-0000-0000D20E0000}"/>
    <cellStyle name="Total 2 5 3 3" xfId="3748" xr:uid="{00000000-0005-0000-0000-0000D30E0000}"/>
    <cellStyle name="Total 2 5 3 4" xfId="3749" xr:uid="{00000000-0005-0000-0000-0000D40E0000}"/>
    <cellStyle name="Total 2 5 3 5" xfId="3750" xr:uid="{00000000-0005-0000-0000-0000D50E0000}"/>
    <cellStyle name="Total 2 5 4" xfId="3751" xr:uid="{00000000-0005-0000-0000-0000D60E0000}"/>
    <cellStyle name="Total 2 5 4 2" xfId="3752" xr:uid="{00000000-0005-0000-0000-0000D70E0000}"/>
    <cellStyle name="Total 2 5 4 3" xfId="3753" xr:uid="{00000000-0005-0000-0000-0000D80E0000}"/>
    <cellStyle name="Total 2 5 4 4" xfId="3754" xr:uid="{00000000-0005-0000-0000-0000D90E0000}"/>
    <cellStyle name="Total 2 5 4 5" xfId="3755" xr:uid="{00000000-0005-0000-0000-0000DA0E0000}"/>
    <cellStyle name="Total 2 5 5" xfId="3756" xr:uid="{00000000-0005-0000-0000-0000DB0E0000}"/>
    <cellStyle name="Total 2 5 5 2" xfId="3757" xr:uid="{00000000-0005-0000-0000-0000DC0E0000}"/>
    <cellStyle name="Total 2 5 5 3" xfId="3758" xr:uid="{00000000-0005-0000-0000-0000DD0E0000}"/>
    <cellStyle name="Total 2 5 5 4" xfId="3759" xr:uid="{00000000-0005-0000-0000-0000DE0E0000}"/>
    <cellStyle name="Total 2 5 5 5" xfId="3760" xr:uid="{00000000-0005-0000-0000-0000DF0E0000}"/>
    <cellStyle name="Total 2 5 6" xfId="3761" xr:uid="{00000000-0005-0000-0000-0000E00E0000}"/>
    <cellStyle name="Total 2 5 6 2" xfId="3762" xr:uid="{00000000-0005-0000-0000-0000E10E0000}"/>
    <cellStyle name="Total 2 5 6 3" xfId="3763" xr:uid="{00000000-0005-0000-0000-0000E20E0000}"/>
    <cellStyle name="Total 2 5 6 4" xfId="3764" xr:uid="{00000000-0005-0000-0000-0000E30E0000}"/>
    <cellStyle name="Total 2 5 6 5" xfId="3765" xr:uid="{00000000-0005-0000-0000-0000E40E0000}"/>
    <cellStyle name="Total 2 5 7" xfId="3766" xr:uid="{00000000-0005-0000-0000-0000E50E0000}"/>
    <cellStyle name="Total 2 5 7 2" xfId="3767" xr:uid="{00000000-0005-0000-0000-0000E60E0000}"/>
    <cellStyle name="Total 2 5 7 3" xfId="3768" xr:uid="{00000000-0005-0000-0000-0000E70E0000}"/>
    <cellStyle name="Total 2 5 7 4" xfId="3769" xr:uid="{00000000-0005-0000-0000-0000E80E0000}"/>
    <cellStyle name="Total 2 5 7 5" xfId="3770" xr:uid="{00000000-0005-0000-0000-0000E90E0000}"/>
    <cellStyle name="Total 2 5 8" xfId="3771" xr:uid="{00000000-0005-0000-0000-0000EA0E0000}"/>
    <cellStyle name="Total 2 5 8 2" xfId="3772" xr:uid="{00000000-0005-0000-0000-0000EB0E0000}"/>
    <cellStyle name="Total 2 5 8 3" xfId="3773" xr:uid="{00000000-0005-0000-0000-0000EC0E0000}"/>
    <cellStyle name="Total 2 5 8 4" xfId="3774" xr:uid="{00000000-0005-0000-0000-0000ED0E0000}"/>
    <cellStyle name="Total 2 5 8 5" xfId="3775" xr:uid="{00000000-0005-0000-0000-0000EE0E0000}"/>
    <cellStyle name="Total 2 5 9" xfId="3776" xr:uid="{00000000-0005-0000-0000-0000EF0E0000}"/>
    <cellStyle name="Total 2 5 9 2" xfId="3777" xr:uid="{00000000-0005-0000-0000-0000F00E0000}"/>
    <cellStyle name="Total 2 5 9 3" xfId="3778" xr:uid="{00000000-0005-0000-0000-0000F10E0000}"/>
    <cellStyle name="Total 2 5 9 4" xfId="3779" xr:uid="{00000000-0005-0000-0000-0000F20E0000}"/>
    <cellStyle name="Total 2 5 9 5" xfId="3780" xr:uid="{00000000-0005-0000-0000-0000F30E0000}"/>
    <cellStyle name="Total 2 6" xfId="3781" xr:uid="{00000000-0005-0000-0000-0000F40E0000}"/>
    <cellStyle name="Total 2 6 10" xfId="3782" xr:uid="{00000000-0005-0000-0000-0000F50E0000}"/>
    <cellStyle name="Total 2 6 10 2" xfId="3783" xr:uid="{00000000-0005-0000-0000-0000F60E0000}"/>
    <cellStyle name="Total 2 6 10 3" xfId="3784" xr:uid="{00000000-0005-0000-0000-0000F70E0000}"/>
    <cellStyle name="Total 2 6 10 4" xfId="3785" xr:uid="{00000000-0005-0000-0000-0000F80E0000}"/>
    <cellStyle name="Total 2 6 10 5" xfId="3786" xr:uid="{00000000-0005-0000-0000-0000F90E0000}"/>
    <cellStyle name="Total 2 6 11" xfId="3787" xr:uid="{00000000-0005-0000-0000-0000FA0E0000}"/>
    <cellStyle name="Total 2 6 11 2" xfId="3788" xr:uid="{00000000-0005-0000-0000-0000FB0E0000}"/>
    <cellStyle name="Total 2 6 11 3" xfId="3789" xr:uid="{00000000-0005-0000-0000-0000FC0E0000}"/>
    <cellStyle name="Total 2 6 11 4" xfId="3790" xr:uid="{00000000-0005-0000-0000-0000FD0E0000}"/>
    <cellStyle name="Total 2 6 11 5" xfId="3791" xr:uid="{00000000-0005-0000-0000-0000FE0E0000}"/>
    <cellStyle name="Total 2 6 12" xfId="3792" xr:uid="{00000000-0005-0000-0000-0000FF0E0000}"/>
    <cellStyle name="Total 2 6 12 2" xfId="3793" xr:uid="{00000000-0005-0000-0000-0000000F0000}"/>
    <cellStyle name="Total 2 6 12 3" xfId="3794" xr:uid="{00000000-0005-0000-0000-0000010F0000}"/>
    <cellStyle name="Total 2 6 12 4" xfId="3795" xr:uid="{00000000-0005-0000-0000-0000020F0000}"/>
    <cellStyle name="Total 2 6 12 5" xfId="3796" xr:uid="{00000000-0005-0000-0000-0000030F0000}"/>
    <cellStyle name="Total 2 6 13" xfId="3797" xr:uid="{00000000-0005-0000-0000-0000040F0000}"/>
    <cellStyle name="Total 2 6 13 2" xfId="3798" xr:uid="{00000000-0005-0000-0000-0000050F0000}"/>
    <cellStyle name="Total 2 6 13 3" xfId="3799" xr:uid="{00000000-0005-0000-0000-0000060F0000}"/>
    <cellStyle name="Total 2 6 13 4" xfId="3800" xr:uid="{00000000-0005-0000-0000-0000070F0000}"/>
    <cellStyle name="Total 2 6 13 5" xfId="3801" xr:uid="{00000000-0005-0000-0000-0000080F0000}"/>
    <cellStyle name="Total 2 6 14" xfId="3802" xr:uid="{00000000-0005-0000-0000-0000090F0000}"/>
    <cellStyle name="Total 2 6 14 2" xfId="3803" xr:uid="{00000000-0005-0000-0000-00000A0F0000}"/>
    <cellStyle name="Total 2 6 14 3" xfId="3804" xr:uid="{00000000-0005-0000-0000-00000B0F0000}"/>
    <cellStyle name="Total 2 6 14 4" xfId="3805" xr:uid="{00000000-0005-0000-0000-00000C0F0000}"/>
    <cellStyle name="Total 2 6 14 5" xfId="3806" xr:uid="{00000000-0005-0000-0000-00000D0F0000}"/>
    <cellStyle name="Total 2 6 15" xfId="3807" xr:uid="{00000000-0005-0000-0000-00000E0F0000}"/>
    <cellStyle name="Total 2 6 15 2" xfId="3808" xr:uid="{00000000-0005-0000-0000-00000F0F0000}"/>
    <cellStyle name="Total 2 6 15 3" xfId="3809" xr:uid="{00000000-0005-0000-0000-0000100F0000}"/>
    <cellStyle name="Total 2 6 15 4" xfId="3810" xr:uid="{00000000-0005-0000-0000-0000110F0000}"/>
    <cellStyle name="Total 2 6 15 5" xfId="3811" xr:uid="{00000000-0005-0000-0000-0000120F0000}"/>
    <cellStyle name="Total 2 6 16" xfId="3812" xr:uid="{00000000-0005-0000-0000-0000130F0000}"/>
    <cellStyle name="Total 2 6 16 2" xfId="3813" xr:uid="{00000000-0005-0000-0000-0000140F0000}"/>
    <cellStyle name="Total 2 6 16 3" xfId="3814" xr:uid="{00000000-0005-0000-0000-0000150F0000}"/>
    <cellStyle name="Total 2 6 16 4" xfId="3815" xr:uid="{00000000-0005-0000-0000-0000160F0000}"/>
    <cellStyle name="Total 2 6 16 5" xfId="3816" xr:uid="{00000000-0005-0000-0000-0000170F0000}"/>
    <cellStyle name="Total 2 6 17" xfId="3817" xr:uid="{00000000-0005-0000-0000-0000180F0000}"/>
    <cellStyle name="Total 2 6 17 2" xfId="3818" xr:uid="{00000000-0005-0000-0000-0000190F0000}"/>
    <cellStyle name="Total 2 6 17 3" xfId="3819" xr:uid="{00000000-0005-0000-0000-00001A0F0000}"/>
    <cellStyle name="Total 2 6 17 4" xfId="3820" xr:uid="{00000000-0005-0000-0000-00001B0F0000}"/>
    <cellStyle name="Total 2 6 17 5" xfId="3821" xr:uid="{00000000-0005-0000-0000-00001C0F0000}"/>
    <cellStyle name="Total 2 6 18" xfId="3822" xr:uid="{00000000-0005-0000-0000-00001D0F0000}"/>
    <cellStyle name="Total 2 6 18 2" xfId="3823" xr:uid="{00000000-0005-0000-0000-00001E0F0000}"/>
    <cellStyle name="Total 2 6 18 3" xfId="3824" xr:uid="{00000000-0005-0000-0000-00001F0F0000}"/>
    <cellStyle name="Total 2 6 18 4" xfId="3825" xr:uid="{00000000-0005-0000-0000-0000200F0000}"/>
    <cellStyle name="Total 2 6 18 5" xfId="3826" xr:uid="{00000000-0005-0000-0000-0000210F0000}"/>
    <cellStyle name="Total 2 6 19" xfId="3827" xr:uid="{00000000-0005-0000-0000-0000220F0000}"/>
    <cellStyle name="Total 2 6 19 2" xfId="3828" xr:uid="{00000000-0005-0000-0000-0000230F0000}"/>
    <cellStyle name="Total 2 6 19 3" xfId="3829" xr:uid="{00000000-0005-0000-0000-0000240F0000}"/>
    <cellStyle name="Total 2 6 19 4" xfId="3830" xr:uid="{00000000-0005-0000-0000-0000250F0000}"/>
    <cellStyle name="Total 2 6 19 5" xfId="3831" xr:uid="{00000000-0005-0000-0000-0000260F0000}"/>
    <cellStyle name="Total 2 6 2" xfId="3832" xr:uid="{00000000-0005-0000-0000-0000270F0000}"/>
    <cellStyle name="Total 2 6 2 2" xfId="3833" xr:uid="{00000000-0005-0000-0000-0000280F0000}"/>
    <cellStyle name="Total 2 6 2 3" xfId="3834" xr:uid="{00000000-0005-0000-0000-0000290F0000}"/>
    <cellStyle name="Total 2 6 2 4" xfId="3835" xr:uid="{00000000-0005-0000-0000-00002A0F0000}"/>
    <cellStyle name="Total 2 6 2 5" xfId="3836" xr:uid="{00000000-0005-0000-0000-00002B0F0000}"/>
    <cellStyle name="Total 2 6 20" xfId="3837" xr:uid="{00000000-0005-0000-0000-00002C0F0000}"/>
    <cellStyle name="Total 2 6 20 2" xfId="3838" xr:uid="{00000000-0005-0000-0000-00002D0F0000}"/>
    <cellStyle name="Total 2 6 20 3" xfId="3839" xr:uid="{00000000-0005-0000-0000-00002E0F0000}"/>
    <cellStyle name="Total 2 6 20 4" xfId="3840" xr:uid="{00000000-0005-0000-0000-00002F0F0000}"/>
    <cellStyle name="Total 2 6 20 5" xfId="3841" xr:uid="{00000000-0005-0000-0000-0000300F0000}"/>
    <cellStyle name="Total 2 6 21" xfId="3842" xr:uid="{00000000-0005-0000-0000-0000310F0000}"/>
    <cellStyle name="Total 2 6 21 2" xfId="3843" xr:uid="{00000000-0005-0000-0000-0000320F0000}"/>
    <cellStyle name="Total 2 6 21 3" xfId="3844" xr:uid="{00000000-0005-0000-0000-0000330F0000}"/>
    <cellStyle name="Total 2 6 21 4" xfId="3845" xr:uid="{00000000-0005-0000-0000-0000340F0000}"/>
    <cellStyle name="Total 2 6 21 5" xfId="3846" xr:uid="{00000000-0005-0000-0000-0000350F0000}"/>
    <cellStyle name="Total 2 6 22" xfId="3847" xr:uid="{00000000-0005-0000-0000-0000360F0000}"/>
    <cellStyle name="Total 2 6 22 2" xfId="3848" xr:uid="{00000000-0005-0000-0000-0000370F0000}"/>
    <cellStyle name="Total 2 6 22 3" xfId="3849" xr:uid="{00000000-0005-0000-0000-0000380F0000}"/>
    <cellStyle name="Total 2 6 22 4" xfId="3850" xr:uid="{00000000-0005-0000-0000-0000390F0000}"/>
    <cellStyle name="Total 2 6 23" xfId="3851" xr:uid="{00000000-0005-0000-0000-00003A0F0000}"/>
    <cellStyle name="Total 2 6 23 2" xfId="3852" xr:uid="{00000000-0005-0000-0000-00003B0F0000}"/>
    <cellStyle name="Total 2 6 23 3" xfId="3853" xr:uid="{00000000-0005-0000-0000-00003C0F0000}"/>
    <cellStyle name="Total 2 6 23 4" xfId="3854" xr:uid="{00000000-0005-0000-0000-00003D0F0000}"/>
    <cellStyle name="Total 2 6 24" xfId="3855" xr:uid="{00000000-0005-0000-0000-00003E0F0000}"/>
    <cellStyle name="Total 2 6 24 2" xfId="3856" xr:uid="{00000000-0005-0000-0000-00003F0F0000}"/>
    <cellStyle name="Total 2 6 24 3" xfId="3857" xr:uid="{00000000-0005-0000-0000-0000400F0000}"/>
    <cellStyle name="Total 2 6 24 4" xfId="3858" xr:uid="{00000000-0005-0000-0000-0000410F0000}"/>
    <cellStyle name="Total 2 6 25" xfId="3859" xr:uid="{00000000-0005-0000-0000-0000420F0000}"/>
    <cellStyle name="Total 2 6 25 2" xfId="3860" xr:uid="{00000000-0005-0000-0000-0000430F0000}"/>
    <cellStyle name="Total 2 6 25 3" xfId="3861" xr:uid="{00000000-0005-0000-0000-0000440F0000}"/>
    <cellStyle name="Total 2 6 25 4" xfId="3862" xr:uid="{00000000-0005-0000-0000-0000450F0000}"/>
    <cellStyle name="Total 2 6 3" xfId="3863" xr:uid="{00000000-0005-0000-0000-0000460F0000}"/>
    <cellStyle name="Total 2 6 3 2" xfId="3864" xr:uid="{00000000-0005-0000-0000-0000470F0000}"/>
    <cellStyle name="Total 2 6 3 3" xfId="3865" xr:uid="{00000000-0005-0000-0000-0000480F0000}"/>
    <cellStyle name="Total 2 6 3 4" xfId="3866" xr:uid="{00000000-0005-0000-0000-0000490F0000}"/>
    <cellStyle name="Total 2 6 3 5" xfId="3867" xr:uid="{00000000-0005-0000-0000-00004A0F0000}"/>
    <cellStyle name="Total 2 6 4" xfId="3868" xr:uid="{00000000-0005-0000-0000-00004B0F0000}"/>
    <cellStyle name="Total 2 6 4 2" xfId="3869" xr:uid="{00000000-0005-0000-0000-00004C0F0000}"/>
    <cellStyle name="Total 2 6 4 3" xfId="3870" xr:uid="{00000000-0005-0000-0000-00004D0F0000}"/>
    <cellStyle name="Total 2 6 4 4" xfId="3871" xr:uid="{00000000-0005-0000-0000-00004E0F0000}"/>
    <cellStyle name="Total 2 6 4 5" xfId="3872" xr:uid="{00000000-0005-0000-0000-00004F0F0000}"/>
    <cellStyle name="Total 2 6 5" xfId="3873" xr:uid="{00000000-0005-0000-0000-0000500F0000}"/>
    <cellStyle name="Total 2 6 5 2" xfId="3874" xr:uid="{00000000-0005-0000-0000-0000510F0000}"/>
    <cellStyle name="Total 2 6 5 3" xfId="3875" xr:uid="{00000000-0005-0000-0000-0000520F0000}"/>
    <cellStyle name="Total 2 6 5 4" xfId="3876" xr:uid="{00000000-0005-0000-0000-0000530F0000}"/>
    <cellStyle name="Total 2 6 5 5" xfId="3877" xr:uid="{00000000-0005-0000-0000-0000540F0000}"/>
    <cellStyle name="Total 2 6 6" xfId="3878" xr:uid="{00000000-0005-0000-0000-0000550F0000}"/>
    <cellStyle name="Total 2 6 6 2" xfId="3879" xr:uid="{00000000-0005-0000-0000-0000560F0000}"/>
    <cellStyle name="Total 2 6 6 3" xfId="3880" xr:uid="{00000000-0005-0000-0000-0000570F0000}"/>
    <cellStyle name="Total 2 6 6 4" xfId="3881" xr:uid="{00000000-0005-0000-0000-0000580F0000}"/>
    <cellStyle name="Total 2 6 6 5" xfId="3882" xr:uid="{00000000-0005-0000-0000-0000590F0000}"/>
    <cellStyle name="Total 2 6 7" xfId="3883" xr:uid="{00000000-0005-0000-0000-00005A0F0000}"/>
    <cellStyle name="Total 2 6 7 2" xfId="3884" xr:uid="{00000000-0005-0000-0000-00005B0F0000}"/>
    <cellStyle name="Total 2 6 7 3" xfId="3885" xr:uid="{00000000-0005-0000-0000-00005C0F0000}"/>
    <cellStyle name="Total 2 6 7 4" xfId="3886" xr:uid="{00000000-0005-0000-0000-00005D0F0000}"/>
    <cellStyle name="Total 2 6 7 5" xfId="3887" xr:uid="{00000000-0005-0000-0000-00005E0F0000}"/>
    <cellStyle name="Total 2 6 8" xfId="3888" xr:uid="{00000000-0005-0000-0000-00005F0F0000}"/>
    <cellStyle name="Total 2 6 8 2" xfId="3889" xr:uid="{00000000-0005-0000-0000-0000600F0000}"/>
    <cellStyle name="Total 2 6 8 3" xfId="3890" xr:uid="{00000000-0005-0000-0000-0000610F0000}"/>
    <cellStyle name="Total 2 6 8 4" xfId="3891" xr:uid="{00000000-0005-0000-0000-0000620F0000}"/>
    <cellStyle name="Total 2 6 8 5" xfId="3892" xr:uid="{00000000-0005-0000-0000-0000630F0000}"/>
    <cellStyle name="Total 2 6 9" xfId="3893" xr:uid="{00000000-0005-0000-0000-0000640F0000}"/>
    <cellStyle name="Total 2 6 9 2" xfId="3894" xr:uid="{00000000-0005-0000-0000-0000650F0000}"/>
    <cellStyle name="Total 2 6 9 3" xfId="3895" xr:uid="{00000000-0005-0000-0000-0000660F0000}"/>
    <cellStyle name="Total 2 6 9 4" xfId="3896" xr:uid="{00000000-0005-0000-0000-0000670F0000}"/>
    <cellStyle name="Total 2 6 9 5" xfId="3897" xr:uid="{00000000-0005-0000-0000-0000680F0000}"/>
    <cellStyle name="Total 2 7" xfId="3898" xr:uid="{00000000-0005-0000-0000-0000690F0000}"/>
    <cellStyle name="Total 2 7 2" xfId="3899" xr:uid="{00000000-0005-0000-0000-00006A0F0000}"/>
    <cellStyle name="Total 2 7 3" xfId="3900" xr:uid="{00000000-0005-0000-0000-00006B0F0000}"/>
    <cellStyle name="Total 2 7 4" xfId="3901" xr:uid="{00000000-0005-0000-0000-00006C0F0000}"/>
    <cellStyle name="Total 2 7 5" xfId="3902" xr:uid="{00000000-0005-0000-0000-00006D0F0000}"/>
    <cellStyle name="Total 2 8" xfId="3903" xr:uid="{00000000-0005-0000-0000-00006E0F0000}"/>
    <cellStyle name="Total 2 8 2" xfId="3904" xr:uid="{00000000-0005-0000-0000-00006F0F0000}"/>
    <cellStyle name="Total 2 8 3" xfId="3905" xr:uid="{00000000-0005-0000-0000-0000700F0000}"/>
    <cellStyle name="Total 2 8 4" xfId="3906" xr:uid="{00000000-0005-0000-0000-0000710F0000}"/>
    <cellStyle name="Total 2 8 5" xfId="3907" xr:uid="{00000000-0005-0000-0000-0000720F0000}"/>
    <cellStyle name="Total 2 9" xfId="3908" xr:uid="{00000000-0005-0000-0000-0000730F0000}"/>
    <cellStyle name="Total 2 9 2" xfId="3909" xr:uid="{00000000-0005-0000-0000-0000740F0000}"/>
    <cellStyle name="Total 2 9 3" xfId="3910" xr:uid="{00000000-0005-0000-0000-0000750F0000}"/>
    <cellStyle name="Total 2 9 4" xfId="3911" xr:uid="{00000000-0005-0000-0000-0000760F0000}"/>
    <cellStyle name="Total 2 9 5" xfId="3912" xr:uid="{00000000-0005-0000-0000-0000770F0000}"/>
    <cellStyle name="TotalStyleCurrency" xfId="3913" xr:uid="{00000000-0005-0000-0000-0000780F0000}"/>
    <cellStyle name="TotalStyleText" xfId="3914" xr:uid="{00000000-0005-0000-0000-0000790F0000}"/>
    <cellStyle name="u5shares" xfId="179" xr:uid="{00000000-0005-0000-0000-00007A0F0000}"/>
    <cellStyle name="Variable assumptions" xfId="180" xr:uid="{00000000-0005-0000-0000-00007B0F0000}"/>
    <cellStyle name="Warning Text 2" xfId="181" xr:uid="{00000000-0005-0000-0000-00007C0F0000}"/>
    <cellStyle name="Warning Text 2 2" xfId="3915" xr:uid="{00000000-0005-0000-0000-00007D0F0000}"/>
  </cellStyles>
  <dxfs count="90"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00B05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85" formatCode="&quot;-&quot;"/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numFmt numFmtId="185" formatCode="&quot;-&quot;"/>
    </dxf>
    <dxf>
      <font>
        <b/>
        <i/>
        <color rgb="FFFF0000"/>
      </font>
      <fill>
        <patternFill>
          <bgColor theme="8" tint="0.79998168889431442"/>
        </patternFill>
      </fill>
    </dxf>
    <dxf>
      <font>
        <color rgb="FFFF0000"/>
      </font>
    </dxf>
    <dxf>
      <numFmt numFmtId="185" formatCode="&quot;-&quot;"/>
    </dxf>
    <dxf>
      <font>
        <color rgb="FFFF0000"/>
      </font>
    </dxf>
    <dxf>
      <numFmt numFmtId="185" formatCode="&quot;-&quot;"/>
    </dxf>
    <dxf>
      <font>
        <color rgb="FFFF0000"/>
      </font>
    </dxf>
    <dxf>
      <font>
        <color rgb="FFFF0000"/>
      </font>
    </dxf>
  </dxfs>
  <tableStyles count="1" defaultTableStyle="TableStyleMedium2" defaultPivotStyle="PivotStyleLight16">
    <tableStyle name="Invisible" pivot="0" table="0" count="0" xr9:uid="{FAC27B28-4E9A-44CE-BEF3-A1600659FB25}"/>
  </tableStyles>
  <colors>
    <mruColors>
      <color rgb="FFFFFFCC"/>
      <color rgb="FFFDE8B3"/>
      <color rgb="FFD00070"/>
      <color rgb="FFCCCCFF"/>
      <color rgb="FF3C3C3B"/>
      <color rgb="FF84329B"/>
      <color rgb="FF99FFCC"/>
      <color rgb="FFFFCC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476250</xdr:colOff>
      <xdr:row>0</xdr:row>
      <xdr:rowOff>122466</xdr:rowOff>
    </xdr:from>
    <xdr:to>
      <xdr:col>18</xdr:col>
      <xdr:colOff>1081234</xdr:colOff>
      <xdr:row>4</xdr:row>
      <xdr:rowOff>91862</xdr:rowOff>
    </xdr:to>
    <xdr:pic>
      <xdr:nvPicPr>
        <xdr:cNvPr id="5" name="Picture 4" descr="Birmingham City Council">
          <a:extLst>
            <a:ext uri="{FF2B5EF4-FFF2-40B4-BE49-F238E27FC236}">
              <a16:creationId xmlns:a16="http://schemas.microsoft.com/office/drawing/2014/main" id="{92F6C8E5-89AD-DAB4-20F7-17CDDA0E79B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84536" y="122466"/>
          <a:ext cx="5061777" cy="11436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288390</xdr:colOff>
      <xdr:row>0</xdr:row>
      <xdr:rowOff>176894</xdr:rowOff>
    </xdr:from>
    <xdr:to>
      <xdr:col>18</xdr:col>
      <xdr:colOff>108777</xdr:colOff>
      <xdr:row>3</xdr:row>
      <xdr:rowOff>220890</xdr:rowOff>
    </xdr:to>
    <xdr:pic>
      <xdr:nvPicPr>
        <xdr:cNvPr id="2" name="Picture 1" descr="BCC LOGO" title="BCC LOGO">
          <a:extLst>
            <a:ext uri="{FF2B5EF4-FFF2-40B4-BE49-F238E27FC236}">
              <a16:creationId xmlns:a16="http://schemas.microsoft.com/office/drawing/2014/main" id="{E7F92C89-FAE3-4066-BF50-91E5AA2165B1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95315" y="176894"/>
          <a:ext cx="4305301" cy="9869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652197</xdr:colOff>
      <xdr:row>0</xdr:row>
      <xdr:rowOff>174626</xdr:rowOff>
    </xdr:from>
    <xdr:to>
      <xdr:col>23</xdr:col>
      <xdr:colOff>3992079</xdr:colOff>
      <xdr:row>3</xdr:row>
      <xdr:rowOff>215810</xdr:rowOff>
    </xdr:to>
    <xdr:pic>
      <xdr:nvPicPr>
        <xdr:cNvPr id="3" name="Picture 2" descr="BCC LOGO" title="BCC LOGO">
          <a:extLst>
            <a:ext uri="{FF2B5EF4-FFF2-40B4-BE49-F238E27FC236}">
              <a16:creationId xmlns:a16="http://schemas.microsoft.com/office/drawing/2014/main" id="{A5DE5EEA-BE64-4BD6-B1EC-A7781ED8A267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8166" y="174626"/>
          <a:ext cx="4304288" cy="96987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ameron Birkett" id="{6976757E-C441-48A1-8570-B569C0B2CAC7}" userId="S::Cameron.Birkett@birmingham.gov.uk::92177288-7bf8-432f-b8e4-24cf83a0a80d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meron Birkett" refreshedDate="46141.410637384259" createdVersion="8" refreshedVersion="8" minRefreshableVersion="3" recordCount="186" xr:uid="{2E7CA7EE-C515-4666-B314-28F6670E8C3A}">
  <cacheSource type="worksheet">
    <worksheetSource ref="A8:P194" sheet="PIVOT Summary May 2026"/>
  </cacheSource>
  <cacheFields count="16">
    <cacheField name="DfE #" numFmtId="0">
      <sharedItems containsSemiMixedTypes="0" containsString="0" containsNumber="1" containsInteger="1" minValue="1000" maxValue="7062"/>
    </cacheField>
    <cacheField name="URN" numFmtId="0">
      <sharedItems containsSemiMixedTypes="0" containsString="0" containsNumber="1" containsInteger="1" minValue="103120" maxValue="137796"/>
    </cacheField>
    <cacheField name="Cost centre" numFmtId="0">
      <sharedItems/>
    </cacheField>
    <cacheField name="School" numFmtId="0">
      <sharedItems/>
    </cacheField>
    <cacheField name="Phase" numFmtId="0">
      <sharedItems/>
    </cacheField>
    <cacheField name="School Type" numFmtId="0">
      <sharedItems count="2">
        <s v="Chq Bk"/>
        <s v="Academy"/>
      </sharedItems>
    </cacheField>
    <cacheField name="Schools block budget share (before de-delegation &amp; NNDR)" numFmtId="0">
      <sharedItems containsSemiMixedTypes="0" containsString="0" containsNumber="1" minValue="0" maxValue="899023.65492932394"/>
    </cacheField>
    <cacheField name="High Needs Place Funding Pre-16" numFmtId="0">
      <sharedItems containsSemiMixedTypes="0" containsString="0" containsNumber="1" minValue="0" maxValue="500000"/>
    </cacheField>
    <cacheField name="Resource Base Place Funding" numFmtId="0">
      <sharedItems containsSemiMixedTypes="0" containsString="0" containsNumber="1" minValue="-4000" maxValue="23000"/>
    </cacheField>
    <cacheField name="High Needs Place Funding Post-16" numFmtId="0">
      <sharedItems containsSemiMixedTypes="0" containsString="0" containsNumber="1" minValue="0" maxValue="89166.666666666672"/>
    </cacheField>
    <cacheField name="Sixth Form Funding" numFmtId="0">
      <sharedItems containsSemiMixedTypes="0" containsString="0" containsNumber="1" minValue="0" maxValue="197073.33333333334"/>
    </cacheField>
    <cacheField name="High Needs Top up Funding*&amp; High Needs - special/units Top-up" numFmtId="0">
      <sharedItems containsSemiMixedTypes="0" containsString="0" containsNumber="1" minValue="-13082.083333333334" maxValue="725171.5"/>
    </cacheField>
    <cacheField name="Resource Base Top up Funding" numFmtId="0">
      <sharedItems containsSemiMixedTypes="0" containsString="0" containsNumber="1" minValue="0" maxValue="44233.652499999997"/>
    </cacheField>
    <cacheField name="De-delegation" numFmtId="0">
      <sharedItems containsSemiMixedTypes="0" containsString="0" containsNumber="1" minValue="-1987.375" maxValue="0"/>
    </cacheField>
    <cacheField name="NNDR" numFmtId="0">
      <sharedItems containsSemiMixedTypes="0" containsString="0" containsNumber="1" minValue="-16405.304899999999" maxValue="0"/>
    </cacheField>
    <cacheField name="Total May Instalment" numFmtId="0">
      <sharedItems containsSemiMixedTypes="0" containsString="0" containsNumber="1" minValue="-13082.083333333334" maxValue="1225171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">
  <r>
    <n v="1027"/>
    <n v="103140"/>
    <s v="AX001"/>
    <s v="Adderley Nursery School"/>
    <s v="Nursery"/>
    <x v="0"/>
    <n v="0"/>
    <n v="0"/>
    <n v="0"/>
    <n v="0"/>
    <n v="0"/>
    <n v="2830.1666666666665"/>
    <n v="0"/>
    <n v="0"/>
    <n v="0"/>
    <n v="2830.1666666666665"/>
  </r>
  <r>
    <n v="2010"/>
    <n v="103159"/>
    <s v="AX085"/>
    <s v="Adderley Primary School"/>
    <s v="Primary"/>
    <x v="0"/>
    <n v="196994.16964298498"/>
    <n v="0"/>
    <n v="0"/>
    <n v="0"/>
    <n v="0"/>
    <n v="1414.1316666666669"/>
    <n v="0"/>
    <n v="-722.09999999999991"/>
    <n v="-4994.6260000000002"/>
    <n v="192691.57530965164"/>
  </r>
  <r>
    <n v="5949"/>
    <n v="131465"/>
    <s v="AX002"/>
    <s v="Al-Furqan Primary School"/>
    <s v="Primary"/>
    <x v="0"/>
    <n v="312168.10868507967"/>
    <n v="0"/>
    <n v="0"/>
    <n v="0"/>
    <n v="0"/>
    <n v="5463.354166666667"/>
    <n v="0"/>
    <n v="-1303.0999999999999"/>
    <n v="-936.49237499999992"/>
    <n v="315391.87047674641"/>
  </r>
  <r>
    <n v="1017"/>
    <n v="103130"/>
    <s v="AX087"/>
    <s v="Allens Croft Nursery School"/>
    <s v="Nursery"/>
    <x v="0"/>
    <n v="0"/>
    <n v="0"/>
    <n v="-3000"/>
    <n v="0"/>
    <n v="0"/>
    <n v="0"/>
    <n v="5001.416666666667"/>
    <n v="0"/>
    <n v="0"/>
    <n v="2001.416666666667"/>
  </r>
  <r>
    <n v="2153"/>
    <n v="103243"/>
    <s v="AX004"/>
    <s v="Allens Croft Primary School"/>
    <s v="Primary"/>
    <x v="0"/>
    <n v="210713.23352591635"/>
    <n v="0"/>
    <n v="23000"/>
    <n v="0"/>
    <n v="0"/>
    <n v="0"/>
    <n v="44233.652499999997"/>
    <n v="-792.65"/>
    <n v="-778.00905"/>
    <n v="276376.2269759163"/>
  </r>
  <r>
    <n v="2062"/>
    <n v="103192"/>
    <s v="AX006"/>
    <s v="Anderton Park Primary School"/>
    <s v="Primary"/>
    <x v="0"/>
    <n v="210461.62594001935"/>
    <n v="0"/>
    <n v="0"/>
    <n v="0"/>
    <n v="0"/>
    <n v="11810.735833333334"/>
    <n v="0"/>
    <n v="-763.59999999999991"/>
    <n v="-3313.7422499999998"/>
    <n v="218195.01952335268"/>
  </r>
  <r>
    <n v="2479"/>
    <n v="132074"/>
    <s v="AX007"/>
    <s v="Anglesey Primary School"/>
    <s v="Primary"/>
    <x v="0"/>
    <n v="348140.77399849525"/>
    <n v="0"/>
    <n v="6666.666666666667"/>
    <n v="0"/>
    <n v="0"/>
    <n v="0"/>
    <n v="20265.258333333335"/>
    <n v="-1284.425"/>
    <n v="-1865.3763583333332"/>
    <n v="371922.89764016197"/>
  </r>
  <r>
    <n v="2300"/>
    <n v="103324"/>
    <s v="AX008"/>
    <s v="Arden Primary School"/>
    <s v="Primary"/>
    <x v="0"/>
    <n v="332172.30221615004"/>
    <n v="0"/>
    <n v="0"/>
    <n v="0"/>
    <n v="0"/>
    <n v="10079.368333333334"/>
    <n v="0"/>
    <n v="-1294.8"/>
    <n v="-7636.0147499999994"/>
    <n v="333320.85579948343"/>
  </r>
  <r>
    <n v="2014"/>
    <n v="103162"/>
    <s v="AX00C"/>
    <s v="Barford Primary School"/>
    <s v="Primary"/>
    <x v="0"/>
    <n v="210064.87085380885"/>
    <n v="0"/>
    <n v="0"/>
    <n v="0"/>
    <n v="0"/>
    <n v="6244.083333333333"/>
    <n v="0"/>
    <n v="-794.72499999999991"/>
    <n v="-3409.7927500000001"/>
    <n v="212104.4364371422"/>
  </r>
  <r>
    <n v="7016"/>
    <n v="103606"/>
    <s v="AX00E"/>
    <s v="Baskerville School"/>
    <s v="Special"/>
    <x v="0"/>
    <n v="0"/>
    <n v="103333.33333333333"/>
    <n v="0"/>
    <n v="53333.333333333336"/>
    <n v="0"/>
    <n v="307510.67166666663"/>
    <n v="0"/>
    <n v="0"/>
    <n v="0"/>
    <n v="464177.33833333326"/>
  </r>
  <r>
    <n v="7052"/>
    <n v="103627"/>
    <s v="AX00F"/>
    <s v="Beaufort School"/>
    <s v="Special"/>
    <x v="0"/>
    <n v="0"/>
    <n v="78333.333333333328"/>
    <n v="0"/>
    <n v="0"/>
    <n v="0"/>
    <n v="147457.23083333336"/>
    <n v="0"/>
    <n v="0"/>
    <n v="0"/>
    <n v="225790.56416666671"/>
  </r>
  <r>
    <n v="2017"/>
    <n v="103164"/>
    <s v="AX04L"/>
    <s v="Beeches Infant School"/>
    <s v="Primary"/>
    <x v="0"/>
    <n v="146956.4376932022"/>
    <n v="0"/>
    <n v="0"/>
    <n v="0"/>
    <n v="0"/>
    <n v="5520.625"/>
    <n v="0"/>
    <n v="-516.67499999999995"/>
    <n v="-1507.9928499999999"/>
    <n v="150452.3948432022"/>
  </r>
  <r>
    <n v="2016"/>
    <n v="103163"/>
    <s v="AX04M"/>
    <s v="Beeches Junior School"/>
    <s v="Primary"/>
    <x v="0"/>
    <n v="199302.04464082597"/>
    <n v="0"/>
    <n v="0"/>
    <n v="0"/>
    <n v="0"/>
    <n v="9462.3608333333341"/>
    <n v="0"/>
    <n v="-749.07499999999993"/>
    <n v="-735.17774166666675"/>
    <n v="207280.15273249263"/>
  </r>
  <r>
    <n v="2239"/>
    <n v="103289"/>
    <s v="AX00G"/>
    <s v="Bellfield Infant School (NC)"/>
    <s v="Primary"/>
    <x v="0"/>
    <n v="82349.71122385771"/>
    <n v="0"/>
    <n v="0"/>
    <n v="0"/>
    <n v="0"/>
    <n v="6283.916666666667"/>
    <n v="0"/>
    <n v="-288.42500000000001"/>
    <n v="-976.83006666666677"/>
    <n v="87368.372823857717"/>
  </r>
  <r>
    <n v="2241"/>
    <n v="103291"/>
    <s v="AX00H"/>
    <s v="Bellfield Junior School"/>
    <s v="Primary"/>
    <x v="0"/>
    <n v="127942.43799801118"/>
    <n v="0"/>
    <n v="10000"/>
    <n v="0"/>
    <n v="0"/>
    <n v="0"/>
    <n v="6436.25"/>
    <n v="-479.32499999999999"/>
    <n v="-1294.868925"/>
    <n v="142604.49407301118"/>
  </r>
  <r>
    <n v="2456"/>
    <n v="103383"/>
    <s v="AX00J"/>
    <s v="Bells Farm Primary School"/>
    <s v="Primary"/>
    <x v="0"/>
    <n v="110894.54447486547"/>
    <n v="0"/>
    <n v="0"/>
    <n v="0"/>
    <n v="0"/>
    <n v="7391.416666666667"/>
    <n v="0"/>
    <n v="-408.77499999999992"/>
    <n v="-1909.2675666666667"/>
    <n v="115967.91857486549"/>
  </r>
  <r>
    <n v="5413"/>
    <n v="103560"/>
    <s v="AX08C"/>
    <s v="Bishop Challoner Catholic College"/>
    <s v="Secondary"/>
    <x v="0"/>
    <n v="647123.16323008994"/>
    <n v="0"/>
    <n v="0"/>
    <n v="0"/>
    <n v="132581.83333333334"/>
    <n v="8978.9166666666661"/>
    <n v="0"/>
    <n v="-1620.125"/>
    <n v="-2977.5655000000002"/>
    <n v="784086.22273008991"/>
  </r>
  <r>
    <n v="2254"/>
    <n v="103300"/>
    <s v="AX00Q"/>
    <s v="Blakesley Hall Primary School"/>
    <s v="Primary"/>
    <x v="0"/>
    <n v="260444.68513134503"/>
    <n v="0"/>
    <n v="7500"/>
    <n v="0"/>
    <n v="0"/>
    <n v="0"/>
    <n v="20750.444166666668"/>
    <n v="-962.79999999999984"/>
    <n v="-8116.2672499999999"/>
    <n v="279616.06204801175"/>
  </r>
  <r>
    <n v="1025"/>
    <n v="103138"/>
    <s v="AX00R"/>
    <s v="Bloomsbury Nursery School"/>
    <s v="Nursery"/>
    <x v="0"/>
    <n v="0"/>
    <n v="0"/>
    <n v="0"/>
    <n v="0"/>
    <n v="0"/>
    <n v="-8168.75"/>
    <n v="0"/>
    <n v="0"/>
    <n v="0"/>
    <n v="-8168.75"/>
  </r>
  <r>
    <n v="2402"/>
    <n v="103342"/>
    <s v="AX08G"/>
    <s v="Boldmere Infant School and Nursery"/>
    <s v="Primary"/>
    <x v="0"/>
    <n v="119557.29451489016"/>
    <n v="0"/>
    <n v="10166.666666666666"/>
    <n v="0"/>
    <n v="0"/>
    <n v="0"/>
    <n v="30085.318333333333"/>
    <n v="-562.32499999999993"/>
    <n v="-1986.0771750000001"/>
    <n v="157260.87733989014"/>
  </r>
  <r>
    <n v="2401"/>
    <n v="103341"/>
    <s v="AX00T"/>
    <s v="Boldmere Junior School"/>
    <s v="Primary"/>
    <x v="0"/>
    <n v="164616.38875000001"/>
    <n v="0"/>
    <n v="0"/>
    <n v="0"/>
    <n v="0"/>
    <n v="4069.7158333333332"/>
    <n v="0"/>
    <n v="-788.5"/>
    <n v="-2641.3887500000001"/>
    <n v="165256.21583333332"/>
  </r>
  <r>
    <n v="1001"/>
    <n v="103120"/>
    <s v="AX00U"/>
    <s v="Bordesley Green East Nursery School"/>
    <s v="Nursery"/>
    <x v="0"/>
    <n v="0"/>
    <n v="0"/>
    <n v="0"/>
    <n v="0"/>
    <n v="0"/>
    <n v="461.45833333333331"/>
    <n v="0"/>
    <n v="0"/>
    <n v="0"/>
    <n v="461.45833333333331"/>
  </r>
  <r>
    <n v="4115"/>
    <n v="103493"/>
    <s v="AX08J"/>
    <s v="Bordesley Green Girls' School &amp; Sixth Form"/>
    <s v="Secondary"/>
    <x v="0"/>
    <n v="459999.44624522794"/>
    <n v="0"/>
    <n v="6000"/>
    <n v="0"/>
    <n v="197073.33333333334"/>
    <n v="0"/>
    <n v="25313.668333333335"/>
    <n v="-1004.25"/>
    <n v="-2809.4771249999999"/>
    <n v="684572.72078689467"/>
  </r>
  <r>
    <n v="2030"/>
    <n v="103172"/>
    <s v="AX08H"/>
    <s v="Bordesley Green Primary School"/>
    <s v="Primary"/>
    <x v="0"/>
    <n v="324087.1681666089"/>
    <n v="0"/>
    <n v="0"/>
    <n v="0"/>
    <n v="0"/>
    <n v="3227.75"/>
    <n v="0"/>
    <n v="-1265.75"/>
    <n v="-1027.74035"/>
    <n v="325021.42781660892"/>
  </r>
  <r>
    <n v="3353"/>
    <n v="103445"/>
    <s v="AX00X"/>
    <s v="Bournville Village Primary"/>
    <s v="Primary"/>
    <x v="0"/>
    <n v="276653.007025"/>
    <n v="0"/>
    <n v="0"/>
    <n v="0"/>
    <n v="0"/>
    <n v="9411.2433333333338"/>
    <n v="0"/>
    <n v="-1342.5249999999999"/>
    <n v="-869.257025"/>
    <n v="283852.46833333332"/>
  </r>
  <r>
    <n v="7030"/>
    <n v="103611"/>
    <s v="AX00Y"/>
    <s v="Braidwood School for the Deaf"/>
    <s v="Special"/>
    <x v="0"/>
    <n v="0"/>
    <n v="52083.333333333336"/>
    <n v="0"/>
    <n v="14166.666666666666"/>
    <n v="0"/>
    <n v="85860.150000000009"/>
    <n v="0"/>
    <n v="0"/>
    <n v="0"/>
    <n v="152110.15000000002"/>
  </r>
  <r>
    <n v="1002"/>
    <n v="103121"/>
    <s v="AX00Z"/>
    <s v="Brearley Nursery School"/>
    <s v="Nursery"/>
    <x v="0"/>
    <n v="0"/>
    <n v="0"/>
    <n v="0"/>
    <n v="0"/>
    <n v="0"/>
    <n v="-6664.25"/>
    <n v="0"/>
    <n v="0"/>
    <n v="0"/>
    <n v="-6664.25"/>
  </r>
  <r>
    <n v="2465"/>
    <n v="103391"/>
    <s v="AX013"/>
    <s v="Calshot Primary School"/>
    <s v="Primary"/>
    <x v="0"/>
    <n v="234925.1604261926"/>
    <n v="0"/>
    <n v="0"/>
    <n v="0"/>
    <n v="0"/>
    <n v="10491.833333333334"/>
    <n v="0"/>
    <n v="-854.9"/>
    <n v="-3553.8685"/>
    <n v="241008.22525952593"/>
  </r>
  <r>
    <n v="4801"/>
    <n v="103539"/>
    <s v="AX08U"/>
    <s v="Cardinal Wiseman Catholic School"/>
    <s v="Secondary"/>
    <x v="0"/>
    <n v="557647.18449650588"/>
    <n v="0"/>
    <n v="0"/>
    <n v="0"/>
    <n v="0"/>
    <n v="6081.8058333333329"/>
    <n v="0"/>
    <n v="-1291.875"/>
    <n v="-1738.51405"/>
    <n v="560698.60127983917"/>
  </r>
  <r>
    <n v="1048"/>
    <n v="103144"/>
    <s v="AX014"/>
    <s v="Castle Vale Nursery School"/>
    <s v="Nursery"/>
    <x v="0"/>
    <n v="0"/>
    <n v="0"/>
    <n v="0"/>
    <n v="0"/>
    <n v="0"/>
    <n v="2246.1041666666665"/>
    <n v="0"/>
    <n v="0"/>
    <n v="0"/>
    <n v="2246.1041666666665"/>
  </r>
  <r>
    <n v="2312"/>
    <n v="103332"/>
    <s v="AX015"/>
    <s v="Chad Vale Primary School"/>
    <s v="Primary"/>
    <x v="0"/>
    <n v="185051.77505285092"/>
    <n v="0"/>
    <n v="0"/>
    <n v="0"/>
    <n v="0"/>
    <n v="16719.742499999997"/>
    <n v="0"/>
    <n v="-859.04999999999984"/>
    <n v="-3265.7170000000001"/>
    <n v="197646.75055285092"/>
  </r>
  <r>
    <n v="7051"/>
    <n v="103626"/>
    <s v="AX017"/>
    <s v="Cherry Oak School"/>
    <s v="Special"/>
    <x v="0"/>
    <n v="0"/>
    <n v="92500"/>
    <n v="0"/>
    <n v="0"/>
    <n v="0"/>
    <n v="155946.62666666668"/>
    <n v="0"/>
    <n v="0"/>
    <n v="0"/>
    <n v="248446.62666666668"/>
  </r>
  <r>
    <n v="2040"/>
    <n v="103178"/>
    <s v="AX018"/>
    <s v="Cherry Orchard Primary School"/>
    <s v="Primary"/>
    <x v="0"/>
    <n v="204913.31008882684"/>
    <n v="0"/>
    <n v="8000"/>
    <n v="0"/>
    <n v="0"/>
    <n v="0"/>
    <n v="25848.095833333336"/>
    <n v="-873.57499999999993"/>
    <n v="-3433.8053749999999"/>
    <n v="234454.02554716016"/>
  </r>
  <r>
    <n v="2251"/>
    <n v="103298"/>
    <s v="AX08W"/>
    <s v="Chilcote Primary School"/>
    <s v="Primary"/>
    <x v="0"/>
    <n v="181273.97595712729"/>
    <n v="0"/>
    <n v="0"/>
    <n v="0"/>
    <n v="0"/>
    <n v="5873.4241666666667"/>
    <n v="0"/>
    <n v="-867.34999999999991"/>
    <n v="-1287.0767000000001"/>
    <n v="184992.97342379394"/>
  </r>
  <r>
    <n v="3002"/>
    <n v="103397"/>
    <s v="AX01A"/>
    <s v="Christ Church CofE Controlled Primary School and Nursery"/>
    <s v="Primary"/>
    <x v="0"/>
    <n v="105615.31294783537"/>
    <n v="0"/>
    <n v="0"/>
    <n v="0"/>
    <n v="0"/>
    <n v="3765.5"/>
    <n v="0"/>
    <n v="-371.42499999999995"/>
    <n v="-1656.8931166666669"/>
    <n v="107352.49483116869"/>
  </r>
  <r>
    <n v="3319"/>
    <n v="103423"/>
    <s v="AX019"/>
    <s v="Christ The King Catholic Primary School"/>
    <s v="Primary"/>
    <x v="0"/>
    <n v="186631.24560635202"/>
    <n v="0"/>
    <n v="0"/>
    <n v="0"/>
    <n v="0"/>
    <n v="10592.791666666666"/>
    <n v="0"/>
    <n v="-755.30000000000007"/>
    <n v="-590.71057499999995"/>
    <n v="195878.02669801869"/>
  </r>
  <r>
    <n v="1100"/>
    <n v="103146"/>
    <s v="AX073"/>
    <s v="City of Birmingham School"/>
    <s v="Pupil referral unit"/>
    <x v="0"/>
    <n v="0"/>
    <n v="500000"/>
    <n v="0"/>
    <n v="0"/>
    <n v="0"/>
    <n v="725171.5"/>
    <n v="0"/>
    <n v="0"/>
    <n v="0"/>
    <n v="1225171.5"/>
  </r>
  <r>
    <n v="3432"/>
    <n v="134840"/>
    <s v="AX01B"/>
    <s v="Clifton Primary School"/>
    <s v="Primary"/>
    <x v="0"/>
    <n v="490535.05372144585"/>
    <n v="0"/>
    <n v="0"/>
    <n v="0"/>
    <n v="0"/>
    <n v="21586.069166666668"/>
    <n v="0"/>
    <n v="-1693.1999999999998"/>
    <n v="-1997.8504"/>
    <n v="508430.07248811249"/>
  </r>
  <r>
    <n v="2289"/>
    <n v="103315"/>
    <s v="AX01D"/>
    <s v="Cofton Primary School"/>
    <s v="Primary"/>
    <x v="0"/>
    <n v="196139.40094152547"/>
    <n v="0"/>
    <n v="0"/>
    <n v="0"/>
    <n v="0"/>
    <n v="10074.458333333334"/>
    <n v="0"/>
    <n v="-852.82499999999993"/>
    <n v="-1669.6989666666666"/>
    <n v="203691.33530819212"/>
  </r>
  <r>
    <n v="2185"/>
    <n v="103263"/>
    <s v="AX01E"/>
    <s v="Colebourne Primary School"/>
    <s v="Primary"/>
    <x v="0"/>
    <n v="210797.75287455579"/>
    <n v="0"/>
    <n v="0"/>
    <n v="0"/>
    <n v="0"/>
    <n v="8763.2775000000001"/>
    <n v="0"/>
    <n v="-873.57499999999993"/>
    <n v="-2833.4897500000002"/>
    <n v="215853.96562455577"/>
  </r>
  <r>
    <n v="5416"/>
    <n v="103563"/>
    <s v="AX091"/>
    <s v="Colmers School and Sixth Form College"/>
    <s v="Secondary"/>
    <x v="0"/>
    <n v="767039.06380669249"/>
    <n v="0"/>
    <n v="0"/>
    <n v="0"/>
    <n v="28396.166666666668"/>
    <n v="12365.312499999998"/>
    <n v="0"/>
    <n v="-1753.375"/>
    <n v="-3313.7422499999998"/>
    <n v="802733.42572335911"/>
  </r>
  <r>
    <n v="2054"/>
    <n v="103189"/>
    <s v="AX092"/>
    <s v="Colmore Infant and Nursery School"/>
    <s v="Primary"/>
    <x v="0"/>
    <n v="162232.4909580833"/>
    <n v="0"/>
    <n v="0"/>
    <n v="0"/>
    <n v="0"/>
    <n v="4273.520833333333"/>
    <n v="0"/>
    <n v="-747"/>
    <n v="-1251.9171166666667"/>
    <n v="164507.09467474997"/>
  </r>
  <r>
    <n v="2053"/>
    <n v="103188"/>
    <s v="AX093"/>
    <s v="Colmore Junior School"/>
    <s v="Primary"/>
    <x v="0"/>
    <n v="214394.03844284976"/>
    <n v="0"/>
    <n v="0"/>
    <n v="0"/>
    <n v="0"/>
    <n v="7412.1116666666667"/>
    <n v="0"/>
    <n v="-987.69999999999993"/>
    <n v="-1801.5388333333333"/>
    <n v="219016.91127618309"/>
  </r>
  <r>
    <n v="2464"/>
    <n v="103390"/>
    <s v="AX01G"/>
    <s v="Coppice Primary School"/>
    <s v="Primary"/>
    <x v="0"/>
    <n v="178861.61725000001"/>
    <n v="0"/>
    <n v="0"/>
    <n v="0"/>
    <n v="0"/>
    <n v="2720.25"/>
    <n v="0"/>
    <n v="-856.97499999999991"/>
    <n v="-2820.3672499999998"/>
    <n v="177904.52499999999"/>
  </r>
  <r>
    <n v="3320"/>
    <n v="103424"/>
    <s v="AX01H"/>
    <s v="Corpus Christi Catholic Primary School"/>
    <s v="Primary"/>
    <x v="0"/>
    <n v="209271.04480615995"/>
    <n v="0"/>
    <n v="0"/>
    <n v="0"/>
    <n v="0"/>
    <n v="5283.7775000000001"/>
    <n v="0"/>
    <n v="-815.47499999999991"/>
    <n v="-629.13077499999997"/>
    <n v="213110.21653115994"/>
  </r>
  <r>
    <n v="2055"/>
    <n v="103190"/>
    <s v="AX01J"/>
    <s v="Cotteridge Primary School"/>
    <s v="Primary"/>
    <x v="0"/>
    <n v="189958.45667863774"/>
    <n v="0"/>
    <n v="0"/>
    <n v="0"/>
    <n v="0"/>
    <n v="8624.125"/>
    <n v="0"/>
    <n v="-854.9"/>
    <n v="-3265.7170000000001"/>
    <n v="194461.96467863774"/>
  </r>
  <r>
    <n v="1802"/>
    <n v="103150"/>
    <s v="AX01Q"/>
    <s v="Edith Cadbury Nursery School"/>
    <s v="Nursery"/>
    <x v="0"/>
    <n v="0"/>
    <n v="0"/>
    <n v="0"/>
    <n v="0"/>
    <n v="0"/>
    <n v="-1192.1666666666667"/>
    <n v="0"/>
    <n v="0"/>
    <n v="0"/>
    <n v="-1192.1666666666667"/>
  </r>
  <r>
    <n v="2454"/>
    <n v="103381"/>
    <s v="AX01R"/>
    <s v="Elms Farm Community Primary School"/>
    <s v="Primary"/>
    <x v="0"/>
    <n v="213323.3899900215"/>
    <n v="0"/>
    <n v="0"/>
    <n v="0"/>
    <n v="0"/>
    <n v="4829.666666666667"/>
    <n v="0"/>
    <n v="-798.875"/>
    <n v="-2617.3761250000002"/>
    <n v="214736.80553168815"/>
  </r>
  <r>
    <n v="3321"/>
    <n v="103425"/>
    <s v="AX01T"/>
    <s v="English Martyrs' Catholic Primary School"/>
    <s v="Primary"/>
    <x v="0"/>
    <n v="160587.73786070125"/>
    <n v="0"/>
    <n v="0"/>
    <n v="0"/>
    <n v="0"/>
    <n v="6841.6108333333332"/>
    <n v="0"/>
    <n v="-626.65"/>
    <n v="-434.52296666666666"/>
    <n v="166368.17572736792"/>
  </r>
  <r>
    <n v="1026"/>
    <n v="103139"/>
    <s v="AX01X"/>
    <s v="Featherstone Nursery School"/>
    <s v="Nursery"/>
    <x v="0"/>
    <n v="0"/>
    <n v="0"/>
    <n v="0"/>
    <n v="0"/>
    <n v="0"/>
    <n v="-6017.5"/>
    <n v="0"/>
    <n v="0"/>
    <n v="0"/>
    <n v="-6017.5"/>
  </r>
  <r>
    <n v="2294"/>
    <n v="103318"/>
    <s v="AX01W"/>
    <s v="Featherstone Primary School"/>
    <s v="Primary"/>
    <x v="0"/>
    <n v="221246.6320991627"/>
    <n v="0"/>
    <n v="0"/>
    <n v="0"/>
    <n v="0"/>
    <n v="18983.208333333332"/>
    <n v="0"/>
    <n v="-869.42499999999984"/>
    <n v="-4212.5057750000005"/>
    <n v="235147.90965749606"/>
  </r>
  <r>
    <n v="2486"/>
    <n v="133759"/>
    <s v="AX01Z"/>
    <s v="Forestdale Primary School"/>
    <s v="Primary"/>
    <x v="0"/>
    <n v="114821.22299031907"/>
    <n v="0"/>
    <n v="0"/>
    <n v="0"/>
    <n v="0"/>
    <n v="9313.9166666666661"/>
    <n v="0"/>
    <n v="-390.09999999999997"/>
    <n v="-348.93510833333335"/>
    <n v="123396.10454865241"/>
  </r>
  <r>
    <n v="3435"/>
    <n v="131920"/>
    <s v="AX020"/>
    <s v="Four Oaks Primary School"/>
    <s v="Primary"/>
    <x v="0"/>
    <n v="179697.3535"/>
    <n v="0"/>
    <n v="0"/>
    <n v="0"/>
    <n v="0"/>
    <n v="12632.1875"/>
    <n v="0"/>
    <n v="-871.5"/>
    <n v="-672.35350000000005"/>
    <n v="190785.6875"/>
  </r>
  <r>
    <n v="7050"/>
    <n v="103625"/>
    <s v="AX021"/>
    <s v="Fox Hollies School"/>
    <s v="Special"/>
    <x v="0"/>
    <n v="0"/>
    <n v="60000"/>
    <n v="0"/>
    <n v="32500"/>
    <n v="0"/>
    <n v="170202.37"/>
    <n v="0"/>
    <n v="0"/>
    <n v="0"/>
    <n v="262702.37"/>
  </r>
  <r>
    <n v="1006"/>
    <n v="103122"/>
    <s v="AX023"/>
    <s v="Garretts Green Nursery School"/>
    <s v="Nursery"/>
    <x v="0"/>
    <n v="0"/>
    <n v="0"/>
    <n v="1000"/>
    <n v="0"/>
    <n v="0"/>
    <n v="0"/>
    <n v="9229.6666666666661"/>
    <n v="0"/>
    <n v="0"/>
    <n v="10229.666666666666"/>
  </r>
  <r>
    <n v="2079"/>
    <n v="103200"/>
    <s v="AX025"/>
    <s v="George Dixon Primary School"/>
    <s v="Primary"/>
    <x v="0"/>
    <n v="148360.58865958411"/>
    <n v="0"/>
    <n v="0"/>
    <n v="0"/>
    <n v="0"/>
    <n v="8717.6391666666659"/>
    <n v="0"/>
    <n v="-587.22500000000002"/>
    <n v="-2905.5276250000002"/>
    <n v="153585.47520125078"/>
  </r>
  <r>
    <n v="2081"/>
    <n v="103201"/>
    <s v="AX026"/>
    <s v="Gilbertstone Primary School"/>
    <s v="Primary"/>
    <x v="0"/>
    <n v="193198.65215077702"/>
    <n v="0"/>
    <n v="0"/>
    <n v="0"/>
    <n v="0"/>
    <n v="9149.7083333333339"/>
    <n v="0"/>
    <n v="-852.82499999999993"/>
    <n v="-4442.3356249999997"/>
    <n v="197053.19985911035"/>
  </r>
  <r>
    <n v="2296"/>
    <n v="103320"/>
    <s v="AX027"/>
    <s v="Glenmead Primary School"/>
    <s v="Primary"/>
    <x v="0"/>
    <n v="133600.42211665059"/>
    <n v="0"/>
    <n v="0"/>
    <n v="0"/>
    <n v="0"/>
    <n v="8229.1666666666661"/>
    <n v="0"/>
    <n v="-543.65"/>
    <n v="-2545.3382500000002"/>
    <n v="138740.60053331725"/>
  </r>
  <r>
    <n v="1015"/>
    <n v="103128"/>
    <s v="AX028"/>
    <s v="Goodway Nursery School"/>
    <s v="Nursery"/>
    <x v="0"/>
    <n v="0"/>
    <n v="0"/>
    <n v="0"/>
    <n v="0"/>
    <n v="0"/>
    <n v="1107.5"/>
    <n v="0"/>
    <n v="0"/>
    <n v="0"/>
    <n v="1107.5"/>
  </r>
  <r>
    <n v="1022"/>
    <n v="103135"/>
    <s v="AX029"/>
    <s v="Gracelands Nursery School"/>
    <s v="Nursery"/>
    <x v="0"/>
    <n v="0"/>
    <n v="0"/>
    <n v="0"/>
    <n v="0"/>
    <n v="0"/>
    <n v="1107.5"/>
    <n v="0"/>
    <n v="0"/>
    <n v="0"/>
    <n v="1107.5"/>
  </r>
  <r>
    <n v="2087"/>
    <n v="103205"/>
    <s v="AX02C"/>
    <s v="Grendon Primary School"/>
    <s v="Primary"/>
    <x v="0"/>
    <n v="170193.02788151853"/>
    <n v="0"/>
    <n v="0"/>
    <n v="0"/>
    <n v="0"/>
    <n v="10445.583333333334"/>
    <n v="0"/>
    <n v="-637.02499999999998"/>
    <n v="-2905.5276250000002"/>
    <n v="177096.05858985189"/>
  </r>
  <r>
    <n v="2466"/>
    <n v="103392"/>
    <s v="AX02D"/>
    <s v="Grove School"/>
    <s v="Primary"/>
    <x v="0"/>
    <n v="308564.41189295426"/>
    <n v="0"/>
    <n v="0"/>
    <n v="0"/>
    <n v="0"/>
    <n v="5820.6941666666671"/>
    <n v="0"/>
    <n v="-1182.75"/>
    <n v="-3337.7548750000001"/>
    <n v="309864.60118462093"/>
  </r>
  <r>
    <n v="2091"/>
    <n v="103208"/>
    <s v="AX02F"/>
    <s v="Gunter Primary School"/>
    <s v="Primary"/>
    <x v="0"/>
    <n v="108292.55300836709"/>
    <n v="0"/>
    <n v="0"/>
    <n v="0"/>
    <n v="0"/>
    <n v="10324.770833333334"/>
    <n v="0"/>
    <n v="-392.17499999999995"/>
    <n v="-1799.5395416666668"/>
    <n v="116425.60930003374"/>
  </r>
  <r>
    <n v="2093"/>
    <n v="103210"/>
    <s v="AX02G"/>
    <s v="Hall Green Infant School"/>
    <s v="Primary"/>
    <x v="0"/>
    <n v="168387.17261711307"/>
    <n v="0"/>
    <n v="0"/>
    <n v="0"/>
    <n v="0"/>
    <n v="6718.104166666667"/>
    <n v="0"/>
    <n v="-742.84999999999991"/>
    <n v="-1931.2131666666667"/>
    <n v="172431.21361711307"/>
  </r>
  <r>
    <n v="2092"/>
    <n v="103209"/>
    <s v="AX02H"/>
    <s v="Hall Green Junior School"/>
    <s v="Primary"/>
    <x v="0"/>
    <n v="221878.50414985835"/>
    <n v="0"/>
    <n v="0"/>
    <n v="0"/>
    <n v="0"/>
    <n v="6613.5275000000001"/>
    <n v="0"/>
    <n v="-1008.4499999999999"/>
    <n v="-2713.4266250000001"/>
    <n v="224770.15502485834"/>
  </r>
  <r>
    <n v="7006"/>
    <n v="103600"/>
    <s v="AX02K"/>
    <s v="Hamilton School"/>
    <s v="Special"/>
    <x v="0"/>
    <n v="0"/>
    <n v="177500"/>
    <n v="0"/>
    <n v="0"/>
    <n v="0"/>
    <n v="302082.30666666664"/>
    <n v="0"/>
    <n v="0"/>
    <n v="0"/>
    <n v="479582.30666666664"/>
  </r>
  <r>
    <n v="2477"/>
    <n v="132261"/>
    <s v="AX02L"/>
    <s v="Harborne Primary School"/>
    <s v="Primary"/>
    <x v="0"/>
    <n v="354616.82191666664"/>
    <n v="0"/>
    <n v="0"/>
    <n v="0"/>
    <n v="0"/>
    <n v="11525.055833333332"/>
    <n v="0"/>
    <n v="-1674.5249999999999"/>
    <n v="-3890.0452499999997"/>
    <n v="360577.30749999994"/>
  </r>
  <r>
    <n v="3436"/>
    <n v="136440"/>
    <s v="AX09P"/>
    <s v="Harper Bell Seventh-Day Adventist School"/>
    <s v="Primary"/>
    <x v="0"/>
    <n v="81725.870715503363"/>
    <n v="0"/>
    <n v="0"/>
    <n v="0"/>
    <n v="0"/>
    <n v="3609.8333333333335"/>
    <n v="0"/>
    <n v="-290.5"/>
    <n v="-344.54598333333337"/>
    <n v="84700.658065503361"/>
  </r>
  <r>
    <n v="2099"/>
    <n v="103214"/>
    <s v="AX02M"/>
    <s v="Hawthorn Primary School"/>
    <s v="Primary"/>
    <x v="0"/>
    <n v="122341.92831137501"/>
    <n v="0"/>
    <n v="6000"/>
    <n v="0"/>
    <n v="0"/>
    <n v="0"/>
    <n v="11992.594999999999"/>
    <n v="-433.67499999999995"/>
    <n v="-1744.6755333333333"/>
    <n v="138156.17277804168"/>
  </r>
  <r>
    <n v="1010"/>
    <n v="103125"/>
    <s v="AX02P"/>
    <s v="Highfield Nursery School"/>
    <s v="Nursery"/>
    <x v="0"/>
    <n v="0"/>
    <n v="0"/>
    <n v="0"/>
    <n v="0"/>
    <n v="0"/>
    <n v="886"/>
    <n v="0"/>
    <n v="0"/>
    <n v="0"/>
    <n v="886"/>
  </r>
  <r>
    <n v="1021"/>
    <n v="103134"/>
    <s v="AX02R"/>
    <s v="Highters Heath Nursery School"/>
    <s v="Nursery"/>
    <x v="0"/>
    <n v="0"/>
    <n v="0"/>
    <n v="0"/>
    <n v="0"/>
    <n v="0"/>
    <n v="443"/>
    <n v="0"/>
    <n v="0"/>
    <n v="0"/>
    <n v="443"/>
  </r>
  <r>
    <n v="4201"/>
    <n v="103503"/>
    <s v="AX0A1"/>
    <s v="Hodge Hill College"/>
    <s v="Secondary"/>
    <x v="0"/>
    <n v="836082.79254419834"/>
    <n v="0"/>
    <n v="0"/>
    <n v="0"/>
    <n v="0"/>
    <n v="9058.1741666666658"/>
    <n v="0"/>
    <n v="-1927.25"/>
    <n v="-12366.501875"/>
    <n v="830847.21483586507"/>
  </r>
  <r>
    <n v="4015"/>
    <n v="103483"/>
    <s v="AX0A2"/>
    <s v="Hodge Hill Girls' School"/>
    <s v="Secondary"/>
    <x v="0"/>
    <n v="527375.80091701262"/>
    <n v="0"/>
    <n v="0"/>
    <n v="0"/>
    <n v="0"/>
    <n v="4424.416666666667"/>
    <n v="0"/>
    <n v="-1218.75"/>
    <n v="-7876.1409999999996"/>
    <n v="522705.32658367924"/>
  </r>
  <r>
    <n v="3411"/>
    <n v="103479"/>
    <s v="AX02U"/>
    <s v="Holly Hill Methodist CofE Infant School"/>
    <s v="Primary"/>
    <x v="0"/>
    <n v="92328.450952870771"/>
    <n v="0"/>
    <n v="0"/>
    <n v="0"/>
    <n v="0"/>
    <n v="15895.604166666666"/>
    <n v="0"/>
    <n v="-307.09999999999997"/>
    <n v="-355.51879166666663"/>
    <n v="107561.43632787078"/>
  </r>
  <r>
    <n v="2474"/>
    <n v="131672"/>
    <s v="AX02V"/>
    <s v="Hollyfield Primary School"/>
    <s v="Primary"/>
    <x v="0"/>
    <n v="185608.33958864791"/>
    <n v="0"/>
    <n v="0"/>
    <n v="0"/>
    <n v="0"/>
    <n v="2165.6666666666665"/>
    <n v="0"/>
    <n v="-830"/>
    <n v="-3097.6286249999998"/>
    <n v="183846.37763031456"/>
  </r>
  <r>
    <n v="4223"/>
    <n v="103509"/>
    <s v="AX0A4"/>
    <s v="Holte School"/>
    <s v="Secondary"/>
    <x v="0"/>
    <n v="727608.54168791417"/>
    <n v="0"/>
    <n v="0"/>
    <n v="0"/>
    <n v="105956.08333333333"/>
    <n v="12988.979166666666"/>
    <n v="0"/>
    <n v="-1553.5"/>
    <n v="-16405.304899999999"/>
    <n v="828594.79928791418"/>
  </r>
  <r>
    <n v="3317"/>
    <n v="103421"/>
    <s v="AX02Y"/>
    <s v="Holy Family Catholic Primary School"/>
    <s v="Primary"/>
    <x v="0"/>
    <n v="109738.48773859719"/>
    <n v="0"/>
    <n v="0"/>
    <n v="0"/>
    <n v="0"/>
    <n v="3412.375"/>
    <n v="0"/>
    <n v="-385.95"/>
    <n v="-381.85351666666662"/>
    <n v="112383.05922193053"/>
  </r>
  <r>
    <n v="1023"/>
    <n v="103136"/>
    <s v="AX0A7"/>
    <s v="Jakeman Nursery School"/>
    <s v="Nursery"/>
    <x v="0"/>
    <n v="0"/>
    <n v="0"/>
    <n v="0"/>
    <n v="0"/>
    <n v="0"/>
    <n v="1107.5"/>
    <n v="0"/>
    <n v="0"/>
    <n v="0"/>
    <n v="1107.5"/>
  </r>
  <r>
    <n v="2015"/>
    <n v="134102"/>
    <s v="AX032"/>
    <s v="James Watt Primary School"/>
    <s v="Primary"/>
    <x v="0"/>
    <n v="214091.38181044083"/>
    <n v="0"/>
    <n v="0"/>
    <n v="0"/>
    <n v="0"/>
    <n v="4703.1525000000001"/>
    <n v="0"/>
    <n v="-805.09999999999991"/>
    <n v="-3313.7422499999998"/>
    <n v="214675.69206044081"/>
  </r>
  <r>
    <n v="3352"/>
    <n v="103444"/>
    <s v="AX035"/>
    <s v="King David Junior and Infant School"/>
    <s v="Primary"/>
    <x v="0"/>
    <n v="67442.161761229712"/>
    <n v="0"/>
    <n v="0"/>
    <n v="0"/>
    <n v="0"/>
    <n v="2102.1941666666667"/>
    <n v="0"/>
    <n v="-246.92499999999998"/>
    <n v="-377.46439166666664"/>
    <n v="68919.966536229709"/>
  </r>
  <r>
    <n v="2005"/>
    <n v="134098"/>
    <s v="AX037"/>
    <s v="Kings Heath Primary School"/>
    <s v="Primary"/>
    <x v="0"/>
    <n v="273442.33438868541"/>
    <n v="0"/>
    <n v="-4000"/>
    <n v="0"/>
    <n v="0"/>
    <n v="0"/>
    <n v="12076.536666666667"/>
    <n v="-1282.3499999999999"/>
    <n v="-5715.0047500000001"/>
    <n v="274521.5163053521"/>
  </r>
  <r>
    <n v="4063"/>
    <n v="103486"/>
    <s v="AX036"/>
    <s v="Kings Heath Secondary School"/>
    <s v="Secondary"/>
    <x v="0"/>
    <n v="574504.36745855771"/>
    <n v="0"/>
    <n v="0"/>
    <n v="0"/>
    <n v="0"/>
    <n v="14421.486666666666"/>
    <n v="0"/>
    <n v="-1291.875"/>
    <n v="-9220.848"/>
    <n v="578413.1311252244"/>
  </r>
  <r>
    <n v="1016"/>
    <n v="103129"/>
    <s v="AX03A"/>
    <s v="Kings Norton Nursery School"/>
    <s v="Nursery"/>
    <x v="0"/>
    <n v="0"/>
    <n v="0"/>
    <n v="0"/>
    <n v="0"/>
    <n v="0"/>
    <n v="1107.5"/>
    <n v="0"/>
    <n v="0"/>
    <n v="0"/>
    <n v="1107.5"/>
  </r>
  <r>
    <n v="2115"/>
    <n v="103221"/>
    <s v="AX03B"/>
    <s v="Kingsland Primary School (NC)"/>
    <s v="Primary"/>
    <x v="0"/>
    <n v="143502.87023756377"/>
    <n v="0"/>
    <n v="0"/>
    <n v="0"/>
    <n v="0"/>
    <n v="14286"/>
    <n v="0"/>
    <n v="-535.35"/>
    <n v="-4778.5123750000002"/>
    <n v="152475.00786256377"/>
  </r>
  <r>
    <n v="2441"/>
    <n v="103368"/>
    <s v="AX03C"/>
    <s v="Kingsthorne Primary School"/>
    <s v="Primary"/>
    <x v="0"/>
    <n v="173047.06484754555"/>
    <n v="0"/>
    <n v="0"/>
    <n v="0"/>
    <n v="0"/>
    <n v="6745.8474999999999"/>
    <n v="0"/>
    <n v="-639.1"/>
    <n v="-523.47522500000002"/>
    <n v="178630.33712254555"/>
  </r>
  <r>
    <n v="2321"/>
    <n v="103339"/>
    <s v="AX03D"/>
    <s v="Kitwell Primary School"/>
    <s v="Primary"/>
    <x v="0"/>
    <n v="103936.33446042566"/>
    <n v="0"/>
    <n v="0"/>
    <n v="0"/>
    <n v="0"/>
    <n v="10795.375"/>
    <n v="0"/>
    <n v="-354.82499999999999"/>
    <n v="-1316.7362499999999"/>
    <n v="113060.14821042566"/>
  </r>
  <r>
    <n v="2189"/>
    <n v="103265"/>
    <s v="AX03E"/>
    <s v="Ladypool Primary School"/>
    <s v="Primary"/>
    <x v="0"/>
    <n v="127097.60271698929"/>
    <n v="0"/>
    <n v="0"/>
    <n v="0"/>
    <n v="0"/>
    <n v="2163.9933333333333"/>
    <n v="0"/>
    <n v="-431.59999999999997"/>
    <n v="-2809.4771249999999"/>
    <n v="126020.51892532261"/>
  </r>
  <r>
    <n v="7060"/>
    <n v="103630"/>
    <s v="AX03G"/>
    <s v="Langley School"/>
    <s v="Special"/>
    <x v="0"/>
    <n v="0"/>
    <n v="104166.66666666667"/>
    <n v="0"/>
    <n v="0"/>
    <n v="0"/>
    <n v="194284.44833333333"/>
    <n v="0"/>
    <n v="0"/>
    <n v="0"/>
    <n v="298451.11499999999"/>
  </r>
  <r>
    <n v="1024"/>
    <n v="103137"/>
    <s v="AX03J"/>
    <s v="Lillian de Lissa Nursery School"/>
    <s v="Nursery"/>
    <x v="0"/>
    <n v="0"/>
    <n v="0"/>
    <n v="0"/>
    <n v="0"/>
    <n v="0"/>
    <n v="0"/>
    <n v="0"/>
    <n v="0"/>
    <n v="0"/>
    <n v="0"/>
  </r>
  <r>
    <n v="7062"/>
    <n v="103632"/>
    <s v="AX03K"/>
    <s v="Lindsworth School"/>
    <s v="Special"/>
    <x v="0"/>
    <n v="0"/>
    <n v="127083.33333333333"/>
    <n v="0"/>
    <n v="0"/>
    <n v="0"/>
    <n v="293242.03499999997"/>
    <n v="0"/>
    <n v="0"/>
    <n v="0"/>
    <n v="420325.36833333329"/>
  </r>
  <r>
    <n v="2462"/>
    <n v="103388"/>
    <s v="AX03L"/>
    <s v="Little Sutton Primary School"/>
    <s v="Primary"/>
    <x v="0"/>
    <n v="182146.64125000002"/>
    <n v="0"/>
    <n v="0"/>
    <n v="0"/>
    <n v="0"/>
    <n v="2676.4583333333335"/>
    <n v="0"/>
    <n v="-871.5"/>
    <n v="-3121.6412500000001"/>
    <n v="180829.95833333337"/>
  </r>
  <r>
    <n v="7012"/>
    <n v="103603"/>
    <s v="AX03M"/>
    <s v="Longwill Primary School for Deaf Children"/>
    <s v="Special"/>
    <x v="0"/>
    <n v="0"/>
    <n v="54166.666666666664"/>
    <n v="0"/>
    <n v="0"/>
    <n v="0"/>
    <n v="72043.688333333339"/>
    <n v="0"/>
    <n v="0"/>
    <n v="0"/>
    <n v="126210.35500000001"/>
  </r>
  <r>
    <n v="2127"/>
    <n v="103227"/>
    <s v="AX0AN"/>
    <s v="Lozells Junior and Infant School and Nursery"/>
    <s v="Primary"/>
    <x v="0"/>
    <n v="233923.51477175122"/>
    <n v="0"/>
    <n v="0"/>
    <n v="0"/>
    <n v="0"/>
    <n v="17101.4375"/>
    <n v="0"/>
    <n v="-859.04999999999984"/>
    <n v="-6435.3834999999999"/>
    <n v="243730.51877175123"/>
  </r>
  <r>
    <n v="2129"/>
    <n v="103229"/>
    <s v="AX03N"/>
    <s v="Lyndon Green Infant School"/>
    <s v="Primary"/>
    <x v="0"/>
    <n v="117296.56416201848"/>
    <n v="0"/>
    <n v="6333.333333333333"/>
    <n v="0"/>
    <n v="0"/>
    <n v="0"/>
    <n v="11594.053333333335"/>
    <n v="-491.77499999999992"/>
    <n v="-1543.9766083333334"/>
    <n v="133188.19922035182"/>
  </r>
  <r>
    <n v="2128"/>
    <n v="103228"/>
    <s v="AX03P"/>
    <s v="Lyndon Green Junior School"/>
    <s v="Primary"/>
    <x v="0"/>
    <n v="176009.43601456188"/>
    <n v="0"/>
    <n v="5166.666666666667"/>
    <n v="0"/>
    <n v="0"/>
    <n v="0"/>
    <n v="11386.281666666668"/>
    <n v="-761.52499999999998"/>
    <n v="-1672.6402916666666"/>
    <n v="190128.21905622855"/>
  </r>
  <r>
    <n v="2420"/>
    <n v="103353"/>
    <s v="AX03Q"/>
    <s v="Maney Hill Primary School"/>
    <s v="Primary"/>
    <x v="0"/>
    <n v="182834.72913333334"/>
    <n v="0"/>
    <n v="0"/>
    <n v="0"/>
    <n v="0"/>
    <n v="4729.4724999999999"/>
    <n v="0"/>
    <n v="-873.57499999999993"/>
    <n v="-3383.4791333333337"/>
    <n v="183307.14749999999"/>
  </r>
  <r>
    <n v="2004"/>
    <n v="134094"/>
    <s v="AX03R"/>
    <s v="Mapledene Primary School"/>
    <s v="Primary"/>
    <x v="0"/>
    <n v="150418.27457361008"/>
    <n v="0"/>
    <n v="0"/>
    <n v="0"/>
    <n v="0"/>
    <n v="4931.4858333333332"/>
    <n v="0"/>
    <n v="-607.97500000000002"/>
    <n v="-2473.3003750000003"/>
    <n v="152268.48503194342"/>
  </r>
  <r>
    <n v="1012"/>
    <n v="103126"/>
    <s v="AX03W"/>
    <s v="Marsh Hill Nursery School"/>
    <s v="Nursery"/>
    <x v="0"/>
    <n v="0"/>
    <n v="0"/>
    <n v="0"/>
    <n v="0"/>
    <n v="0"/>
    <n v="0"/>
    <n v="0"/>
    <n v="0"/>
    <n v="0"/>
    <n v="0"/>
  </r>
  <r>
    <n v="2133"/>
    <n v="103233"/>
    <s v="AX03V"/>
    <s v="Marsh Hill Primary School"/>
    <s v="Primary"/>
    <x v="0"/>
    <n v="239721.49913057903"/>
    <n v="0"/>
    <n v="0"/>
    <n v="0"/>
    <n v="0"/>
    <n v="5409.5"/>
    <n v="0"/>
    <n v="-867.34999999999991"/>
    <n v="-4994.6260000000002"/>
    <n v="239269.02313057904"/>
  </r>
  <r>
    <n v="2406"/>
    <n v="103345"/>
    <s v="AX040"/>
    <s v="Minworth Junior and Infant School"/>
    <s v="Primary"/>
    <x v="0"/>
    <n v="107938.07392974421"/>
    <n v="0"/>
    <n v="0"/>
    <n v="0"/>
    <n v="0"/>
    <n v="2676.4583333333335"/>
    <n v="0"/>
    <n v="-415"/>
    <n v="-1130.1986166666668"/>
    <n v="109069.33364641087"/>
  </r>
  <r>
    <n v="2416"/>
    <n v="103351"/>
    <s v="AX041"/>
    <s v="Moor Hall Primary School"/>
    <s v="Primary"/>
    <x v="0"/>
    <n v="186084.91899999999"/>
    <n v="0"/>
    <n v="0"/>
    <n v="0"/>
    <n v="0"/>
    <n v="3412.375"/>
    <n v="0"/>
    <n v="-888.09999999999991"/>
    <n v="-3649.9189999999999"/>
    <n v="184959.27499999999"/>
  </r>
  <r>
    <n v="3003"/>
    <n v="103398"/>
    <s v="AX042"/>
    <s v="Moseley Church of England Primary School"/>
    <s v="Primary"/>
    <x v="0"/>
    <n v="97304.266454934419"/>
    <n v="0"/>
    <n v="0"/>
    <n v="0"/>
    <n v="0"/>
    <n v="3261.5833333333335"/>
    <n v="0"/>
    <n v="-437.82499999999999"/>
    <n v="-1986.0771750000001"/>
    <n v="98141.947613267752"/>
  </r>
  <r>
    <n v="4245"/>
    <n v="103519"/>
    <s v="AX0AW"/>
    <s v="Moseley School and Sixth Form"/>
    <s v="Secondary"/>
    <x v="0"/>
    <n v="899023.65492932394"/>
    <n v="0"/>
    <n v="0"/>
    <n v="0"/>
    <n v="117252.25"/>
    <n v="10358.653333333334"/>
    <n v="0"/>
    <n v="-1987.375"/>
    <n v="-4802.5250000000005"/>
    <n v="1019844.6582626572"/>
  </r>
  <r>
    <n v="2457"/>
    <n v="103384"/>
    <s v="AX044"/>
    <s v="Nelson Mandela School"/>
    <s v="Primary"/>
    <x v="0"/>
    <n v="215876.66523611938"/>
    <n v="0"/>
    <n v="0"/>
    <n v="0"/>
    <n v="0"/>
    <n v="0"/>
    <n v="14375.875833333334"/>
    <n v="-838.29999999999984"/>
    <n v="-883.66460000000006"/>
    <n v="228530.57646945273"/>
  </r>
  <r>
    <n v="2142"/>
    <n v="103237"/>
    <s v="AX043"/>
    <s v="Nelson Primary School"/>
    <s v="Primary"/>
    <x v="0"/>
    <n v="230602.33916156401"/>
    <n v="0"/>
    <n v="0"/>
    <n v="0"/>
    <n v="0"/>
    <n v="12759.979166666666"/>
    <n v="0"/>
    <n v="-871.5"/>
    <n v="-2434.7491166666664"/>
    <n v="240056.069211564"/>
  </r>
  <r>
    <n v="2469"/>
    <n v="103395"/>
    <s v="AX045"/>
    <s v="New Hall Primary School"/>
    <s v="Primary"/>
    <x v="0"/>
    <n v="157078.74862234891"/>
    <n v="0"/>
    <n v="0"/>
    <n v="0"/>
    <n v="0"/>
    <n v="7820.1875"/>
    <n v="0"/>
    <n v="-628.72500000000002"/>
    <n v="-720.37874999999997"/>
    <n v="163549.8323723489"/>
  </r>
  <r>
    <n v="1028"/>
    <n v="103141"/>
    <s v="AX047"/>
    <s v="Newtown Nursery School"/>
    <s v="Nursery"/>
    <x v="0"/>
    <n v="0"/>
    <n v="0"/>
    <n v="0"/>
    <n v="0"/>
    <n v="0"/>
    <n v="1766.4166666666667"/>
    <n v="0"/>
    <n v="0"/>
    <n v="0"/>
    <n v="1766.4166666666667"/>
  </r>
  <r>
    <n v="1049"/>
    <n v="103145"/>
    <s v="AX04B"/>
    <s v="Osborne Nursery School"/>
    <s v="Nursery"/>
    <x v="0"/>
    <n v="0"/>
    <n v="0"/>
    <n v="0"/>
    <n v="0"/>
    <n v="0"/>
    <n v="906.31916666666666"/>
    <n v="0"/>
    <n v="0"/>
    <n v="0"/>
    <n v="906.31916666666666"/>
  </r>
  <r>
    <n v="3351"/>
    <n v="103443"/>
    <s v="AX04D"/>
    <s v="Our Lady and St Rose of Lima Catholic Primary School"/>
    <s v="Primary"/>
    <x v="0"/>
    <n v="110685.06506748717"/>
    <n v="0"/>
    <n v="0"/>
    <n v="0"/>
    <n v="0"/>
    <n v="3630.5208333333335"/>
    <n v="0"/>
    <n v="-427.45"/>
    <n v="-355.51879166666663"/>
    <n v="113532.61710915384"/>
  </r>
  <r>
    <n v="3328"/>
    <n v="103430"/>
    <s v="AX04E"/>
    <s v="Our Lady of Lourdes Catholic Primary School"/>
    <s v="Primary"/>
    <x v="0"/>
    <n v="101233.13284949283"/>
    <n v="0"/>
    <n v="0"/>
    <n v="0"/>
    <n v="0"/>
    <n v="3806.5074999999997"/>
    <n v="0"/>
    <n v="-431.59999999999997"/>
    <n v="-340.15686666666664"/>
    <n v="104267.88348282616"/>
  </r>
  <r>
    <n v="2150"/>
    <n v="103241"/>
    <s v="AX04J"/>
    <s v="Park Hill Primary School"/>
    <s v="Primary"/>
    <x v="0"/>
    <n v="122791.92601979578"/>
    <n v="0"/>
    <n v="0"/>
    <n v="0"/>
    <n v="0"/>
    <n v="6062.9025000000001"/>
    <n v="0"/>
    <n v="-462.72499999999997"/>
    <n v="-3049.6033750000001"/>
    <n v="125342.50014479576"/>
  </r>
  <r>
    <n v="2425"/>
    <n v="103356"/>
    <s v="AX04K"/>
    <s v="Penns Primary School"/>
    <s v="Primary"/>
    <x v="0"/>
    <n v="95447.082345034069"/>
    <n v="0"/>
    <n v="0"/>
    <n v="0"/>
    <n v="0"/>
    <n v="3937.6666666666665"/>
    <n v="0"/>
    <n v="-421.22499999999997"/>
    <n v="-1404.5186666666666"/>
    <n v="97559.005345034064"/>
  </r>
  <r>
    <n v="1008"/>
    <n v="103123"/>
    <s v="AX04N"/>
    <s v="Perry Beeches Nursery School"/>
    <s v="Nursery"/>
    <x v="0"/>
    <n v="0"/>
    <n v="0"/>
    <n v="0"/>
    <n v="0"/>
    <n v="0"/>
    <n v="0"/>
    <n v="0"/>
    <n v="0"/>
    <n v="0"/>
    <n v="0"/>
  </r>
  <r>
    <n v="7034"/>
    <n v="103614"/>
    <s v="AX04Q"/>
    <s v="Priestley Smith School"/>
    <s v="Special"/>
    <x v="0"/>
    <n v="0"/>
    <n v="57500"/>
    <n v="0"/>
    <n v="17500"/>
    <n v="0"/>
    <n v="131208.67833333334"/>
    <n v="0"/>
    <n v="0"/>
    <n v="0"/>
    <n v="206208.67833333334"/>
  </r>
  <r>
    <n v="4173"/>
    <n v="103497"/>
    <s v="AX0BD"/>
    <s v="Queensbridge School"/>
    <s v="Secondary"/>
    <x v="0"/>
    <n v="588875.8760303387"/>
    <n v="0"/>
    <n v="0"/>
    <n v="0"/>
    <n v="0"/>
    <n v="19835.9725"/>
    <n v="0"/>
    <n v="-1486.875"/>
    <n v="-2007.4554500000002"/>
    <n v="605217.51808033872"/>
  </r>
  <r>
    <n v="2157"/>
    <n v="103246"/>
    <s v="AX04V"/>
    <s v="Raddlebarn Primary School"/>
    <s v="Primary"/>
    <x v="0"/>
    <n v="170590.1126601416"/>
    <n v="0"/>
    <n v="0"/>
    <n v="0"/>
    <n v="0"/>
    <n v="1672.7358333333334"/>
    <n v="0"/>
    <n v="-763.59999999999991"/>
    <n v="-3457.8179999999998"/>
    <n v="168041.43049347494"/>
  </r>
  <r>
    <n v="2159"/>
    <n v="103247"/>
    <s v="AX04W"/>
    <s v="Redhill Primary School"/>
    <s v="Primary"/>
    <x v="0"/>
    <n v="117322.55682387359"/>
    <n v="0"/>
    <n v="0"/>
    <n v="0"/>
    <n v="0"/>
    <n v="3326.8199999999997"/>
    <n v="0"/>
    <n v="-421.22499999999997"/>
    <n v="-1667.8659166666666"/>
    <n v="118560.28590720691"/>
  </r>
  <r>
    <n v="2161"/>
    <n v="103249"/>
    <s v="AX04X"/>
    <s v="Rednal Hill Infant School"/>
    <s v="Primary"/>
    <x v="0"/>
    <n v="114521.13330993662"/>
    <n v="0"/>
    <n v="0"/>
    <n v="0"/>
    <n v="0"/>
    <n v="7744.0349999999999"/>
    <n v="0"/>
    <n v="-450.27499999999992"/>
    <n v="-1248.1867999999999"/>
    <n v="120566.70650993663"/>
  </r>
  <r>
    <n v="2160"/>
    <n v="103248"/>
    <s v="AX04Y"/>
    <s v="Rednal Hill Junior School"/>
    <s v="Primary"/>
    <x v="0"/>
    <n v="168274.82293868327"/>
    <n v="0"/>
    <n v="0"/>
    <n v="0"/>
    <n v="0"/>
    <n v="2676.4583333333335"/>
    <n v="0"/>
    <n v="-678.52499999999998"/>
    <n v="-1085.3706500000001"/>
    <n v="169187.38562201662"/>
  </r>
  <r>
    <n v="2063"/>
    <n v="103193"/>
    <s v="AX04Z"/>
    <s v="Regents Park Community Primary School"/>
    <s v="Primary"/>
    <x v="0"/>
    <n v="216935.19392671064"/>
    <n v="0"/>
    <n v="0"/>
    <n v="0"/>
    <n v="0"/>
    <n v="3624.6666666666665"/>
    <n v="0"/>
    <n v="-763.59999999999991"/>
    <n v="-5474.8784999999998"/>
    <n v="214321.38209337729"/>
  </r>
  <r>
    <n v="1018"/>
    <n v="103131"/>
    <s v="AX052"/>
    <s v="Rubery Nursery School"/>
    <s v="Nursery"/>
    <x v="0"/>
    <n v="0"/>
    <n v="0"/>
    <n v="0"/>
    <n v="0"/>
    <n v="0"/>
    <n v="-3830.1666666666665"/>
    <n v="0"/>
    <n v="0"/>
    <n v="0"/>
    <n v="-3830.1666666666665"/>
  </r>
  <r>
    <n v="1000"/>
    <n v="137796"/>
    <s v="AX053"/>
    <s v="Selly Oak Nursery School"/>
    <s v="Nursery"/>
    <x v="0"/>
    <n v="0"/>
    <n v="0"/>
    <n v="0"/>
    <n v="0"/>
    <n v="0"/>
    <n v="-1651.25"/>
    <n v="0"/>
    <n v="0"/>
    <n v="0"/>
    <n v="-1651.25"/>
  </r>
  <r>
    <n v="7033"/>
    <n v="103613"/>
    <s v="AX0BK"/>
    <s v="Selly Oak Trust School"/>
    <s v="Special"/>
    <x v="0"/>
    <n v="0"/>
    <n v="240000"/>
    <n v="0"/>
    <n v="89166.666666666672"/>
    <n v="0"/>
    <n v="374265.84250000003"/>
    <n v="0"/>
    <n v="0"/>
    <n v="0"/>
    <n v="703432.50916666677"/>
  </r>
  <r>
    <n v="4177"/>
    <n v="103498"/>
    <s v="AX0BL"/>
    <s v="Selly Park Girls' School"/>
    <s v="Secondary"/>
    <x v="0"/>
    <n v="578995.71816565283"/>
    <n v="0"/>
    <n v="0"/>
    <n v="0"/>
    <n v="0"/>
    <n v="7611.9441666666671"/>
    <n v="0"/>
    <n v="-1303.25"/>
    <n v="-8308.3682499999995"/>
    <n v="576996.0440823196"/>
  </r>
  <r>
    <n v="2169"/>
    <n v="103252"/>
    <s v="AX054"/>
    <s v="Severne Junior Infant and Nursery School"/>
    <s v="Primary"/>
    <x v="0"/>
    <n v="205323.61078364018"/>
    <n v="0"/>
    <n v="0"/>
    <n v="0"/>
    <n v="0"/>
    <n v="692.16666666666663"/>
    <n v="0"/>
    <n v="-749.07499999999993"/>
    <n v="-3193.6791250000001"/>
    <n v="202073.02332530683"/>
  </r>
  <r>
    <n v="2008"/>
    <n v="103157"/>
    <s v="AX055"/>
    <s v="Shaw Hill Primary School"/>
    <s v="Primary"/>
    <x v="0"/>
    <n v="224965.38540825111"/>
    <n v="0"/>
    <n v="0"/>
    <n v="0"/>
    <n v="0"/>
    <n v="6517.0908333333327"/>
    <n v="0"/>
    <n v="-881.875"/>
    <n v="-3457.8179999999998"/>
    <n v="227142.78324158443"/>
  </r>
  <r>
    <n v="1038"/>
    <n v="103142"/>
    <s v="AX056"/>
    <s v="Shenley Fields Nursery School"/>
    <s v="Nursery"/>
    <x v="0"/>
    <n v="0"/>
    <n v="0"/>
    <n v="0"/>
    <n v="0"/>
    <n v="0"/>
    <n v="768.09"/>
    <n v="0"/>
    <n v="0"/>
    <n v="0"/>
    <n v="768.09"/>
  </r>
  <r>
    <n v="2174"/>
    <n v="103255"/>
    <s v="AX0BR"/>
    <s v="Sladefield Infant School"/>
    <s v="Primary"/>
    <x v="0"/>
    <n v="139626.48578446987"/>
    <n v="0"/>
    <n v="0"/>
    <n v="0"/>
    <n v="0"/>
    <n v="6665.4441666666671"/>
    <n v="0"/>
    <n v="-556.1"/>
    <n v="-2569.3508750000001"/>
    <n v="143166.47907613651"/>
  </r>
  <r>
    <n v="2176"/>
    <n v="103256"/>
    <s v="AX059"/>
    <s v="Somerville Primary (NC) School"/>
    <s v="Primary"/>
    <x v="0"/>
    <n v="355285.46194521588"/>
    <n v="0"/>
    <n v="0"/>
    <n v="0"/>
    <n v="0"/>
    <n v="14941.645833333334"/>
    <n v="0"/>
    <n v="-1346.675"/>
    <n v="-6531.4340000000002"/>
    <n v="362348.9987785492"/>
  </r>
  <r>
    <n v="7047"/>
    <n v="103623"/>
    <s v="AX05A"/>
    <s v="Springfield House Community Special School"/>
    <s v="Special"/>
    <x v="0"/>
    <n v="0"/>
    <n v="95833.333333333328"/>
    <n v="0"/>
    <n v="0"/>
    <n v="0"/>
    <n v="159059.57499999998"/>
    <n v="0"/>
    <n v="0"/>
    <n v="0"/>
    <n v="254892.90833333333"/>
  </r>
  <r>
    <n v="3410"/>
    <n v="103478"/>
    <s v="AX061"/>
    <s v="SS John &amp; Monica Catholic Primary School"/>
    <s v="Primary"/>
    <x v="0"/>
    <n v="102986.45252737537"/>
    <n v="0"/>
    <n v="0"/>
    <n v="0"/>
    <n v="0"/>
    <n v="13722.1325"/>
    <n v="0"/>
    <n v="-415"/>
    <n v="-348.93510833333335"/>
    <n v="115944.64991904204"/>
  </r>
  <r>
    <n v="3381"/>
    <n v="103466"/>
    <s v="AX05C"/>
    <s v="St Alban's Catholic Primary School"/>
    <s v="Primary"/>
    <x v="0"/>
    <n v="103594.61516645506"/>
    <n v="0"/>
    <n v="0"/>
    <n v="0"/>
    <n v="0"/>
    <n v="4421.270833333333"/>
    <n v="0"/>
    <n v="-429.52499999999992"/>
    <n v="-305.04390000000001"/>
    <n v="107281.31709978839"/>
  </r>
  <r>
    <n v="3335"/>
    <n v="103434"/>
    <s v="AX05E"/>
    <s v="St Anne's Catholic Primary School"/>
    <s v="Primary"/>
    <x v="0"/>
    <n v="113272.53461680455"/>
    <n v="0"/>
    <n v="0"/>
    <n v="0"/>
    <n v="0"/>
    <n v="6403.3191666666671"/>
    <n v="0"/>
    <n v="-404.625"/>
    <n v="-390.63175833333338"/>
    <n v="118880.59702513789"/>
  </r>
  <r>
    <n v="2183"/>
    <n v="103261"/>
    <s v="AX05H"/>
    <s v="St Benedict's Primary School"/>
    <s v="Primary"/>
    <x v="0"/>
    <n v="175417.06040164689"/>
    <n v="0"/>
    <n v="13666.666666666666"/>
    <n v="0"/>
    <n v="0"/>
    <n v="0"/>
    <n v="26568.944166666664"/>
    <n v="-637.02499999999998"/>
    <n v="-3121.6412500000001"/>
    <n v="211894.00498498022"/>
  </r>
  <r>
    <n v="3372"/>
    <n v="103460"/>
    <s v="AX05J"/>
    <s v="St Bernadette's Catholic Primary School"/>
    <s v="Primary"/>
    <x v="0"/>
    <n v="259920.44845273322"/>
    <n v="0"/>
    <n v="0"/>
    <n v="0"/>
    <n v="0"/>
    <n v="11228.833333333334"/>
    <n v="0"/>
    <n v="-1070.7"/>
    <n v="-917.28227500000003"/>
    <n v="269161.29951106652"/>
  </r>
  <r>
    <n v="3375"/>
    <n v="103462"/>
    <s v="AX05K"/>
    <s v="St Bernard's Catholic Primary School"/>
    <s v="Primary"/>
    <x v="0"/>
    <n v="193846.2745972207"/>
    <n v="0"/>
    <n v="0"/>
    <n v="0"/>
    <n v="0"/>
    <n v="7962.833333333333"/>
    <n v="0"/>
    <n v="-834.15"/>
    <n v="-581.10552500000006"/>
    <n v="200393.85240555406"/>
  </r>
  <r>
    <n v="3331"/>
    <n v="103433"/>
    <s v="AX05L"/>
    <s v="St Catherine of Siena Catholic Primary School"/>
    <s v="Primary"/>
    <x v="0"/>
    <n v="112188.45837979169"/>
    <n v="0"/>
    <n v="0"/>
    <n v="0"/>
    <n v="0"/>
    <n v="5337.4858333333332"/>
    <n v="0"/>
    <n v="-437.82499999999999"/>
    <n v="-307.23845833333331"/>
    <n v="116780.88075479169"/>
  </r>
  <r>
    <n v="3386"/>
    <n v="103470"/>
    <s v="AX05P"/>
    <s v="St Cuthbert's Catholic Primary School"/>
    <s v="Primary"/>
    <x v="0"/>
    <n v="119416.06418803988"/>
    <n v="0"/>
    <n v="0"/>
    <n v="0"/>
    <n v="0"/>
    <n v="7223.4858333333332"/>
    <n v="0"/>
    <n v="-427.45"/>
    <n v="-357.71334999999999"/>
    <n v="125854.38667137321"/>
  </r>
  <r>
    <n v="3363"/>
    <n v="103455"/>
    <s v="AX05Q"/>
    <s v="St Dunstan's Catholic Primary School"/>
    <s v="Primary"/>
    <x v="0"/>
    <n v="129376.71434660257"/>
    <n v="0"/>
    <n v="0"/>
    <n v="0"/>
    <n v="0"/>
    <n v="2720.2083333333335"/>
    <n v="0"/>
    <n v="-547.79999999999995"/>
    <n v="-806.82420000000002"/>
    <n v="130742.29847993591"/>
  </r>
  <r>
    <n v="3355"/>
    <n v="103447"/>
    <s v="AX05U"/>
    <s v="St Edward's Catholic Primary School"/>
    <s v="Primary"/>
    <x v="0"/>
    <n v="178553.49659753955"/>
    <n v="0"/>
    <n v="0"/>
    <n v="0"/>
    <n v="0"/>
    <n v="4535.4508333333333"/>
    <n v="0"/>
    <n v="-765.67500000000007"/>
    <n v="-758.79894999999999"/>
    <n v="181564.4734808729"/>
  </r>
  <r>
    <n v="3367"/>
    <n v="103458"/>
    <s v="AX05Y"/>
    <s v="St Gerard's Catholic Primary School"/>
    <s v="Primary"/>
    <x v="0"/>
    <n v="111077.9090921243"/>
    <n v="0"/>
    <n v="0"/>
    <n v="0"/>
    <n v="0"/>
    <n v="1107.5"/>
    <n v="0"/>
    <n v="-433.67499999999995"/>
    <n v="-333.57318333333336"/>
    <n v="111418.16090879097"/>
  </r>
  <r>
    <n v="3010"/>
    <n v="103401"/>
    <s v="AX05Z"/>
    <s v="St James Church of England Primary School, Handsworth"/>
    <s v="Primary"/>
    <x v="0"/>
    <n v="225159.4631466459"/>
    <n v="0"/>
    <n v="0"/>
    <n v="0"/>
    <n v="0"/>
    <n v="8788.625"/>
    <n v="0"/>
    <n v="-852.82499999999993"/>
    <n v="-1162.2110500000001"/>
    <n v="231933.05209664587"/>
  </r>
  <r>
    <n v="4625"/>
    <n v="103534"/>
    <s v="AX063"/>
    <s v="St John Wall Catholic School"/>
    <s v="Secondary"/>
    <x v="0"/>
    <n v="442813.08331378945"/>
    <n v="0"/>
    <n v="0"/>
    <n v="0"/>
    <n v="0"/>
    <n v="10123.014166666666"/>
    <n v="0"/>
    <n v="-966.875"/>
    <n v="-1440.7574999999999"/>
    <n v="450528.4649804561"/>
  </r>
  <r>
    <n v="3377"/>
    <n v="103463"/>
    <s v="AX066"/>
    <s v="St Jude's Catholic Primary School"/>
    <s v="Primary"/>
    <x v="0"/>
    <n v="108060.95201264246"/>
    <n v="0"/>
    <n v="0"/>
    <n v="0"/>
    <n v="0"/>
    <n v="2976.5275000000001"/>
    <n v="0"/>
    <n v="-390.09999999999997"/>
    <n v="-357.71334999999999"/>
    <n v="110289.66616264245"/>
  </r>
  <r>
    <n v="3361"/>
    <n v="103453"/>
    <s v="AX069"/>
    <s v="St Margaret Mary Catholic Primary School"/>
    <s v="Primary"/>
    <x v="0"/>
    <n v="173465.74797849843"/>
    <n v="0"/>
    <n v="0"/>
    <n v="0"/>
    <n v="0"/>
    <n v="3437.1666666666665"/>
    <n v="0"/>
    <n v="-695.125"/>
    <n v="-739.58884999999998"/>
    <n v="175468.20079516509"/>
  </r>
  <r>
    <n v="3382"/>
    <n v="103467"/>
    <s v="AX06B"/>
    <s v="St Martin de Porres Catholic Primary School"/>
    <s v="Primary"/>
    <x v="0"/>
    <n v="105147.17402878923"/>
    <n v="0"/>
    <n v="0"/>
    <n v="0"/>
    <n v="0"/>
    <n v="7794.9025000000001"/>
    <n v="0"/>
    <n v="-419.14999999999992"/>
    <n v="-348.93510833333335"/>
    <n v="112173.9914204559"/>
  </r>
  <r>
    <n v="3344"/>
    <n v="103438"/>
    <s v="AX06E"/>
    <s v="St Mary's Catholic Primary School"/>
    <s v="Primary"/>
    <x v="0"/>
    <n v="189425.43011715994"/>
    <n v="0"/>
    <n v="0"/>
    <n v="0"/>
    <n v="0"/>
    <n v="8989.0833333333339"/>
    <n v="0"/>
    <n v="-869.42499999999984"/>
    <n v="-850.04692499999999"/>
    <n v="196695.04152549329"/>
  </r>
  <r>
    <n v="3025"/>
    <n v="103410"/>
    <s v="AX06D"/>
    <s v="St Mary's Church of England Primary School"/>
    <s v="Primary"/>
    <x v="0"/>
    <n v="194146.14531842901"/>
    <n v="0"/>
    <n v="0"/>
    <n v="0"/>
    <n v="0"/>
    <n v="11827.221666666666"/>
    <n v="0"/>
    <n v="-850.75"/>
    <n v="-710.77370000000008"/>
    <n v="204411.8432850957"/>
  </r>
  <r>
    <n v="3016"/>
    <n v="103404"/>
    <s v="AX06F"/>
    <s v="St Matthew's CofE Primary School"/>
    <s v="Primary"/>
    <x v="0"/>
    <n v="116951.03627396078"/>
    <n v="0"/>
    <n v="0"/>
    <n v="0"/>
    <n v="0"/>
    <n v="10209.416666666666"/>
    <n v="0"/>
    <n v="-398.39999999999992"/>
    <n v="-1382.5730666666666"/>
    <n v="125379.47987396079"/>
  </r>
  <r>
    <n v="3346"/>
    <n v="103439"/>
    <s v="AX06H"/>
    <s v="St Patrick and St Edmund's Catholic Primary School"/>
    <s v="Primary"/>
    <x v="0"/>
    <n v="174749.95624975138"/>
    <n v="0"/>
    <n v="0"/>
    <n v="0"/>
    <n v="0"/>
    <n v="7981.6316666666671"/>
    <n v="0"/>
    <n v="-622.5"/>
    <n v="-305.04390000000001"/>
    <n v="181804.04401641805"/>
  </r>
  <r>
    <n v="4606"/>
    <n v="103531"/>
    <s v="AX0C4"/>
    <s v="St Paul's School for Girls"/>
    <s v="Secondary"/>
    <x v="0"/>
    <n v="533305.49230066012"/>
    <n v="0"/>
    <n v="0"/>
    <n v="0"/>
    <n v="106607.83333333333"/>
    <n v="7900.2775000000001"/>
    <n v="0"/>
    <n v="-1366.625"/>
    <n v="-2665.4013749999999"/>
    <n v="643781.57675899344"/>
  </r>
  <r>
    <n v="3428"/>
    <n v="134476"/>
    <s v="AX06L"/>
    <s v="St Peters CofE Primary School"/>
    <s v="Primary"/>
    <x v="0"/>
    <n v="188755.31232168365"/>
    <n v="0"/>
    <n v="0"/>
    <n v="0"/>
    <n v="0"/>
    <n v="10533.653333333334"/>
    <n v="0"/>
    <n v="-850.75"/>
    <n v="-1788.5667416666665"/>
    <n v="196649.64891335031"/>
  </r>
  <r>
    <n v="3019"/>
    <n v="103406"/>
    <s v="AX06N"/>
    <s v="St Saviour's C of E Primary School"/>
    <s v="Primary"/>
    <x v="0"/>
    <n v="221965.00550144934"/>
    <n v="0"/>
    <n v="0"/>
    <n v="0"/>
    <n v="0"/>
    <n v="15270.666666666666"/>
    <n v="0"/>
    <n v="-838.29999999999984"/>
    <n v="-696.36612500000001"/>
    <n v="235701.00604311601"/>
  </r>
  <r>
    <n v="1009"/>
    <n v="103124"/>
    <s v="AX06R"/>
    <s v="St Thomas Centre Nursery School"/>
    <s v="Nursery"/>
    <x v="0"/>
    <n v="0"/>
    <n v="0"/>
    <n v="0"/>
    <n v="0"/>
    <n v="0"/>
    <n v="479.6875"/>
    <n v="0"/>
    <n v="0"/>
    <n v="0"/>
    <n v="479.6875"/>
  </r>
  <r>
    <n v="2178"/>
    <n v="103257"/>
    <s v="AX06W"/>
    <s v="Stanville Primary School"/>
    <s v="Primary"/>
    <x v="0"/>
    <n v="113402.68370507831"/>
    <n v="0"/>
    <n v="0"/>
    <n v="0"/>
    <n v="0"/>
    <n v="1107.5"/>
    <n v="0"/>
    <n v="-421.22499999999997"/>
    <n v="-1799.5395416666668"/>
    <n v="112289.41916341163"/>
  </r>
  <r>
    <n v="2184"/>
    <n v="103262"/>
    <s v="AX06Y"/>
    <s v="Stechford Primary School"/>
    <s v="Primary"/>
    <x v="0"/>
    <n v="217349.77078243424"/>
    <n v="0"/>
    <n v="0"/>
    <n v="0"/>
    <n v="0"/>
    <n v="4840.1808333333329"/>
    <n v="0"/>
    <n v="-873.57499999999993"/>
    <n v="-3673.9316249999997"/>
    <n v="217642.44499076757"/>
  </r>
  <r>
    <n v="2190"/>
    <n v="103266"/>
    <s v="AX072"/>
    <s v="Sundridge Primary School"/>
    <s v="Primary"/>
    <x v="0"/>
    <n v="84065.267036412799"/>
    <n v="0"/>
    <n v="0"/>
    <n v="0"/>
    <n v="0"/>
    <n v="1384.3333333333333"/>
    <n v="0"/>
    <n v="-300.875"/>
    <n v="-2150.6692083333332"/>
    <n v="82998.056161412795"/>
  </r>
  <r>
    <n v="7035"/>
    <n v="103615"/>
    <s v="AX01M"/>
    <s v="The Dame Ellen Pinsent School"/>
    <s v="Special"/>
    <x v="0"/>
    <n v="0"/>
    <n v="123055.55583333333"/>
    <n v="0"/>
    <n v="0"/>
    <n v="0"/>
    <n v="184992.27"/>
    <n v="0"/>
    <n v="0"/>
    <n v="0"/>
    <n v="308047.82583333331"/>
  </r>
  <r>
    <n v="7045"/>
    <n v="103622"/>
    <s v="AX04P"/>
    <s v="The Pines School"/>
    <s v="Special"/>
    <x v="0"/>
    <n v="0"/>
    <n v="225000"/>
    <n v="0"/>
    <n v="0"/>
    <n v="0"/>
    <n v="358364.67333333334"/>
    <n v="0"/>
    <n v="0"/>
    <n v="0"/>
    <n v="583364.67333333334"/>
  </r>
  <r>
    <n v="2192"/>
    <n v="103268"/>
    <s v="AX075"/>
    <s v="Thornton Primary School"/>
    <s v="Primary"/>
    <x v="0"/>
    <n v="254363.43714535798"/>
    <n v="0"/>
    <n v="0"/>
    <n v="0"/>
    <n v="0"/>
    <n v="1435.5558333333331"/>
    <n v="0"/>
    <n v="-996"/>
    <n v="-3818.0073749999997"/>
    <n v="250984.98560369134"/>
  </r>
  <r>
    <n v="7014"/>
    <n v="103605"/>
    <s v="AX07A"/>
    <s v="Uffculme School"/>
    <s v="Special"/>
    <x v="0"/>
    <n v="0"/>
    <n v="203194.44499999998"/>
    <n v="0"/>
    <n v="43333.333333333336"/>
    <n v="0"/>
    <n v="458357.4891666667"/>
    <n v="0"/>
    <n v="0"/>
    <n v="0"/>
    <n v="704885.26750000007"/>
  </r>
  <r>
    <n v="7009"/>
    <n v="103601"/>
    <s v="AX0CG"/>
    <s v="Victoria School"/>
    <s v="Special"/>
    <x v="0"/>
    <n v="0"/>
    <n v="154722.2225"/>
    <n v="0"/>
    <n v="39166.666666666664"/>
    <n v="0"/>
    <n v="368368.0633333333"/>
    <n v="0"/>
    <n v="0"/>
    <n v="0"/>
    <n v="562256.9524999999"/>
  </r>
  <r>
    <n v="5203"/>
    <n v="103544"/>
    <s v="AX0CH"/>
    <s v="Walmley Infant School"/>
    <s v="Primary"/>
    <x v="0"/>
    <n v="118856.49679224454"/>
    <n v="0"/>
    <n v="0"/>
    <n v="0"/>
    <n v="0"/>
    <n v="3783.9583333333335"/>
    <n v="0"/>
    <n v="-554.02499999999998"/>
    <n v="-494.66007500000001"/>
    <n v="121591.77005057786"/>
  </r>
  <r>
    <n v="5202"/>
    <n v="103543"/>
    <s v="AX0CJ"/>
    <s v="Walmley Junior School"/>
    <s v="Primary"/>
    <x v="0"/>
    <n v="155031.98909488405"/>
    <n v="0"/>
    <n v="0"/>
    <n v="0"/>
    <n v="0"/>
    <n v="6460.416666666667"/>
    <n v="0"/>
    <n v="-747"/>
    <n v="-370.60980000000001"/>
    <n v="160374.7959615507"/>
  </r>
  <r>
    <n v="2108"/>
    <n v="103217"/>
    <s v="AX07B"/>
    <s v="Ward End Primary School"/>
    <s v="Primary"/>
    <x v="0"/>
    <n v="419383.31546561775"/>
    <n v="0"/>
    <n v="8166.666666666667"/>
    <n v="0"/>
    <n v="0"/>
    <n v="0"/>
    <n v="26691.309999999998"/>
    <n v="-1718.0999999999997"/>
    <n v="-1680.88375"/>
    <n v="450842.30838228448"/>
  </r>
  <r>
    <n v="1019"/>
    <n v="103132"/>
    <s v="AX07D"/>
    <s v="Washwood Heath Nursery School"/>
    <s v="Nursery"/>
    <x v="0"/>
    <n v="0"/>
    <n v="0"/>
    <n v="0"/>
    <n v="0"/>
    <n v="0"/>
    <n v="-1607.5"/>
    <n v="0"/>
    <n v="0"/>
    <n v="0"/>
    <n v="-1607.5"/>
  </r>
  <r>
    <n v="2306"/>
    <n v="103326"/>
    <s v="AX07E"/>
    <s v="Water Mill Primary School"/>
    <s v="Primary"/>
    <x v="0"/>
    <n v="113120.38733174258"/>
    <n v="0"/>
    <n v="0"/>
    <n v="0"/>
    <n v="0"/>
    <n v="1107.5"/>
    <n v="0"/>
    <n v="-435.75"/>
    <n v="-1678.8387166666669"/>
    <n v="112113.29861507591"/>
  </r>
  <r>
    <n v="2308"/>
    <n v="103328"/>
    <s v="AX0CL"/>
    <s v="Welford Primary School"/>
    <s v="Primary"/>
    <x v="0"/>
    <n v="206651.72660800896"/>
    <n v="0"/>
    <n v="0"/>
    <n v="0"/>
    <n v="0"/>
    <n v="0"/>
    <n v="11075"/>
    <n v="-763.59999999999991"/>
    <n v="-2929.54025"/>
    <n v="214033.58635800896"/>
  </r>
  <r>
    <n v="2245"/>
    <n v="103295"/>
    <s v="AX07H"/>
    <s v="Welsh House Farm Community School and Special Needs Resources Base"/>
    <s v="Primary"/>
    <x v="0"/>
    <n v="120556.381732187"/>
    <n v="0"/>
    <n v="6666.666666666667"/>
    <n v="0"/>
    <n v="0"/>
    <n v="0"/>
    <n v="13138.566666666666"/>
    <n v="-396.32499999999999"/>
    <n v="-2073.8595916666668"/>
    <n v="137891.43047385366"/>
  </r>
  <r>
    <n v="1020"/>
    <n v="103133"/>
    <s v="AX07J"/>
    <s v="Weoley Castle Nursery School"/>
    <s v="Nursery"/>
    <x v="0"/>
    <n v="0"/>
    <n v="0"/>
    <n v="0"/>
    <n v="0"/>
    <n v="0"/>
    <n v="-13082.083333333334"/>
    <n v="0"/>
    <n v="0"/>
    <n v="0"/>
    <n v="-13082.083333333334"/>
  </r>
  <r>
    <n v="1014"/>
    <n v="103127"/>
    <s v="AX07K"/>
    <s v="West Heath Nursery School"/>
    <s v="Nursery"/>
    <x v="0"/>
    <n v="0"/>
    <n v="0"/>
    <n v="0"/>
    <n v="0"/>
    <n v="0"/>
    <n v="-3302.5"/>
    <n v="0"/>
    <n v="0"/>
    <n v="0"/>
    <n v="-3302.5"/>
  </r>
  <r>
    <n v="2019"/>
    <n v="134279"/>
    <s v="AX07L"/>
    <s v="West Heath Primary School"/>
    <s v="Primary"/>
    <x v="0"/>
    <n v="212652.92011216676"/>
    <n v="0"/>
    <n v="0"/>
    <n v="0"/>
    <n v="0"/>
    <n v="19104.375"/>
    <n v="0"/>
    <n v="-846.59999999999991"/>
    <n v="-7011.6864999999998"/>
    <n v="223899.00861216674"/>
  </r>
  <r>
    <n v="2011"/>
    <n v="134099"/>
    <s v="AX07P"/>
    <s v="Wheelers Lane Primary School"/>
    <s v="Primary"/>
    <x v="0"/>
    <n v="307170.29087604565"/>
    <n v="0"/>
    <n v="0"/>
    <n v="0"/>
    <n v="0"/>
    <n v="15597.291666666666"/>
    <n v="0"/>
    <n v="-1278.2"/>
    <n v="-8740.5954999999994"/>
    <n v="312748.78704271233"/>
  </r>
  <r>
    <n v="4193"/>
    <n v="103501"/>
    <s v="AX07N"/>
    <s v="Wheelers Lane Technology College"/>
    <s v="Secondary"/>
    <x v="0"/>
    <n v="458272.65347731067"/>
    <n v="0"/>
    <n v="0"/>
    <n v="0"/>
    <n v="0"/>
    <n v="14305.208333333334"/>
    <n v="0"/>
    <n v="-1095.25"/>
    <n v="-11478.034749999999"/>
    <n v="460004.57706064399"/>
  </r>
  <r>
    <n v="2478"/>
    <n v="132007"/>
    <s v="AX07Q"/>
    <s v="Whitehouse Common Primary School"/>
    <s v="Primary"/>
    <x v="0"/>
    <n v="182434.79275000002"/>
    <n v="0"/>
    <n v="0"/>
    <n v="0"/>
    <n v="0"/>
    <n v="2215"/>
    <n v="0"/>
    <n v="-871.5"/>
    <n v="-3409.7927500000001"/>
    <n v="180368.50000000003"/>
  </r>
  <r>
    <n v="2293"/>
    <n v="103317"/>
    <s v="AX07T"/>
    <s v="William Murdoch Primary School"/>
    <s v="Primary"/>
    <x v="0"/>
    <n v="289514.92330399971"/>
    <n v="0"/>
    <n v="0"/>
    <n v="0"/>
    <n v="0"/>
    <n v="9321.4583333333339"/>
    <n v="0"/>
    <n v="-1170.3"/>
    <n v="-792.41662499999995"/>
    <n v="296873.66501233302"/>
  </r>
  <r>
    <n v="2445"/>
    <n v="103372"/>
    <s v="AX07U"/>
    <s v="Woodcock Hill Primary School"/>
    <s v="Primary"/>
    <x v="0"/>
    <n v="117257.0474454428"/>
    <n v="0"/>
    <n v="0"/>
    <n v="0"/>
    <n v="0"/>
    <n v="7106.458333333333"/>
    <n v="0"/>
    <n v="-412.92499999999995"/>
    <n v="-1558.1378999999999"/>
    <n v="122392.44287877613"/>
  </r>
  <r>
    <n v="2278"/>
    <n v="103310"/>
    <s v="AX07V"/>
    <s v="Woodgate Primary School"/>
    <s v="Primary"/>
    <x v="0"/>
    <n v="217222.87058243601"/>
    <n v="0"/>
    <n v="0"/>
    <n v="0"/>
    <n v="0"/>
    <n v="14212.916666666666"/>
    <n v="0"/>
    <n v="-832.07499999999993"/>
    <n v="-2953.5528749999999"/>
    <n v="227650.15937410266"/>
  </r>
  <r>
    <n v="2317"/>
    <n v="103337"/>
    <s v="AX07X"/>
    <s v="World's End Infant and Nursery School"/>
    <s v="Primary"/>
    <x v="0"/>
    <n v="124747.35455788918"/>
    <n v="0"/>
    <n v="2166.6666666666665"/>
    <n v="0"/>
    <n v="0"/>
    <n v="0"/>
    <n v="14783.211666666668"/>
    <n v="-479.32499999999999"/>
    <n v="-1353.0762333333334"/>
    <n v="139864.83165788918"/>
  </r>
  <r>
    <n v="2225"/>
    <n v="103279"/>
    <s v="AX0CQ"/>
    <s v="World's End Junior School"/>
    <s v="Primary"/>
    <x v="0"/>
    <n v="191237.19001787424"/>
    <n v="0"/>
    <n v="5000"/>
    <n v="0"/>
    <n v="0"/>
    <n v="0"/>
    <n v="15469.394999999999"/>
    <n v="-747"/>
    <n v="-1793.6137916666667"/>
    <n v="209165.97122620756"/>
  </r>
  <r>
    <n v="2412"/>
    <n v="103349"/>
    <s v="AX07Y"/>
    <s v="Wylde Green Primary School"/>
    <s v="Primary"/>
    <x v="0"/>
    <n v="197668.29446579961"/>
    <n v="0"/>
    <n v="0"/>
    <n v="0"/>
    <n v="0"/>
    <n v="8675.4166666666661"/>
    <n v="0"/>
    <n v="-875.65"/>
    <n v="-3625.906375"/>
    <n v="201842.15475746628"/>
  </r>
  <r>
    <n v="3421"/>
    <n v="133996"/>
    <s v="AX080"/>
    <s v="Yardley Primary School"/>
    <s v="Primary"/>
    <x v="0"/>
    <n v="387549.47687947401"/>
    <n v="0"/>
    <n v="0"/>
    <n v="0"/>
    <n v="0"/>
    <n v="13105.416666666666"/>
    <n v="0"/>
    <n v="-1703.5749999999998"/>
    <n v="-4010.1083749999998"/>
    <n v="394941.21017114067"/>
  </r>
  <r>
    <n v="2227"/>
    <n v="103281"/>
    <s v="AX081"/>
    <s v="Yardley Wood Community Primary School"/>
    <s v="Primary"/>
    <x v="0"/>
    <n v="217083.58279544019"/>
    <n v="0"/>
    <n v="0"/>
    <n v="0"/>
    <n v="0"/>
    <n v="10428.958333333334"/>
    <n v="0"/>
    <n v="-800.94999999999993"/>
    <n v="-2813.6692166666667"/>
    <n v="223897.92191210686"/>
  </r>
  <r>
    <n v="3371"/>
    <n v="103459"/>
    <s v="AX067"/>
    <s v="St Laurence Church Infant School"/>
    <s v="Primary"/>
    <x v="1"/>
    <n v="0"/>
    <n v="0"/>
    <n v="0"/>
    <n v="0"/>
    <n v="0"/>
    <n v="0"/>
    <n v="0"/>
    <n v="0"/>
    <n v="0"/>
    <n v="0"/>
  </r>
  <r>
    <n v="3307"/>
    <n v="103416"/>
    <s v="AX068"/>
    <s v="St Laurence Church Junior School"/>
    <s v="Primary"/>
    <x v="1"/>
    <n v="0"/>
    <n v="0"/>
    <n v="0"/>
    <n v="0"/>
    <n v="0"/>
    <n v="0"/>
    <n v="0"/>
    <n v="0"/>
    <n v="0"/>
    <n v="0"/>
  </r>
  <r>
    <n v="2231"/>
    <n v="103284"/>
    <s v="AX083"/>
    <s v="Yorkmead Junior and Infant School"/>
    <s v="Primary"/>
    <x v="1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B02616-71C0-4C4F-A695-AE72352B94A8}" name="PivotTable1" cacheId="7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B4" firstHeaderRow="1" firstDataRow="1" firstDataCol="1"/>
  <pivotFields count="16"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5"/>
  </rowFields>
  <rowItems count="3">
    <i>
      <x/>
    </i>
    <i>
      <x v="1"/>
    </i>
    <i t="grand">
      <x/>
    </i>
  </rowItems>
  <colItems count="1">
    <i/>
  </colItems>
  <dataFields count="1">
    <dataField name="Sum of Total May Instalment" fld="15" baseField="5" baseItem="0" numFmtId="17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X153" dT="2024-10-17T13:30:58.54" personId="{6976757E-C441-48A1-8570-B569C0B2CAC7}" id="{5D546243-3F4B-4EE7-826C-933D75525B08}">
    <text>Paid direct to academy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Z56" dT="2025-09-29T08:23:27.66" personId="{6976757E-C441-48A1-8570-B569C0B2CAC7}" id="{619E54DE-CAA8-417C-A6F8-136704DB38BB}">
    <text>Reimbursement of Redundancy Costs</text>
  </threadedComment>
  <threadedComment ref="Z91" dT="2025-09-29T08:19:04.27" personId="{6976757E-C441-48A1-8570-B569C0B2CAC7}" id="{B40ED99A-303D-497F-84B6-D58176A6F6F1}">
    <text>Court Injunction</text>
  </threadedComment>
  <threadedComment ref="Y106" dT="2025-08-24T13:04:45.26" personId="{6976757E-C441-48A1-8570-B569C0B2CAC7}" id="{4BA1BC9C-7AD3-44ED-9220-739F7A5BD03A}">
    <text>Remaining 3/12 to be added in 26/27 cash sheet</text>
  </threadedComment>
  <threadedComment ref="Y106" dT="2025-09-30T09:13:22.58" personId="{6976757E-C441-48A1-8570-B569C0B2CAC7}" id="{05A111E6-84D7-42F1-A8E3-8B5D65514D4C}" parentId="{4BA1BC9C-7AD3-44ED-9220-739F7A5BD03A}">
    <text>Energy costs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initial-teacher-training-reform-funding-guidance" TargetMode="External"/><Relationship Id="rId2" Type="http://schemas.openxmlformats.org/officeDocument/2006/relationships/hyperlink" Target="https://www.gov.uk/government/publications/national-insurance-contributions-nics-grant-for-2025-to-2026" TargetMode="External"/><Relationship Id="rId1" Type="http://schemas.openxmlformats.org/officeDocument/2006/relationships/hyperlink" Target="https://www.gov.uk/government/publications/schools-budget-support-grant-sbsg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gov.uk/government/publications/pe-and-sport-premium-conditions-of-grant-2025-to-2026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../../../../../../:x:/s/SchoolFairfundingTeam/IQDjkKl-sg5lQqGxMlcr_KQ8AZd8jX_BvJ3NLw00QtzEovs?e=9vNdfG" TargetMode="External"/><Relationship Id="rId1" Type="http://schemas.openxmlformats.org/officeDocument/2006/relationships/hyperlink" Target="../../../../../../:x:/s/SchoolFairfundingTeam/IQDjkKl-sg5lQqGxMlcr_KQ8AZd8jX_BvJ3NLw00QtzEovs?e=9vNdfG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6B475-0956-493C-9DBB-AC3F3E5C747E}">
  <sheetPr codeName="Sheet11">
    <tabColor rgb="FFFF0000"/>
  </sheetPr>
  <dimension ref="A1:AP195"/>
  <sheetViews>
    <sheetView topLeftCell="D1" zoomScale="70" zoomScaleNormal="70" workbookViewId="0">
      <selection activeCell="V8" sqref="V8:V193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2.28515625" style="272" bestFit="1" customWidth="1"/>
    <col min="8" max="8" width="16.85546875" bestFit="1" customWidth="1"/>
    <col min="9" max="9" width="15" customWidth="1"/>
    <col min="10" max="10" width="14.85546875" bestFit="1" customWidth="1"/>
    <col min="11" max="11" width="3.42578125" style="272" customWidth="1"/>
    <col min="12" max="12" width="15.42578125" bestFit="1" customWidth="1"/>
    <col min="13" max="13" width="11.42578125" bestFit="1" customWidth="1"/>
    <col min="14" max="14" width="3.42578125" style="272" customWidth="1"/>
    <col min="15" max="15" width="15.42578125" bestFit="1" customWidth="1"/>
    <col min="16" max="16" width="14.28515625" customWidth="1"/>
    <col min="17" max="17" width="15.42578125" bestFit="1" customWidth="1"/>
    <col min="18" max="18" width="3.42578125" style="272" customWidth="1"/>
    <col min="19" max="19" width="14.28515625" bestFit="1" customWidth="1"/>
    <col min="20" max="20" width="3.42578125" style="272" customWidth="1"/>
    <col min="21" max="21" width="13.7109375" bestFit="1" customWidth="1"/>
    <col min="22" max="22" width="13.7109375" customWidth="1"/>
    <col min="23" max="23" width="3.42578125" style="272" customWidth="1"/>
    <col min="24" max="24" width="15.7109375" bestFit="1" customWidth="1"/>
    <col min="25" max="25" width="14.28515625" bestFit="1" customWidth="1"/>
    <col min="26" max="26" width="15" bestFit="1" customWidth="1"/>
    <col min="27" max="28" width="13.85546875" bestFit="1" customWidth="1"/>
    <col min="29" max="29" width="12.140625" customWidth="1"/>
    <col min="31" max="31" width="16.85546875" bestFit="1" customWidth="1"/>
    <col min="32" max="32" width="14" bestFit="1" customWidth="1"/>
    <col min="33" max="34" width="15.42578125" bestFit="1" customWidth="1"/>
    <col min="35" max="36" width="13.42578125" bestFit="1" customWidth="1"/>
    <col min="37" max="37" width="15.42578125" bestFit="1" customWidth="1"/>
    <col min="38" max="38" width="10.28515625" bestFit="1" customWidth="1"/>
    <col min="39" max="39" width="14.5703125" bestFit="1" customWidth="1"/>
    <col min="40" max="40" width="15" bestFit="1" customWidth="1"/>
    <col min="41" max="41" width="13" bestFit="1" customWidth="1"/>
    <col min="42" max="42" width="15.85546875" bestFit="1" customWidth="1"/>
  </cols>
  <sheetData>
    <row r="1" spans="1:42">
      <c r="A1" s="1" t="s">
        <v>0</v>
      </c>
      <c r="B1" s="1"/>
    </row>
    <row r="2" spans="1:42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 s="272">
        <v>7</v>
      </c>
    </row>
    <row r="3" spans="1:42" ht="15.75" thickBot="1">
      <c r="D3" s="66"/>
    </row>
    <row r="4" spans="1:42" ht="19.5" thickBot="1">
      <c r="D4" s="66"/>
      <c r="X4" s="381" t="s">
        <v>1</v>
      </c>
      <c r="Y4" s="382"/>
      <c r="Z4" s="382"/>
      <c r="AA4" s="382"/>
      <c r="AB4" s="382"/>
      <c r="AC4" s="383"/>
    </row>
    <row r="5" spans="1:42" ht="19.5" thickBot="1">
      <c r="D5" s="66"/>
      <c r="H5" s="326" t="s">
        <v>2</v>
      </c>
      <c r="I5" s="771"/>
      <c r="J5" s="327"/>
      <c r="L5" s="326" t="s">
        <v>3</v>
      </c>
      <c r="M5" s="327"/>
      <c r="O5" s="326" t="s">
        <v>4</v>
      </c>
      <c r="P5" s="771"/>
      <c r="Q5" s="327"/>
      <c r="S5" s="334" t="s">
        <v>5</v>
      </c>
      <c r="U5" s="379" t="s">
        <v>6</v>
      </c>
      <c r="V5" s="379"/>
      <c r="X5" s="384" t="s">
        <v>7</v>
      </c>
      <c r="Y5" s="385"/>
      <c r="Z5" s="385"/>
      <c r="AA5" s="385"/>
      <c r="AB5" s="385"/>
      <c r="AC5" s="386"/>
    </row>
    <row r="6" spans="1:42" ht="60.75" thickBot="1">
      <c r="H6" s="323" t="s">
        <v>8</v>
      </c>
      <c r="I6" s="324" t="s">
        <v>9</v>
      </c>
      <c r="J6" s="325" t="s">
        <v>10</v>
      </c>
      <c r="L6" s="323" t="s">
        <v>11</v>
      </c>
      <c r="M6" s="325" t="s">
        <v>12</v>
      </c>
      <c r="O6" s="323"/>
      <c r="P6" s="779"/>
      <c r="Q6" s="325"/>
      <c r="S6" s="335" t="s">
        <v>13</v>
      </c>
      <c r="U6" s="380" t="s">
        <v>14</v>
      </c>
      <c r="V6" s="380" t="s">
        <v>1101</v>
      </c>
      <c r="AE6" s="774" t="s">
        <v>15</v>
      </c>
      <c r="AF6" s="774"/>
      <c r="AG6" s="774"/>
      <c r="AH6" s="774"/>
      <c r="AI6" s="774"/>
      <c r="AJ6" s="774"/>
      <c r="AK6" s="774"/>
      <c r="AL6" s="774"/>
      <c r="AM6" s="774"/>
      <c r="AN6" s="774"/>
      <c r="AO6" s="774"/>
      <c r="AP6" s="774"/>
    </row>
    <row r="7" spans="1:42" ht="15.75" thickBot="1">
      <c r="A7" s="177" t="s">
        <v>16</v>
      </c>
      <c r="B7" s="178" t="s">
        <v>17</v>
      </c>
      <c r="C7" s="179" t="s">
        <v>18</v>
      </c>
      <c r="D7" s="180" t="s">
        <v>19</v>
      </c>
      <c r="E7" s="179" t="s">
        <v>20</v>
      </c>
      <c r="F7" s="180" t="s">
        <v>21</v>
      </c>
      <c r="H7" s="322" t="s">
        <v>22</v>
      </c>
      <c r="I7" s="215" t="s">
        <v>23</v>
      </c>
      <c r="J7" s="226" t="s">
        <v>24</v>
      </c>
      <c r="L7" s="223" t="s">
        <v>22</v>
      </c>
      <c r="M7" s="226" t="s">
        <v>25</v>
      </c>
      <c r="O7" s="223" t="s">
        <v>22</v>
      </c>
      <c r="P7" s="780" t="s">
        <v>26</v>
      </c>
      <c r="Q7" s="226" t="s">
        <v>25</v>
      </c>
      <c r="S7" s="336" t="s">
        <v>26</v>
      </c>
      <c r="U7" s="380" t="s">
        <v>27</v>
      </c>
      <c r="V7" s="380" t="s">
        <v>22</v>
      </c>
      <c r="X7" t="s">
        <v>22</v>
      </c>
      <c r="Y7" t="s">
        <v>26</v>
      </c>
      <c r="Z7" t="s">
        <v>25</v>
      </c>
      <c r="AA7" t="s">
        <v>23</v>
      </c>
      <c r="AB7" t="s">
        <v>24</v>
      </c>
      <c r="AC7" t="s">
        <v>27</v>
      </c>
      <c r="AE7" t="s">
        <v>22</v>
      </c>
      <c r="AF7" t="s">
        <v>26</v>
      </c>
      <c r="AG7" t="s">
        <v>25</v>
      </c>
      <c r="AH7" t="s">
        <v>28</v>
      </c>
      <c r="AI7" t="s">
        <v>29</v>
      </c>
      <c r="AJ7" t="s">
        <v>30</v>
      </c>
      <c r="AK7" t="s">
        <v>24</v>
      </c>
      <c r="AL7" t="s">
        <v>31</v>
      </c>
      <c r="AM7" t="s">
        <v>27</v>
      </c>
      <c r="AN7" t="s">
        <v>23</v>
      </c>
      <c r="AO7" t="s">
        <v>32</v>
      </c>
      <c r="AP7" t="s">
        <v>33</v>
      </c>
    </row>
    <row r="8" spans="1:42">
      <c r="A8" s="197">
        <v>1027</v>
      </c>
      <c r="B8" s="185">
        <v>103140</v>
      </c>
      <c r="C8" s="185" t="s">
        <v>34</v>
      </c>
      <c r="D8" s="185" t="s">
        <v>35</v>
      </c>
      <c r="E8" s="190" t="s">
        <v>36</v>
      </c>
      <c r="F8" s="208" t="str">
        <f>VLOOKUP(A8,'Summary June 2026'!A:F,6,FALSE)</f>
        <v>Chq Bk</v>
      </c>
      <c r="H8" s="273">
        <f>_xlfn.IFNA(VLOOKUP($A8,ISB!$A:$BY,67,FALSE),0)</f>
        <v>0</v>
      </c>
      <c r="I8" s="218">
        <f>_xlfn.IFNA(VLOOKUP($A8,ISB!$A:$BY,72,FALSE),0)</f>
        <v>0</v>
      </c>
      <c r="J8" s="274">
        <f>-_xlfn.IFNA(VLOOKUP($A8,ISB!$A:$BY,76,FALSE),0)</f>
        <v>0</v>
      </c>
      <c r="L8" s="273">
        <f>_xlfn.IFNA(VLOOKUP($A8,EY!$A:$DX,126,FALSE),0)</f>
        <v>508693.33784213063</v>
      </c>
      <c r="M8" s="273">
        <f>_xlfn.IFNA(VLOOKUP($A8,EY!$A:$DX,127,FALSE),0)</f>
        <v>9624.5108033240995</v>
      </c>
      <c r="O8" s="273">
        <f>_xlfn.IFNA(VLOOKUP($A8,HN!$A:$AN,37,FALSE),0)</f>
        <v>0</v>
      </c>
      <c r="P8" s="273">
        <f>_xlfn.IFNA(VLOOKUP($A8,HN!$A:$AN,38,FALSE),0)</f>
        <v>0</v>
      </c>
      <c r="Q8" s="273">
        <f>_xlfn.IFNA(VLOOKUP($A8,HN!$A:$AN,39,FALSE),0)</f>
        <v>33962</v>
      </c>
      <c r="S8" s="337">
        <f>_xlfn.IFNA(VLOOKUP(A8,'Post 16'!A:AR,44,FALSE),0)</f>
        <v>0</v>
      </c>
      <c r="U8" s="337"/>
      <c r="V8" s="337">
        <f>VLOOKUP(A8,'LA Deductions'!A:AN,40,FALSE)</f>
        <v>0</v>
      </c>
      <c r="X8" s="274">
        <f>VLOOKUP($A8,'Summary June 2026'!$A:$AAX,206,FALSE)-SUMIFS($H8:$V8,$H$7:$V$7,X$7)</f>
        <v>0</v>
      </c>
      <c r="Y8" s="274">
        <f>VLOOKUP($A8,'Summary June 2026'!$A:$HC,207,FALSE)-SUMIFS($H8:$V8,$H$7:$V$7,Y$7)</f>
        <v>0</v>
      </c>
      <c r="Z8" s="274">
        <f>VLOOKUP($A8,'Summary June 2026'!$A:$HC,208,FALSE)-SUMIFS($H8:$V8,$H$7:$V$7,Z$7)</f>
        <v>0</v>
      </c>
      <c r="AA8" s="274">
        <f>VLOOKUP($A8,'Summary June 2026'!$A:$HC,209,FALSE)-SUMIFS($H8:$V8,$H$7:$V$7,AA$7)</f>
        <v>0</v>
      </c>
      <c r="AB8" s="274">
        <f>VLOOKUP($A8,'Summary June 2026'!$A:$HC,210,FALSE)-SUMIFS($H8:$V8,$H$7:$V$7,AB$7)</f>
        <v>0</v>
      </c>
      <c r="AC8" s="274">
        <f>VLOOKUP($A8,'Summary June 2026'!$A:$HC,211,FALSE)-SUMIFS($H8:$V8,$H$7:$V$7,AC$7)</f>
        <v>0</v>
      </c>
      <c r="AE8" s="146">
        <f>VLOOKUP($A8,'Summary June 2026'!$A:$HJ,213,FALSE)+VLOOKUP($A8,'Grants+ Other Funding'!$A:$CG,67,FALSE)</f>
        <v>388966.21784213063</v>
      </c>
      <c r="AF8" s="146">
        <f>_xlfn.IFNA(VLOOKUP($A8,'Summary June 2026'!$A:$HJ,214,FALSE)+VLOOKUP($A8,'Grants+ Other Funding'!$A:$CG,68,FALSE),0)</f>
        <v>0</v>
      </c>
      <c r="AG8" s="146">
        <f>_xlfn.IFNA(VLOOKUP($A8,'Summary June 2026'!$A:$HJ,215,FALSE)+VLOOKUP($A8,'Grants+ Other Funding'!$A:$CG,69,FALSE),0)</f>
        <v>22501.535803324106</v>
      </c>
      <c r="AH8" s="146">
        <f>_xlfn.IFNA(VLOOKUP($A8,'Grants+ Other Funding'!$A:$CG,70,FALSE),0)</f>
        <v>0</v>
      </c>
      <c r="AI8" s="146">
        <f>_xlfn.IFNA(VLOOKUP($A8,'Grants+ Other Funding'!$A:$CG,71,FALSE),0)</f>
        <v>0</v>
      </c>
      <c r="AJ8" s="146">
        <f>_xlfn.IFNA(VLOOKUP($A8,'Grants+ Other Funding'!$A:$CG,72,FALSE),0)</f>
        <v>0</v>
      </c>
      <c r="AK8" s="146">
        <f>_xlfn.IFNA(VLOOKUP($A8,'Summary June 2026'!$A:$HJ,217,FALSE),0)</f>
        <v>0</v>
      </c>
      <c r="AL8" s="146">
        <f>_xlfn.IFNA(VLOOKUP($A8,'Grants+ Other Funding'!$A:$CG,74,FALSE),0)</f>
        <v>0</v>
      </c>
      <c r="AM8" s="146">
        <f>_xlfn.IFNA(VLOOKUP($A8,'Summary June 2026'!$A:$HJ,218,FALSE),0)</f>
        <v>0</v>
      </c>
      <c r="AN8" s="146">
        <f>_xlfn.IFNA(VLOOKUP($A8,'Summary June 2026'!$A:$HJ,216,FALSE),0)</f>
        <v>0</v>
      </c>
      <c r="AO8" s="146">
        <f>_xlfn.IFNA(VLOOKUP($A8,'Grants+ Other Funding'!$A:$CG,73,FALSE),0)</f>
        <v>0</v>
      </c>
      <c r="AP8" s="65">
        <f t="shared" ref="AP8:AP39" si="0">SUM(AE8:AO8)</f>
        <v>411467.75364545477</v>
      </c>
    </row>
    <row r="9" spans="1:42">
      <c r="A9" s="198">
        <v>2010</v>
      </c>
      <c r="B9" s="2">
        <v>103159</v>
      </c>
      <c r="C9" s="2" t="s">
        <v>37</v>
      </c>
      <c r="D9" s="2" t="s">
        <v>38</v>
      </c>
      <c r="E9" s="190" t="s">
        <v>39</v>
      </c>
      <c r="F9" s="208" t="str">
        <f>VLOOKUP(A9,'Summary June 2026'!A:F,6,FALSE)</f>
        <v>Chq Bk</v>
      </c>
      <c r="H9" s="273">
        <f>_xlfn.IFNA(VLOOKUP($A9,ISB!$A:$BY,67,FALSE),0)</f>
        <v>2363930.0357158198</v>
      </c>
      <c r="I9" s="218">
        <f>_xlfn.IFNA(VLOOKUP($A9,ISB!$A:$BY,72,FALSE),0)</f>
        <v>-8665.1999999999989</v>
      </c>
      <c r="J9" s="274">
        <f>-_xlfn.IFNA(VLOOKUP($A9,ISB!$A:$BY,76,FALSE),0)</f>
        <v>-59935.512000000002</v>
      </c>
      <c r="L9" s="273">
        <f>_xlfn.IFNA(VLOOKUP($A9,EY!$A:$DX,126,FALSE),0)</f>
        <v>0</v>
      </c>
      <c r="M9" s="273">
        <f>_xlfn.IFNA(VLOOKUP($A9,EY!$A:$DX,127,FALSE),0)</f>
        <v>0</v>
      </c>
      <c r="O9" s="273">
        <f>_xlfn.IFNA(VLOOKUP($A9,HN!$A:$AN,37,FALSE),0)</f>
        <v>0</v>
      </c>
      <c r="P9" s="273">
        <f>_xlfn.IFNA(VLOOKUP($A9,HN!$A:$AN,38,FALSE),0)</f>
        <v>0</v>
      </c>
      <c r="Q9" s="273">
        <f>_xlfn.IFNA(VLOOKUP($A9,HN!$A:$AN,39,FALSE),0)</f>
        <v>16969.580000000002</v>
      </c>
      <c r="S9" s="337">
        <f>_xlfn.IFNA(VLOOKUP(A9,'Post 16'!A:AR,44,FALSE),0)</f>
        <v>0</v>
      </c>
      <c r="U9" s="337"/>
      <c r="V9" s="337">
        <f>VLOOKUP(A9,'LA Deductions'!A:AN,40,FALSE)</f>
        <v>0</v>
      </c>
      <c r="X9" s="274">
        <f>VLOOKUP($A9,'Summary June 2026'!$A:$AAX,206,FALSE)-SUMIFS($H9:$V9,$H$7:$V$7,X$7)</f>
        <v>0</v>
      </c>
      <c r="Y9" s="274">
        <f>VLOOKUP($A9,'Summary June 2026'!$A:$HC,207,FALSE)-SUMIFS($H9:$V9,$H$7:$V$7,Y$7)</f>
        <v>0</v>
      </c>
      <c r="Z9" s="274">
        <f>VLOOKUP($A9,'Summary June 2026'!$A:$HC,208,FALSE)-SUMIFS($H9:$V9,$H$7:$V$7,Z$7)</f>
        <v>0</v>
      </c>
      <c r="AA9" s="274">
        <f>VLOOKUP($A9,'Summary June 2026'!$A:$HC,209,FALSE)-SUMIFS($H9:$V9,$H$7:$V$7,AA$7)</f>
        <v>0</v>
      </c>
      <c r="AB9" s="274">
        <f>VLOOKUP($A9,'Summary June 2026'!$A:$HC,210,FALSE)-SUMIFS($H9:$V9,$H$7:$V$7,AB$7)</f>
        <v>0</v>
      </c>
      <c r="AC9" s="274">
        <f>VLOOKUP($A9,'Summary June 2026'!$A:$HC,211,FALSE)-SUMIFS($H9:$V9,$H$7:$V$7,AC$7)</f>
        <v>0</v>
      </c>
      <c r="AE9" s="146">
        <f>VLOOKUP($A9,'Summary June 2026'!$A:$HJ,213,FALSE)+VLOOKUP($A9,'Grants+ Other Funding'!$A:$CG,67,FALSE)</f>
        <v>590982.50892895495</v>
      </c>
      <c r="AF9" s="146">
        <f>_xlfn.IFNA(VLOOKUP($A9,'Summary June 2026'!$A:$HJ,214,FALSE)+VLOOKUP($A9,'Grants+ Other Funding'!$A:$CG,68,FALSE),0)</f>
        <v>0</v>
      </c>
      <c r="AG9" s="146">
        <f>_xlfn.IFNA(VLOOKUP($A9,'Summary June 2026'!$A:$HJ,215,FALSE)+VLOOKUP($A9,'Grants+ Other Funding'!$A:$CG,69,FALSE),0)</f>
        <v>3401.3952500000005</v>
      </c>
      <c r="AH9" s="146">
        <f>_xlfn.IFNA(VLOOKUP($A9,'Grants+ Other Funding'!$A:$CG,70,FALSE),0)</f>
        <v>0</v>
      </c>
      <c r="AI9" s="146">
        <f>_xlfn.IFNA(VLOOKUP($A9,'Grants+ Other Funding'!$A:$CG,71,FALSE),0)</f>
        <v>0</v>
      </c>
      <c r="AJ9" s="146">
        <f>_xlfn.IFNA(VLOOKUP($A9,'Grants+ Other Funding'!$A:$CG,72,FALSE),0)</f>
        <v>0</v>
      </c>
      <c r="AK9" s="146">
        <f>_xlfn.IFNA(VLOOKUP($A9,'Summary June 2026'!$A:$HJ,217,FALSE),0)</f>
        <v>-14983.878000000001</v>
      </c>
      <c r="AL9" s="146">
        <f>_xlfn.IFNA(VLOOKUP($A9,'Grants+ Other Funding'!$A:$CG,74,FALSE),0)</f>
        <v>0</v>
      </c>
      <c r="AM9" s="146">
        <f>_xlfn.IFNA(VLOOKUP($A9,'Summary June 2026'!$A:$HJ,218,FALSE),0)</f>
        <v>0</v>
      </c>
      <c r="AN9" s="146">
        <f>_xlfn.IFNA(VLOOKUP($A9,'Summary June 2026'!$A:$HJ,216,FALSE),0)</f>
        <v>-2166.2999999999997</v>
      </c>
      <c r="AO9" s="146">
        <f>_xlfn.IFNA(VLOOKUP($A9,'Grants+ Other Funding'!$A:$CG,73,FALSE),0)</f>
        <v>0</v>
      </c>
      <c r="AP9" s="65">
        <f t="shared" si="0"/>
        <v>577233.72617895482</v>
      </c>
    </row>
    <row r="10" spans="1:42">
      <c r="A10" s="198">
        <v>5949</v>
      </c>
      <c r="B10" s="2">
        <v>131465</v>
      </c>
      <c r="C10" s="2" t="s">
        <v>40</v>
      </c>
      <c r="D10" s="2" t="s">
        <v>41</v>
      </c>
      <c r="E10" s="190" t="s">
        <v>39</v>
      </c>
      <c r="F10" s="208" t="str">
        <f>VLOOKUP(A10,'Summary June 2026'!A:F,6,FALSE)</f>
        <v>Chq Bk</v>
      </c>
      <c r="H10" s="273">
        <f>_xlfn.IFNA(VLOOKUP($A10,ISB!$A:$BY,67,FALSE),0)</f>
        <v>3746017.3042209558</v>
      </c>
      <c r="I10" s="218">
        <f>_xlfn.IFNA(VLOOKUP($A10,ISB!$A:$BY,72,FALSE),0)</f>
        <v>-15637.199999999999</v>
      </c>
      <c r="J10" s="274">
        <f>-_xlfn.IFNA(VLOOKUP($A10,ISB!$A:$BY,76,FALSE),0)</f>
        <v>-11237.9085</v>
      </c>
      <c r="L10" s="273">
        <f>_xlfn.IFNA(VLOOKUP($A10,EY!$A:$DX,126,FALSE),0)</f>
        <v>0</v>
      </c>
      <c r="M10" s="273">
        <f>_xlfn.IFNA(VLOOKUP($A10,EY!$A:$DX,127,FALSE),0)</f>
        <v>0</v>
      </c>
      <c r="O10" s="273">
        <f>_xlfn.IFNA(VLOOKUP($A10,HN!$A:$AN,37,FALSE),0)</f>
        <v>0</v>
      </c>
      <c r="P10" s="273">
        <f>_xlfn.IFNA(VLOOKUP($A10,HN!$A:$AN,38,FALSE),0)</f>
        <v>0</v>
      </c>
      <c r="Q10" s="273">
        <f>_xlfn.IFNA(VLOOKUP($A10,HN!$A:$AN,39,FALSE),0)</f>
        <v>65560.25</v>
      </c>
      <c r="S10" s="337">
        <f>_xlfn.IFNA(VLOOKUP(A10,'Post 16'!A:AR,44,FALSE),0)</f>
        <v>0</v>
      </c>
      <c r="U10" s="337"/>
      <c r="V10" s="337">
        <f>VLOOKUP(A10,'LA Deductions'!A:AN,40,FALSE)</f>
        <v>0</v>
      </c>
      <c r="X10" s="274">
        <f>VLOOKUP($A10,'Summary June 2026'!$A:$AAX,206,FALSE)-SUMIFS($H10:$V10,$H$7:$V$7,X$7)</f>
        <v>0</v>
      </c>
      <c r="Y10" s="274">
        <f>VLOOKUP($A10,'Summary June 2026'!$A:$HC,207,FALSE)-SUMIFS($H10:$V10,$H$7:$V$7,Y$7)</f>
        <v>0</v>
      </c>
      <c r="Z10" s="274">
        <f>VLOOKUP($A10,'Summary June 2026'!$A:$HC,208,FALSE)-SUMIFS($H10:$V10,$H$7:$V$7,Z$7)</f>
        <v>0</v>
      </c>
      <c r="AA10" s="274">
        <f>VLOOKUP($A10,'Summary June 2026'!$A:$HC,209,FALSE)-SUMIFS($H10:$V10,$H$7:$V$7,AA$7)</f>
        <v>0</v>
      </c>
      <c r="AB10" s="274">
        <f>VLOOKUP($A10,'Summary June 2026'!$A:$HC,210,FALSE)-SUMIFS($H10:$V10,$H$7:$V$7,AB$7)</f>
        <v>0</v>
      </c>
      <c r="AC10" s="274">
        <f>VLOOKUP($A10,'Summary June 2026'!$A:$HC,211,FALSE)-SUMIFS($H10:$V10,$H$7:$V$7,AC$7)</f>
        <v>0</v>
      </c>
      <c r="AE10" s="146">
        <f>VLOOKUP($A10,'Summary June 2026'!$A:$HJ,213,FALSE)+VLOOKUP($A10,'Grants+ Other Funding'!$A:$CG,67,FALSE)</f>
        <v>942763.626055239</v>
      </c>
      <c r="AF10" s="146">
        <f>_xlfn.IFNA(VLOOKUP($A10,'Summary June 2026'!$A:$HJ,214,FALSE)+VLOOKUP($A10,'Grants+ Other Funding'!$A:$CG,68,FALSE),0)</f>
        <v>-8.4499999999999993</v>
      </c>
      <c r="AG10" s="146">
        <f>_xlfn.IFNA(VLOOKUP($A10,'Summary June 2026'!$A:$HJ,215,FALSE)+VLOOKUP($A10,'Grants+ Other Funding'!$A:$CG,69,FALSE),0)</f>
        <v>17365.2065</v>
      </c>
      <c r="AH10" s="146">
        <f>_xlfn.IFNA(VLOOKUP($A10,'Grants+ Other Funding'!$A:$CG,70,FALSE),0)</f>
        <v>0</v>
      </c>
      <c r="AI10" s="146">
        <f>_xlfn.IFNA(VLOOKUP($A10,'Grants+ Other Funding'!$A:$CG,71,FALSE),0)</f>
        <v>0</v>
      </c>
      <c r="AJ10" s="146">
        <f>_xlfn.IFNA(VLOOKUP($A10,'Grants+ Other Funding'!$A:$CG,72,FALSE),0)</f>
        <v>0</v>
      </c>
      <c r="AK10" s="146">
        <f>_xlfn.IFNA(VLOOKUP($A10,'Summary June 2026'!$A:$HJ,217,FALSE),0)</f>
        <v>-2809.4771249999999</v>
      </c>
      <c r="AL10" s="146">
        <f>_xlfn.IFNA(VLOOKUP($A10,'Grants+ Other Funding'!$A:$CG,74,FALSE),0)</f>
        <v>0</v>
      </c>
      <c r="AM10" s="146">
        <f>_xlfn.IFNA(VLOOKUP($A10,'Summary June 2026'!$A:$HJ,218,FALSE),0)</f>
        <v>0</v>
      </c>
      <c r="AN10" s="146">
        <f>_xlfn.IFNA(VLOOKUP($A10,'Summary June 2026'!$A:$HJ,216,FALSE),0)</f>
        <v>-3909.2999999999997</v>
      </c>
      <c r="AO10" s="146">
        <f>_xlfn.IFNA(VLOOKUP($A10,'Grants+ Other Funding'!$A:$CG,73,FALSE),0)</f>
        <v>0</v>
      </c>
      <c r="AP10" s="65">
        <f t="shared" si="0"/>
        <v>953401.605430239</v>
      </c>
    </row>
    <row r="11" spans="1:42">
      <c r="A11" s="198">
        <v>1017</v>
      </c>
      <c r="B11" s="2">
        <v>103130</v>
      </c>
      <c r="C11" s="2" t="s">
        <v>42</v>
      </c>
      <c r="D11" s="2" t="s">
        <v>43</v>
      </c>
      <c r="E11" s="190" t="s">
        <v>36</v>
      </c>
      <c r="F11" s="208" t="str">
        <f>VLOOKUP(A11,'Summary June 2026'!A:F,6,FALSE)</f>
        <v>Chq Bk</v>
      </c>
      <c r="H11" s="273">
        <f>_xlfn.IFNA(VLOOKUP($A11,ISB!$A:$BY,67,FALSE),0)</f>
        <v>0</v>
      </c>
      <c r="I11" s="218">
        <f>_xlfn.IFNA(VLOOKUP($A11,ISB!$A:$BY,72,FALSE),0)</f>
        <v>0</v>
      </c>
      <c r="J11" s="274">
        <f>-_xlfn.IFNA(VLOOKUP($A11,ISB!$A:$BY,76,FALSE),0)</f>
        <v>0</v>
      </c>
      <c r="L11" s="273">
        <f>_xlfn.IFNA(VLOOKUP($A11,EY!$A:$DX,126,FALSE),0)</f>
        <v>778517.60639111418</v>
      </c>
      <c r="M11" s="273">
        <f>_xlfn.IFNA(VLOOKUP($A11,EY!$A:$DX,127,FALSE),0)</f>
        <v>11763.357340720222</v>
      </c>
      <c r="O11" s="273">
        <f>_xlfn.IFNA(VLOOKUP($A11,HN!$A:$AN,37,FALSE),0)</f>
        <v>52000</v>
      </c>
      <c r="P11" s="273">
        <f>_xlfn.IFNA(VLOOKUP($A11,HN!$A:$AN,38,FALSE),0)</f>
        <v>0</v>
      </c>
      <c r="Q11" s="273">
        <f>_xlfn.IFNA(VLOOKUP($A11,HN!$A:$AN,39,FALSE),0)</f>
        <v>60017</v>
      </c>
      <c r="S11" s="337">
        <f>_xlfn.IFNA(VLOOKUP(A11,'Post 16'!A:AR,44,FALSE),0)</f>
        <v>0</v>
      </c>
      <c r="U11" s="337"/>
      <c r="V11" s="337">
        <f>VLOOKUP(A11,'LA Deductions'!A:AN,40,FALSE)</f>
        <v>0</v>
      </c>
      <c r="X11" s="274">
        <f>VLOOKUP($A11,'Summary June 2026'!$A:$AAX,206,FALSE)-SUMIFS($H11:$V11,$H$7:$V$7,X$7)</f>
        <v>0</v>
      </c>
      <c r="Y11" s="274">
        <f>VLOOKUP($A11,'Summary June 2026'!$A:$HC,207,FALSE)-SUMIFS($H11:$V11,$H$7:$V$7,Y$7)</f>
        <v>0</v>
      </c>
      <c r="Z11" s="274">
        <f>VLOOKUP($A11,'Summary June 2026'!$A:$HC,208,FALSE)-SUMIFS($H11:$V11,$H$7:$V$7,Z$7)</f>
        <v>0</v>
      </c>
      <c r="AA11" s="274">
        <f>VLOOKUP($A11,'Summary June 2026'!$A:$HC,209,FALSE)-SUMIFS($H11:$V11,$H$7:$V$7,AA$7)</f>
        <v>0</v>
      </c>
      <c r="AB11" s="274">
        <f>VLOOKUP($A11,'Summary June 2026'!$A:$HC,210,FALSE)-SUMIFS($H11:$V11,$H$7:$V$7,AB$7)</f>
        <v>0</v>
      </c>
      <c r="AC11" s="274">
        <f>VLOOKUP($A11,'Summary June 2026'!$A:$HC,211,FALSE)-SUMIFS($H11:$V11,$H$7:$V$7,AC$7)</f>
        <v>0</v>
      </c>
      <c r="AE11" s="146">
        <f>VLOOKUP($A11,'Summary June 2026'!$A:$HJ,213,FALSE)+VLOOKUP($A11,'Grants+ Other Funding'!$A:$CG,67,FALSE)</f>
        <v>599028.85691743006</v>
      </c>
      <c r="AF11" s="146">
        <f>_xlfn.IFNA(VLOOKUP($A11,'Summary June 2026'!$A:$HJ,214,FALSE)+VLOOKUP($A11,'Grants+ Other Funding'!$A:$CG,68,FALSE),0)</f>
        <v>0</v>
      </c>
      <c r="AG11" s="146">
        <f>_xlfn.IFNA(VLOOKUP($A11,'Summary June 2026'!$A:$HJ,215,FALSE)+VLOOKUP($A11,'Grants+ Other Funding'!$A:$CG,69,FALSE),0)</f>
        <v>23915.657340720223</v>
      </c>
      <c r="AH11" s="146">
        <f>_xlfn.IFNA(VLOOKUP($A11,'Grants+ Other Funding'!$A:$CG,70,FALSE),0)</f>
        <v>0</v>
      </c>
      <c r="AI11" s="146">
        <f>_xlfn.IFNA(VLOOKUP($A11,'Grants+ Other Funding'!$A:$CG,71,FALSE),0)</f>
        <v>0</v>
      </c>
      <c r="AJ11" s="146">
        <f>_xlfn.IFNA(VLOOKUP($A11,'Grants+ Other Funding'!$A:$CG,72,FALSE),0)</f>
        <v>0</v>
      </c>
      <c r="AK11" s="146">
        <f>_xlfn.IFNA(VLOOKUP($A11,'Summary June 2026'!$A:$HJ,217,FALSE),0)</f>
        <v>0</v>
      </c>
      <c r="AL11" s="146">
        <f>_xlfn.IFNA(VLOOKUP($A11,'Grants+ Other Funding'!$A:$CG,74,FALSE),0)</f>
        <v>0</v>
      </c>
      <c r="AM11" s="146">
        <f>_xlfn.IFNA(VLOOKUP($A11,'Summary June 2026'!$A:$HJ,218,FALSE),0)</f>
        <v>0</v>
      </c>
      <c r="AN11" s="146">
        <f>_xlfn.IFNA(VLOOKUP($A11,'Summary June 2026'!$A:$HJ,216,FALSE),0)</f>
        <v>0</v>
      </c>
      <c r="AO11" s="146">
        <f>_xlfn.IFNA(VLOOKUP($A11,'Grants+ Other Funding'!$A:$CG,73,FALSE),0)</f>
        <v>0</v>
      </c>
      <c r="AP11" s="65">
        <f t="shared" si="0"/>
        <v>622944.51425815024</v>
      </c>
    </row>
    <row r="12" spans="1:42">
      <c r="A12" s="198">
        <v>2153</v>
      </c>
      <c r="B12" s="2">
        <v>103243</v>
      </c>
      <c r="C12" s="2" t="s">
        <v>44</v>
      </c>
      <c r="D12" s="2" t="s">
        <v>45</v>
      </c>
      <c r="E12" s="190" t="s">
        <v>39</v>
      </c>
      <c r="F12" s="208" t="str">
        <f>VLOOKUP(A12,'Summary June 2026'!A:F,6,FALSE)</f>
        <v>Chq Bk</v>
      </c>
      <c r="H12" s="273">
        <f>_xlfn.IFNA(VLOOKUP($A12,ISB!$A:$BY,67,FALSE),0)</f>
        <v>2528558.8023109962</v>
      </c>
      <c r="I12" s="218">
        <f>_xlfn.IFNA(VLOOKUP($A12,ISB!$A:$BY,72,FALSE),0)</f>
        <v>-9511.7999999999993</v>
      </c>
      <c r="J12" s="274">
        <f>-_xlfn.IFNA(VLOOKUP($A12,ISB!$A:$BY,76,FALSE),0)</f>
        <v>-9336.1085999999996</v>
      </c>
      <c r="L12" s="273">
        <f>_xlfn.IFNA(VLOOKUP($A12,EY!$A:$DX,126,FALSE),0)</f>
        <v>0</v>
      </c>
      <c r="M12" s="273">
        <f>_xlfn.IFNA(VLOOKUP($A12,EY!$A:$DX,127,FALSE),0)</f>
        <v>0</v>
      </c>
      <c r="O12" s="273">
        <f>_xlfn.IFNA(VLOOKUP($A12,HN!$A:$AN,37,FALSE),0)</f>
        <v>276000</v>
      </c>
      <c r="P12" s="273">
        <f>_xlfn.IFNA(VLOOKUP($A12,HN!$A:$AN,38,FALSE),0)</f>
        <v>0</v>
      </c>
      <c r="Q12" s="273">
        <f>_xlfn.IFNA(VLOOKUP($A12,HN!$A:$AN,39,FALSE),0)</f>
        <v>530803.82999999996</v>
      </c>
      <c r="S12" s="337">
        <f>_xlfn.IFNA(VLOOKUP(A12,'Post 16'!A:AR,44,FALSE),0)</f>
        <v>0</v>
      </c>
      <c r="U12" s="337"/>
      <c r="V12" s="337">
        <f>VLOOKUP(A12,'LA Deductions'!A:AN,40,FALSE)</f>
        <v>0</v>
      </c>
      <c r="X12" s="274">
        <f>VLOOKUP($A12,'Summary June 2026'!$A:$AAX,206,FALSE)-SUMIFS($H12:$V12,$H$7:$V$7,X$7)</f>
        <v>0</v>
      </c>
      <c r="Y12" s="274">
        <f>VLOOKUP($A12,'Summary June 2026'!$A:$HC,207,FALSE)-SUMIFS($H12:$V12,$H$7:$V$7,Y$7)</f>
        <v>0</v>
      </c>
      <c r="Z12" s="274">
        <f>VLOOKUP($A12,'Summary June 2026'!$A:$HC,208,FALSE)-SUMIFS($H12:$V12,$H$7:$V$7,Z$7)</f>
        <v>0</v>
      </c>
      <c r="AA12" s="274">
        <f>VLOOKUP($A12,'Summary June 2026'!$A:$HC,209,FALSE)-SUMIFS($H12:$V12,$H$7:$V$7,AA$7)</f>
        <v>0</v>
      </c>
      <c r="AB12" s="274">
        <f>VLOOKUP($A12,'Summary June 2026'!$A:$HC,210,FALSE)-SUMIFS($H12:$V12,$H$7:$V$7,AB$7)</f>
        <v>0</v>
      </c>
      <c r="AC12" s="274">
        <f>VLOOKUP($A12,'Summary June 2026'!$A:$HC,211,FALSE)-SUMIFS($H12:$V12,$H$7:$V$7,AC$7)</f>
        <v>0</v>
      </c>
      <c r="AE12" s="146">
        <f>VLOOKUP($A12,'Summary June 2026'!$A:$HJ,213,FALSE)+VLOOKUP($A12,'Grants+ Other Funding'!$A:$CG,67,FALSE)</f>
        <v>704142.390577749</v>
      </c>
      <c r="AF12" s="146">
        <f>_xlfn.IFNA(VLOOKUP($A12,'Summary June 2026'!$A:$HJ,214,FALSE)+VLOOKUP($A12,'Grants+ Other Funding'!$A:$CG,68,FALSE),0)</f>
        <v>-29.19</v>
      </c>
      <c r="AG12" s="146">
        <f>_xlfn.IFNA(VLOOKUP($A12,'Summary June 2026'!$A:$HJ,215,FALSE)+VLOOKUP($A12,'Grants+ Other Funding'!$A:$CG,69,FALSE),0)</f>
        <v>139026.50625000001</v>
      </c>
      <c r="AH12" s="146">
        <f>_xlfn.IFNA(VLOOKUP($A12,'Grants+ Other Funding'!$A:$CG,70,FALSE),0)</f>
        <v>0</v>
      </c>
      <c r="AI12" s="146">
        <f>_xlfn.IFNA(VLOOKUP($A12,'Grants+ Other Funding'!$A:$CG,71,FALSE),0)</f>
        <v>0</v>
      </c>
      <c r="AJ12" s="146">
        <f>_xlfn.IFNA(VLOOKUP($A12,'Grants+ Other Funding'!$A:$CG,72,FALSE),0)</f>
        <v>0</v>
      </c>
      <c r="AK12" s="146">
        <f>_xlfn.IFNA(VLOOKUP($A12,'Summary June 2026'!$A:$HJ,217,FALSE),0)</f>
        <v>-2334.0271499999999</v>
      </c>
      <c r="AL12" s="146">
        <f>_xlfn.IFNA(VLOOKUP($A12,'Grants+ Other Funding'!$A:$CG,74,FALSE),0)</f>
        <v>0</v>
      </c>
      <c r="AM12" s="146">
        <f>_xlfn.IFNA(VLOOKUP($A12,'Summary June 2026'!$A:$HJ,218,FALSE),0)</f>
        <v>0</v>
      </c>
      <c r="AN12" s="146">
        <f>_xlfn.IFNA(VLOOKUP($A12,'Summary June 2026'!$A:$HJ,216,FALSE),0)</f>
        <v>-2377.9499999999998</v>
      </c>
      <c r="AO12" s="146">
        <f>_xlfn.IFNA(VLOOKUP($A12,'Grants+ Other Funding'!$A:$CG,73,FALSE),0)</f>
        <v>0</v>
      </c>
      <c r="AP12" s="65">
        <f t="shared" si="0"/>
        <v>838427.7296777491</v>
      </c>
    </row>
    <row r="13" spans="1:42">
      <c r="A13" s="198">
        <v>2062</v>
      </c>
      <c r="B13" s="2">
        <v>103192</v>
      </c>
      <c r="C13" s="2" t="s">
        <v>46</v>
      </c>
      <c r="D13" s="2" t="s">
        <v>47</v>
      </c>
      <c r="E13" s="190" t="s">
        <v>39</v>
      </c>
      <c r="F13" s="208" t="str">
        <f>VLOOKUP(A13,'Summary June 2026'!A:F,6,FALSE)</f>
        <v>Chq Bk</v>
      </c>
      <c r="H13" s="273">
        <f>_xlfn.IFNA(VLOOKUP($A13,ISB!$A:$BY,67,FALSE),0)</f>
        <v>2525539.5112802321</v>
      </c>
      <c r="I13" s="218">
        <f>_xlfn.IFNA(VLOOKUP($A13,ISB!$A:$BY,72,FALSE),0)</f>
        <v>-9163.1999999999989</v>
      </c>
      <c r="J13" s="274">
        <f>-_xlfn.IFNA(VLOOKUP($A13,ISB!$A:$BY,76,FALSE),0)</f>
        <v>-39764.906999999999</v>
      </c>
      <c r="L13" s="273">
        <f>_xlfn.IFNA(VLOOKUP($A13,EY!$A:$DX,126,FALSE),0)</f>
        <v>85287.618421052626</v>
      </c>
      <c r="M13" s="273">
        <f>_xlfn.IFNA(VLOOKUP($A13,EY!$A:$DX,127,FALSE),0)</f>
        <v>0</v>
      </c>
      <c r="O13" s="273">
        <f>_xlfn.IFNA(VLOOKUP($A13,HN!$A:$AN,37,FALSE),0)</f>
        <v>0</v>
      </c>
      <c r="P13" s="273">
        <f>_xlfn.IFNA(VLOOKUP($A13,HN!$A:$AN,38,FALSE),0)</f>
        <v>0</v>
      </c>
      <c r="Q13" s="273">
        <f>_xlfn.IFNA(VLOOKUP($A13,HN!$A:$AN,39,FALSE),0)</f>
        <v>141728.83000000002</v>
      </c>
      <c r="S13" s="337">
        <f>_xlfn.IFNA(VLOOKUP(A13,'Post 16'!A:AR,44,FALSE),0)</f>
        <v>0</v>
      </c>
      <c r="U13" s="337"/>
      <c r="V13" s="337">
        <f>VLOOKUP(A13,'LA Deductions'!A:AN,40,FALSE)</f>
        <v>0</v>
      </c>
      <c r="X13" s="274">
        <f>VLOOKUP($A13,'Summary June 2026'!$A:$AAX,206,FALSE)-SUMIFS($H13:$V13,$H$7:$V$7,X$7)</f>
        <v>0</v>
      </c>
      <c r="Y13" s="274">
        <f>VLOOKUP($A13,'Summary June 2026'!$A:$HC,207,FALSE)-SUMIFS($H13:$V13,$H$7:$V$7,Y$7)</f>
        <v>0</v>
      </c>
      <c r="Z13" s="274">
        <f>VLOOKUP($A13,'Summary June 2026'!$A:$HC,208,FALSE)-SUMIFS($H13:$V13,$H$7:$V$7,Z$7)</f>
        <v>0</v>
      </c>
      <c r="AA13" s="274">
        <f>VLOOKUP($A13,'Summary June 2026'!$A:$HC,209,FALSE)-SUMIFS($H13:$V13,$H$7:$V$7,AA$7)</f>
        <v>0</v>
      </c>
      <c r="AB13" s="274">
        <f>VLOOKUP($A13,'Summary June 2026'!$A:$HC,210,FALSE)-SUMIFS($H13:$V13,$H$7:$V$7,AB$7)</f>
        <v>0</v>
      </c>
      <c r="AC13" s="274">
        <f>VLOOKUP($A13,'Summary June 2026'!$A:$HC,211,FALSE)-SUMIFS($H13:$V13,$H$7:$V$7,AC$7)</f>
        <v>0</v>
      </c>
      <c r="AE13" s="146">
        <f>VLOOKUP($A13,'Summary June 2026'!$A:$HJ,213,FALSE)+VLOOKUP($A13,'Grants+ Other Funding'!$A:$CG,67,FALSE)</f>
        <v>679918.58624111069</v>
      </c>
      <c r="AF13" s="146">
        <f>_xlfn.IFNA(VLOOKUP($A13,'Summary June 2026'!$A:$HJ,214,FALSE)+VLOOKUP($A13,'Grants+ Other Funding'!$A:$CG,68,FALSE),0)</f>
        <v>-46.19</v>
      </c>
      <c r="AG13" s="146">
        <f>_xlfn.IFNA(VLOOKUP($A13,'Summary June 2026'!$A:$HJ,215,FALSE)+VLOOKUP($A13,'Grants+ Other Funding'!$A:$CG,69,FALSE),0)</f>
        <v>44487.532000000007</v>
      </c>
      <c r="AH13" s="146">
        <f>_xlfn.IFNA(VLOOKUP($A13,'Grants+ Other Funding'!$A:$CG,70,FALSE),0)</f>
        <v>0</v>
      </c>
      <c r="AI13" s="146">
        <f>_xlfn.IFNA(VLOOKUP($A13,'Grants+ Other Funding'!$A:$CG,71,FALSE),0)</f>
        <v>0</v>
      </c>
      <c r="AJ13" s="146">
        <f>_xlfn.IFNA(VLOOKUP($A13,'Grants+ Other Funding'!$A:$CG,72,FALSE),0)</f>
        <v>0</v>
      </c>
      <c r="AK13" s="146">
        <f>_xlfn.IFNA(VLOOKUP($A13,'Summary June 2026'!$A:$HJ,217,FALSE),0)</f>
        <v>-9941.2267499999998</v>
      </c>
      <c r="AL13" s="146">
        <f>_xlfn.IFNA(VLOOKUP($A13,'Grants+ Other Funding'!$A:$CG,74,FALSE),0)</f>
        <v>0</v>
      </c>
      <c r="AM13" s="146">
        <f>_xlfn.IFNA(VLOOKUP($A13,'Summary June 2026'!$A:$HJ,218,FALSE),0)</f>
        <v>0</v>
      </c>
      <c r="AN13" s="146">
        <f>_xlfn.IFNA(VLOOKUP($A13,'Summary June 2026'!$A:$HJ,216,FALSE),0)</f>
        <v>-2290.7999999999997</v>
      </c>
      <c r="AO13" s="146">
        <f>_xlfn.IFNA(VLOOKUP($A13,'Grants+ Other Funding'!$A:$CG,73,FALSE),0)</f>
        <v>0</v>
      </c>
      <c r="AP13" s="65">
        <f t="shared" si="0"/>
        <v>712127.90149111068</v>
      </c>
    </row>
    <row r="14" spans="1:42">
      <c r="A14" s="198">
        <v>2479</v>
      </c>
      <c r="B14" s="2">
        <v>132074</v>
      </c>
      <c r="C14" s="2" t="s">
        <v>48</v>
      </c>
      <c r="D14" s="2" t="s">
        <v>49</v>
      </c>
      <c r="E14" s="190" t="s">
        <v>39</v>
      </c>
      <c r="F14" s="208" t="str">
        <f>VLOOKUP(A14,'Summary June 2026'!A:F,6,FALSE)</f>
        <v>Chq Bk</v>
      </c>
      <c r="H14" s="273">
        <f>_xlfn.IFNA(VLOOKUP($A14,ISB!$A:$BY,67,FALSE),0)</f>
        <v>4177689.2879819432</v>
      </c>
      <c r="I14" s="218">
        <f>_xlfn.IFNA(VLOOKUP($A14,ISB!$A:$BY,72,FALSE),0)</f>
        <v>-15413.099999999999</v>
      </c>
      <c r="J14" s="274">
        <f>-_xlfn.IFNA(VLOOKUP($A14,ISB!$A:$BY,76,FALSE),0)</f>
        <v>-22384.516299999999</v>
      </c>
      <c r="L14" s="273">
        <f>_xlfn.IFNA(VLOOKUP($A14,EY!$A:$DX,126,FALSE),0)</f>
        <v>131166.01768421053</v>
      </c>
      <c r="M14" s="273">
        <f>_xlfn.IFNA(VLOOKUP($A14,EY!$A:$DX,127,FALSE),0)</f>
        <v>0</v>
      </c>
      <c r="O14" s="273">
        <f>_xlfn.IFNA(VLOOKUP($A14,HN!$A:$AN,37,FALSE),0)</f>
        <v>80000</v>
      </c>
      <c r="P14" s="273">
        <f>_xlfn.IFNA(VLOOKUP($A14,HN!$A:$AN,38,FALSE),0)</f>
        <v>0</v>
      </c>
      <c r="Q14" s="273">
        <f>_xlfn.IFNA(VLOOKUP($A14,HN!$A:$AN,39,FALSE),0)</f>
        <v>243183.1</v>
      </c>
      <c r="S14" s="337">
        <f>_xlfn.IFNA(VLOOKUP(A14,'Post 16'!A:AR,44,FALSE),0)</f>
        <v>0</v>
      </c>
      <c r="U14" s="337"/>
      <c r="V14" s="337">
        <f>VLOOKUP(A14,'LA Deductions'!A:AN,40,FALSE)</f>
        <v>0</v>
      </c>
      <c r="X14" s="274">
        <f>VLOOKUP($A14,'Summary June 2026'!$A:$AAX,206,FALSE)-SUMIFS($H14:$V14,$H$7:$V$7,X$7)</f>
        <v>0</v>
      </c>
      <c r="Y14" s="274">
        <f>VLOOKUP($A14,'Summary June 2026'!$A:$HC,207,FALSE)-SUMIFS($H14:$V14,$H$7:$V$7,Y$7)</f>
        <v>0</v>
      </c>
      <c r="Z14" s="274">
        <f>VLOOKUP($A14,'Summary June 2026'!$A:$HC,208,FALSE)-SUMIFS($H14:$V14,$H$7:$V$7,Z$7)</f>
        <v>0</v>
      </c>
      <c r="AA14" s="274">
        <f>VLOOKUP($A14,'Summary June 2026'!$A:$HC,209,FALSE)-SUMIFS($H14:$V14,$H$7:$V$7,AA$7)</f>
        <v>0</v>
      </c>
      <c r="AB14" s="274">
        <f>VLOOKUP($A14,'Summary June 2026'!$A:$HC,210,FALSE)-SUMIFS($H14:$V14,$H$7:$V$7,AB$7)</f>
        <v>0</v>
      </c>
      <c r="AC14" s="274">
        <f>VLOOKUP($A14,'Summary June 2026'!$A:$HC,211,FALSE)-SUMIFS($H14:$V14,$H$7:$V$7,AC$7)</f>
        <v>0</v>
      </c>
      <c r="AE14" s="146">
        <f>VLOOKUP($A14,'Summary June 2026'!$A:$HJ,213,FALSE)+VLOOKUP($A14,'Grants+ Other Funding'!$A:$CG,67,FALSE)</f>
        <v>1145979.0976796963</v>
      </c>
      <c r="AF14" s="146">
        <f>_xlfn.IFNA(VLOOKUP($A14,'Summary June 2026'!$A:$HJ,214,FALSE)+VLOOKUP($A14,'Grants+ Other Funding'!$A:$CG,68,FALSE),0)</f>
        <v>-33.81</v>
      </c>
      <c r="AG14" s="146">
        <f>_xlfn.IFNA(VLOOKUP($A14,'Summary June 2026'!$A:$HJ,215,FALSE)+VLOOKUP($A14,'Grants+ Other Funding'!$A:$CG,69,FALSE),0)</f>
        <v>75065.919250000006</v>
      </c>
      <c r="AH14" s="146">
        <f>_xlfn.IFNA(VLOOKUP($A14,'Grants+ Other Funding'!$A:$CG,70,FALSE),0)</f>
        <v>0</v>
      </c>
      <c r="AI14" s="146">
        <f>_xlfn.IFNA(VLOOKUP($A14,'Grants+ Other Funding'!$A:$CG,71,FALSE),0)</f>
        <v>0</v>
      </c>
      <c r="AJ14" s="146">
        <f>_xlfn.IFNA(VLOOKUP($A14,'Grants+ Other Funding'!$A:$CG,72,FALSE),0)</f>
        <v>0</v>
      </c>
      <c r="AK14" s="146">
        <f>_xlfn.IFNA(VLOOKUP($A14,'Summary June 2026'!$A:$HJ,217,FALSE),0)</f>
        <v>-5596.1290749999998</v>
      </c>
      <c r="AL14" s="146">
        <f>_xlfn.IFNA(VLOOKUP($A14,'Grants+ Other Funding'!$A:$CG,74,FALSE),0)</f>
        <v>0</v>
      </c>
      <c r="AM14" s="146">
        <f>_xlfn.IFNA(VLOOKUP($A14,'Summary June 2026'!$A:$HJ,218,FALSE),0)</f>
        <v>0</v>
      </c>
      <c r="AN14" s="146">
        <f>_xlfn.IFNA(VLOOKUP($A14,'Summary June 2026'!$A:$HJ,216,FALSE),0)</f>
        <v>-3853.2749999999996</v>
      </c>
      <c r="AO14" s="146">
        <f>_xlfn.IFNA(VLOOKUP($A14,'Grants+ Other Funding'!$A:$CG,73,FALSE),0)</f>
        <v>0</v>
      </c>
      <c r="AP14" s="65">
        <f t="shared" si="0"/>
        <v>1211561.8028546963</v>
      </c>
    </row>
    <row r="15" spans="1:42">
      <c r="A15" s="198">
        <v>2300</v>
      </c>
      <c r="B15" s="2">
        <v>103324</v>
      </c>
      <c r="C15" s="2" t="s">
        <v>50</v>
      </c>
      <c r="D15" s="2" t="s">
        <v>51</v>
      </c>
      <c r="E15" s="190" t="s">
        <v>39</v>
      </c>
      <c r="F15" s="208" t="str">
        <f>VLOOKUP(A15,'Summary June 2026'!A:F,6,FALSE)</f>
        <v>Chq Bk</v>
      </c>
      <c r="H15" s="273">
        <f>_xlfn.IFNA(VLOOKUP($A15,ISB!$A:$BY,67,FALSE),0)</f>
        <v>3986067.6265938007</v>
      </c>
      <c r="I15" s="218">
        <f>_xlfn.IFNA(VLOOKUP($A15,ISB!$A:$BY,72,FALSE),0)</f>
        <v>-15537.599999999999</v>
      </c>
      <c r="J15" s="274">
        <f>-_xlfn.IFNA(VLOOKUP($A15,ISB!$A:$BY,76,FALSE),0)</f>
        <v>-91632.176999999996</v>
      </c>
      <c r="L15" s="273">
        <f>_xlfn.IFNA(VLOOKUP($A15,EY!$A:$DX,126,FALSE),0)</f>
        <v>173417.77847645429</v>
      </c>
      <c r="M15" s="273">
        <f>_xlfn.IFNA(VLOOKUP($A15,EY!$A:$DX,127,FALSE),0)</f>
        <v>0</v>
      </c>
      <c r="O15" s="273">
        <f>_xlfn.IFNA(VLOOKUP($A15,HN!$A:$AN,37,FALSE),0)</f>
        <v>0</v>
      </c>
      <c r="P15" s="273">
        <f>_xlfn.IFNA(VLOOKUP($A15,HN!$A:$AN,38,FALSE),0)</f>
        <v>0</v>
      </c>
      <c r="Q15" s="273">
        <f>_xlfn.IFNA(VLOOKUP($A15,HN!$A:$AN,39,FALSE),0)</f>
        <v>120952.42</v>
      </c>
      <c r="S15" s="337">
        <f>_xlfn.IFNA(VLOOKUP(A15,'Post 16'!A:AR,44,FALSE),0)</f>
        <v>0</v>
      </c>
      <c r="U15" s="337"/>
      <c r="V15" s="337">
        <f>VLOOKUP(A15,'LA Deductions'!A:AN,40,FALSE)</f>
        <v>0</v>
      </c>
      <c r="X15" s="274">
        <f>VLOOKUP($A15,'Summary June 2026'!$A:$AAX,206,FALSE)-SUMIFS($H15:$V15,$H$7:$V$7,X$7)</f>
        <v>0</v>
      </c>
      <c r="Y15" s="274">
        <f>VLOOKUP($A15,'Summary June 2026'!$A:$HC,207,FALSE)-SUMIFS($H15:$V15,$H$7:$V$7,Y$7)</f>
        <v>0</v>
      </c>
      <c r="Z15" s="274">
        <f>VLOOKUP($A15,'Summary June 2026'!$A:$HC,208,FALSE)-SUMIFS($H15:$V15,$H$7:$V$7,Z$7)</f>
        <v>0</v>
      </c>
      <c r="AA15" s="274">
        <f>VLOOKUP($A15,'Summary June 2026'!$A:$HC,209,FALSE)-SUMIFS($H15:$V15,$H$7:$V$7,AA$7)</f>
        <v>0</v>
      </c>
      <c r="AB15" s="274">
        <f>VLOOKUP($A15,'Summary June 2026'!$A:$HC,210,FALSE)-SUMIFS($H15:$V15,$H$7:$V$7,AB$7)</f>
        <v>0</v>
      </c>
      <c r="AC15" s="274">
        <f>VLOOKUP($A15,'Summary June 2026'!$A:$HC,211,FALSE)-SUMIFS($H15:$V15,$H$7:$V$7,AC$7)</f>
        <v>0</v>
      </c>
      <c r="AE15" s="146">
        <f>VLOOKUP($A15,'Summary June 2026'!$A:$HJ,213,FALSE)+VLOOKUP($A15,'Grants+ Other Funding'!$A:$CG,67,FALSE)</f>
        <v>1095565.3032301676</v>
      </c>
      <c r="AF15" s="146">
        <f>_xlfn.IFNA(VLOOKUP($A15,'Summary June 2026'!$A:$HJ,214,FALSE)+VLOOKUP($A15,'Grants+ Other Funding'!$A:$CG,68,FALSE),0)</f>
        <v>0</v>
      </c>
      <c r="AG15" s="146">
        <f>_xlfn.IFNA(VLOOKUP($A15,'Summary June 2026'!$A:$HJ,215,FALSE)+VLOOKUP($A15,'Grants+ Other Funding'!$A:$CG,69,FALSE),0)</f>
        <v>46947.467499999999</v>
      </c>
      <c r="AH15" s="146">
        <f>_xlfn.IFNA(VLOOKUP($A15,'Grants+ Other Funding'!$A:$CG,70,FALSE),0)</f>
        <v>0</v>
      </c>
      <c r="AI15" s="146">
        <f>_xlfn.IFNA(VLOOKUP($A15,'Grants+ Other Funding'!$A:$CG,71,FALSE),0)</f>
        <v>0</v>
      </c>
      <c r="AJ15" s="146">
        <f>_xlfn.IFNA(VLOOKUP($A15,'Grants+ Other Funding'!$A:$CG,72,FALSE),0)</f>
        <v>0</v>
      </c>
      <c r="AK15" s="146">
        <f>_xlfn.IFNA(VLOOKUP($A15,'Summary June 2026'!$A:$HJ,217,FALSE),0)</f>
        <v>-22908.044249999999</v>
      </c>
      <c r="AL15" s="146">
        <f>_xlfn.IFNA(VLOOKUP($A15,'Grants+ Other Funding'!$A:$CG,74,FALSE),0)</f>
        <v>0</v>
      </c>
      <c r="AM15" s="146">
        <f>_xlfn.IFNA(VLOOKUP($A15,'Summary June 2026'!$A:$HJ,218,FALSE),0)</f>
        <v>0</v>
      </c>
      <c r="AN15" s="146">
        <f>_xlfn.IFNA(VLOOKUP($A15,'Summary June 2026'!$A:$HJ,216,FALSE),0)</f>
        <v>-3884.3999999999996</v>
      </c>
      <c r="AO15" s="146">
        <f>_xlfn.IFNA(VLOOKUP($A15,'Grants+ Other Funding'!$A:$CG,73,FALSE),0)</f>
        <v>0</v>
      </c>
      <c r="AP15" s="65">
        <f t="shared" si="0"/>
        <v>1115720.3264801677</v>
      </c>
    </row>
    <row r="16" spans="1:42">
      <c r="A16" s="198">
        <v>2014</v>
      </c>
      <c r="B16" s="2">
        <v>103162</v>
      </c>
      <c r="C16" s="2" t="s">
        <v>52</v>
      </c>
      <c r="D16" s="2" t="s">
        <v>53</v>
      </c>
      <c r="E16" s="190" t="s">
        <v>39</v>
      </c>
      <c r="F16" s="208" t="str">
        <f>VLOOKUP(A16,'Summary June 2026'!A:F,6,FALSE)</f>
        <v>Chq Bk</v>
      </c>
      <c r="H16" s="273">
        <f>_xlfn.IFNA(VLOOKUP($A16,ISB!$A:$BY,67,FALSE),0)</f>
        <v>2520778.4502457064</v>
      </c>
      <c r="I16" s="218">
        <f>_xlfn.IFNA(VLOOKUP($A16,ISB!$A:$BY,72,FALSE),0)</f>
        <v>-9536.6999999999989</v>
      </c>
      <c r="J16" s="274">
        <f>-_xlfn.IFNA(VLOOKUP($A16,ISB!$A:$BY,76,FALSE),0)</f>
        <v>-40917.512999999999</v>
      </c>
      <c r="L16" s="273">
        <f>_xlfn.IFNA(VLOOKUP($A16,EY!$A:$DX,126,FALSE),0)</f>
        <v>96308.895052631589</v>
      </c>
      <c r="M16" s="273">
        <f>_xlfn.IFNA(VLOOKUP($A16,EY!$A:$DX,127,FALSE),0)</f>
        <v>0</v>
      </c>
      <c r="O16" s="273">
        <f>_xlfn.IFNA(VLOOKUP($A16,HN!$A:$AN,37,FALSE),0)</f>
        <v>0</v>
      </c>
      <c r="P16" s="273">
        <f>_xlfn.IFNA(VLOOKUP($A16,HN!$A:$AN,38,FALSE),0)</f>
        <v>0</v>
      </c>
      <c r="Q16" s="273">
        <f>_xlfn.IFNA(VLOOKUP($A16,HN!$A:$AN,39,FALSE),0)</f>
        <v>74929</v>
      </c>
      <c r="S16" s="337">
        <f>_xlfn.IFNA(VLOOKUP(A16,'Post 16'!A:AR,44,FALSE),0)</f>
        <v>0</v>
      </c>
      <c r="U16" s="337"/>
      <c r="V16" s="337">
        <f>VLOOKUP(A16,'LA Deductions'!A:AN,40,FALSE)</f>
        <v>0</v>
      </c>
      <c r="X16" s="274">
        <f>VLOOKUP($A16,'Summary June 2026'!$A:$AAX,206,FALSE)-SUMIFS($H16:$V16,$H$7:$V$7,X$7)</f>
        <v>0</v>
      </c>
      <c r="Y16" s="274">
        <f>VLOOKUP($A16,'Summary June 2026'!$A:$HC,207,FALSE)-SUMIFS($H16:$V16,$H$7:$V$7,Y$7)</f>
        <v>0</v>
      </c>
      <c r="Z16" s="274">
        <f>VLOOKUP($A16,'Summary June 2026'!$A:$HC,208,FALSE)-SUMIFS($H16:$V16,$H$7:$V$7,Z$7)</f>
        <v>0</v>
      </c>
      <c r="AA16" s="274">
        <f>VLOOKUP($A16,'Summary June 2026'!$A:$HC,209,FALSE)-SUMIFS($H16:$V16,$H$7:$V$7,AA$7)</f>
        <v>0</v>
      </c>
      <c r="AB16" s="274">
        <f>VLOOKUP($A16,'Summary June 2026'!$A:$HC,210,FALSE)-SUMIFS($H16:$V16,$H$7:$V$7,AB$7)</f>
        <v>0</v>
      </c>
      <c r="AC16" s="274">
        <f>VLOOKUP($A16,'Summary June 2026'!$A:$HC,211,FALSE)-SUMIFS($H16:$V16,$H$7:$V$7,AC$7)</f>
        <v>0</v>
      </c>
      <c r="AE16" s="146">
        <f>VLOOKUP($A16,'Summary June 2026'!$A:$HJ,213,FALSE)+VLOOKUP($A16,'Grants+ Other Funding'!$A:$CG,67,FALSE)</f>
        <v>682321.50192984764</v>
      </c>
      <c r="AF16" s="146">
        <f>_xlfn.IFNA(VLOOKUP($A16,'Summary June 2026'!$A:$HJ,214,FALSE)+VLOOKUP($A16,'Grants+ Other Funding'!$A:$CG,68,FALSE),0)</f>
        <v>-3.99</v>
      </c>
      <c r="AG16" s="146">
        <f>_xlfn.IFNA(VLOOKUP($A16,'Summary June 2026'!$A:$HJ,215,FALSE)+VLOOKUP($A16,'Grants+ Other Funding'!$A:$CG,69,FALSE),0)</f>
        <v>23482.149999999998</v>
      </c>
      <c r="AH16" s="146">
        <f>_xlfn.IFNA(VLOOKUP($A16,'Grants+ Other Funding'!$A:$CG,70,FALSE),0)</f>
        <v>0</v>
      </c>
      <c r="AI16" s="146">
        <f>_xlfn.IFNA(VLOOKUP($A16,'Grants+ Other Funding'!$A:$CG,71,FALSE),0)</f>
        <v>0</v>
      </c>
      <c r="AJ16" s="146">
        <f>_xlfn.IFNA(VLOOKUP($A16,'Grants+ Other Funding'!$A:$CG,72,FALSE),0)</f>
        <v>0</v>
      </c>
      <c r="AK16" s="146">
        <f>_xlfn.IFNA(VLOOKUP($A16,'Summary June 2026'!$A:$HJ,217,FALSE),0)</f>
        <v>-10229.37825</v>
      </c>
      <c r="AL16" s="146">
        <f>_xlfn.IFNA(VLOOKUP($A16,'Grants+ Other Funding'!$A:$CG,74,FALSE),0)</f>
        <v>0</v>
      </c>
      <c r="AM16" s="146">
        <f>_xlfn.IFNA(VLOOKUP($A16,'Summary June 2026'!$A:$HJ,218,FALSE),0)</f>
        <v>0</v>
      </c>
      <c r="AN16" s="146">
        <f>_xlfn.IFNA(VLOOKUP($A16,'Summary June 2026'!$A:$HJ,216,FALSE),0)</f>
        <v>-2384.1749999999997</v>
      </c>
      <c r="AO16" s="146">
        <f>_xlfn.IFNA(VLOOKUP($A16,'Grants+ Other Funding'!$A:$CG,73,FALSE),0)</f>
        <v>0</v>
      </c>
      <c r="AP16" s="65">
        <f t="shared" si="0"/>
        <v>693186.10867984768</v>
      </c>
    </row>
    <row r="17" spans="1:42">
      <c r="A17" s="198">
        <v>7016</v>
      </c>
      <c r="B17" s="2">
        <v>103606</v>
      </c>
      <c r="C17" s="2" t="s">
        <v>54</v>
      </c>
      <c r="D17" s="2" t="s">
        <v>55</v>
      </c>
      <c r="E17" s="190" t="s">
        <v>56</v>
      </c>
      <c r="F17" s="208" t="str">
        <f>VLOOKUP(A17,'Summary June 2026'!A:F,6,FALSE)</f>
        <v>Chq Bk</v>
      </c>
      <c r="H17" s="273">
        <f>_xlfn.IFNA(VLOOKUP($A17,ISB!$A:$BY,67,FALSE),0)</f>
        <v>0</v>
      </c>
      <c r="I17" s="218">
        <f>_xlfn.IFNA(VLOOKUP($A17,ISB!$A:$BY,72,FALSE),0)</f>
        <v>0</v>
      </c>
      <c r="J17" s="274">
        <f>-_xlfn.IFNA(VLOOKUP($A17,ISB!$A:$BY,76,FALSE),0)</f>
        <v>0</v>
      </c>
      <c r="L17" s="273">
        <f>_xlfn.IFNA(VLOOKUP($A17,EY!$A:$DX,126,FALSE),0)</f>
        <v>0</v>
      </c>
      <c r="M17" s="273">
        <f>_xlfn.IFNA(VLOOKUP($A17,EY!$A:$DX,127,FALSE),0)</f>
        <v>0</v>
      </c>
      <c r="O17" s="273">
        <f>_xlfn.IFNA(VLOOKUP($A17,HN!$A:$AN,37,FALSE),0)</f>
        <v>1240000</v>
      </c>
      <c r="P17" s="273">
        <f>_xlfn.IFNA(VLOOKUP($A17,HN!$A:$AN,38,FALSE),0)</f>
        <v>640000</v>
      </c>
      <c r="Q17" s="273">
        <f>_xlfn.IFNA(VLOOKUP($A17,HN!$A:$AN,39,FALSE),0)</f>
        <v>3690128.0599999996</v>
      </c>
      <c r="S17" s="337">
        <f>_xlfn.IFNA(VLOOKUP(A17,'Post 16'!A:AR,44,FALSE),0)</f>
        <v>0</v>
      </c>
      <c r="U17" s="337"/>
      <c r="V17" s="337">
        <f>VLOOKUP(A17,'LA Deductions'!A:AN,40,FALSE)</f>
        <v>0</v>
      </c>
      <c r="X17" s="274">
        <f>VLOOKUP($A17,'Summary June 2026'!$A:$AAX,206,FALSE)-SUMIFS($H17:$V17,$H$7:$V$7,X$7)</f>
        <v>0</v>
      </c>
      <c r="Y17" s="274">
        <f>VLOOKUP($A17,'Summary June 2026'!$A:$HC,207,FALSE)-SUMIFS($H17:$V17,$H$7:$V$7,Y$7)</f>
        <v>0</v>
      </c>
      <c r="Z17" s="274">
        <f>VLOOKUP($A17,'Summary June 2026'!$A:$HC,208,FALSE)-SUMIFS($H17:$V17,$H$7:$V$7,Z$7)</f>
        <v>0</v>
      </c>
      <c r="AA17" s="274">
        <f>VLOOKUP($A17,'Summary June 2026'!$A:$HC,209,FALSE)-SUMIFS($H17:$V17,$H$7:$V$7,AA$7)</f>
        <v>0</v>
      </c>
      <c r="AB17" s="274">
        <f>VLOOKUP($A17,'Summary June 2026'!$A:$HC,210,FALSE)-SUMIFS($H17:$V17,$H$7:$V$7,AB$7)</f>
        <v>0</v>
      </c>
      <c r="AC17" s="274">
        <f>VLOOKUP($A17,'Summary June 2026'!$A:$HC,211,FALSE)-SUMIFS($H17:$V17,$H$7:$V$7,AC$7)</f>
        <v>0</v>
      </c>
      <c r="AE17" s="146">
        <f>VLOOKUP($A17,'Summary June 2026'!$A:$HJ,213,FALSE)+VLOOKUP($A17,'Grants+ Other Funding'!$A:$CG,67,FALSE)</f>
        <v>310000</v>
      </c>
      <c r="AF17" s="146">
        <f>_xlfn.IFNA(VLOOKUP($A17,'Summary June 2026'!$A:$HJ,214,FALSE)+VLOOKUP($A17,'Grants+ Other Funding'!$A:$CG,68,FALSE),0)</f>
        <v>160000</v>
      </c>
      <c r="AG17" s="146">
        <f>_xlfn.IFNA(VLOOKUP($A17,'Summary June 2026'!$A:$HJ,215,FALSE)+VLOOKUP($A17,'Grants+ Other Funding'!$A:$CG,69,FALSE),0)</f>
        <v>922532.0149999999</v>
      </c>
      <c r="AH17" s="146">
        <f>_xlfn.IFNA(VLOOKUP($A17,'Grants+ Other Funding'!$A:$CG,70,FALSE),0)</f>
        <v>0</v>
      </c>
      <c r="AI17" s="146">
        <f>_xlfn.IFNA(VLOOKUP($A17,'Grants+ Other Funding'!$A:$CG,71,FALSE),0)</f>
        <v>0</v>
      </c>
      <c r="AJ17" s="146">
        <f>_xlfn.IFNA(VLOOKUP($A17,'Grants+ Other Funding'!$A:$CG,72,FALSE),0)</f>
        <v>0</v>
      </c>
      <c r="AK17" s="146">
        <f>_xlfn.IFNA(VLOOKUP($A17,'Summary June 2026'!$A:$HJ,217,FALSE),0)</f>
        <v>0</v>
      </c>
      <c r="AL17" s="146">
        <f>_xlfn.IFNA(VLOOKUP($A17,'Grants+ Other Funding'!$A:$CG,74,FALSE),0)</f>
        <v>0</v>
      </c>
      <c r="AM17" s="146">
        <f>_xlfn.IFNA(VLOOKUP($A17,'Summary June 2026'!$A:$HJ,218,FALSE),0)</f>
        <v>0</v>
      </c>
      <c r="AN17" s="146">
        <f>_xlfn.IFNA(VLOOKUP($A17,'Summary June 2026'!$A:$HJ,216,FALSE),0)</f>
        <v>0</v>
      </c>
      <c r="AO17" s="146">
        <f>_xlfn.IFNA(VLOOKUP($A17,'Grants+ Other Funding'!$A:$CG,73,FALSE),0)</f>
        <v>0</v>
      </c>
      <c r="AP17" s="65">
        <f t="shared" si="0"/>
        <v>1392532.0149999999</v>
      </c>
    </row>
    <row r="18" spans="1:42">
      <c r="A18" s="198">
        <v>7052</v>
      </c>
      <c r="B18" s="2">
        <v>103627</v>
      </c>
      <c r="C18" s="2" t="s">
        <v>57</v>
      </c>
      <c r="D18" s="2" t="s">
        <v>58</v>
      </c>
      <c r="E18" s="190" t="s">
        <v>56</v>
      </c>
      <c r="F18" s="208" t="str">
        <f>VLOOKUP(A18,'Summary June 2026'!A:F,6,FALSE)</f>
        <v>Chq Bk</v>
      </c>
      <c r="H18" s="273">
        <f>_xlfn.IFNA(VLOOKUP($A18,ISB!$A:$BY,67,FALSE),0)</f>
        <v>0</v>
      </c>
      <c r="I18" s="218">
        <f>_xlfn.IFNA(VLOOKUP($A18,ISB!$A:$BY,72,FALSE),0)</f>
        <v>0</v>
      </c>
      <c r="J18" s="274">
        <f>-_xlfn.IFNA(VLOOKUP($A18,ISB!$A:$BY,76,FALSE),0)</f>
        <v>0</v>
      </c>
      <c r="L18" s="273">
        <f>_xlfn.IFNA(VLOOKUP($A18,EY!$A:$DX,126,FALSE),0)</f>
        <v>0</v>
      </c>
      <c r="M18" s="273">
        <f>_xlfn.IFNA(VLOOKUP($A18,EY!$A:$DX,127,FALSE),0)</f>
        <v>0</v>
      </c>
      <c r="O18" s="273">
        <f>_xlfn.IFNA(VLOOKUP($A18,HN!$A:$AN,37,FALSE),0)</f>
        <v>940000</v>
      </c>
      <c r="P18" s="273">
        <f>_xlfn.IFNA(VLOOKUP($A18,HN!$A:$AN,38,FALSE),0)</f>
        <v>0</v>
      </c>
      <c r="Q18" s="273">
        <f>_xlfn.IFNA(VLOOKUP($A18,HN!$A:$AN,39,FALSE),0)</f>
        <v>1769486.7700000003</v>
      </c>
      <c r="S18" s="337">
        <f>_xlfn.IFNA(VLOOKUP(A18,'Post 16'!A:AR,44,FALSE),0)</f>
        <v>0</v>
      </c>
      <c r="U18" s="337"/>
      <c r="V18" s="337">
        <f>VLOOKUP(A18,'LA Deductions'!A:AN,40,FALSE)</f>
        <v>0</v>
      </c>
      <c r="X18" s="274">
        <f>VLOOKUP($A18,'Summary June 2026'!$A:$AAX,206,FALSE)-SUMIFS($H18:$V18,$H$7:$V$7,X$7)</f>
        <v>0</v>
      </c>
      <c r="Y18" s="274">
        <f>VLOOKUP($A18,'Summary June 2026'!$A:$HC,207,FALSE)-SUMIFS($H18:$V18,$H$7:$V$7,Y$7)</f>
        <v>0</v>
      </c>
      <c r="Z18" s="274">
        <f>VLOOKUP($A18,'Summary June 2026'!$A:$HC,208,FALSE)-SUMIFS($H18:$V18,$H$7:$V$7,Z$7)</f>
        <v>0</v>
      </c>
      <c r="AA18" s="274">
        <f>VLOOKUP($A18,'Summary June 2026'!$A:$HC,209,FALSE)-SUMIFS($H18:$V18,$H$7:$V$7,AA$7)</f>
        <v>0</v>
      </c>
      <c r="AB18" s="274">
        <f>VLOOKUP($A18,'Summary June 2026'!$A:$HC,210,FALSE)-SUMIFS($H18:$V18,$H$7:$V$7,AB$7)</f>
        <v>0</v>
      </c>
      <c r="AC18" s="274">
        <f>VLOOKUP($A18,'Summary June 2026'!$A:$HC,211,FALSE)-SUMIFS($H18:$V18,$H$7:$V$7,AC$7)</f>
        <v>0</v>
      </c>
      <c r="AE18" s="146">
        <f>VLOOKUP($A18,'Summary June 2026'!$A:$HJ,213,FALSE)+VLOOKUP($A18,'Grants+ Other Funding'!$A:$CG,67,FALSE)</f>
        <v>235000</v>
      </c>
      <c r="AF18" s="146">
        <f>_xlfn.IFNA(VLOOKUP($A18,'Summary June 2026'!$A:$HJ,214,FALSE)+VLOOKUP($A18,'Grants+ Other Funding'!$A:$CG,68,FALSE),0)</f>
        <v>-27.66</v>
      </c>
      <c r="AG18" s="146">
        <f>_xlfn.IFNA(VLOOKUP($A18,'Summary June 2026'!$A:$HJ,215,FALSE)+VLOOKUP($A18,'Grants+ Other Funding'!$A:$CG,69,FALSE),0)</f>
        <v>442371.69250000006</v>
      </c>
      <c r="AH18" s="146">
        <f>_xlfn.IFNA(VLOOKUP($A18,'Grants+ Other Funding'!$A:$CG,70,FALSE),0)</f>
        <v>0</v>
      </c>
      <c r="AI18" s="146">
        <f>_xlfn.IFNA(VLOOKUP($A18,'Grants+ Other Funding'!$A:$CG,71,FALSE),0)</f>
        <v>0</v>
      </c>
      <c r="AJ18" s="146">
        <f>_xlfn.IFNA(VLOOKUP($A18,'Grants+ Other Funding'!$A:$CG,72,FALSE),0)</f>
        <v>0</v>
      </c>
      <c r="AK18" s="146">
        <f>_xlfn.IFNA(VLOOKUP($A18,'Summary June 2026'!$A:$HJ,217,FALSE),0)</f>
        <v>0</v>
      </c>
      <c r="AL18" s="146">
        <f>_xlfn.IFNA(VLOOKUP($A18,'Grants+ Other Funding'!$A:$CG,74,FALSE),0)</f>
        <v>0</v>
      </c>
      <c r="AM18" s="146">
        <f>_xlfn.IFNA(VLOOKUP($A18,'Summary June 2026'!$A:$HJ,218,FALSE),0)</f>
        <v>0</v>
      </c>
      <c r="AN18" s="146">
        <f>_xlfn.IFNA(VLOOKUP($A18,'Summary June 2026'!$A:$HJ,216,FALSE),0)</f>
        <v>0</v>
      </c>
      <c r="AO18" s="146">
        <f>_xlfn.IFNA(VLOOKUP($A18,'Grants+ Other Funding'!$A:$CG,73,FALSE),0)</f>
        <v>0</v>
      </c>
      <c r="AP18" s="65">
        <f t="shared" si="0"/>
        <v>677344.03250000009</v>
      </c>
    </row>
    <row r="19" spans="1:42">
      <c r="A19" s="198">
        <v>2017</v>
      </c>
      <c r="B19" s="2">
        <v>103164</v>
      </c>
      <c r="C19" s="2" t="s">
        <v>59</v>
      </c>
      <c r="D19" s="2" t="s">
        <v>60</v>
      </c>
      <c r="E19" s="190" t="s">
        <v>39</v>
      </c>
      <c r="F19" s="208" t="str">
        <f>VLOOKUP(A19,'Summary June 2026'!A:F,6,FALSE)</f>
        <v>Chq Bk</v>
      </c>
      <c r="H19" s="273">
        <f>_xlfn.IFNA(VLOOKUP($A19,ISB!$A:$BY,67,FALSE),0)</f>
        <v>1763477.2523184265</v>
      </c>
      <c r="I19" s="218">
        <f>_xlfn.IFNA(VLOOKUP($A19,ISB!$A:$BY,72,FALSE),0)</f>
        <v>-6200.0999999999995</v>
      </c>
      <c r="J19" s="274">
        <f>-_xlfn.IFNA(VLOOKUP($A19,ISB!$A:$BY,76,FALSE),0)</f>
        <v>-18095.914199999999</v>
      </c>
      <c r="L19" s="273">
        <f>_xlfn.IFNA(VLOOKUP($A19,EY!$A:$DX,126,FALSE),0)</f>
        <v>0</v>
      </c>
      <c r="M19" s="273">
        <f>_xlfn.IFNA(VLOOKUP($A19,EY!$A:$DX,127,FALSE),0)</f>
        <v>0</v>
      </c>
      <c r="O19" s="273">
        <f>_xlfn.IFNA(VLOOKUP($A19,HN!$A:$AN,37,FALSE),0)</f>
        <v>0</v>
      </c>
      <c r="P19" s="273">
        <f>_xlfn.IFNA(VLOOKUP($A19,HN!$A:$AN,38,FALSE),0)</f>
        <v>0</v>
      </c>
      <c r="Q19" s="273">
        <f>_xlfn.IFNA(VLOOKUP($A19,HN!$A:$AN,39,FALSE),0)</f>
        <v>66247.5</v>
      </c>
      <c r="S19" s="337">
        <f>_xlfn.IFNA(VLOOKUP(A19,'Post 16'!A:AR,44,FALSE),0)</f>
        <v>0</v>
      </c>
      <c r="U19" s="337"/>
      <c r="V19" s="337">
        <f>VLOOKUP(A19,'LA Deductions'!A:AN,40,FALSE)</f>
        <v>0</v>
      </c>
      <c r="X19" s="274">
        <f>VLOOKUP($A19,'Summary June 2026'!$A:$AAX,206,FALSE)-SUMIFS($H19:$V19,$H$7:$V$7,X$7)</f>
        <v>0</v>
      </c>
      <c r="Y19" s="274">
        <f>VLOOKUP($A19,'Summary June 2026'!$A:$HC,207,FALSE)-SUMIFS($H19:$V19,$H$7:$V$7,Y$7)</f>
        <v>0</v>
      </c>
      <c r="Z19" s="274">
        <f>VLOOKUP($A19,'Summary June 2026'!$A:$HC,208,FALSE)-SUMIFS($H19:$V19,$H$7:$V$7,Z$7)</f>
        <v>0</v>
      </c>
      <c r="AA19" s="274">
        <f>VLOOKUP($A19,'Summary June 2026'!$A:$HC,209,FALSE)-SUMIFS($H19:$V19,$H$7:$V$7,AA$7)</f>
        <v>0</v>
      </c>
      <c r="AB19" s="274">
        <f>VLOOKUP($A19,'Summary June 2026'!$A:$HC,210,FALSE)-SUMIFS($H19:$V19,$H$7:$V$7,AB$7)</f>
        <v>0</v>
      </c>
      <c r="AC19" s="274">
        <f>VLOOKUP($A19,'Summary June 2026'!$A:$HC,211,FALSE)-SUMIFS($H19:$V19,$H$7:$V$7,AC$7)</f>
        <v>0</v>
      </c>
      <c r="AE19" s="146">
        <f>VLOOKUP($A19,'Summary June 2026'!$A:$HJ,213,FALSE)+VLOOKUP($A19,'Grants+ Other Funding'!$A:$CG,67,FALSE)</f>
        <v>440943.05307960662</v>
      </c>
      <c r="AF19" s="146">
        <f>_xlfn.IFNA(VLOOKUP($A19,'Summary June 2026'!$A:$HJ,214,FALSE)+VLOOKUP($A19,'Grants+ Other Funding'!$A:$CG,68,FALSE),0)</f>
        <v>-8.9499999999999993</v>
      </c>
      <c r="AG19" s="146">
        <f>_xlfn.IFNA(VLOOKUP($A19,'Summary June 2026'!$A:$HJ,215,FALSE)+VLOOKUP($A19,'Grants+ Other Funding'!$A:$CG,69,FALSE),0)</f>
        <v>25180.17525</v>
      </c>
      <c r="AH19" s="146">
        <f>_xlfn.IFNA(VLOOKUP($A19,'Grants+ Other Funding'!$A:$CG,70,FALSE),0)</f>
        <v>0</v>
      </c>
      <c r="AI19" s="146">
        <f>_xlfn.IFNA(VLOOKUP($A19,'Grants+ Other Funding'!$A:$CG,71,FALSE),0)</f>
        <v>0</v>
      </c>
      <c r="AJ19" s="146">
        <f>_xlfn.IFNA(VLOOKUP($A19,'Grants+ Other Funding'!$A:$CG,72,FALSE),0)</f>
        <v>0</v>
      </c>
      <c r="AK19" s="146">
        <f>_xlfn.IFNA(VLOOKUP($A19,'Summary June 2026'!$A:$HJ,217,FALSE),0)</f>
        <v>-4523.9785499999998</v>
      </c>
      <c r="AL19" s="146">
        <f>_xlfn.IFNA(VLOOKUP($A19,'Grants+ Other Funding'!$A:$CG,74,FALSE),0)</f>
        <v>0</v>
      </c>
      <c r="AM19" s="146">
        <f>_xlfn.IFNA(VLOOKUP($A19,'Summary June 2026'!$A:$HJ,218,FALSE),0)</f>
        <v>0</v>
      </c>
      <c r="AN19" s="146">
        <f>_xlfn.IFNA(VLOOKUP($A19,'Summary June 2026'!$A:$HJ,216,FALSE),0)</f>
        <v>-1550.0249999999999</v>
      </c>
      <c r="AO19" s="146">
        <f>_xlfn.IFNA(VLOOKUP($A19,'Grants+ Other Funding'!$A:$CG,73,FALSE),0)</f>
        <v>0</v>
      </c>
      <c r="AP19" s="65">
        <f t="shared" si="0"/>
        <v>460040.27477960661</v>
      </c>
    </row>
    <row r="20" spans="1:42">
      <c r="A20" s="198">
        <v>2016</v>
      </c>
      <c r="B20" s="2">
        <v>103163</v>
      </c>
      <c r="C20" s="2" t="s">
        <v>61</v>
      </c>
      <c r="D20" s="2" t="s">
        <v>62</v>
      </c>
      <c r="E20" s="190" t="s">
        <v>39</v>
      </c>
      <c r="F20" s="208" t="str">
        <f>VLOOKUP(A20,'Summary June 2026'!A:F,6,FALSE)</f>
        <v>Chq Bk</v>
      </c>
      <c r="H20" s="273">
        <f>_xlfn.IFNA(VLOOKUP($A20,ISB!$A:$BY,67,FALSE),0)</f>
        <v>2391624.5356899118</v>
      </c>
      <c r="I20" s="218">
        <f>_xlfn.IFNA(VLOOKUP($A20,ISB!$A:$BY,72,FALSE),0)</f>
        <v>-8988.9</v>
      </c>
      <c r="J20" s="274">
        <f>-_xlfn.IFNA(VLOOKUP($A20,ISB!$A:$BY,76,FALSE),0)</f>
        <v>-8822.1329000000005</v>
      </c>
      <c r="L20" s="273">
        <f>_xlfn.IFNA(VLOOKUP($A20,EY!$A:$DX,126,FALSE),0)</f>
        <v>0</v>
      </c>
      <c r="M20" s="273">
        <f>_xlfn.IFNA(VLOOKUP($A20,EY!$A:$DX,127,FALSE),0)</f>
        <v>0</v>
      </c>
      <c r="O20" s="273">
        <f>_xlfn.IFNA(VLOOKUP($A20,HN!$A:$AN,37,FALSE),0)</f>
        <v>0</v>
      </c>
      <c r="P20" s="273">
        <f>_xlfn.IFNA(VLOOKUP($A20,HN!$A:$AN,38,FALSE),0)</f>
        <v>0</v>
      </c>
      <c r="Q20" s="273">
        <f>_xlfn.IFNA(VLOOKUP($A20,HN!$A:$AN,39,FALSE),0)</f>
        <v>113548.33</v>
      </c>
      <c r="S20" s="337">
        <f>_xlfn.IFNA(VLOOKUP(A20,'Post 16'!A:AR,44,FALSE),0)</f>
        <v>0</v>
      </c>
      <c r="U20" s="337"/>
      <c r="V20" s="337">
        <f>VLOOKUP(A20,'LA Deductions'!A:AN,40,FALSE)</f>
        <v>0</v>
      </c>
      <c r="X20" s="274">
        <f>VLOOKUP($A20,'Summary June 2026'!$A:$AAX,206,FALSE)-SUMIFS($H20:$V20,$H$7:$V$7,X$7)</f>
        <v>0</v>
      </c>
      <c r="Y20" s="274">
        <f>VLOOKUP($A20,'Summary June 2026'!$A:$HC,207,FALSE)-SUMIFS($H20:$V20,$H$7:$V$7,Y$7)</f>
        <v>0</v>
      </c>
      <c r="Z20" s="274">
        <f>VLOOKUP($A20,'Summary June 2026'!$A:$HC,208,FALSE)-SUMIFS($H20:$V20,$H$7:$V$7,Z$7)</f>
        <v>0</v>
      </c>
      <c r="AA20" s="274">
        <f>VLOOKUP($A20,'Summary June 2026'!$A:$HC,209,FALSE)-SUMIFS($H20:$V20,$H$7:$V$7,AA$7)</f>
        <v>0</v>
      </c>
      <c r="AB20" s="274">
        <f>VLOOKUP($A20,'Summary June 2026'!$A:$HC,210,FALSE)-SUMIFS($H20:$V20,$H$7:$V$7,AB$7)</f>
        <v>0</v>
      </c>
      <c r="AC20" s="274">
        <f>VLOOKUP($A20,'Summary June 2026'!$A:$HC,211,FALSE)-SUMIFS($H20:$V20,$H$7:$V$7,AC$7)</f>
        <v>0</v>
      </c>
      <c r="AE20" s="146">
        <f>VLOOKUP($A20,'Summary June 2026'!$A:$HJ,213,FALSE)+VLOOKUP($A20,'Grants+ Other Funding'!$A:$CG,67,FALSE)</f>
        <v>599657.49392247794</v>
      </c>
      <c r="AF20" s="146">
        <f>_xlfn.IFNA(VLOOKUP($A20,'Summary June 2026'!$A:$HJ,214,FALSE)+VLOOKUP($A20,'Grants+ Other Funding'!$A:$CG,68,FALSE),0)</f>
        <v>-3.27</v>
      </c>
      <c r="AG20" s="146">
        <f>_xlfn.IFNA(VLOOKUP($A20,'Summary June 2026'!$A:$HJ,215,FALSE)+VLOOKUP($A20,'Grants+ Other Funding'!$A:$CG,69,FALSE),0)</f>
        <v>35388.457750000001</v>
      </c>
      <c r="AH20" s="146">
        <f>_xlfn.IFNA(VLOOKUP($A20,'Grants+ Other Funding'!$A:$CG,70,FALSE),0)</f>
        <v>0</v>
      </c>
      <c r="AI20" s="146">
        <f>_xlfn.IFNA(VLOOKUP($A20,'Grants+ Other Funding'!$A:$CG,71,FALSE),0)</f>
        <v>0</v>
      </c>
      <c r="AJ20" s="146">
        <f>_xlfn.IFNA(VLOOKUP($A20,'Grants+ Other Funding'!$A:$CG,72,FALSE),0)</f>
        <v>0</v>
      </c>
      <c r="AK20" s="146">
        <f>_xlfn.IFNA(VLOOKUP($A20,'Summary June 2026'!$A:$HJ,217,FALSE),0)</f>
        <v>-2205.5332250000001</v>
      </c>
      <c r="AL20" s="146">
        <f>_xlfn.IFNA(VLOOKUP($A20,'Grants+ Other Funding'!$A:$CG,74,FALSE),0)</f>
        <v>0</v>
      </c>
      <c r="AM20" s="146">
        <f>_xlfn.IFNA(VLOOKUP($A20,'Summary June 2026'!$A:$HJ,218,FALSE),0)</f>
        <v>0</v>
      </c>
      <c r="AN20" s="146">
        <f>_xlfn.IFNA(VLOOKUP($A20,'Summary June 2026'!$A:$HJ,216,FALSE),0)</f>
        <v>-2247.2249999999999</v>
      </c>
      <c r="AO20" s="146">
        <f>_xlfn.IFNA(VLOOKUP($A20,'Grants+ Other Funding'!$A:$CG,73,FALSE),0)</f>
        <v>0</v>
      </c>
      <c r="AP20" s="65">
        <f t="shared" si="0"/>
        <v>630589.92344747786</v>
      </c>
    </row>
    <row r="21" spans="1:42">
      <c r="A21" s="198">
        <v>2239</v>
      </c>
      <c r="B21" s="2">
        <v>103289</v>
      </c>
      <c r="C21" s="2" t="s">
        <v>63</v>
      </c>
      <c r="D21" s="2" t="s">
        <v>64</v>
      </c>
      <c r="E21" s="190" t="s">
        <v>39</v>
      </c>
      <c r="F21" s="208" t="str">
        <f>VLOOKUP(A21,'Summary June 2026'!A:F,6,FALSE)</f>
        <v>Chq Bk</v>
      </c>
      <c r="H21" s="273">
        <f>_xlfn.IFNA(VLOOKUP($A21,ISB!$A:$BY,67,FALSE),0)</f>
        <v>988196.53468629252</v>
      </c>
      <c r="I21" s="218">
        <f>_xlfn.IFNA(VLOOKUP($A21,ISB!$A:$BY,72,FALSE),0)</f>
        <v>-3461.1</v>
      </c>
      <c r="J21" s="274">
        <f>-_xlfn.IFNA(VLOOKUP($A21,ISB!$A:$BY,76,FALSE),0)</f>
        <v>-11721.960800000001</v>
      </c>
      <c r="L21" s="273">
        <f>_xlfn.IFNA(VLOOKUP($A21,EY!$A:$DX,126,FALSE),0)</f>
        <v>123591.54597229917</v>
      </c>
      <c r="M21" s="273">
        <f>_xlfn.IFNA(VLOOKUP($A21,EY!$A:$DX,127,FALSE),0)</f>
        <v>2895.5036011080333</v>
      </c>
      <c r="O21" s="273">
        <f>_xlfn.IFNA(VLOOKUP($A21,HN!$A:$AN,37,FALSE),0)</f>
        <v>0</v>
      </c>
      <c r="P21" s="273">
        <f>_xlfn.IFNA(VLOOKUP($A21,HN!$A:$AN,38,FALSE),0)</f>
        <v>0</v>
      </c>
      <c r="Q21" s="273">
        <f>_xlfn.IFNA(VLOOKUP($A21,HN!$A:$AN,39,FALSE),0)</f>
        <v>75407</v>
      </c>
      <c r="S21" s="337">
        <f>_xlfn.IFNA(VLOOKUP(A21,'Post 16'!A:AR,44,FALSE),0)</f>
        <v>0</v>
      </c>
      <c r="U21" s="337"/>
      <c r="V21" s="337">
        <f>VLOOKUP(A21,'LA Deductions'!A:AN,40,FALSE)</f>
        <v>0</v>
      </c>
      <c r="X21" s="274">
        <f>VLOOKUP($A21,'Summary June 2026'!$A:$AAX,206,FALSE)-SUMIFS($H21:$V21,$H$7:$V$7,X$7)</f>
        <v>0</v>
      </c>
      <c r="Y21" s="274">
        <f>VLOOKUP($A21,'Summary June 2026'!$A:$HC,207,FALSE)-SUMIFS($H21:$V21,$H$7:$V$7,Y$7)</f>
        <v>0</v>
      </c>
      <c r="Z21" s="274">
        <f>VLOOKUP($A21,'Summary June 2026'!$A:$HC,208,FALSE)-SUMIFS($H21:$V21,$H$7:$V$7,Z$7)</f>
        <v>0</v>
      </c>
      <c r="AA21" s="274">
        <f>VLOOKUP($A21,'Summary June 2026'!$A:$HC,209,FALSE)-SUMIFS($H21:$V21,$H$7:$V$7,AA$7)</f>
        <v>0</v>
      </c>
      <c r="AB21" s="274">
        <f>VLOOKUP($A21,'Summary June 2026'!$A:$HC,210,FALSE)-SUMIFS($H21:$V21,$H$7:$V$7,AB$7)</f>
        <v>0</v>
      </c>
      <c r="AC21" s="274">
        <f>VLOOKUP($A21,'Summary June 2026'!$A:$HC,211,FALSE)-SUMIFS($H21:$V21,$H$7:$V$7,AC$7)</f>
        <v>0</v>
      </c>
      <c r="AE21" s="146">
        <f>VLOOKUP($A21,'Summary June 2026'!$A:$HJ,213,FALSE)+VLOOKUP($A21,'Grants+ Other Funding'!$A:$CG,67,FALSE)</f>
        <v>317019.08974913543</v>
      </c>
      <c r="AF21" s="146">
        <f>_xlfn.IFNA(VLOOKUP($A21,'Summary June 2026'!$A:$HJ,214,FALSE)+VLOOKUP($A21,'Grants+ Other Funding'!$A:$CG,68,FALSE),0)</f>
        <v>-9.41</v>
      </c>
      <c r="AG21" s="146">
        <f>_xlfn.IFNA(VLOOKUP($A21,'Summary June 2026'!$A:$HJ,215,FALSE)+VLOOKUP($A21,'Grants+ Other Funding'!$A:$CG,69,FALSE),0)</f>
        <v>23689.866101108033</v>
      </c>
      <c r="AH21" s="146">
        <f>_xlfn.IFNA(VLOOKUP($A21,'Grants+ Other Funding'!$A:$CG,70,FALSE),0)</f>
        <v>0</v>
      </c>
      <c r="AI21" s="146">
        <f>_xlfn.IFNA(VLOOKUP($A21,'Grants+ Other Funding'!$A:$CG,71,FALSE),0)</f>
        <v>0</v>
      </c>
      <c r="AJ21" s="146">
        <f>_xlfn.IFNA(VLOOKUP($A21,'Grants+ Other Funding'!$A:$CG,72,FALSE),0)</f>
        <v>0</v>
      </c>
      <c r="AK21" s="146">
        <f>_xlfn.IFNA(VLOOKUP($A21,'Summary June 2026'!$A:$HJ,217,FALSE),0)</f>
        <v>-2930.4902000000002</v>
      </c>
      <c r="AL21" s="146">
        <f>_xlfn.IFNA(VLOOKUP($A21,'Grants+ Other Funding'!$A:$CG,74,FALSE),0)</f>
        <v>0</v>
      </c>
      <c r="AM21" s="146">
        <f>_xlfn.IFNA(VLOOKUP($A21,'Summary June 2026'!$A:$HJ,218,FALSE),0)</f>
        <v>0</v>
      </c>
      <c r="AN21" s="146">
        <f>_xlfn.IFNA(VLOOKUP($A21,'Summary June 2026'!$A:$HJ,216,FALSE),0)</f>
        <v>-865.27500000000009</v>
      </c>
      <c r="AO21" s="146">
        <f>_xlfn.IFNA(VLOOKUP($A21,'Grants+ Other Funding'!$A:$CG,73,FALSE),0)</f>
        <v>0</v>
      </c>
      <c r="AP21" s="65">
        <f t="shared" si="0"/>
        <v>336903.78065024345</v>
      </c>
    </row>
    <row r="22" spans="1:42">
      <c r="A22" s="198">
        <v>2241</v>
      </c>
      <c r="B22" s="2">
        <v>103291</v>
      </c>
      <c r="C22" s="2" t="s">
        <v>65</v>
      </c>
      <c r="D22" s="2" t="s">
        <v>66</v>
      </c>
      <c r="E22" s="190" t="s">
        <v>39</v>
      </c>
      <c r="F22" s="208" t="str">
        <f>VLOOKUP(A22,'Summary June 2026'!A:F,6,FALSE)</f>
        <v>Chq Bk</v>
      </c>
      <c r="H22" s="273">
        <f>_xlfn.IFNA(VLOOKUP($A22,ISB!$A:$BY,67,FALSE),0)</f>
        <v>1535309.2559761342</v>
      </c>
      <c r="I22" s="218">
        <f>_xlfn.IFNA(VLOOKUP($A22,ISB!$A:$BY,72,FALSE),0)</f>
        <v>-5751.9</v>
      </c>
      <c r="J22" s="274">
        <f>-_xlfn.IFNA(VLOOKUP($A22,ISB!$A:$BY,76,FALSE),0)</f>
        <v>-15538.427100000001</v>
      </c>
      <c r="L22" s="273">
        <f>_xlfn.IFNA(VLOOKUP($A22,EY!$A:$DX,126,FALSE),0)</f>
        <v>0</v>
      </c>
      <c r="M22" s="273">
        <f>_xlfn.IFNA(VLOOKUP($A22,EY!$A:$DX,127,FALSE),0)</f>
        <v>0</v>
      </c>
      <c r="O22" s="273">
        <f>_xlfn.IFNA(VLOOKUP($A22,HN!$A:$AN,37,FALSE),0)</f>
        <v>141645</v>
      </c>
      <c r="P22" s="273">
        <f>_xlfn.IFNA(VLOOKUP($A22,HN!$A:$AN,38,FALSE),0)</f>
        <v>0</v>
      </c>
      <c r="Q22" s="273">
        <f>_xlfn.IFNA(VLOOKUP($A22,HN!$A:$AN,39,FALSE),0)</f>
        <v>77235</v>
      </c>
      <c r="S22" s="337">
        <f>_xlfn.IFNA(VLOOKUP(A22,'Post 16'!A:AR,44,FALSE),0)</f>
        <v>0</v>
      </c>
      <c r="U22" s="337"/>
      <c r="V22" s="337">
        <f>VLOOKUP(A22,'LA Deductions'!A:AN,40,FALSE)</f>
        <v>0</v>
      </c>
      <c r="X22" s="274">
        <f>VLOOKUP($A22,'Summary June 2026'!$A:$AAX,206,FALSE)-SUMIFS($H22:$V22,$H$7:$V$7,X$7)</f>
        <v>0</v>
      </c>
      <c r="Y22" s="274">
        <f>VLOOKUP($A22,'Summary June 2026'!$A:$HC,207,FALSE)-SUMIFS($H22:$V22,$H$7:$V$7,Y$7)</f>
        <v>0</v>
      </c>
      <c r="Z22" s="274">
        <f>VLOOKUP($A22,'Summary June 2026'!$A:$HC,208,FALSE)-SUMIFS($H22:$V22,$H$7:$V$7,Z$7)</f>
        <v>0</v>
      </c>
      <c r="AA22" s="274">
        <f>VLOOKUP($A22,'Summary June 2026'!$A:$HC,209,FALSE)-SUMIFS($H22:$V22,$H$7:$V$7,AA$7)</f>
        <v>0</v>
      </c>
      <c r="AB22" s="274">
        <f>VLOOKUP($A22,'Summary June 2026'!$A:$HC,210,FALSE)-SUMIFS($H22:$V22,$H$7:$V$7,AB$7)</f>
        <v>0</v>
      </c>
      <c r="AC22" s="274">
        <f>VLOOKUP($A22,'Summary June 2026'!$A:$HC,211,FALSE)-SUMIFS($H22:$V22,$H$7:$V$7,AC$7)</f>
        <v>0</v>
      </c>
      <c r="AE22" s="146">
        <f>VLOOKUP($A22,'Summary June 2026'!$A:$HJ,213,FALSE)+VLOOKUP($A22,'Grants+ Other Funding'!$A:$CG,67,FALSE)</f>
        <v>435472.31399403355</v>
      </c>
      <c r="AF22" s="146">
        <f>_xlfn.IFNA(VLOOKUP($A22,'Summary June 2026'!$A:$HJ,214,FALSE)+VLOOKUP($A22,'Grants+ Other Funding'!$A:$CG,68,FALSE),0)</f>
        <v>0</v>
      </c>
      <c r="AG22" s="146">
        <f>_xlfn.IFNA(VLOOKUP($A22,'Summary June 2026'!$A:$HJ,215,FALSE)+VLOOKUP($A22,'Grants+ Other Funding'!$A:$CG,69,FALSE),0)</f>
        <v>26885.587500000001</v>
      </c>
      <c r="AH22" s="146">
        <f>_xlfn.IFNA(VLOOKUP($A22,'Grants+ Other Funding'!$A:$CG,70,FALSE),0)</f>
        <v>0</v>
      </c>
      <c r="AI22" s="146">
        <f>_xlfn.IFNA(VLOOKUP($A22,'Grants+ Other Funding'!$A:$CG,71,FALSE),0)</f>
        <v>0</v>
      </c>
      <c r="AJ22" s="146">
        <f>_xlfn.IFNA(VLOOKUP($A22,'Grants+ Other Funding'!$A:$CG,72,FALSE),0)</f>
        <v>0</v>
      </c>
      <c r="AK22" s="146">
        <f>_xlfn.IFNA(VLOOKUP($A22,'Summary June 2026'!$A:$HJ,217,FALSE),0)</f>
        <v>-3884.6067750000002</v>
      </c>
      <c r="AL22" s="146">
        <f>_xlfn.IFNA(VLOOKUP($A22,'Grants+ Other Funding'!$A:$CG,74,FALSE),0)</f>
        <v>0</v>
      </c>
      <c r="AM22" s="146">
        <f>_xlfn.IFNA(VLOOKUP($A22,'Summary June 2026'!$A:$HJ,218,FALSE),0)</f>
        <v>0</v>
      </c>
      <c r="AN22" s="146">
        <f>_xlfn.IFNA(VLOOKUP($A22,'Summary June 2026'!$A:$HJ,216,FALSE),0)</f>
        <v>-1437.9749999999999</v>
      </c>
      <c r="AO22" s="146">
        <f>_xlfn.IFNA(VLOOKUP($A22,'Grants+ Other Funding'!$A:$CG,73,FALSE),0)</f>
        <v>0</v>
      </c>
      <c r="AP22" s="65">
        <f t="shared" si="0"/>
        <v>457035.31971903361</v>
      </c>
    </row>
    <row r="23" spans="1:42">
      <c r="A23" s="198">
        <v>2456</v>
      </c>
      <c r="B23" s="2">
        <v>103383</v>
      </c>
      <c r="C23" s="2" t="s">
        <v>67</v>
      </c>
      <c r="D23" s="2" t="s">
        <v>68</v>
      </c>
      <c r="E23" s="190" t="s">
        <v>39</v>
      </c>
      <c r="F23" s="208" t="str">
        <f>VLOOKUP(A23,'Summary June 2026'!A:F,6,FALSE)</f>
        <v>Chq Bk</v>
      </c>
      <c r="H23" s="273">
        <f>_xlfn.IFNA(VLOOKUP($A23,ISB!$A:$BY,67,FALSE),0)</f>
        <v>1330734.5336983856</v>
      </c>
      <c r="I23" s="218">
        <f>_xlfn.IFNA(VLOOKUP($A23,ISB!$A:$BY,72,FALSE),0)</f>
        <v>-4905.2999999999993</v>
      </c>
      <c r="J23" s="274">
        <f>-_xlfn.IFNA(VLOOKUP($A23,ISB!$A:$BY,76,FALSE),0)</f>
        <v>-22911.210800000001</v>
      </c>
      <c r="L23" s="273">
        <f>_xlfn.IFNA(VLOOKUP($A23,EY!$A:$DX,126,FALSE),0)</f>
        <v>0</v>
      </c>
      <c r="M23" s="273">
        <f>_xlfn.IFNA(VLOOKUP($A23,EY!$A:$DX,127,FALSE),0)</f>
        <v>0</v>
      </c>
      <c r="O23" s="273">
        <f>_xlfn.IFNA(VLOOKUP($A23,HN!$A:$AN,37,FALSE),0)</f>
        <v>0</v>
      </c>
      <c r="P23" s="273">
        <f>_xlfn.IFNA(VLOOKUP($A23,HN!$A:$AN,38,FALSE),0)</f>
        <v>0</v>
      </c>
      <c r="Q23" s="273">
        <f>_xlfn.IFNA(VLOOKUP($A23,HN!$A:$AN,39,FALSE),0)</f>
        <v>88697</v>
      </c>
      <c r="S23" s="337">
        <f>_xlfn.IFNA(VLOOKUP(A23,'Post 16'!A:AR,44,FALSE),0)</f>
        <v>0</v>
      </c>
      <c r="U23" s="337"/>
      <c r="V23" s="337">
        <f>VLOOKUP(A23,'LA Deductions'!A:AN,40,FALSE)</f>
        <v>0</v>
      </c>
      <c r="X23" s="274">
        <f>VLOOKUP($A23,'Summary June 2026'!$A:$AAX,206,FALSE)-SUMIFS($H23:$V23,$H$7:$V$7,X$7)</f>
        <v>0</v>
      </c>
      <c r="Y23" s="274">
        <f>VLOOKUP($A23,'Summary June 2026'!$A:$HC,207,FALSE)-SUMIFS($H23:$V23,$H$7:$V$7,Y$7)</f>
        <v>0</v>
      </c>
      <c r="Z23" s="274">
        <f>VLOOKUP($A23,'Summary June 2026'!$A:$HC,208,FALSE)-SUMIFS($H23:$V23,$H$7:$V$7,Z$7)</f>
        <v>0</v>
      </c>
      <c r="AA23" s="274">
        <f>VLOOKUP($A23,'Summary June 2026'!$A:$HC,209,FALSE)-SUMIFS($H23:$V23,$H$7:$V$7,AA$7)</f>
        <v>0</v>
      </c>
      <c r="AB23" s="274">
        <f>VLOOKUP($A23,'Summary June 2026'!$A:$HC,210,FALSE)-SUMIFS($H23:$V23,$H$7:$V$7,AB$7)</f>
        <v>0</v>
      </c>
      <c r="AC23" s="274">
        <f>VLOOKUP($A23,'Summary June 2026'!$A:$HC,211,FALSE)-SUMIFS($H23:$V23,$H$7:$V$7,AC$7)</f>
        <v>0</v>
      </c>
      <c r="AE23" s="146">
        <f>VLOOKUP($A23,'Summary June 2026'!$A:$HJ,213,FALSE)+VLOOKUP($A23,'Grants+ Other Funding'!$A:$CG,67,FALSE)</f>
        <v>332892.52342459641</v>
      </c>
      <c r="AF23" s="146">
        <f>_xlfn.IFNA(VLOOKUP($A23,'Summary June 2026'!$A:$HJ,214,FALSE)+VLOOKUP($A23,'Grants+ Other Funding'!$A:$CG,68,FALSE),0)</f>
        <v>-31.33</v>
      </c>
      <c r="AG23" s="146">
        <f>_xlfn.IFNA(VLOOKUP($A23,'Summary June 2026'!$A:$HJ,215,FALSE)+VLOOKUP($A23,'Grants+ Other Funding'!$A:$CG,69,FALSE),0)</f>
        <v>28026.125</v>
      </c>
      <c r="AH23" s="146">
        <f>_xlfn.IFNA(VLOOKUP($A23,'Grants+ Other Funding'!$A:$CG,70,FALSE),0)</f>
        <v>0</v>
      </c>
      <c r="AI23" s="146">
        <f>_xlfn.IFNA(VLOOKUP($A23,'Grants+ Other Funding'!$A:$CG,71,FALSE),0)</f>
        <v>0</v>
      </c>
      <c r="AJ23" s="146">
        <f>_xlfn.IFNA(VLOOKUP($A23,'Grants+ Other Funding'!$A:$CG,72,FALSE),0)</f>
        <v>0</v>
      </c>
      <c r="AK23" s="146">
        <f>_xlfn.IFNA(VLOOKUP($A23,'Summary June 2026'!$A:$HJ,217,FALSE),0)</f>
        <v>-5727.8027000000002</v>
      </c>
      <c r="AL23" s="146">
        <f>_xlfn.IFNA(VLOOKUP($A23,'Grants+ Other Funding'!$A:$CG,74,FALSE),0)</f>
        <v>0</v>
      </c>
      <c r="AM23" s="146">
        <f>_xlfn.IFNA(VLOOKUP($A23,'Summary June 2026'!$A:$HJ,218,FALSE),0)</f>
        <v>0</v>
      </c>
      <c r="AN23" s="146">
        <f>_xlfn.IFNA(VLOOKUP($A23,'Summary June 2026'!$A:$HJ,216,FALSE),0)</f>
        <v>-1226.3249999999998</v>
      </c>
      <c r="AO23" s="146">
        <f>_xlfn.IFNA(VLOOKUP($A23,'Grants+ Other Funding'!$A:$CG,73,FALSE),0)</f>
        <v>0</v>
      </c>
      <c r="AP23" s="65">
        <f t="shared" si="0"/>
        <v>353933.19072459638</v>
      </c>
    </row>
    <row r="24" spans="1:42">
      <c r="A24" s="198">
        <v>5413</v>
      </c>
      <c r="B24" s="2">
        <v>103560</v>
      </c>
      <c r="C24" s="2" t="s">
        <v>69</v>
      </c>
      <c r="D24" s="2" t="s">
        <v>70</v>
      </c>
      <c r="E24" s="190" t="s">
        <v>71</v>
      </c>
      <c r="F24" s="208" t="str">
        <f>VLOOKUP(A24,'Summary June 2026'!A:F,6,FALSE)</f>
        <v>Chq Bk</v>
      </c>
      <c r="H24" s="273">
        <f>_xlfn.IFNA(VLOOKUP($A24,ISB!$A:$BY,67,FALSE),0)</f>
        <v>7765477.9587610792</v>
      </c>
      <c r="I24" s="218">
        <f>_xlfn.IFNA(VLOOKUP($A24,ISB!$A:$BY,72,FALSE),0)</f>
        <v>-19441.5</v>
      </c>
      <c r="J24" s="274">
        <f>-_xlfn.IFNA(VLOOKUP($A24,ISB!$A:$BY,76,FALSE),0)</f>
        <v>-35730.786</v>
      </c>
      <c r="L24" s="273">
        <f>_xlfn.IFNA(VLOOKUP($A24,EY!$A:$DX,126,FALSE),0)</f>
        <v>0</v>
      </c>
      <c r="M24" s="273">
        <f>_xlfn.IFNA(VLOOKUP($A24,EY!$A:$DX,127,FALSE),0)</f>
        <v>0</v>
      </c>
      <c r="O24" s="273">
        <f>_xlfn.IFNA(VLOOKUP($A24,HN!$A:$AN,37,FALSE),0)</f>
        <v>0</v>
      </c>
      <c r="P24" s="273">
        <f>_xlfn.IFNA(VLOOKUP($A24,HN!$A:$AN,38,FALSE),0)</f>
        <v>0</v>
      </c>
      <c r="Q24" s="273">
        <f>_xlfn.IFNA(VLOOKUP($A24,HN!$A:$AN,39,FALSE),0)</f>
        <v>107747</v>
      </c>
      <c r="S24" s="337">
        <f>_xlfn.IFNA(VLOOKUP(A24,'Post 16'!A:AR,44,FALSE),0)</f>
        <v>1305633.3333333335</v>
      </c>
      <c r="U24" s="337"/>
      <c r="V24" s="337">
        <f>VLOOKUP(A24,'LA Deductions'!A:AN,40,FALSE)</f>
        <v>0</v>
      </c>
      <c r="X24" s="274">
        <f>VLOOKUP($A24,'Summary June 2026'!$A:$AAX,206,FALSE)-SUMIFS($H24:$V24,$H$7:$V$7,X$7)</f>
        <v>0</v>
      </c>
      <c r="Y24" s="274">
        <f>VLOOKUP($A24,'Summary June 2026'!$A:$HC,207,FALSE)-SUMIFS($H24:$V24,$H$7:$V$7,Y$7)</f>
        <v>0</v>
      </c>
      <c r="Z24" s="274">
        <f>VLOOKUP($A24,'Summary June 2026'!$A:$HC,208,FALSE)-SUMIFS($H24:$V24,$H$7:$V$7,Z$7)</f>
        <v>0</v>
      </c>
      <c r="AA24" s="274">
        <f>VLOOKUP($A24,'Summary June 2026'!$A:$HC,209,FALSE)-SUMIFS($H24:$V24,$H$7:$V$7,AA$7)</f>
        <v>0</v>
      </c>
      <c r="AB24" s="274">
        <f>VLOOKUP($A24,'Summary June 2026'!$A:$HC,210,FALSE)-SUMIFS($H24:$V24,$H$7:$V$7,AB$7)</f>
        <v>0</v>
      </c>
      <c r="AC24" s="274">
        <f>VLOOKUP($A24,'Summary June 2026'!$A:$HC,211,FALSE)-SUMIFS($H24:$V24,$H$7:$V$7,AC$7)</f>
        <v>0</v>
      </c>
      <c r="AE24" s="146">
        <f>VLOOKUP($A24,'Summary June 2026'!$A:$HJ,213,FALSE)+VLOOKUP($A24,'Grants+ Other Funding'!$A:$CG,67,FALSE)</f>
        <v>1941369.4896902698</v>
      </c>
      <c r="AF24" s="146">
        <f>_xlfn.IFNA(VLOOKUP($A24,'Summary June 2026'!$A:$HJ,214,FALSE)+VLOOKUP($A24,'Grants+ Other Funding'!$A:$CG,68,FALSE),0)</f>
        <v>397745.5</v>
      </c>
      <c r="AG24" s="146">
        <f>_xlfn.IFNA(VLOOKUP($A24,'Summary June 2026'!$A:$HJ,215,FALSE)+VLOOKUP($A24,'Grants+ Other Funding'!$A:$CG,69,FALSE),0)</f>
        <v>33404.69975</v>
      </c>
      <c r="AH24" s="146">
        <f>_xlfn.IFNA(VLOOKUP($A24,'Grants+ Other Funding'!$A:$CG,70,FALSE),0)</f>
        <v>0</v>
      </c>
      <c r="AI24" s="146">
        <f>_xlfn.IFNA(VLOOKUP($A24,'Grants+ Other Funding'!$A:$CG,71,FALSE),0)</f>
        <v>0</v>
      </c>
      <c r="AJ24" s="146">
        <f>_xlfn.IFNA(VLOOKUP($A24,'Grants+ Other Funding'!$A:$CG,72,FALSE),0)</f>
        <v>0</v>
      </c>
      <c r="AK24" s="146">
        <f>_xlfn.IFNA(VLOOKUP($A24,'Summary June 2026'!$A:$HJ,217,FALSE),0)</f>
        <v>-8932.6965</v>
      </c>
      <c r="AL24" s="146">
        <f>_xlfn.IFNA(VLOOKUP($A24,'Grants+ Other Funding'!$A:$CG,74,FALSE),0)</f>
        <v>0</v>
      </c>
      <c r="AM24" s="146">
        <f>_xlfn.IFNA(VLOOKUP($A24,'Summary June 2026'!$A:$HJ,218,FALSE),0)</f>
        <v>0</v>
      </c>
      <c r="AN24" s="146">
        <f>_xlfn.IFNA(VLOOKUP($A24,'Summary June 2026'!$A:$HJ,216,FALSE),0)</f>
        <v>-4860.375</v>
      </c>
      <c r="AO24" s="146">
        <f>_xlfn.IFNA(VLOOKUP($A24,'Grants+ Other Funding'!$A:$CG,73,FALSE),0)</f>
        <v>0</v>
      </c>
      <c r="AP24" s="65">
        <f t="shared" si="0"/>
        <v>2358726.6179402699</v>
      </c>
    </row>
    <row r="25" spans="1:42">
      <c r="A25" s="198">
        <v>2254</v>
      </c>
      <c r="B25" s="2">
        <v>103300</v>
      </c>
      <c r="C25" s="2" t="s">
        <v>72</v>
      </c>
      <c r="D25" s="2" t="s">
        <v>73</v>
      </c>
      <c r="E25" s="190" t="s">
        <v>39</v>
      </c>
      <c r="F25" s="208" t="str">
        <f>VLOOKUP(A25,'Summary June 2026'!A:F,6,FALSE)</f>
        <v>Chq Bk</v>
      </c>
      <c r="H25" s="273">
        <f>_xlfn.IFNA(VLOOKUP($A25,ISB!$A:$BY,67,FALSE),0)</f>
        <v>3125336.2215761403</v>
      </c>
      <c r="I25" s="218">
        <f>_xlfn.IFNA(VLOOKUP($A25,ISB!$A:$BY,72,FALSE),0)</f>
        <v>-11553.599999999999</v>
      </c>
      <c r="J25" s="274">
        <f>-_xlfn.IFNA(VLOOKUP($A25,ISB!$A:$BY,76,FALSE),0)</f>
        <v>-97395.206999999995</v>
      </c>
      <c r="L25" s="273">
        <f>_xlfn.IFNA(VLOOKUP($A25,EY!$A:$DX,126,FALSE),0)</f>
        <v>0</v>
      </c>
      <c r="M25" s="273">
        <f>_xlfn.IFNA(VLOOKUP($A25,EY!$A:$DX,127,FALSE),0)</f>
        <v>0</v>
      </c>
      <c r="O25" s="273">
        <f>_xlfn.IFNA(VLOOKUP($A25,HN!$A:$AN,37,FALSE),0)</f>
        <v>90000</v>
      </c>
      <c r="P25" s="273">
        <f>_xlfn.IFNA(VLOOKUP($A25,HN!$A:$AN,38,FALSE),0)</f>
        <v>0</v>
      </c>
      <c r="Q25" s="273">
        <f>_xlfn.IFNA(VLOOKUP($A25,HN!$A:$AN,39,FALSE),0)</f>
        <v>249005.33000000002</v>
      </c>
      <c r="S25" s="337">
        <f>_xlfn.IFNA(VLOOKUP(A25,'Post 16'!A:AR,44,FALSE),0)</f>
        <v>0</v>
      </c>
      <c r="U25" s="337"/>
      <c r="V25" s="337">
        <f>VLOOKUP(A25,'LA Deductions'!A:AN,40,FALSE)</f>
        <v>0</v>
      </c>
      <c r="X25" s="274">
        <f>VLOOKUP($A25,'Summary June 2026'!$A:$AAX,206,FALSE)-SUMIFS($H25:$V25,$H$7:$V$7,X$7)</f>
        <v>0</v>
      </c>
      <c r="Y25" s="274">
        <f>VLOOKUP($A25,'Summary June 2026'!$A:$HC,207,FALSE)-SUMIFS($H25:$V25,$H$7:$V$7,Y$7)</f>
        <v>0</v>
      </c>
      <c r="Z25" s="274">
        <f>VLOOKUP($A25,'Summary June 2026'!$A:$HC,208,FALSE)-SUMIFS($H25:$V25,$H$7:$V$7,Z$7)</f>
        <v>0</v>
      </c>
      <c r="AA25" s="274">
        <f>VLOOKUP($A25,'Summary June 2026'!$A:$HC,209,FALSE)-SUMIFS($H25:$V25,$H$7:$V$7,AA$7)</f>
        <v>0</v>
      </c>
      <c r="AB25" s="274">
        <f>VLOOKUP($A25,'Summary June 2026'!$A:$HC,210,FALSE)-SUMIFS($H25:$V25,$H$7:$V$7,AB$7)</f>
        <v>0</v>
      </c>
      <c r="AC25" s="274">
        <f>VLOOKUP($A25,'Summary June 2026'!$A:$HC,211,FALSE)-SUMIFS($H25:$V25,$H$7:$V$7,AC$7)</f>
        <v>0</v>
      </c>
      <c r="AE25" s="146">
        <f>VLOOKUP($A25,'Summary June 2026'!$A:$HJ,213,FALSE)+VLOOKUP($A25,'Grants+ Other Funding'!$A:$CG,67,FALSE)</f>
        <v>803834.05539403518</v>
      </c>
      <c r="AF25" s="146">
        <f>_xlfn.IFNA(VLOOKUP($A25,'Summary June 2026'!$A:$HJ,214,FALSE)+VLOOKUP($A25,'Grants+ Other Funding'!$A:$CG,68,FALSE),0)</f>
        <v>-60.79</v>
      </c>
      <c r="AG25" s="146">
        <f>_xlfn.IFNA(VLOOKUP($A25,'Summary June 2026'!$A:$HJ,215,FALSE)+VLOOKUP($A25,'Grants+ Other Funding'!$A:$CG,69,FALSE),0)</f>
        <v>68328.839000000007</v>
      </c>
      <c r="AH25" s="146">
        <f>_xlfn.IFNA(VLOOKUP($A25,'Grants+ Other Funding'!$A:$CG,70,FALSE),0)</f>
        <v>0</v>
      </c>
      <c r="AI25" s="146">
        <f>_xlfn.IFNA(VLOOKUP($A25,'Grants+ Other Funding'!$A:$CG,71,FALSE),0)</f>
        <v>0</v>
      </c>
      <c r="AJ25" s="146">
        <f>_xlfn.IFNA(VLOOKUP($A25,'Grants+ Other Funding'!$A:$CG,72,FALSE),0)</f>
        <v>0</v>
      </c>
      <c r="AK25" s="146">
        <f>_xlfn.IFNA(VLOOKUP($A25,'Summary June 2026'!$A:$HJ,217,FALSE),0)</f>
        <v>-24348.801749999999</v>
      </c>
      <c r="AL25" s="146">
        <f>_xlfn.IFNA(VLOOKUP($A25,'Grants+ Other Funding'!$A:$CG,74,FALSE),0)</f>
        <v>0</v>
      </c>
      <c r="AM25" s="146">
        <f>_xlfn.IFNA(VLOOKUP($A25,'Summary June 2026'!$A:$HJ,218,FALSE),0)</f>
        <v>0</v>
      </c>
      <c r="AN25" s="146">
        <f>_xlfn.IFNA(VLOOKUP($A25,'Summary June 2026'!$A:$HJ,216,FALSE),0)</f>
        <v>-2888.3999999999996</v>
      </c>
      <c r="AO25" s="146">
        <f>_xlfn.IFNA(VLOOKUP($A25,'Grants+ Other Funding'!$A:$CG,73,FALSE),0)</f>
        <v>0</v>
      </c>
      <c r="AP25" s="65">
        <f t="shared" si="0"/>
        <v>844864.90264403517</v>
      </c>
    </row>
    <row r="26" spans="1:42">
      <c r="A26" s="198">
        <v>1025</v>
      </c>
      <c r="B26" s="2">
        <v>103138</v>
      </c>
      <c r="C26" s="2" t="s">
        <v>74</v>
      </c>
      <c r="D26" s="2" t="s">
        <v>75</v>
      </c>
      <c r="E26" s="190" t="s">
        <v>36</v>
      </c>
      <c r="F26" s="208" t="str">
        <f>VLOOKUP(A26,'Summary June 2026'!A:F,6,FALSE)</f>
        <v>Chq Bk</v>
      </c>
      <c r="H26" s="273">
        <f>_xlfn.IFNA(VLOOKUP($A26,ISB!$A:$BY,67,FALSE),0)</f>
        <v>0</v>
      </c>
      <c r="I26" s="218">
        <f>_xlfn.IFNA(VLOOKUP($A26,ISB!$A:$BY,72,FALSE),0)</f>
        <v>0</v>
      </c>
      <c r="J26" s="274">
        <f>-_xlfn.IFNA(VLOOKUP($A26,ISB!$A:$BY,76,FALSE),0)</f>
        <v>0</v>
      </c>
      <c r="L26" s="273">
        <f>_xlfn.IFNA(VLOOKUP($A26,EY!$A:$DX,126,FALSE),0)</f>
        <v>654872.64102672203</v>
      </c>
      <c r="M26" s="273">
        <f>_xlfn.IFNA(VLOOKUP($A26,EY!$A:$DX,127,FALSE),0)</f>
        <v>12047.67867036011</v>
      </c>
      <c r="O26" s="273">
        <f>_xlfn.IFNA(VLOOKUP($A26,HN!$A:$AN,37,FALSE),0)</f>
        <v>0</v>
      </c>
      <c r="P26" s="273">
        <f>_xlfn.IFNA(VLOOKUP($A26,HN!$A:$AN,38,FALSE),0)</f>
        <v>0</v>
      </c>
      <c r="Q26" s="273">
        <f>_xlfn.IFNA(VLOOKUP($A26,HN!$A:$AN,39,FALSE),0)</f>
        <v>0</v>
      </c>
      <c r="S26" s="337">
        <f>_xlfn.IFNA(VLOOKUP(A26,'Post 16'!A:AR,44,FALSE),0)</f>
        <v>0</v>
      </c>
      <c r="U26" s="337"/>
      <c r="V26" s="337">
        <f>VLOOKUP(A26,'LA Deductions'!A:AN,40,FALSE)</f>
        <v>0</v>
      </c>
      <c r="X26" s="274">
        <f>VLOOKUP($A26,'Summary June 2026'!$A:$AAX,206,FALSE)-SUMIFS($H26:$V26,$H$7:$V$7,X$7)</f>
        <v>0</v>
      </c>
      <c r="Y26" s="274">
        <f>VLOOKUP($A26,'Summary June 2026'!$A:$HC,207,FALSE)-SUMIFS($H26:$V26,$H$7:$V$7,Y$7)</f>
        <v>0</v>
      </c>
      <c r="Z26" s="274">
        <f>VLOOKUP($A26,'Summary June 2026'!$A:$HC,208,FALSE)-SUMIFS($H26:$V26,$H$7:$V$7,Z$7)</f>
        <v>0</v>
      </c>
      <c r="AA26" s="274">
        <f>VLOOKUP($A26,'Summary June 2026'!$A:$HC,209,FALSE)-SUMIFS($H26:$V26,$H$7:$V$7,AA$7)</f>
        <v>0</v>
      </c>
      <c r="AB26" s="274">
        <f>VLOOKUP($A26,'Summary June 2026'!$A:$HC,210,FALSE)-SUMIFS($H26:$V26,$H$7:$V$7,AB$7)</f>
        <v>0</v>
      </c>
      <c r="AC26" s="274">
        <f>VLOOKUP($A26,'Summary June 2026'!$A:$HC,211,FALSE)-SUMIFS($H26:$V26,$H$7:$V$7,AC$7)</f>
        <v>0</v>
      </c>
      <c r="AE26" s="146">
        <f>VLOOKUP($A26,'Summary June 2026'!$A:$HJ,213,FALSE)+VLOOKUP($A26,'Grants+ Other Funding'!$A:$CG,67,FALSE)</f>
        <v>503603.26123724843</v>
      </c>
      <c r="AF26" s="146">
        <f>_xlfn.IFNA(VLOOKUP($A26,'Summary June 2026'!$A:$HJ,214,FALSE)+VLOOKUP($A26,'Grants+ Other Funding'!$A:$CG,68,FALSE),0)</f>
        <v>-15.29</v>
      </c>
      <c r="AG26" s="146">
        <f>_xlfn.IFNA(VLOOKUP($A26,'Summary June 2026'!$A:$HJ,215,FALSE)+VLOOKUP($A26,'Grants+ Other Funding'!$A:$CG,69,FALSE),0)</f>
        <v>9707.6786703601101</v>
      </c>
      <c r="AH26" s="146">
        <f>_xlfn.IFNA(VLOOKUP($A26,'Grants+ Other Funding'!$A:$CG,70,FALSE),0)</f>
        <v>0</v>
      </c>
      <c r="AI26" s="146">
        <f>_xlfn.IFNA(VLOOKUP($A26,'Grants+ Other Funding'!$A:$CG,71,FALSE),0)</f>
        <v>0</v>
      </c>
      <c r="AJ26" s="146">
        <f>_xlfn.IFNA(VLOOKUP($A26,'Grants+ Other Funding'!$A:$CG,72,FALSE),0)</f>
        <v>0</v>
      </c>
      <c r="AK26" s="146">
        <f>_xlfn.IFNA(VLOOKUP($A26,'Summary June 2026'!$A:$HJ,217,FALSE),0)</f>
        <v>0</v>
      </c>
      <c r="AL26" s="146">
        <f>_xlfn.IFNA(VLOOKUP($A26,'Grants+ Other Funding'!$A:$CG,74,FALSE),0)</f>
        <v>0</v>
      </c>
      <c r="AM26" s="146">
        <f>_xlfn.IFNA(VLOOKUP($A26,'Summary June 2026'!$A:$HJ,218,FALSE),0)</f>
        <v>0</v>
      </c>
      <c r="AN26" s="146">
        <f>_xlfn.IFNA(VLOOKUP($A26,'Summary June 2026'!$A:$HJ,216,FALSE),0)</f>
        <v>0</v>
      </c>
      <c r="AO26" s="146">
        <f>_xlfn.IFNA(VLOOKUP($A26,'Grants+ Other Funding'!$A:$CG,73,FALSE),0)</f>
        <v>0</v>
      </c>
      <c r="AP26" s="65">
        <f t="shared" si="0"/>
        <v>513295.64990760857</v>
      </c>
    </row>
    <row r="27" spans="1:42">
      <c r="A27" s="198">
        <v>2402</v>
      </c>
      <c r="B27" s="2">
        <v>103342</v>
      </c>
      <c r="C27" s="2" t="s">
        <v>76</v>
      </c>
      <c r="D27" s="2" t="s">
        <v>77</v>
      </c>
      <c r="E27" s="190" t="s">
        <v>39</v>
      </c>
      <c r="F27" s="208" t="str">
        <f>VLOOKUP(A27,'Summary June 2026'!A:F,6,FALSE)</f>
        <v>Chq Bk</v>
      </c>
      <c r="H27" s="273">
        <f>_xlfn.IFNA(VLOOKUP($A27,ISB!$A:$BY,67,FALSE),0)</f>
        <v>1434687.5341786819</v>
      </c>
      <c r="I27" s="218">
        <f>_xlfn.IFNA(VLOOKUP($A27,ISB!$A:$BY,72,FALSE),0)</f>
        <v>-6747.9</v>
      </c>
      <c r="J27" s="274">
        <f>-_xlfn.IFNA(VLOOKUP($A27,ISB!$A:$BY,76,FALSE),0)</f>
        <v>-23832.926100000001</v>
      </c>
      <c r="L27" s="273">
        <f>_xlfn.IFNA(VLOOKUP($A27,EY!$A:$DX,126,FALSE),0)</f>
        <v>105932.79915789473</v>
      </c>
      <c r="M27" s="273">
        <f>_xlfn.IFNA(VLOOKUP($A27,EY!$A:$DX,127,FALSE),0)</f>
        <v>0</v>
      </c>
      <c r="O27" s="273">
        <f>_xlfn.IFNA(VLOOKUP($A27,HN!$A:$AN,37,FALSE),0)</f>
        <v>122000</v>
      </c>
      <c r="P27" s="273">
        <f>_xlfn.IFNA(VLOOKUP($A27,HN!$A:$AN,38,FALSE),0)</f>
        <v>0</v>
      </c>
      <c r="Q27" s="273">
        <f>_xlfn.IFNA(VLOOKUP($A27,HN!$A:$AN,39,FALSE),0)</f>
        <v>361023.82</v>
      </c>
      <c r="S27" s="337">
        <f>_xlfn.IFNA(VLOOKUP(A27,'Post 16'!A:AR,44,FALSE),0)</f>
        <v>0</v>
      </c>
      <c r="U27" s="337"/>
      <c r="V27" s="337">
        <f>VLOOKUP(A27,'LA Deductions'!A:AN,40,FALSE)</f>
        <v>0</v>
      </c>
      <c r="X27" s="274">
        <f>VLOOKUP($A27,'Summary June 2026'!$A:$AAX,206,FALSE)-SUMIFS($H27:$V27,$H$7:$V$7,X$7)</f>
        <v>0</v>
      </c>
      <c r="Y27" s="274">
        <f>VLOOKUP($A27,'Summary June 2026'!$A:$HC,207,FALSE)-SUMIFS($H27:$V27,$H$7:$V$7,Y$7)</f>
        <v>0</v>
      </c>
      <c r="Z27" s="274">
        <f>VLOOKUP($A27,'Summary June 2026'!$A:$HC,208,FALSE)-SUMIFS($H27:$V27,$H$7:$V$7,Z$7)</f>
        <v>0</v>
      </c>
      <c r="AA27" s="274">
        <f>VLOOKUP($A27,'Summary June 2026'!$A:$HC,209,FALSE)-SUMIFS($H27:$V27,$H$7:$V$7,AA$7)</f>
        <v>0</v>
      </c>
      <c r="AB27" s="274">
        <f>VLOOKUP($A27,'Summary June 2026'!$A:$HC,210,FALSE)-SUMIFS($H27:$V27,$H$7:$V$7,AB$7)</f>
        <v>0</v>
      </c>
      <c r="AC27" s="274">
        <f>VLOOKUP($A27,'Summary June 2026'!$A:$HC,211,FALSE)-SUMIFS($H27:$V27,$H$7:$V$7,AC$7)</f>
        <v>0</v>
      </c>
      <c r="AE27" s="146">
        <f>VLOOKUP($A27,'Summary June 2026'!$A:$HJ,213,FALSE)+VLOOKUP($A27,'Grants+ Other Funding'!$A:$CG,67,FALSE)</f>
        <v>448213.78670256521</v>
      </c>
      <c r="AF27" s="146">
        <f>_xlfn.IFNA(VLOOKUP($A27,'Summary June 2026'!$A:$HJ,214,FALSE)+VLOOKUP($A27,'Grants+ Other Funding'!$A:$CG,68,FALSE),0)</f>
        <v>0</v>
      </c>
      <c r="AG27" s="146">
        <f>_xlfn.IFNA(VLOOKUP($A27,'Summary June 2026'!$A:$HJ,215,FALSE)+VLOOKUP($A27,'Grants+ Other Funding'!$A:$CG,69,FALSE),0)</f>
        <v>96565.78</v>
      </c>
      <c r="AH27" s="146">
        <f>_xlfn.IFNA(VLOOKUP($A27,'Grants+ Other Funding'!$A:$CG,70,FALSE),0)</f>
        <v>0</v>
      </c>
      <c r="AI27" s="146">
        <f>_xlfn.IFNA(VLOOKUP($A27,'Grants+ Other Funding'!$A:$CG,71,FALSE),0)</f>
        <v>0</v>
      </c>
      <c r="AJ27" s="146">
        <f>_xlfn.IFNA(VLOOKUP($A27,'Grants+ Other Funding'!$A:$CG,72,FALSE),0)</f>
        <v>0</v>
      </c>
      <c r="AK27" s="146">
        <f>_xlfn.IFNA(VLOOKUP($A27,'Summary June 2026'!$A:$HJ,217,FALSE),0)</f>
        <v>-5958.2315250000001</v>
      </c>
      <c r="AL27" s="146">
        <f>_xlfn.IFNA(VLOOKUP($A27,'Grants+ Other Funding'!$A:$CG,74,FALSE),0)</f>
        <v>0</v>
      </c>
      <c r="AM27" s="146">
        <f>_xlfn.IFNA(VLOOKUP($A27,'Summary June 2026'!$A:$HJ,218,FALSE),0)</f>
        <v>0</v>
      </c>
      <c r="AN27" s="146">
        <f>_xlfn.IFNA(VLOOKUP($A27,'Summary June 2026'!$A:$HJ,216,FALSE),0)</f>
        <v>-1686.9749999999999</v>
      </c>
      <c r="AO27" s="146">
        <f>_xlfn.IFNA(VLOOKUP($A27,'Grants+ Other Funding'!$A:$CG,73,FALSE),0)</f>
        <v>0</v>
      </c>
      <c r="AP27" s="65">
        <f t="shared" si="0"/>
        <v>537134.36017756525</v>
      </c>
    </row>
    <row r="28" spans="1:42">
      <c r="A28" s="198">
        <v>2401</v>
      </c>
      <c r="B28" s="2">
        <v>103341</v>
      </c>
      <c r="C28" s="2" t="s">
        <v>78</v>
      </c>
      <c r="D28" s="2" t="s">
        <v>79</v>
      </c>
      <c r="E28" s="190" t="s">
        <v>39</v>
      </c>
      <c r="F28" s="208" t="str">
        <f>VLOOKUP(A28,'Summary June 2026'!A:F,6,FALSE)</f>
        <v>Chq Bk</v>
      </c>
      <c r="H28" s="273">
        <f>_xlfn.IFNA(VLOOKUP($A28,ISB!$A:$BY,67,FALSE),0)</f>
        <v>1975396.665</v>
      </c>
      <c r="I28" s="218">
        <f>_xlfn.IFNA(VLOOKUP($A28,ISB!$A:$BY,72,FALSE),0)</f>
        <v>-9462</v>
      </c>
      <c r="J28" s="274">
        <f>-_xlfn.IFNA(VLOOKUP($A28,ISB!$A:$BY,76,FALSE),0)</f>
        <v>-31696.665000000001</v>
      </c>
      <c r="L28" s="273">
        <f>_xlfn.IFNA(VLOOKUP($A28,EY!$A:$DX,126,FALSE),0)</f>
        <v>0</v>
      </c>
      <c r="M28" s="273">
        <f>_xlfn.IFNA(VLOOKUP($A28,EY!$A:$DX,127,FALSE),0)</f>
        <v>0</v>
      </c>
      <c r="O28" s="273">
        <f>_xlfn.IFNA(VLOOKUP($A28,HN!$A:$AN,37,FALSE),0)</f>
        <v>0</v>
      </c>
      <c r="P28" s="273">
        <f>_xlfn.IFNA(VLOOKUP($A28,HN!$A:$AN,38,FALSE),0)</f>
        <v>0</v>
      </c>
      <c r="Q28" s="273">
        <f>_xlfn.IFNA(VLOOKUP($A28,HN!$A:$AN,39,FALSE),0)</f>
        <v>48836.59</v>
      </c>
      <c r="S28" s="337">
        <f>_xlfn.IFNA(VLOOKUP(A28,'Post 16'!A:AR,44,FALSE),0)</f>
        <v>0</v>
      </c>
      <c r="U28" s="337"/>
      <c r="V28" s="337">
        <f>VLOOKUP(A28,'LA Deductions'!A:AN,40,FALSE)</f>
        <v>0</v>
      </c>
      <c r="X28" s="274">
        <f>VLOOKUP($A28,'Summary June 2026'!$A:$AAX,206,FALSE)-SUMIFS($H28:$V28,$H$7:$V$7,X$7)</f>
        <v>0</v>
      </c>
      <c r="Y28" s="274">
        <f>VLOOKUP($A28,'Summary June 2026'!$A:$HC,207,FALSE)-SUMIFS($H28:$V28,$H$7:$V$7,Y$7)</f>
        <v>0</v>
      </c>
      <c r="Z28" s="274">
        <f>VLOOKUP($A28,'Summary June 2026'!$A:$HC,208,FALSE)-SUMIFS($H28:$V28,$H$7:$V$7,Z$7)</f>
        <v>0</v>
      </c>
      <c r="AA28" s="274">
        <f>VLOOKUP($A28,'Summary June 2026'!$A:$HC,209,FALSE)-SUMIFS($H28:$V28,$H$7:$V$7,AA$7)</f>
        <v>0</v>
      </c>
      <c r="AB28" s="274">
        <f>VLOOKUP($A28,'Summary June 2026'!$A:$HC,210,FALSE)-SUMIFS($H28:$V28,$H$7:$V$7,AB$7)</f>
        <v>0</v>
      </c>
      <c r="AC28" s="274">
        <f>VLOOKUP($A28,'Summary June 2026'!$A:$HC,211,FALSE)-SUMIFS($H28:$V28,$H$7:$V$7,AC$7)</f>
        <v>0</v>
      </c>
      <c r="AE28" s="146">
        <f>VLOOKUP($A28,'Summary June 2026'!$A:$HJ,213,FALSE)+VLOOKUP($A28,'Grants+ Other Funding'!$A:$CG,67,FALSE)</f>
        <v>493849.16625000001</v>
      </c>
      <c r="AF28" s="146">
        <f>_xlfn.IFNA(VLOOKUP($A28,'Summary June 2026'!$A:$HJ,214,FALSE)+VLOOKUP($A28,'Grants+ Other Funding'!$A:$CG,68,FALSE),0)</f>
        <v>0</v>
      </c>
      <c r="AG28" s="146">
        <f>_xlfn.IFNA(VLOOKUP($A28,'Summary June 2026'!$A:$HJ,215,FALSE)+VLOOKUP($A28,'Grants+ Other Funding'!$A:$CG,69,FALSE),0)</f>
        <v>20893.546750000001</v>
      </c>
      <c r="AH28" s="146">
        <f>_xlfn.IFNA(VLOOKUP($A28,'Grants+ Other Funding'!$A:$CG,70,FALSE),0)</f>
        <v>0</v>
      </c>
      <c r="AI28" s="146">
        <f>_xlfn.IFNA(VLOOKUP($A28,'Grants+ Other Funding'!$A:$CG,71,FALSE),0)</f>
        <v>0</v>
      </c>
      <c r="AJ28" s="146">
        <f>_xlfn.IFNA(VLOOKUP($A28,'Grants+ Other Funding'!$A:$CG,72,FALSE),0)</f>
        <v>0</v>
      </c>
      <c r="AK28" s="146">
        <f>_xlfn.IFNA(VLOOKUP($A28,'Summary June 2026'!$A:$HJ,217,FALSE),0)</f>
        <v>-7924.1662500000002</v>
      </c>
      <c r="AL28" s="146">
        <f>_xlfn.IFNA(VLOOKUP($A28,'Grants+ Other Funding'!$A:$CG,74,FALSE),0)</f>
        <v>0</v>
      </c>
      <c r="AM28" s="146">
        <f>_xlfn.IFNA(VLOOKUP($A28,'Summary June 2026'!$A:$HJ,218,FALSE),0)</f>
        <v>0</v>
      </c>
      <c r="AN28" s="146">
        <f>_xlfn.IFNA(VLOOKUP($A28,'Summary June 2026'!$A:$HJ,216,FALSE),0)</f>
        <v>-2365.5</v>
      </c>
      <c r="AO28" s="146">
        <f>_xlfn.IFNA(VLOOKUP($A28,'Grants+ Other Funding'!$A:$CG,73,FALSE),0)</f>
        <v>0</v>
      </c>
      <c r="AP28" s="65">
        <f t="shared" si="0"/>
        <v>504453.04674999998</v>
      </c>
    </row>
    <row r="29" spans="1:42">
      <c r="A29" s="198">
        <v>1001</v>
      </c>
      <c r="B29" s="2">
        <v>103120</v>
      </c>
      <c r="C29" s="2" t="s">
        <v>80</v>
      </c>
      <c r="D29" s="2" t="s">
        <v>81</v>
      </c>
      <c r="E29" s="190" t="s">
        <v>36</v>
      </c>
      <c r="F29" s="208" t="str">
        <f>VLOOKUP(A29,'Summary June 2026'!A:F,6,FALSE)</f>
        <v>Chq Bk</v>
      </c>
      <c r="H29" s="273">
        <f>_xlfn.IFNA(VLOOKUP($A29,ISB!$A:$BY,67,FALSE),0)</f>
        <v>0</v>
      </c>
      <c r="I29" s="218">
        <f>_xlfn.IFNA(VLOOKUP($A29,ISB!$A:$BY,72,FALSE),0)</f>
        <v>0</v>
      </c>
      <c r="J29" s="274">
        <f>-_xlfn.IFNA(VLOOKUP($A29,ISB!$A:$BY,76,FALSE),0)</f>
        <v>0</v>
      </c>
      <c r="L29" s="273">
        <f>_xlfn.IFNA(VLOOKUP($A29,EY!$A:$DX,126,FALSE),0)</f>
        <v>446591.61182276881</v>
      </c>
      <c r="M29" s="273">
        <f>_xlfn.IFNA(VLOOKUP($A29,EY!$A:$DX,127,FALSE),0)</f>
        <v>555.50360110803331</v>
      </c>
      <c r="O29" s="273">
        <f>_xlfn.IFNA(VLOOKUP($A29,HN!$A:$AN,37,FALSE),0)</f>
        <v>0</v>
      </c>
      <c r="P29" s="273">
        <f>_xlfn.IFNA(VLOOKUP($A29,HN!$A:$AN,38,FALSE),0)</f>
        <v>0</v>
      </c>
      <c r="Q29" s="273">
        <f>_xlfn.IFNA(VLOOKUP($A29,HN!$A:$AN,39,FALSE),0)</f>
        <v>5537.5</v>
      </c>
      <c r="S29" s="337">
        <f>_xlfn.IFNA(VLOOKUP(A29,'Post 16'!A:AR,44,FALSE),0)</f>
        <v>0</v>
      </c>
      <c r="U29" s="337"/>
      <c r="V29" s="337">
        <f>VLOOKUP(A29,'LA Deductions'!A:AN,40,FALSE)</f>
        <v>0</v>
      </c>
      <c r="X29" s="274">
        <f>VLOOKUP($A29,'Summary June 2026'!$A:$AAX,206,FALSE)-SUMIFS($H29:$V29,$H$7:$V$7,X$7)</f>
        <v>0</v>
      </c>
      <c r="Y29" s="274">
        <f>VLOOKUP($A29,'Summary June 2026'!$A:$HC,207,FALSE)-SUMIFS($H29:$V29,$H$7:$V$7,Y$7)</f>
        <v>0</v>
      </c>
      <c r="Z29" s="274">
        <f>VLOOKUP($A29,'Summary June 2026'!$A:$HC,208,FALSE)-SUMIFS($H29:$V29,$H$7:$V$7,Z$7)</f>
        <v>0</v>
      </c>
      <c r="AA29" s="274">
        <f>VLOOKUP($A29,'Summary June 2026'!$A:$HC,209,FALSE)-SUMIFS($H29:$V29,$H$7:$V$7,AA$7)</f>
        <v>0</v>
      </c>
      <c r="AB29" s="274">
        <f>VLOOKUP($A29,'Summary June 2026'!$A:$HC,210,FALSE)-SUMIFS($H29:$V29,$H$7:$V$7,AB$7)</f>
        <v>0</v>
      </c>
      <c r="AC29" s="274">
        <f>VLOOKUP($A29,'Summary June 2026'!$A:$HC,211,FALSE)-SUMIFS($H29:$V29,$H$7:$V$7,AC$7)</f>
        <v>0</v>
      </c>
      <c r="AE29" s="146">
        <f>VLOOKUP($A29,'Summary June 2026'!$A:$HJ,213,FALSE)+VLOOKUP($A29,'Grants+ Other Funding'!$A:$CG,67,FALSE)</f>
        <v>333415.9558227688</v>
      </c>
      <c r="AF29" s="146">
        <f>_xlfn.IFNA(VLOOKUP($A29,'Summary June 2026'!$A:$HJ,214,FALSE)+VLOOKUP($A29,'Grants+ Other Funding'!$A:$CG,68,FALSE),0)</f>
        <v>-44.11</v>
      </c>
      <c r="AG29" s="146">
        <f>_xlfn.IFNA(VLOOKUP($A29,'Summary June 2026'!$A:$HJ,215,FALSE)+VLOOKUP($A29,'Grants+ Other Funding'!$A:$CG,69,FALSE),0)</f>
        <v>2971.3161011080333</v>
      </c>
      <c r="AH29" s="146">
        <f>_xlfn.IFNA(VLOOKUP($A29,'Grants+ Other Funding'!$A:$CG,70,FALSE),0)</f>
        <v>0</v>
      </c>
      <c r="AI29" s="146">
        <f>_xlfn.IFNA(VLOOKUP($A29,'Grants+ Other Funding'!$A:$CG,71,FALSE),0)</f>
        <v>0</v>
      </c>
      <c r="AJ29" s="146">
        <f>_xlfn.IFNA(VLOOKUP($A29,'Grants+ Other Funding'!$A:$CG,72,FALSE),0)</f>
        <v>0</v>
      </c>
      <c r="AK29" s="146">
        <f>_xlfn.IFNA(VLOOKUP($A29,'Summary June 2026'!$A:$HJ,217,FALSE),0)</f>
        <v>0</v>
      </c>
      <c r="AL29" s="146">
        <f>_xlfn.IFNA(VLOOKUP($A29,'Grants+ Other Funding'!$A:$CG,74,FALSE),0)</f>
        <v>0</v>
      </c>
      <c r="AM29" s="146">
        <f>_xlfn.IFNA(VLOOKUP($A29,'Summary June 2026'!$A:$HJ,218,FALSE),0)</f>
        <v>0</v>
      </c>
      <c r="AN29" s="146">
        <f>_xlfn.IFNA(VLOOKUP($A29,'Summary June 2026'!$A:$HJ,216,FALSE),0)</f>
        <v>0</v>
      </c>
      <c r="AO29" s="146">
        <f>_xlfn.IFNA(VLOOKUP($A29,'Grants+ Other Funding'!$A:$CG,73,FALSE),0)</f>
        <v>0</v>
      </c>
      <c r="AP29" s="65">
        <f t="shared" si="0"/>
        <v>336343.16192387685</v>
      </c>
    </row>
    <row r="30" spans="1:42">
      <c r="A30" s="198">
        <v>4115</v>
      </c>
      <c r="B30" s="2">
        <v>103493</v>
      </c>
      <c r="C30" s="2" t="s">
        <v>82</v>
      </c>
      <c r="D30" s="2" t="s">
        <v>83</v>
      </c>
      <c r="E30" s="190" t="s">
        <v>71</v>
      </c>
      <c r="F30" s="208" t="str">
        <f>VLOOKUP(A30,'Summary June 2026'!A:F,6,FALSE)</f>
        <v>Chq Bk</v>
      </c>
      <c r="H30" s="273">
        <f>_xlfn.IFNA(VLOOKUP($A30,ISB!$A:$BY,67,FALSE),0)</f>
        <v>5519993.3549427353</v>
      </c>
      <c r="I30" s="218">
        <f>_xlfn.IFNA(VLOOKUP($A30,ISB!$A:$BY,72,FALSE),0)</f>
        <v>-12051</v>
      </c>
      <c r="J30" s="274">
        <f>-_xlfn.IFNA(VLOOKUP($A30,ISB!$A:$BY,76,FALSE),0)</f>
        <v>-33713.7255</v>
      </c>
      <c r="L30" s="273">
        <f>_xlfn.IFNA(VLOOKUP($A30,EY!$A:$DX,126,FALSE),0)</f>
        <v>0</v>
      </c>
      <c r="M30" s="273">
        <f>_xlfn.IFNA(VLOOKUP($A30,EY!$A:$DX,127,FALSE),0)</f>
        <v>0</v>
      </c>
      <c r="O30" s="273">
        <f>_xlfn.IFNA(VLOOKUP($A30,HN!$A:$AN,37,FALSE),0)</f>
        <v>72000</v>
      </c>
      <c r="P30" s="273">
        <f>_xlfn.IFNA(VLOOKUP($A30,HN!$A:$AN,38,FALSE),0)</f>
        <v>0</v>
      </c>
      <c r="Q30" s="273">
        <f>_xlfn.IFNA(VLOOKUP($A30,HN!$A:$AN,39,FALSE),0)</f>
        <v>303764.02</v>
      </c>
      <c r="S30" s="337">
        <f>_xlfn.IFNA(VLOOKUP(A30,'Post 16'!A:AR,44,FALSE),0)</f>
        <v>2323802</v>
      </c>
      <c r="U30" s="337"/>
      <c r="V30" s="337">
        <f>VLOOKUP(A30,'LA Deductions'!A:AN,40,FALSE)</f>
        <v>0</v>
      </c>
      <c r="X30" s="274">
        <f>VLOOKUP($A30,'Summary June 2026'!$A:$AAX,206,FALSE)-SUMIFS($H30:$V30,$H$7:$V$7,X$7)</f>
        <v>0</v>
      </c>
      <c r="Y30" s="274">
        <f>VLOOKUP($A30,'Summary June 2026'!$A:$HC,207,FALSE)-SUMIFS($H30:$V30,$H$7:$V$7,Y$7)</f>
        <v>0</v>
      </c>
      <c r="Z30" s="274">
        <f>VLOOKUP($A30,'Summary June 2026'!$A:$HC,208,FALSE)-SUMIFS($H30:$V30,$H$7:$V$7,Z$7)</f>
        <v>0</v>
      </c>
      <c r="AA30" s="274">
        <f>VLOOKUP($A30,'Summary June 2026'!$A:$HC,209,FALSE)-SUMIFS($H30:$V30,$H$7:$V$7,AA$7)</f>
        <v>0</v>
      </c>
      <c r="AB30" s="274">
        <f>VLOOKUP($A30,'Summary June 2026'!$A:$HC,210,FALSE)-SUMIFS($H30:$V30,$H$7:$V$7,AB$7)</f>
        <v>0</v>
      </c>
      <c r="AC30" s="274">
        <f>VLOOKUP($A30,'Summary June 2026'!$A:$HC,211,FALSE)-SUMIFS($H30:$V30,$H$7:$V$7,AC$7)</f>
        <v>0</v>
      </c>
      <c r="AE30" s="146">
        <f>VLOOKUP($A30,'Summary June 2026'!$A:$HJ,213,FALSE)+VLOOKUP($A30,'Grants+ Other Funding'!$A:$CG,67,FALSE)</f>
        <v>1397998.3387356838</v>
      </c>
      <c r="AF30" s="146">
        <f>_xlfn.IFNA(VLOOKUP($A30,'Summary June 2026'!$A:$HJ,214,FALSE)+VLOOKUP($A30,'Grants+ Other Funding'!$A:$CG,68,FALSE),0)</f>
        <v>591220</v>
      </c>
      <c r="AG30" s="146">
        <f>_xlfn.IFNA(VLOOKUP($A30,'Summary June 2026'!$A:$HJ,215,FALSE)+VLOOKUP($A30,'Grants+ Other Funding'!$A:$CG,69,FALSE),0)</f>
        <v>78684.005499999999</v>
      </c>
      <c r="AH30" s="146">
        <f>_xlfn.IFNA(VLOOKUP($A30,'Grants+ Other Funding'!$A:$CG,70,FALSE),0)</f>
        <v>0</v>
      </c>
      <c r="AI30" s="146">
        <f>_xlfn.IFNA(VLOOKUP($A30,'Grants+ Other Funding'!$A:$CG,71,FALSE),0)</f>
        <v>0</v>
      </c>
      <c r="AJ30" s="146">
        <f>_xlfn.IFNA(VLOOKUP($A30,'Grants+ Other Funding'!$A:$CG,72,FALSE),0)</f>
        <v>0</v>
      </c>
      <c r="AK30" s="146">
        <f>_xlfn.IFNA(VLOOKUP($A30,'Summary June 2026'!$A:$HJ,217,FALSE),0)</f>
        <v>-8428.4313750000001</v>
      </c>
      <c r="AL30" s="146">
        <f>_xlfn.IFNA(VLOOKUP($A30,'Grants+ Other Funding'!$A:$CG,74,FALSE),0)</f>
        <v>0</v>
      </c>
      <c r="AM30" s="146">
        <f>_xlfn.IFNA(VLOOKUP($A30,'Summary June 2026'!$A:$HJ,218,FALSE),0)</f>
        <v>0</v>
      </c>
      <c r="AN30" s="146">
        <f>_xlfn.IFNA(VLOOKUP($A30,'Summary June 2026'!$A:$HJ,216,FALSE),0)</f>
        <v>-3012.75</v>
      </c>
      <c r="AO30" s="146">
        <f>_xlfn.IFNA(VLOOKUP($A30,'Grants+ Other Funding'!$A:$CG,73,FALSE),0)</f>
        <v>0</v>
      </c>
      <c r="AP30" s="65">
        <f t="shared" si="0"/>
        <v>2056461.1628606839</v>
      </c>
    </row>
    <row r="31" spans="1:42">
      <c r="A31" s="198">
        <v>2030</v>
      </c>
      <c r="B31" s="2">
        <v>103172</v>
      </c>
      <c r="C31" s="2" t="s">
        <v>84</v>
      </c>
      <c r="D31" s="2" t="s">
        <v>85</v>
      </c>
      <c r="E31" s="190" t="s">
        <v>39</v>
      </c>
      <c r="F31" s="208" t="str">
        <f>VLOOKUP(A31,'Summary June 2026'!A:F,6,FALSE)</f>
        <v>Chq Bk</v>
      </c>
      <c r="H31" s="273">
        <f>_xlfn.IFNA(VLOOKUP($A31,ISB!$A:$BY,67,FALSE),0)</f>
        <v>3889046.0179993068</v>
      </c>
      <c r="I31" s="218">
        <f>_xlfn.IFNA(VLOOKUP($A31,ISB!$A:$BY,72,FALSE),0)</f>
        <v>-15189</v>
      </c>
      <c r="J31" s="274">
        <f>-_xlfn.IFNA(VLOOKUP($A31,ISB!$A:$BY,76,FALSE),0)</f>
        <v>-12332.8842</v>
      </c>
      <c r="L31" s="273">
        <f>_xlfn.IFNA(VLOOKUP($A31,EY!$A:$DX,126,FALSE),0)</f>
        <v>78321.16526315792</v>
      </c>
      <c r="M31" s="273">
        <f>_xlfn.IFNA(VLOOKUP($A31,EY!$A:$DX,127,FALSE),0)</f>
        <v>0</v>
      </c>
      <c r="O31" s="273">
        <f>_xlfn.IFNA(VLOOKUP($A31,HN!$A:$AN,37,FALSE),0)</f>
        <v>0</v>
      </c>
      <c r="P31" s="273">
        <f>_xlfn.IFNA(VLOOKUP($A31,HN!$A:$AN,38,FALSE),0)</f>
        <v>0</v>
      </c>
      <c r="Q31" s="273">
        <f>_xlfn.IFNA(VLOOKUP($A31,HN!$A:$AN,39,FALSE),0)</f>
        <v>38733</v>
      </c>
      <c r="S31" s="337">
        <f>_xlfn.IFNA(VLOOKUP(A31,'Post 16'!A:AR,44,FALSE),0)</f>
        <v>0</v>
      </c>
      <c r="U31" s="337"/>
      <c r="V31" s="337">
        <f>VLOOKUP(A31,'LA Deductions'!A:AN,40,FALSE)</f>
        <v>0</v>
      </c>
      <c r="X31" s="274">
        <f>VLOOKUP($A31,'Summary June 2026'!$A:$AAX,206,FALSE)-SUMIFS($H31:$V31,$H$7:$V$7,X$7)</f>
        <v>0</v>
      </c>
      <c r="Y31" s="274">
        <f>VLOOKUP($A31,'Summary June 2026'!$A:$HC,207,FALSE)-SUMIFS($H31:$V31,$H$7:$V$7,Y$7)</f>
        <v>0</v>
      </c>
      <c r="Z31" s="274">
        <f>VLOOKUP($A31,'Summary June 2026'!$A:$HC,208,FALSE)-SUMIFS($H31:$V31,$H$7:$V$7,Z$7)</f>
        <v>0</v>
      </c>
      <c r="AA31" s="274">
        <f>VLOOKUP($A31,'Summary June 2026'!$A:$HC,209,FALSE)-SUMIFS($H31:$V31,$H$7:$V$7,AA$7)</f>
        <v>0</v>
      </c>
      <c r="AB31" s="274">
        <f>VLOOKUP($A31,'Summary June 2026'!$A:$HC,210,FALSE)-SUMIFS($H31:$V31,$H$7:$V$7,AB$7)</f>
        <v>0</v>
      </c>
      <c r="AC31" s="274">
        <f>VLOOKUP($A31,'Summary June 2026'!$A:$HC,211,FALSE)-SUMIFS($H31:$V31,$H$7:$V$7,AC$7)</f>
        <v>0</v>
      </c>
      <c r="AE31" s="146">
        <f>VLOOKUP($A31,'Summary June 2026'!$A:$HJ,213,FALSE)+VLOOKUP($A31,'Grants+ Other Funding'!$A:$CG,67,FALSE)</f>
        <v>1015590.3097629846</v>
      </c>
      <c r="AF31" s="146">
        <f>_xlfn.IFNA(VLOOKUP($A31,'Summary June 2026'!$A:$HJ,214,FALSE)+VLOOKUP($A31,'Grants+ Other Funding'!$A:$CG,68,FALSE),0)</f>
        <v>0</v>
      </c>
      <c r="AG31" s="146">
        <f>_xlfn.IFNA(VLOOKUP($A31,'Summary June 2026'!$A:$HJ,215,FALSE)+VLOOKUP($A31,'Grants+ Other Funding'!$A:$CG,69,FALSE),0)</f>
        <v>12433.800000000001</v>
      </c>
      <c r="AH31" s="146">
        <f>_xlfn.IFNA(VLOOKUP($A31,'Grants+ Other Funding'!$A:$CG,70,FALSE),0)</f>
        <v>0</v>
      </c>
      <c r="AI31" s="146">
        <f>_xlfn.IFNA(VLOOKUP($A31,'Grants+ Other Funding'!$A:$CG,71,FALSE),0)</f>
        <v>0</v>
      </c>
      <c r="AJ31" s="146">
        <f>_xlfn.IFNA(VLOOKUP($A31,'Grants+ Other Funding'!$A:$CG,72,FALSE),0)</f>
        <v>0</v>
      </c>
      <c r="AK31" s="146">
        <f>_xlfn.IFNA(VLOOKUP($A31,'Summary June 2026'!$A:$HJ,217,FALSE),0)</f>
        <v>-3083.2210500000001</v>
      </c>
      <c r="AL31" s="146">
        <f>_xlfn.IFNA(VLOOKUP($A31,'Grants+ Other Funding'!$A:$CG,74,FALSE),0)</f>
        <v>0</v>
      </c>
      <c r="AM31" s="146">
        <f>_xlfn.IFNA(VLOOKUP($A31,'Summary June 2026'!$A:$HJ,218,FALSE),0)</f>
        <v>0</v>
      </c>
      <c r="AN31" s="146">
        <f>_xlfn.IFNA(VLOOKUP($A31,'Summary June 2026'!$A:$HJ,216,FALSE),0)</f>
        <v>-3797.25</v>
      </c>
      <c r="AO31" s="146">
        <f>_xlfn.IFNA(VLOOKUP($A31,'Grants+ Other Funding'!$A:$CG,73,FALSE),0)</f>
        <v>0</v>
      </c>
      <c r="AP31" s="65">
        <f t="shared" si="0"/>
        <v>1021143.6387129846</v>
      </c>
    </row>
    <row r="32" spans="1:42">
      <c r="A32" s="198">
        <v>3353</v>
      </c>
      <c r="B32" s="2">
        <v>103445</v>
      </c>
      <c r="C32" s="2" t="s">
        <v>86</v>
      </c>
      <c r="D32" s="2" t="s">
        <v>87</v>
      </c>
      <c r="E32" s="190" t="s">
        <v>39</v>
      </c>
      <c r="F32" s="208" t="str">
        <f>VLOOKUP(A32,'Summary June 2026'!A:F,6,FALSE)</f>
        <v>Chq Bk</v>
      </c>
      <c r="H32" s="273">
        <f>_xlfn.IFNA(VLOOKUP($A32,ISB!$A:$BY,67,FALSE),0)</f>
        <v>3319836.0843000002</v>
      </c>
      <c r="I32" s="218">
        <f>_xlfn.IFNA(VLOOKUP($A32,ISB!$A:$BY,72,FALSE),0)</f>
        <v>-16110.3</v>
      </c>
      <c r="J32" s="274">
        <f>-_xlfn.IFNA(VLOOKUP($A32,ISB!$A:$BY,76,FALSE),0)</f>
        <v>-10431.0843</v>
      </c>
      <c r="L32" s="273">
        <f>_xlfn.IFNA(VLOOKUP($A32,EY!$A:$DX,126,FALSE),0)</f>
        <v>0</v>
      </c>
      <c r="M32" s="273">
        <f>_xlfn.IFNA(VLOOKUP($A32,EY!$A:$DX,127,FALSE),0)</f>
        <v>0</v>
      </c>
      <c r="O32" s="273">
        <f>_xlfn.IFNA(VLOOKUP($A32,HN!$A:$AN,37,FALSE),0)</f>
        <v>0</v>
      </c>
      <c r="P32" s="273">
        <f>_xlfn.IFNA(VLOOKUP($A32,HN!$A:$AN,38,FALSE),0)</f>
        <v>0</v>
      </c>
      <c r="Q32" s="273">
        <f>_xlfn.IFNA(VLOOKUP($A32,HN!$A:$AN,39,FALSE),0)</f>
        <v>112934.92</v>
      </c>
      <c r="S32" s="337">
        <f>_xlfn.IFNA(VLOOKUP(A32,'Post 16'!A:AR,44,FALSE),0)</f>
        <v>0</v>
      </c>
      <c r="U32" s="337"/>
      <c r="V32" s="337">
        <f>VLOOKUP(A32,'LA Deductions'!A:AN,40,FALSE)</f>
        <v>0</v>
      </c>
      <c r="X32" s="274">
        <f>VLOOKUP($A32,'Summary June 2026'!$A:$AAX,206,FALSE)-SUMIFS($H32:$V32,$H$7:$V$7,X$7)</f>
        <v>0</v>
      </c>
      <c r="Y32" s="274">
        <f>VLOOKUP($A32,'Summary June 2026'!$A:$HC,207,FALSE)-SUMIFS($H32:$V32,$H$7:$V$7,Y$7)</f>
        <v>0</v>
      </c>
      <c r="Z32" s="274">
        <f>VLOOKUP($A32,'Summary June 2026'!$A:$HC,208,FALSE)-SUMIFS($H32:$V32,$H$7:$V$7,Z$7)</f>
        <v>0</v>
      </c>
      <c r="AA32" s="274">
        <f>VLOOKUP($A32,'Summary June 2026'!$A:$HC,209,FALSE)-SUMIFS($H32:$V32,$H$7:$V$7,AA$7)</f>
        <v>0</v>
      </c>
      <c r="AB32" s="274">
        <f>VLOOKUP($A32,'Summary June 2026'!$A:$HC,210,FALSE)-SUMIFS($H32:$V32,$H$7:$V$7,AB$7)</f>
        <v>0</v>
      </c>
      <c r="AC32" s="274">
        <f>VLOOKUP($A32,'Summary June 2026'!$A:$HC,211,FALSE)-SUMIFS($H32:$V32,$H$7:$V$7,AC$7)</f>
        <v>0</v>
      </c>
      <c r="AE32" s="146">
        <f>VLOOKUP($A32,'Summary June 2026'!$A:$HJ,213,FALSE)+VLOOKUP($A32,'Grants+ Other Funding'!$A:$CG,67,FALSE)</f>
        <v>829959.02107500006</v>
      </c>
      <c r="AF32" s="146">
        <f>_xlfn.IFNA(VLOOKUP($A32,'Summary June 2026'!$A:$HJ,214,FALSE)+VLOOKUP($A32,'Grants+ Other Funding'!$A:$CG,68,FALSE),0)</f>
        <v>0</v>
      </c>
      <c r="AG32" s="146">
        <f>_xlfn.IFNA(VLOOKUP($A32,'Summary June 2026'!$A:$HJ,215,FALSE)+VLOOKUP($A32,'Grants+ Other Funding'!$A:$CG,69,FALSE),0)</f>
        <v>28071.0985</v>
      </c>
      <c r="AH32" s="146">
        <f>_xlfn.IFNA(VLOOKUP($A32,'Grants+ Other Funding'!$A:$CG,70,FALSE),0)</f>
        <v>0</v>
      </c>
      <c r="AI32" s="146">
        <f>_xlfn.IFNA(VLOOKUP($A32,'Grants+ Other Funding'!$A:$CG,71,FALSE),0)</f>
        <v>0</v>
      </c>
      <c r="AJ32" s="146">
        <f>_xlfn.IFNA(VLOOKUP($A32,'Grants+ Other Funding'!$A:$CG,72,FALSE),0)</f>
        <v>0</v>
      </c>
      <c r="AK32" s="146">
        <f>_xlfn.IFNA(VLOOKUP($A32,'Summary June 2026'!$A:$HJ,217,FALSE),0)</f>
        <v>-2607.7710750000001</v>
      </c>
      <c r="AL32" s="146">
        <f>_xlfn.IFNA(VLOOKUP($A32,'Grants+ Other Funding'!$A:$CG,74,FALSE),0)</f>
        <v>0</v>
      </c>
      <c r="AM32" s="146">
        <f>_xlfn.IFNA(VLOOKUP($A32,'Summary June 2026'!$A:$HJ,218,FALSE),0)</f>
        <v>0</v>
      </c>
      <c r="AN32" s="146">
        <f>_xlfn.IFNA(VLOOKUP($A32,'Summary June 2026'!$A:$HJ,216,FALSE),0)</f>
        <v>-4027.5749999999998</v>
      </c>
      <c r="AO32" s="146">
        <f>_xlfn.IFNA(VLOOKUP($A32,'Grants+ Other Funding'!$A:$CG,73,FALSE),0)</f>
        <v>0</v>
      </c>
      <c r="AP32" s="65">
        <f t="shared" si="0"/>
        <v>851394.77350000001</v>
      </c>
    </row>
    <row r="33" spans="1:42">
      <c r="A33" s="198">
        <v>7030</v>
      </c>
      <c r="B33" s="2">
        <v>103611</v>
      </c>
      <c r="C33" s="2" t="s">
        <v>88</v>
      </c>
      <c r="D33" s="2" t="s">
        <v>89</v>
      </c>
      <c r="E33" s="190" t="s">
        <v>56</v>
      </c>
      <c r="F33" s="208" t="str">
        <f>VLOOKUP(A33,'Summary June 2026'!A:F,6,FALSE)</f>
        <v>Chq Bk</v>
      </c>
      <c r="H33" s="273">
        <f>_xlfn.IFNA(VLOOKUP($A33,ISB!$A:$BY,67,FALSE),0)</f>
        <v>0</v>
      </c>
      <c r="I33" s="218">
        <f>_xlfn.IFNA(VLOOKUP($A33,ISB!$A:$BY,72,FALSE),0)</f>
        <v>0</v>
      </c>
      <c r="J33" s="274">
        <f>-_xlfn.IFNA(VLOOKUP($A33,ISB!$A:$BY,76,FALSE),0)</f>
        <v>0</v>
      </c>
      <c r="L33" s="273">
        <f>_xlfn.IFNA(VLOOKUP($A33,EY!$A:$DX,126,FALSE),0)</f>
        <v>0</v>
      </c>
      <c r="M33" s="273">
        <f>_xlfn.IFNA(VLOOKUP($A33,EY!$A:$DX,127,FALSE),0)</f>
        <v>0</v>
      </c>
      <c r="O33" s="273">
        <f>_xlfn.IFNA(VLOOKUP($A33,HN!$A:$AN,37,FALSE),0)</f>
        <v>625000</v>
      </c>
      <c r="P33" s="273">
        <f>_xlfn.IFNA(VLOOKUP($A33,HN!$A:$AN,38,FALSE),0)</f>
        <v>170000</v>
      </c>
      <c r="Q33" s="273">
        <f>_xlfn.IFNA(VLOOKUP($A33,HN!$A:$AN,39,FALSE),0)</f>
        <v>1030321.8</v>
      </c>
      <c r="S33" s="337">
        <f>_xlfn.IFNA(VLOOKUP(A33,'Post 16'!A:AR,44,FALSE),0)</f>
        <v>0</v>
      </c>
      <c r="U33" s="337"/>
      <c r="V33" s="337">
        <f>VLOOKUP(A33,'LA Deductions'!A:AN,40,FALSE)</f>
        <v>0</v>
      </c>
      <c r="X33" s="274">
        <f>VLOOKUP($A33,'Summary June 2026'!$A:$AAX,206,FALSE)-SUMIFS($H33:$V33,$H$7:$V$7,X$7)</f>
        <v>0</v>
      </c>
      <c r="Y33" s="274">
        <f>VLOOKUP($A33,'Summary June 2026'!$A:$HC,207,FALSE)-SUMIFS($H33:$V33,$H$7:$V$7,Y$7)</f>
        <v>0</v>
      </c>
      <c r="Z33" s="274">
        <f>VLOOKUP($A33,'Summary June 2026'!$A:$HC,208,FALSE)-SUMIFS($H33:$V33,$H$7:$V$7,Z$7)</f>
        <v>0</v>
      </c>
      <c r="AA33" s="274">
        <f>VLOOKUP($A33,'Summary June 2026'!$A:$HC,209,FALSE)-SUMIFS($H33:$V33,$H$7:$V$7,AA$7)</f>
        <v>0</v>
      </c>
      <c r="AB33" s="274">
        <f>VLOOKUP($A33,'Summary June 2026'!$A:$HC,210,FALSE)-SUMIFS($H33:$V33,$H$7:$V$7,AB$7)</f>
        <v>0</v>
      </c>
      <c r="AC33" s="274">
        <f>VLOOKUP($A33,'Summary June 2026'!$A:$HC,211,FALSE)-SUMIFS($H33:$V33,$H$7:$V$7,AC$7)</f>
        <v>0</v>
      </c>
      <c r="AE33" s="146">
        <f>VLOOKUP($A33,'Summary June 2026'!$A:$HJ,213,FALSE)+VLOOKUP($A33,'Grants+ Other Funding'!$A:$CG,67,FALSE)</f>
        <v>158615.13</v>
      </c>
      <c r="AF33" s="146">
        <f>_xlfn.IFNA(VLOOKUP($A33,'Summary June 2026'!$A:$HJ,214,FALSE)+VLOOKUP($A33,'Grants+ Other Funding'!$A:$CG,68,FALSE),0)</f>
        <v>42436.480000000003</v>
      </c>
      <c r="AG33" s="146">
        <f>_xlfn.IFNA(VLOOKUP($A33,'Summary June 2026'!$A:$HJ,215,FALSE)+VLOOKUP($A33,'Grants+ Other Funding'!$A:$CG,69,FALSE),0)</f>
        <v>257580.45</v>
      </c>
      <c r="AH33" s="146">
        <f>_xlfn.IFNA(VLOOKUP($A33,'Grants+ Other Funding'!$A:$CG,70,FALSE),0)</f>
        <v>0</v>
      </c>
      <c r="AI33" s="146">
        <f>_xlfn.IFNA(VLOOKUP($A33,'Grants+ Other Funding'!$A:$CG,71,FALSE),0)</f>
        <v>0</v>
      </c>
      <c r="AJ33" s="146">
        <f>_xlfn.IFNA(VLOOKUP($A33,'Grants+ Other Funding'!$A:$CG,72,FALSE),0)</f>
        <v>0</v>
      </c>
      <c r="AK33" s="146">
        <f>_xlfn.IFNA(VLOOKUP($A33,'Summary June 2026'!$A:$HJ,217,FALSE),0)</f>
        <v>0</v>
      </c>
      <c r="AL33" s="146">
        <f>_xlfn.IFNA(VLOOKUP($A33,'Grants+ Other Funding'!$A:$CG,74,FALSE),0)</f>
        <v>0</v>
      </c>
      <c r="AM33" s="146">
        <f>_xlfn.IFNA(VLOOKUP($A33,'Summary June 2026'!$A:$HJ,218,FALSE),0)</f>
        <v>0</v>
      </c>
      <c r="AN33" s="146">
        <f>_xlfn.IFNA(VLOOKUP($A33,'Summary June 2026'!$A:$HJ,216,FALSE),0)</f>
        <v>0</v>
      </c>
      <c r="AO33" s="146">
        <f>_xlfn.IFNA(VLOOKUP($A33,'Grants+ Other Funding'!$A:$CG,73,FALSE),0)</f>
        <v>0</v>
      </c>
      <c r="AP33" s="65">
        <f t="shared" si="0"/>
        <v>458632.06000000006</v>
      </c>
    </row>
    <row r="34" spans="1:42">
      <c r="A34" s="198">
        <v>1002</v>
      </c>
      <c r="B34" s="2">
        <v>103121</v>
      </c>
      <c r="C34" s="2" t="s">
        <v>90</v>
      </c>
      <c r="D34" s="2" t="s">
        <v>91</v>
      </c>
      <c r="E34" s="190" t="s">
        <v>36</v>
      </c>
      <c r="F34" s="208" t="str">
        <f>VLOOKUP(A34,'Summary June 2026'!A:F,6,FALSE)</f>
        <v>Chq Bk</v>
      </c>
      <c r="H34" s="273">
        <f>_xlfn.IFNA(VLOOKUP($A34,ISB!$A:$BY,67,FALSE),0)</f>
        <v>0</v>
      </c>
      <c r="I34" s="218">
        <f>_xlfn.IFNA(VLOOKUP($A34,ISB!$A:$BY,72,FALSE),0)</f>
        <v>0</v>
      </c>
      <c r="J34" s="274">
        <f>-_xlfn.IFNA(VLOOKUP($A34,ISB!$A:$BY,76,FALSE),0)</f>
        <v>0</v>
      </c>
      <c r="L34" s="273">
        <f>_xlfn.IFNA(VLOOKUP($A34,EY!$A:$DX,126,FALSE),0)</f>
        <v>524294.14748451568</v>
      </c>
      <c r="M34" s="273">
        <f>_xlfn.IFNA(VLOOKUP($A34,EY!$A:$DX,127,FALSE),0)</f>
        <v>331.0072022160665</v>
      </c>
      <c r="O34" s="273">
        <f>_xlfn.IFNA(VLOOKUP($A34,HN!$A:$AN,37,FALSE),0)</f>
        <v>0</v>
      </c>
      <c r="P34" s="273">
        <f>_xlfn.IFNA(VLOOKUP($A34,HN!$A:$AN,38,FALSE),0)</f>
        <v>0</v>
      </c>
      <c r="Q34" s="273">
        <f>_xlfn.IFNA(VLOOKUP($A34,HN!$A:$AN,39,FALSE),0)</f>
        <v>0</v>
      </c>
      <c r="S34" s="337">
        <f>_xlfn.IFNA(VLOOKUP(A34,'Post 16'!A:AR,44,FALSE),0)</f>
        <v>0</v>
      </c>
      <c r="U34" s="337"/>
      <c r="V34" s="337">
        <f>VLOOKUP(A34,'LA Deductions'!A:AN,40,FALSE)</f>
        <v>0</v>
      </c>
      <c r="X34" s="274">
        <f>VLOOKUP($A34,'Summary June 2026'!$A:$AAX,206,FALSE)-SUMIFS($H34:$V34,$H$7:$V$7,X$7)</f>
        <v>0</v>
      </c>
      <c r="Y34" s="274">
        <f>VLOOKUP($A34,'Summary June 2026'!$A:$HC,207,FALSE)-SUMIFS($H34:$V34,$H$7:$V$7,Y$7)</f>
        <v>0</v>
      </c>
      <c r="Z34" s="274">
        <f>VLOOKUP($A34,'Summary June 2026'!$A:$HC,208,FALSE)-SUMIFS($H34:$V34,$H$7:$V$7,Z$7)</f>
        <v>0</v>
      </c>
      <c r="AA34" s="274">
        <f>VLOOKUP($A34,'Summary June 2026'!$A:$HC,209,FALSE)-SUMIFS($H34:$V34,$H$7:$V$7,AA$7)</f>
        <v>0</v>
      </c>
      <c r="AB34" s="274">
        <f>VLOOKUP($A34,'Summary June 2026'!$A:$HC,210,FALSE)-SUMIFS($H34:$V34,$H$7:$V$7,AB$7)</f>
        <v>0</v>
      </c>
      <c r="AC34" s="274">
        <f>VLOOKUP($A34,'Summary June 2026'!$A:$HC,211,FALSE)-SUMIFS($H34:$V34,$H$7:$V$7,AC$7)</f>
        <v>0</v>
      </c>
      <c r="AE34" s="146">
        <f>VLOOKUP($A34,'Summary June 2026'!$A:$HJ,213,FALSE)+VLOOKUP($A34,'Grants+ Other Funding'!$A:$CG,67,FALSE)</f>
        <v>403810.08748451562</v>
      </c>
      <c r="AF34" s="146">
        <f>_xlfn.IFNA(VLOOKUP($A34,'Summary June 2026'!$A:$HJ,214,FALSE)+VLOOKUP($A34,'Grants+ Other Funding'!$A:$CG,68,FALSE),0)</f>
        <v>-37.4</v>
      </c>
      <c r="AG34" s="146">
        <f>_xlfn.IFNA(VLOOKUP($A34,'Summary June 2026'!$A:$HJ,215,FALSE)+VLOOKUP($A34,'Grants+ Other Funding'!$A:$CG,69,FALSE),0)</f>
        <v>331.0072022160665</v>
      </c>
      <c r="AH34" s="146">
        <f>_xlfn.IFNA(VLOOKUP($A34,'Grants+ Other Funding'!$A:$CG,70,FALSE),0)</f>
        <v>0</v>
      </c>
      <c r="AI34" s="146">
        <f>_xlfn.IFNA(VLOOKUP($A34,'Grants+ Other Funding'!$A:$CG,71,FALSE),0)</f>
        <v>0</v>
      </c>
      <c r="AJ34" s="146">
        <f>_xlfn.IFNA(VLOOKUP($A34,'Grants+ Other Funding'!$A:$CG,72,FALSE),0)</f>
        <v>0</v>
      </c>
      <c r="AK34" s="146">
        <f>_xlfn.IFNA(VLOOKUP($A34,'Summary June 2026'!$A:$HJ,217,FALSE),0)</f>
        <v>0</v>
      </c>
      <c r="AL34" s="146">
        <f>_xlfn.IFNA(VLOOKUP($A34,'Grants+ Other Funding'!$A:$CG,74,FALSE),0)</f>
        <v>0</v>
      </c>
      <c r="AM34" s="146">
        <f>_xlfn.IFNA(VLOOKUP($A34,'Summary June 2026'!$A:$HJ,218,FALSE),0)</f>
        <v>0</v>
      </c>
      <c r="AN34" s="146">
        <f>_xlfn.IFNA(VLOOKUP($A34,'Summary June 2026'!$A:$HJ,216,FALSE),0)</f>
        <v>0</v>
      </c>
      <c r="AO34" s="146">
        <f>_xlfn.IFNA(VLOOKUP($A34,'Grants+ Other Funding'!$A:$CG,73,FALSE),0)</f>
        <v>0</v>
      </c>
      <c r="AP34" s="65">
        <f t="shared" si="0"/>
        <v>404103.69468673167</v>
      </c>
    </row>
    <row r="35" spans="1:42">
      <c r="A35" s="198">
        <v>2465</v>
      </c>
      <c r="B35" s="2">
        <v>103391</v>
      </c>
      <c r="C35" s="2" t="s">
        <v>92</v>
      </c>
      <c r="D35" s="2" t="s">
        <v>93</v>
      </c>
      <c r="E35" s="190" t="s">
        <v>39</v>
      </c>
      <c r="F35" s="208" t="str">
        <f>VLOOKUP(A35,'Summary June 2026'!A:F,6,FALSE)</f>
        <v>Chq Bk</v>
      </c>
      <c r="H35" s="273">
        <f>_xlfn.IFNA(VLOOKUP($A35,ISB!$A:$BY,67,FALSE),0)</f>
        <v>2819101.9251143113</v>
      </c>
      <c r="I35" s="218">
        <f>_xlfn.IFNA(VLOOKUP($A35,ISB!$A:$BY,72,FALSE),0)</f>
        <v>-10258.799999999999</v>
      </c>
      <c r="J35" s="274">
        <f>-_xlfn.IFNA(VLOOKUP($A35,ISB!$A:$BY,76,FALSE),0)</f>
        <v>-42646.421999999999</v>
      </c>
      <c r="L35" s="273">
        <f>_xlfn.IFNA(VLOOKUP($A35,EY!$A:$DX,126,FALSE),0)</f>
        <v>79407.602315789467</v>
      </c>
      <c r="M35" s="273">
        <f>_xlfn.IFNA(VLOOKUP($A35,EY!$A:$DX,127,FALSE),0)</f>
        <v>0</v>
      </c>
      <c r="O35" s="273">
        <f>_xlfn.IFNA(VLOOKUP($A35,HN!$A:$AN,37,FALSE),0)</f>
        <v>0</v>
      </c>
      <c r="P35" s="273">
        <f>_xlfn.IFNA(VLOOKUP($A35,HN!$A:$AN,38,FALSE),0)</f>
        <v>0</v>
      </c>
      <c r="Q35" s="273">
        <f>_xlfn.IFNA(VLOOKUP($A35,HN!$A:$AN,39,FALSE),0)</f>
        <v>125902</v>
      </c>
      <c r="S35" s="337">
        <f>_xlfn.IFNA(VLOOKUP(A35,'Post 16'!A:AR,44,FALSE),0)</f>
        <v>0</v>
      </c>
      <c r="U35" s="337"/>
      <c r="V35" s="337">
        <f>VLOOKUP(A35,'LA Deductions'!A:AN,40,FALSE)</f>
        <v>0</v>
      </c>
      <c r="X35" s="274">
        <f>VLOOKUP($A35,'Summary June 2026'!$A:$AAX,206,FALSE)-SUMIFS($H35:$V35,$H$7:$V$7,X$7)</f>
        <v>0</v>
      </c>
      <c r="Y35" s="274">
        <f>VLOOKUP($A35,'Summary June 2026'!$A:$HC,207,FALSE)-SUMIFS($H35:$V35,$H$7:$V$7,Y$7)</f>
        <v>0</v>
      </c>
      <c r="Z35" s="274">
        <f>VLOOKUP($A35,'Summary June 2026'!$A:$HC,208,FALSE)-SUMIFS($H35:$V35,$H$7:$V$7,Z$7)</f>
        <v>0</v>
      </c>
      <c r="AA35" s="274">
        <f>VLOOKUP($A35,'Summary June 2026'!$A:$HC,209,FALSE)-SUMIFS($H35:$V35,$H$7:$V$7,AA$7)</f>
        <v>0</v>
      </c>
      <c r="AB35" s="274">
        <f>VLOOKUP($A35,'Summary June 2026'!$A:$HC,210,FALSE)-SUMIFS($H35:$V35,$H$7:$V$7,AB$7)</f>
        <v>0</v>
      </c>
      <c r="AC35" s="274">
        <f>VLOOKUP($A35,'Summary June 2026'!$A:$HC,211,FALSE)-SUMIFS($H35:$V35,$H$7:$V$7,AC$7)</f>
        <v>0</v>
      </c>
      <c r="AE35" s="146">
        <f>VLOOKUP($A35,'Summary June 2026'!$A:$HJ,213,FALSE)+VLOOKUP($A35,'Grants+ Other Funding'!$A:$CG,67,FALSE)</f>
        <v>732852.80601541989</v>
      </c>
      <c r="AF35" s="146">
        <f>_xlfn.IFNA(VLOOKUP($A35,'Summary June 2026'!$A:$HJ,214,FALSE)+VLOOKUP($A35,'Grants+ Other Funding'!$A:$CG,68,FALSE),0)</f>
        <v>-3.75</v>
      </c>
      <c r="AG35" s="146">
        <f>_xlfn.IFNA(VLOOKUP($A35,'Summary June 2026'!$A:$HJ,215,FALSE)+VLOOKUP($A35,'Grants+ Other Funding'!$A:$CG,69,FALSE),0)</f>
        <v>36122.82475</v>
      </c>
      <c r="AH35" s="146">
        <f>_xlfn.IFNA(VLOOKUP($A35,'Grants+ Other Funding'!$A:$CG,70,FALSE),0)</f>
        <v>0</v>
      </c>
      <c r="AI35" s="146">
        <f>_xlfn.IFNA(VLOOKUP($A35,'Grants+ Other Funding'!$A:$CG,71,FALSE),0)</f>
        <v>0</v>
      </c>
      <c r="AJ35" s="146">
        <f>_xlfn.IFNA(VLOOKUP($A35,'Grants+ Other Funding'!$A:$CG,72,FALSE),0)</f>
        <v>0</v>
      </c>
      <c r="AK35" s="146">
        <f>_xlfn.IFNA(VLOOKUP($A35,'Summary June 2026'!$A:$HJ,217,FALSE),0)</f>
        <v>-10661.6055</v>
      </c>
      <c r="AL35" s="146">
        <f>_xlfn.IFNA(VLOOKUP($A35,'Grants+ Other Funding'!$A:$CG,74,FALSE),0)</f>
        <v>0</v>
      </c>
      <c r="AM35" s="146">
        <f>_xlfn.IFNA(VLOOKUP($A35,'Summary June 2026'!$A:$HJ,218,FALSE),0)</f>
        <v>0</v>
      </c>
      <c r="AN35" s="146">
        <f>_xlfn.IFNA(VLOOKUP($A35,'Summary June 2026'!$A:$HJ,216,FALSE),0)</f>
        <v>-2564.6999999999998</v>
      </c>
      <c r="AO35" s="146">
        <f>_xlfn.IFNA(VLOOKUP($A35,'Grants+ Other Funding'!$A:$CG,73,FALSE),0)</f>
        <v>0</v>
      </c>
      <c r="AP35" s="65">
        <f t="shared" si="0"/>
        <v>755745.57526542002</v>
      </c>
    </row>
    <row r="36" spans="1:42">
      <c r="A36" s="198">
        <v>4801</v>
      </c>
      <c r="B36" s="2">
        <v>103539</v>
      </c>
      <c r="C36" s="2" t="s">
        <v>94</v>
      </c>
      <c r="D36" s="2" t="s">
        <v>95</v>
      </c>
      <c r="E36" s="190" t="s">
        <v>71</v>
      </c>
      <c r="F36" s="208" t="str">
        <f>VLOOKUP(A36,'Summary June 2026'!A:F,6,FALSE)</f>
        <v>Chq Bk</v>
      </c>
      <c r="H36" s="273">
        <f>_xlfn.IFNA(VLOOKUP($A36,ISB!$A:$BY,67,FALSE),0)</f>
        <v>6691766.2139580706</v>
      </c>
      <c r="I36" s="218">
        <f>_xlfn.IFNA(VLOOKUP($A36,ISB!$A:$BY,72,FALSE),0)</f>
        <v>-15502.5</v>
      </c>
      <c r="J36" s="274">
        <f>-_xlfn.IFNA(VLOOKUP($A36,ISB!$A:$BY,76,FALSE),0)</f>
        <v>-20862.168600000001</v>
      </c>
      <c r="L36" s="273">
        <f>_xlfn.IFNA(VLOOKUP($A36,EY!$A:$DX,126,FALSE),0)</f>
        <v>0</v>
      </c>
      <c r="M36" s="273">
        <f>_xlfn.IFNA(VLOOKUP($A36,EY!$A:$DX,127,FALSE),0)</f>
        <v>0</v>
      </c>
      <c r="O36" s="273">
        <f>_xlfn.IFNA(VLOOKUP($A36,HN!$A:$AN,37,FALSE),0)</f>
        <v>0</v>
      </c>
      <c r="P36" s="273">
        <f>_xlfn.IFNA(VLOOKUP($A36,HN!$A:$AN,38,FALSE),0)</f>
        <v>0</v>
      </c>
      <c r="Q36" s="273">
        <f>_xlfn.IFNA(VLOOKUP($A36,HN!$A:$AN,39,FALSE),0)</f>
        <v>72981.67</v>
      </c>
      <c r="S36" s="337">
        <f>_xlfn.IFNA(VLOOKUP(A36,'Post 16'!A:AR,44,FALSE),0)</f>
        <v>0</v>
      </c>
      <c r="U36" s="337"/>
      <c r="V36" s="337">
        <f>VLOOKUP(A36,'LA Deductions'!A:AN,40,FALSE)</f>
        <v>0</v>
      </c>
      <c r="X36" s="274">
        <f>VLOOKUP($A36,'Summary June 2026'!$A:$AAX,206,FALSE)-SUMIFS($H36:$V36,$H$7:$V$7,X$7)</f>
        <v>0</v>
      </c>
      <c r="Y36" s="274">
        <f>VLOOKUP($A36,'Summary June 2026'!$A:$HC,207,FALSE)-SUMIFS($H36:$V36,$H$7:$V$7,Y$7)</f>
        <v>0</v>
      </c>
      <c r="Z36" s="274">
        <f>VLOOKUP($A36,'Summary June 2026'!$A:$HC,208,FALSE)-SUMIFS($H36:$V36,$H$7:$V$7,Z$7)</f>
        <v>0</v>
      </c>
      <c r="AA36" s="274">
        <f>VLOOKUP($A36,'Summary June 2026'!$A:$HC,209,FALSE)-SUMIFS($H36:$V36,$H$7:$V$7,AA$7)</f>
        <v>0</v>
      </c>
      <c r="AB36" s="274">
        <f>VLOOKUP($A36,'Summary June 2026'!$A:$HC,210,FALSE)-SUMIFS($H36:$V36,$H$7:$V$7,AB$7)</f>
        <v>0</v>
      </c>
      <c r="AC36" s="274">
        <f>VLOOKUP($A36,'Summary June 2026'!$A:$HC,211,FALSE)-SUMIFS($H36:$V36,$H$7:$V$7,AC$7)</f>
        <v>0</v>
      </c>
      <c r="AE36" s="146">
        <f>VLOOKUP($A36,'Summary June 2026'!$A:$HJ,213,FALSE)+VLOOKUP($A36,'Grants+ Other Funding'!$A:$CG,67,FALSE)</f>
        <v>1672941.5534895177</v>
      </c>
      <c r="AF36" s="146">
        <f>_xlfn.IFNA(VLOOKUP($A36,'Summary June 2026'!$A:$HJ,214,FALSE)+VLOOKUP($A36,'Grants+ Other Funding'!$A:$CG,68,FALSE),0)</f>
        <v>0</v>
      </c>
      <c r="AG36" s="146">
        <f>_xlfn.IFNA(VLOOKUP($A36,'Summary June 2026'!$A:$HJ,215,FALSE)+VLOOKUP($A36,'Grants+ Other Funding'!$A:$CG,69,FALSE),0)</f>
        <v>20147.68</v>
      </c>
      <c r="AH36" s="146">
        <f>_xlfn.IFNA(VLOOKUP($A36,'Grants+ Other Funding'!$A:$CG,70,FALSE),0)</f>
        <v>0</v>
      </c>
      <c r="AI36" s="146">
        <f>_xlfn.IFNA(VLOOKUP($A36,'Grants+ Other Funding'!$A:$CG,71,FALSE),0)</f>
        <v>0</v>
      </c>
      <c r="AJ36" s="146">
        <f>_xlfn.IFNA(VLOOKUP($A36,'Grants+ Other Funding'!$A:$CG,72,FALSE),0)</f>
        <v>0</v>
      </c>
      <c r="AK36" s="146">
        <f>_xlfn.IFNA(VLOOKUP($A36,'Summary June 2026'!$A:$HJ,217,FALSE),0)</f>
        <v>-5215.5421500000002</v>
      </c>
      <c r="AL36" s="146">
        <f>_xlfn.IFNA(VLOOKUP($A36,'Grants+ Other Funding'!$A:$CG,74,FALSE),0)</f>
        <v>0</v>
      </c>
      <c r="AM36" s="146">
        <f>_xlfn.IFNA(VLOOKUP($A36,'Summary June 2026'!$A:$HJ,218,FALSE),0)</f>
        <v>0</v>
      </c>
      <c r="AN36" s="146">
        <f>_xlfn.IFNA(VLOOKUP($A36,'Summary June 2026'!$A:$HJ,216,FALSE),0)</f>
        <v>-3875.625</v>
      </c>
      <c r="AO36" s="146">
        <f>_xlfn.IFNA(VLOOKUP($A36,'Grants+ Other Funding'!$A:$CG,73,FALSE),0)</f>
        <v>0</v>
      </c>
      <c r="AP36" s="65">
        <f t="shared" si="0"/>
        <v>1683998.0663395175</v>
      </c>
    </row>
    <row r="37" spans="1:42">
      <c r="A37" s="198">
        <v>1048</v>
      </c>
      <c r="B37" s="2">
        <v>103144</v>
      </c>
      <c r="C37" s="2" t="s">
        <v>96</v>
      </c>
      <c r="D37" s="2" t="s">
        <v>97</v>
      </c>
      <c r="E37" s="190" t="s">
        <v>36</v>
      </c>
      <c r="F37" s="208" t="str">
        <f>VLOOKUP(A37,'Summary June 2026'!A:F,6,FALSE)</f>
        <v>Chq Bk</v>
      </c>
      <c r="H37" s="273">
        <f>_xlfn.IFNA(VLOOKUP($A37,ISB!$A:$BY,67,FALSE),0)</f>
        <v>0</v>
      </c>
      <c r="I37" s="218">
        <f>_xlfn.IFNA(VLOOKUP($A37,ISB!$A:$BY,72,FALSE),0)</f>
        <v>0</v>
      </c>
      <c r="J37" s="274">
        <f>-_xlfn.IFNA(VLOOKUP($A37,ISB!$A:$BY,76,FALSE),0)</f>
        <v>0</v>
      </c>
      <c r="L37" s="273">
        <f>_xlfn.IFNA(VLOOKUP($A37,EY!$A:$DX,126,FALSE),0)</f>
        <v>773526.44420992013</v>
      </c>
      <c r="M37" s="273">
        <f>_xlfn.IFNA(VLOOKUP($A37,EY!$A:$DX,127,FALSE),0)</f>
        <v>8959.3573407202221</v>
      </c>
      <c r="O37" s="273">
        <f>_xlfn.IFNA(VLOOKUP($A37,HN!$A:$AN,37,FALSE),0)</f>
        <v>0</v>
      </c>
      <c r="P37" s="273">
        <f>_xlfn.IFNA(VLOOKUP($A37,HN!$A:$AN,38,FALSE),0)</f>
        <v>0</v>
      </c>
      <c r="Q37" s="273">
        <f>_xlfn.IFNA(VLOOKUP($A37,HN!$A:$AN,39,FALSE),0)</f>
        <v>26953.25</v>
      </c>
      <c r="S37" s="337">
        <f>_xlfn.IFNA(VLOOKUP(A37,'Post 16'!A:AR,44,FALSE),0)</f>
        <v>0</v>
      </c>
      <c r="U37" s="337"/>
      <c r="V37" s="337">
        <f>VLOOKUP(A37,'LA Deductions'!A:AN,40,FALSE)</f>
        <v>0</v>
      </c>
      <c r="X37" s="274">
        <f>VLOOKUP($A37,'Summary June 2026'!$A:$AAX,206,FALSE)-SUMIFS($H37:$V37,$H$7:$V$7,X$7)</f>
        <v>0</v>
      </c>
      <c r="Y37" s="274">
        <f>VLOOKUP($A37,'Summary June 2026'!$A:$HC,207,FALSE)-SUMIFS($H37:$V37,$H$7:$V$7,Y$7)</f>
        <v>0</v>
      </c>
      <c r="Z37" s="274">
        <f>VLOOKUP($A37,'Summary June 2026'!$A:$HC,208,FALSE)-SUMIFS($H37:$V37,$H$7:$V$7,Z$7)</f>
        <v>0</v>
      </c>
      <c r="AA37" s="274">
        <f>VLOOKUP($A37,'Summary June 2026'!$A:$HC,209,FALSE)-SUMIFS($H37:$V37,$H$7:$V$7,AA$7)</f>
        <v>0</v>
      </c>
      <c r="AB37" s="274">
        <f>VLOOKUP($A37,'Summary June 2026'!$A:$HC,210,FALSE)-SUMIFS($H37:$V37,$H$7:$V$7,AB$7)</f>
        <v>0</v>
      </c>
      <c r="AC37" s="274">
        <f>VLOOKUP($A37,'Summary June 2026'!$A:$HC,211,FALSE)-SUMIFS($H37:$V37,$H$7:$V$7,AC$7)</f>
        <v>0</v>
      </c>
      <c r="AE37" s="146">
        <f>VLOOKUP($A37,'Summary June 2026'!$A:$HJ,213,FALSE)+VLOOKUP($A37,'Grants+ Other Funding'!$A:$CG,67,FALSE)</f>
        <v>578601.66863097262</v>
      </c>
      <c r="AF37" s="146">
        <f>_xlfn.IFNA(VLOOKUP($A37,'Summary June 2026'!$A:$HJ,214,FALSE)+VLOOKUP($A37,'Grants+ Other Funding'!$A:$CG,68,FALSE),0)</f>
        <v>-35</v>
      </c>
      <c r="AG37" s="146">
        <f>_xlfn.IFNA(VLOOKUP($A37,'Summary June 2026'!$A:$HJ,215,FALSE)+VLOOKUP($A37,'Grants+ Other Funding'!$A:$CG,69,FALSE),0)</f>
        <v>21429.07609072022</v>
      </c>
      <c r="AH37" s="146">
        <f>_xlfn.IFNA(VLOOKUP($A37,'Grants+ Other Funding'!$A:$CG,70,FALSE),0)</f>
        <v>0</v>
      </c>
      <c r="AI37" s="146">
        <f>_xlfn.IFNA(VLOOKUP($A37,'Grants+ Other Funding'!$A:$CG,71,FALSE),0)</f>
        <v>0</v>
      </c>
      <c r="AJ37" s="146">
        <f>_xlfn.IFNA(VLOOKUP($A37,'Grants+ Other Funding'!$A:$CG,72,FALSE),0)</f>
        <v>0</v>
      </c>
      <c r="AK37" s="146">
        <f>_xlfn.IFNA(VLOOKUP($A37,'Summary June 2026'!$A:$HJ,217,FALSE),0)</f>
        <v>0</v>
      </c>
      <c r="AL37" s="146">
        <f>_xlfn.IFNA(VLOOKUP($A37,'Grants+ Other Funding'!$A:$CG,74,FALSE),0)</f>
        <v>0</v>
      </c>
      <c r="AM37" s="146">
        <f>_xlfn.IFNA(VLOOKUP($A37,'Summary June 2026'!$A:$HJ,218,FALSE),0)</f>
        <v>0</v>
      </c>
      <c r="AN37" s="146">
        <f>_xlfn.IFNA(VLOOKUP($A37,'Summary June 2026'!$A:$HJ,216,FALSE),0)</f>
        <v>0</v>
      </c>
      <c r="AO37" s="146">
        <f>_xlfn.IFNA(VLOOKUP($A37,'Grants+ Other Funding'!$A:$CG,73,FALSE),0)</f>
        <v>0</v>
      </c>
      <c r="AP37" s="65">
        <f t="shared" si="0"/>
        <v>599995.74472169287</v>
      </c>
    </row>
    <row r="38" spans="1:42">
      <c r="A38" s="198">
        <v>2312</v>
      </c>
      <c r="B38" s="2">
        <v>103332</v>
      </c>
      <c r="C38" s="2" t="s">
        <v>98</v>
      </c>
      <c r="D38" s="2" t="s">
        <v>99</v>
      </c>
      <c r="E38" s="190" t="s">
        <v>39</v>
      </c>
      <c r="F38" s="208" t="str">
        <f>VLOOKUP(A38,'Summary June 2026'!A:F,6,FALSE)</f>
        <v>Chq Bk</v>
      </c>
      <c r="H38" s="273">
        <f>_xlfn.IFNA(VLOOKUP($A38,ISB!$A:$BY,67,FALSE),0)</f>
        <v>2220621.3006342109</v>
      </c>
      <c r="I38" s="218">
        <f>_xlfn.IFNA(VLOOKUP($A38,ISB!$A:$BY,72,FALSE),0)</f>
        <v>-10308.599999999999</v>
      </c>
      <c r="J38" s="274">
        <f>-_xlfn.IFNA(VLOOKUP($A38,ISB!$A:$BY,76,FALSE),0)</f>
        <v>-39188.603999999999</v>
      </c>
      <c r="L38" s="273">
        <f>_xlfn.IFNA(VLOOKUP($A38,EY!$A:$DX,126,FALSE),0)</f>
        <v>0</v>
      </c>
      <c r="M38" s="273">
        <f>_xlfn.IFNA(VLOOKUP($A38,EY!$A:$DX,127,FALSE),0)</f>
        <v>0</v>
      </c>
      <c r="O38" s="273">
        <f>_xlfn.IFNA(VLOOKUP($A38,HN!$A:$AN,37,FALSE),0)</f>
        <v>0</v>
      </c>
      <c r="P38" s="273">
        <f>_xlfn.IFNA(VLOOKUP($A38,HN!$A:$AN,38,FALSE),0)</f>
        <v>0</v>
      </c>
      <c r="Q38" s="273">
        <f>_xlfn.IFNA(VLOOKUP($A38,HN!$A:$AN,39,FALSE),0)</f>
        <v>200636.90999999997</v>
      </c>
      <c r="S38" s="337">
        <f>_xlfn.IFNA(VLOOKUP(A38,'Post 16'!A:AR,44,FALSE),0)</f>
        <v>0</v>
      </c>
      <c r="U38" s="337"/>
      <c r="V38" s="337">
        <f>VLOOKUP(A38,'LA Deductions'!A:AN,40,FALSE)</f>
        <v>0</v>
      </c>
      <c r="X38" s="274">
        <f>VLOOKUP($A38,'Summary June 2026'!$A:$AAX,206,FALSE)-SUMIFS($H38:$V38,$H$7:$V$7,X$7)</f>
        <v>0</v>
      </c>
      <c r="Y38" s="274">
        <f>VLOOKUP($A38,'Summary June 2026'!$A:$HC,207,FALSE)-SUMIFS($H38:$V38,$H$7:$V$7,Y$7)</f>
        <v>0</v>
      </c>
      <c r="Z38" s="274">
        <f>VLOOKUP($A38,'Summary June 2026'!$A:$HC,208,FALSE)-SUMIFS($H38:$V38,$H$7:$V$7,Z$7)</f>
        <v>0</v>
      </c>
      <c r="AA38" s="274">
        <f>VLOOKUP($A38,'Summary June 2026'!$A:$HC,209,FALSE)-SUMIFS($H38:$V38,$H$7:$V$7,AA$7)</f>
        <v>0</v>
      </c>
      <c r="AB38" s="274">
        <f>VLOOKUP($A38,'Summary June 2026'!$A:$HC,210,FALSE)-SUMIFS($H38:$V38,$H$7:$V$7,AB$7)</f>
        <v>0</v>
      </c>
      <c r="AC38" s="274">
        <f>VLOOKUP($A38,'Summary June 2026'!$A:$HC,211,FALSE)-SUMIFS($H38:$V38,$H$7:$V$7,AC$7)</f>
        <v>0</v>
      </c>
      <c r="AE38" s="146">
        <f>VLOOKUP($A38,'Summary June 2026'!$A:$HJ,213,FALSE)+VLOOKUP($A38,'Grants+ Other Funding'!$A:$CG,67,FALSE)</f>
        <v>555155.32515855273</v>
      </c>
      <c r="AF38" s="146">
        <f>_xlfn.IFNA(VLOOKUP($A38,'Summary June 2026'!$A:$HJ,214,FALSE)+VLOOKUP($A38,'Grants+ Other Funding'!$A:$CG,68,FALSE),0)</f>
        <v>0</v>
      </c>
      <c r="AG38" s="146">
        <f>_xlfn.IFNA(VLOOKUP($A38,'Summary June 2026'!$A:$HJ,215,FALSE)+VLOOKUP($A38,'Grants+ Other Funding'!$A:$CG,69,FALSE),0)</f>
        <v>65229.833999999995</v>
      </c>
      <c r="AH38" s="146">
        <f>_xlfn.IFNA(VLOOKUP($A38,'Grants+ Other Funding'!$A:$CG,70,FALSE),0)</f>
        <v>0</v>
      </c>
      <c r="AI38" s="146">
        <f>_xlfn.IFNA(VLOOKUP($A38,'Grants+ Other Funding'!$A:$CG,71,FALSE),0)</f>
        <v>0</v>
      </c>
      <c r="AJ38" s="146">
        <f>_xlfn.IFNA(VLOOKUP($A38,'Grants+ Other Funding'!$A:$CG,72,FALSE),0)</f>
        <v>0</v>
      </c>
      <c r="AK38" s="146">
        <f>_xlfn.IFNA(VLOOKUP($A38,'Summary June 2026'!$A:$HJ,217,FALSE),0)</f>
        <v>-9797.1509999999998</v>
      </c>
      <c r="AL38" s="146">
        <f>_xlfn.IFNA(VLOOKUP($A38,'Grants+ Other Funding'!$A:$CG,74,FALSE),0)</f>
        <v>0</v>
      </c>
      <c r="AM38" s="146">
        <f>_xlfn.IFNA(VLOOKUP($A38,'Summary June 2026'!$A:$HJ,218,FALSE),0)</f>
        <v>0</v>
      </c>
      <c r="AN38" s="146">
        <f>_xlfn.IFNA(VLOOKUP($A38,'Summary June 2026'!$A:$HJ,216,FALSE),0)</f>
        <v>-2577.1499999999996</v>
      </c>
      <c r="AO38" s="146">
        <f>_xlfn.IFNA(VLOOKUP($A38,'Grants+ Other Funding'!$A:$CG,73,FALSE),0)</f>
        <v>0</v>
      </c>
      <c r="AP38" s="65">
        <f t="shared" si="0"/>
        <v>608010.85815855279</v>
      </c>
    </row>
    <row r="39" spans="1:42">
      <c r="A39" s="198">
        <v>7051</v>
      </c>
      <c r="B39" s="2">
        <v>103626</v>
      </c>
      <c r="C39" s="2" t="s">
        <v>100</v>
      </c>
      <c r="D39" s="2" t="s">
        <v>101</v>
      </c>
      <c r="E39" s="190" t="s">
        <v>56</v>
      </c>
      <c r="F39" s="208" t="str">
        <f>VLOOKUP(A39,'Summary June 2026'!A:F,6,FALSE)</f>
        <v>Chq Bk</v>
      </c>
      <c r="H39" s="273">
        <f>_xlfn.IFNA(VLOOKUP($A39,ISB!$A:$BY,67,FALSE),0)</f>
        <v>0</v>
      </c>
      <c r="I39" s="218">
        <f>_xlfn.IFNA(VLOOKUP($A39,ISB!$A:$BY,72,FALSE),0)</f>
        <v>0</v>
      </c>
      <c r="J39" s="274">
        <f>-_xlfn.IFNA(VLOOKUP($A39,ISB!$A:$BY,76,FALSE),0)</f>
        <v>0</v>
      </c>
      <c r="L39" s="273">
        <f>_xlfn.IFNA(VLOOKUP($A39,EY!$A:$DX,126,FALSE),0)</f>
        <v>0</v>
      </c>
      <c r="M39" s="273">
        <f>_xlfn.IFNA(VLOOKUP($A39,EY!$A:$DX,127,FALSE),0)</f>
        <v>0</v>
      </c>
      <c r="O39" s="273">
        <f>_xlfn.IFNA(VLOOKUP($A39,HN!$A:$AN,37,FALSE),0)</f>
        <v>1110000</v>
      </c>
      <c r="P39" s="273">
        <f>_xlfn.IFNA(VLOOKUP($A39,HN!$A:$AN,38,FALSE),0)</f>
        <v>0</v>
      </c>
      <c r="Q39" s="273">
        <f>_xlfn.IFNA(VLOOKUP($A39,HN!$A:$AN,39,FALSE),0)</f>
        <v>1871359.52</v>
      </c>
      <c r="S39" s="337">
        <f>_xlfn.IFNA(VLOOKUP(A39,'Post 16'!A:AR,44,FALSE),0)</f>
        <v>0</v>
      </c>
      <c r="U39" s="337"/>
      <c r="V39" s="337">
        <f>VLOOKUP(A39,'LA Deductions'!A:AN,40,FALSE)</f>
        <v>0</v>
      </c>
      <c r="X39" s="274">
        <f>VLOOKUP($A39,'Summary June 2026'!$A:$AAX,206,FALSE)-SUMIFS($H39:$V39,$H$7:$V$7,X$7)</f>
        <v>0</v>
      </c>
      <c r="Y39" s="274">
        <f>VLOOKUP($A39,'Summary June 2026'!$A:$HC,207,FALSE)-SUMIFS($H39:$V39,$H$7:$V$7,Y$7)</f>
        <v>0</v>
      </c>
      <c r="Z39" s="274">
        <f>VLOOKUP($A39,'Summary June 2026'!$A:$HC,208,FALSE)-SUMIFS($H39:$V39,$H$7:$V$7,Z$7)</f>
        <v>0</v>
      </c>
      <c r="AA39" s="274">
        <f>VLOOKUP($A39,'Summary June 2026'!$A:$HC,209,FALSE)-SUMIFS($H39:$V39,$H$7:$V$7,AA$7)</f>
        <v>0</v>
      </c>
      <c r="AB39" s="274">
        <f>VLOOKUP($A39,'Summary June 2026'!$A:$HC,210,FALSE)-SUMIFS($H39:$V39,$H$7:$V$7,AB$7)</f>
        <v>0</v>
      </c>
      <c r="AC39" s="274">
        <f>VLOOKUP($A39,'Summary June 2026'!$A:$HC,211,FALSE)-SUMIFS($H39:$V39,$H$7:$V$7,AC$7)</f>
        <v>0</v>
      </c>
      <c r="AE39" s="146">
        <f>VLOOKUP($A39,'Summary June 2026'!$A:$HJ,213,FALSE)+VLOOKUP($A39,'Grants+ Other Funding'!$A:$CG,67,FALSE)</f>
        <v>277500</v>
      </c>
      <c r="AF39" s="146">
        <f>_xlfn.IFNA(VLOOKUP($A39,'Summary June 2026'!$A:$HJ,214,FALSE)+VLOOKUP($A39,'Grants+ Other Funding'!$A:$CG,68,FALSE),0)</f>
        <v>0</v>
      </c>
      <c r="AG39" s="146">
        <f>_xlfn.IFNA(VLOOKUP($A39,'Summary June 2026'!$A:$HJ,215,FALSE)+VLOOKUP($A39,'Grants+ Other Funding'!$A:$CG,69,FALSE),0)</f>
        <v>467839.88</v>
      </c>
      <c r="AH39" s="146">
        <f>_xlfn.IFNA(VLOOKUP($A39,'Grants+ Other Funding'!$A:$CG,70,FALSE),0)</f>
        <v>0</v>
      </c>
      <c r="AI39" s="146">
        <f>_xlfn.IFNA(VLOOKUP($A39,'Grants+ Other Funding'!$A:$CG,71,FALSE),0)</f>
        <v>0</v>
      </c>
      <c r="AJ39" s="146">
        <f>_xlfn.IFNA(VLOOKUP($A39,'Grants+ Other Funding'!$A:$CG,72,FALSE),0)</f>
        <v>0</v>
      </c>
      <c r="AK39" s="146">
        <f>_xlfn.IFNA(VLOOKUP($A39,'Summary June 2026'!$A:$HJ,217,FALSE),0)</f>
        <v>0</v>
      </c>
      <c r="AL39" s="146">
        <f>_xlfn.IFNA(VLOOKUP($A39,'Grants+ Other Funding'!$A:$CG,74,FALSE),0)</f>
        <v>0</v>
      </c>
      <c r="AM39" s="146">
        <f>_xlfn.IFNA(VLOOKUP($A39,'Summary June 2026'!$A:$HJ,218,FALSE),0)</f>
        <v>0</v>
      </c>
      <c r="AN39" s="146">
        <f>_xlfn.IFNA(VLOOKUP($A39,'Summary June 2026'!$A:$HJ,216,FALSE),0)</f>
        <v>0</v>
      </c>
      <c r="AO39" s="146">
        <f>_xlfn.IFNA(VLOOKUP($A39,'Grants+ Other Funding'!$A:$CG,73,FALSE),0)</f>
        <v>0</v>
      </c>
      <c r="AP39" s="65">
        <f t="shared" si="0"/>
        <v>745339.88</v>
      </c>
    </row>
    <row r="40" spans="1:42">
      <c r="A40" s="198">
        <v>2040</v>
      </c>
      <c r="B40" s="2">
        <v>103178</v>
      </c>
      <c r="C40" s="2" t="s">
        <v>102</v>
      </c>
      <c r="D40" s="2" t="s">
        <v>103</v>
      </c>
      <c r="E40" s="190" t="s">
        <v>39</v>
      </c>
      <c r="F40" s="208" t="str">
        <f>VLOOKUP(A40,'Summary June 2026'!A:F,6,FALSE)</f>
        <v>Chq Bk</v>
      </c>
      <c r="H40" s="273">
        <f>_xlfn.IFNA(VLOOKUP($A40,ISB!$A:$BY,67,FALSE),0)</f>
        <v>2458959.7210659222</v>
      </c>
      <c r="I40" s="218">
        <f>_xlfn.IFNA(VLOOKUP($A40,ISB!$A:$BY,72,FALSE),0)</f>
        <v>-10482.9</v>
      </c>
      <c r="J40" s="274">
        <f>-_xlfn.IFNA(VLOOKUP($A40,ISB!$A:$BY,76,FALSE),0)</f>
        <v>-41205.664499999999</v>
      </c>
      <c r="L40" s="273">
        <f>_xlfn.IFNA(VLOOKUP($A40,EY!$A:$DX,126,FALSE),0)</f>
        <v>48078.401889196677</v>
      </c>
      <c r="M40" s="273">
        <f>_xlfn.IFNA(VLOOKUP($A40,EY!$A:$DX,127,FALSE),0)</f>
        <v>0</v>
      </c>
      <c r="O40" s="273">
        <f>_xlfn.IFNA(VLOOKUP($A40,HN!$A:$AN,37,FALSE),0)</f>
        <v>96000</v>
      </c>
      <c r="P40" s="273">
        <f>_xlfn.IFNA(VLOOKUP($A40,HN!$A:$AN,38,FALSE),0)</f>
        <v>0</v>
      </c>
      <c r="Q40" s="273">
        <f>_xlfn.IFNA(VLOOKUP($A40,HN!$A:$AN,39,FALSE),0)</f>
        <v>310177.15000000002</v>
      </c>
      <c r="S40" s="337">
        <f>_xlfn.IFNA(VLOOKUP(A40,'Post 16'!A:AR,44,FALSE),0)</f>
        <v>0</v>
      </c>
      <c r="U40" s="337"/>
      <c r="V40" s="337">
        <f>VLOOKUP(A40,'LA Deductions'!A:AN,40,FALSE)</f>
        <v>0</v>
      </c>
      <c r="X40" s="274">
        <f>VLOOKUP($A40,'Summary June 2026'!$A:$AAX,206,FALSE)-SUMIFS($H40:$V40,$H$7:$V$7,X$7)</f>
        <v>0</v>
      </c>
      <c r="Y40" s="274">
        <f>VLOOKUP($A40,'Summary June 2026'!$A:$HC,207,FALSE)-SUMIFS($H40:$V40,$H$7:$V$7,Y$7)</f>
        <v>0</v>
      </c>
      <c r="Z40" s="274">
        <f>VLOOKUP($A40,'Summary June 2026'!$A:$HC,208,FALSE)-SUMIFS($H40:$V40,$H$7:$V$7,Z$7)</f>
        <v>0</v>
      </c>
      <c r="AA40" s="274">
        <f>VLOOKUP($A40,'Summary June 2026'!$A:$HC,209,FALSE)-SUMIFS($H40:$V40,$H$7:$V$7,AA$7)</f>
        <v>0</v>
      </c>
      <c r="AB40" s="274">
        <f>VLOOKUP($A40,'Summary June 2026'!$A:$HC,210,FALSE)-SUMIFS($H40:$V40,$H$7:$V$7,AB$7)</f>
        <v>0</v>
      </c>
      <c r="AC40" s="274">
        <f>VLOOKUP($A40,'Summary June 2026'!$A:$HC,211,FALSE)-SUMIFS($H40:$V40,$H$7:$V$7,AC$7)</f>
        <v>0</v>
      </c>
      <c r="AE40" s="146">
        <f>VLOOKUP($A40,'Summary June 2026'!$A:$HJ,213,FALSE)+VLOOKUP($A40,'Grants+ Other Funding'!$A:$CG,67,FALSE)</f>
        <v>668764.95215567725</v>
      </c>
      <c r="AF40" s="146">
        <f>_xlfn.IFNA(VLOOKUP($A40,'Summary June 2026'!$A:$HJ,214,FALSE)+VLOOKUP($A40,'Grants+ Other Funding'!$A:$CG,68,FALSE),0)</f>
        <v>-43.89</v>
      </c>
      <c r="AG40" s="146">
        <f>_xlfn.IFNA(VLOOKUP($A40,'Summary June 2026'!$A:$HJ,215,FALSE)+VLOOKUP($A40,'Grants+ Other Funding'!$A:$CG,69,FALSE),0)</f>
        <v>84754.363000000012</v>
      </c>
      <c r="AH40" s="146">
        <f>_xlfn.IFNA(VLOOKUP($A40,'Grants+ Other Funding'!$A:$CG,70,FALSE),0)</f>
        <v>0</v>
      </c>
      <c r="AI40" s="146">
        <f>_xlfn.IFNA(VLOOKUP($A40,'Grants+ Other Funding'!$A:$CG,71,FALSE),0)</f>
        <v>0</v>
      </c>
      <c r="AJ40" s="146">
        <f>_xlfn.IFNA(VLOOKUP($A40,'Grants+ Other Funding'!$A:$CG,72,FALSE),0)</f>
        <v>0</v>
      </c>
      <c r="AK40" s="146">
        <f>_xlfn.IFNA(VLOOKUP($A40,'Summary June 2026'!$A:$HJ,217,FALSE),0)</f>
        <v>-10301.416125</v>
      </c>
      <c r="AL40" s="146">
        <f>_xlfn.IFNA(VLOOKUP($A40,'Grants+ Other Funding'!$A:$CG,74,FALSE),0)</f>
        <v>0</v>
      </c>
      <c r="AM40" s="146">
        <f>_xlfn.IFNA(VLOOKUP($A40,'Summary June 2026'!$A:$HJ,218,FALSE),0)</f>
        <v>0</v>
      </c>
      <c r="AN40" s="146">
        <f>_xlfn.IFNA(VLOOKUP($A40,'Summary June 2026'!$A:$HJ,216,FALSE),0)</f>
        <v>-2620.7249999999999</v>
      </c>
      <c r="AO40" s="146">
        <f>_xlfn.IFNA(VLOOKUP($A40,'Grants+ Other Funding'!$A:$CG,73,FALSE),0)</f>
        <v>0</v>
      </c>
      <c r="AP40" s="65">
        <f t="shared" ref="AP40:AP71" si="1">SUM(AE40:AO40)</f>
        <v>740553.28403067729</v>
      </c>
    </row>
    <row r="41" spans="1:42">
      <c r="A41" s="198">
        <v>2251</v>
      </c>
      <c r="B41" s="2">
        <v>103298</v>
      </c>
      <c r="C41" s="2" t="s">
        <v>104</v>
      </c>
      <c r="D41" s="2" t="s">
        <v>105</v>
      </c>
      <c r="E41" s="190" t="s">
        <v>39</v>
      </c>
      <c r="F41" s="208" t="str">
        <f>VLOOKUP(A41,'Summary June 2026'!A:F,6,FALSE)</f>
        <v>Chq Bk</v>
      </c>
      <c r="H41" s="273">
        <f>_xlfn.IFNA(VLOOKUP($A41,ISB!$A:$BY,67,FALSE),0)</f>
        <v>2175287.7114855275</v>
      </c>
      <c r="I41" s="218">
        <f>_xlfn.IFNA(VLOOKUP($A41,ISB!$A:$BY,72,FALSE),0)</f>
        <v>-10408.199999999999</v>
      </c>
      <c r="J41" s="274">
        <f>-_xlfn.IFNA(VLOOKUP($A41,ISB!$A:$BY,76,FALSE),0)</f>
        <v>-15444.920400000001</v>
      </c>
      <c r="L41" s="273">
        <f>_xlfn.IFNA(VLOOKUP($A41,EY!$A:$DX,126,FALSE),0)</f>
        <v>106715.39986703605</v>
      </c>
      <c r="M41" s="273">
        <f>_xlfn.IFNA(VLOOKUP($A41,EY!$A:$DX,127,FALSE),0)</f>
        <v>-74.832132963988926</v>
      </c>
      <c r="O41" s="273">
        <f>_xlfn.IFNA(VLOOKUP($A41,HN!$A:$AN,37,FALSE),0)</f>
        <v>0</v>
      </c>
      <c r="P41" s="273">
        <f>_xlfn.IFNA(VLOOKUP($A41,HN!$A:$AN,38,FALSE),0)</f>
        <v>0</v>
      </c>
      <c r="Q41" s="273">
        <f>_xlfn.IFNA(VLOOKUP($A41,HN!$A:$AN,39,FALSE),0)</f>
        <v>70481.09</v>
      </c>
      <c r="S41" s="337">
        <f>_xlfn.IFNA(VLOOKUP(A41,'Post 16'!A:AR,44,FALSE),0)</f>
        <v>0</v>
      </c>
      <c r="U41" s="337"/>
      <c r="V41" s="337">
        <f>VLOOKUP(A41,'LA Deductions'!A:AN,40,FALSE)</f>
        <v>0</v>
      </c>
      <c r="X41" s="274">
        <f>VLOOKUP($A41,'Summary June 2026'!$A:$AAX,206,FALSE)-SUMIFS($H41:$V41,$H$7:$V$7,X$7)</f>
        <v>0</v>
      </c>
      <c r="Y41" s="274">
        <f>VLOOKUP($A41,'Summary June 2026'!$A:$HC,207,FALSE)-SUMIFS($H41:$V41,$H$7:$V$7,Y$7)</f>
        <v>0</v>
      </c>
      <c r="Z41" s="274">
        <f>VLOOKUP($A41,'Summary June 2026'!$A:$HC,208,FALSE)-SUMIFS($H41:$V41,$H$7:$V$7,Z$7)</f>
        <v>0</v>
      </c>
      <c r="AA41" s="274">
        <f>VLOOKUP($A41,'Summary June 2026'!$A:$HC,209,FALSE)-SUMIFS($H41:$V41,$H$7:$V$7,AA$7)</f>
        <v>0</v>
      </c>
      <c r="AB41" s="274">
        <f>VLOOKUP($A41,'Summary June 2026'!$A:$HC,210,FALSE)-SUMIFS($H41:$V41,$H$7:$V$7,AB$7)</f>
        <v>0</v>
      </c>
      <c r="AC41" s="274">
        <f>VLOOKUP($A41,'Summary June 2026'!$A:$HC,211,FALSE)-SUMIFS($H41:$V41,$H$7:$V$7,AC$7)</f>
        <v>0</v>
      </c>
      <c r="AE41" s="146">
        <f>VLOOKUP($A41,'Summary June 2026'!$A:$HJ,213,FALSE)+VLOOKUP($A41,'Grants+ Other Funding'!$A:$CG,67,FALSE)</f>
        <v>600850.49573841796</v>
      </c>
      <c r="AF41" s="146">
        <f>_xlfn.IFNA(VLOOKUP($A41,'Summary June 2026'!$A:$HJ,214,FALSE)+VLOOKUP($A41,'Grants+ Other Funding'!$A:$CG,68,FALSE),0)</f>
        <v>0</v>
      </c>
      <c r="AG41" s="146">
        <f>_xlfn.IFNA(VLOOKUP($A41,'Summary June 2026'!$A:$HJ,215,FALSE)+VLOOKUP($A41,'Grants+ Other Funding'!$A:$CG,69,FALSE),0)</f>
        <v>27534.539617036015</v>
      </c>
      <c r="AH41" s="146">
        <f>_xlfn.IFNA(VLOOKUP($A41,'Grants+ Other Funding'!$A:$CG,70,FALSE),0)</f>
        <v>0</v>
      </c>
      <c r="AI41" s="146">
        <f>_xlfn.IFNA(VLOOKUP($A41,'Grants+ Other Funding'!$A:$CG,71,FALSE),0)</f>
        <v>0</v>
      </c>
      <c r="AJ41" s="146">
        <f>_xlfn.IFNA(VLOOKUP($A41,'Grants+ Other Funding'!$A:$CG,72,FALSE),0)</f>
        <v>0</v>
      </c>
      <c r="AK41" s="146">
        <f>_xlfn.IFNA(VLOOKUP($A41,'Summary June 2026'!$A:$HJ,217,FALSE),0)</f>
        <v>-3861.2301000000002</v>
      </c>
      <c r="AL41" s="146">
        <f>_xlfn.IFNA(VLOOKUP($A41,'Grants+ Other Funding'!$A:$CG,74,FALSE),0)</f>
        <v>0</v>
      </c>
      <c r="AM41" s="146">
        <f>_xlfn.IFNA(VLOOKUP($A41,'Summary June 2026'!$A:$HJ,218,FALSE),0)</f>
        <v>0</v>
      </c>
      <c r="AN41" s="146">
        <f>_xlfn.IFNA(VLOOKUP($A41,'Summary June 2026'!$A:$HJ,216,FALSE),0)</f>
        <v>-2602.0499999999997</v>
      </c>
      <c r="AO41" s="146">
        <f>_xlfn.IFNA(VLOOKUP($A41,'Grants+ Other Funding'!$A:$CG,73,FALSE),0)</f>
        <v>0</v>
      </c>
      <c r="AP41" s="65">
        <f t="shared" si="1"/>
        <v>621921.75525545387</v>
      </c>
    </row>
    <row r="42" spans="1:42">
      <c r="A42" s="198">
        <v>3002</v>
      </c>
      <c r="B42" s="2">
        <v>103397</v>
      </c>
      <c r="C42" s="2" t="s">
        <v>106</v>
      </c>
      <c r="D42" s="2" t="s">
        <v>107</v>
      </c>
      <c r="E42" s="190" t="s">
        <v>39</v>
      </c>
      <c r="F42" s="208" t="str">
        <f>VLOOKUP(A42,'Summary June 2026'!A:F,6,FALSE)</f>
        <v>Chq Bk</v>
      </c>
      <c r="H42" s="273">
        <f>_xlfn.IFNA(VLOOKUP($A42,ISB!$A:$BY,67,FALSE),0)</f>
        <v>1267383.7553740244</v>
      </c>
      <c r="I42" s="218">
        <f>_xlfn.IFNA(VLOOKUP($A42,ISB!$A:$BY,72,FALSE),0)</f>
        <v>-4457.0999999999995</v>
      </c>
      <c r="J42" s="274">
        <f>-_xlfn.IFNA(VLOOKUP($A42,ISB!$A:$BY,76,FALSE),0)</f>
        <v>-19882.717400000001</v>
      </c>
      <c r="L42" s="273">
        <f>_xlfn.IFNA(VLOOKUP($A42,EY!$A:$DX,126,FALSE),0)</f>
        <v>21327.019207756239</v>
      </c>
      <c r="M42" s="273">
        <f>_xlfn.IFNA(VLOOKUP($A42,EY!$A:$DX,127,FALSE),0)</f>
        <v>0</v>
      </c>
      <c r="O42" s="273">
        <f>_xlfn.IFNA(VLOOKUP($A42,HN!$A:$AN,37,FALSE),0)</f>
        <v>0</v>
      </c>
      <c r="P42" s="273">
        <f>_xlfn.IFNA(VLOOKUP($A42,HN!$A:$AN,38,FALSE),0)</f>
        <v>0</v>
      </c>
      <c r="Q42" s="273">
        <f>_xlfn.IFNA(VLOOKUP($A42,HN!$A:$AN,39,FALSE),0)</f>
        <v>45186</v>
      </c>
      <c r="S42" s="337">
        <f>_xlfn.IFNA(VLOOKUP(A42,'Post 16'!A:AR,44,FALSE),0)</f>
        <v>0</v>
      </c>
      <c r="U42" s="337"/>
      <c r="V42" s="337">
        <f>VLOOKUP(A42,'LA Deductions'!A:AN,40,FALSE)</f>
        <v>0</v>
      </c>
      <c r="X42" s="274">
        <f>VLOOKUP($A42,'Summary June 2026'!$A:$AAX,206,FALSE)-SUMIFS($H42:$V42,$H$7:$V$7,X$7)</f>
        <v>0</v>
      </c>
      <c r="Y42" s="274">
        <f>VLOOKUP($A42,'Summary June 2026'!$A:$HC,207,FALSE)-SUMIFS($H42:$V42,$H$7:$V$7,Y$7)</f>
        <v>0</v>
      </c>
      <c r="Z42" s="274">
        <f>VLOOKUP($A42,'Summary June 2026'!$A:$HC,208,FALSE)-SUMIFS($H42:$V42,$H$7:$V$7,Z$7)</f>
        <v>0</v>
      </c>
      <c r="AA42" s="274">
        <f>VLOOKUP($A42,'Summary June 2026'!$A:$HC,209,FALSE)-SUMIFS($H42:$V42,$H$7:$V$7,AA$7)</f>
        <v>0</v>
      </c>
      <c r="AB42" s="274">
        <f>VLOOKUP($A42,'Summary June 2026'!$A:$HC,210,FALSE)-SUMIFS($H42:$V42,$H$7:$V$7,AB$7)</f>
        <v>0</v>
      </c>
      <c r="AC42" s="274">
        <f>VLOOKUP($A42,'Summary June 2026'!$A:$HC,211,FALSE)-SUMIFS($H42:$V42,$H$7:$V$7,AC$7)</f>
        <v>0</v>
      </c>
      <c r="AE42" s="146">
        <f>VLOOKUP($A42,'Summary June 2026'!$A:$HJ,213,FALSE)+VLOOKUP($A42,'Grants+ Other Funding'!$A:$CG,67,FALSE)</f>
        <v>328021.20605126233</v>
      </c>
      <c r="AF42" s="146">
        <f>_xlfn.IFNA(VLOOKUP($A42,'Summary June 2026'!$A:$HJ,214,FALSE)+VLOOKUP($A42,'Grants+ Other Funding'!$A:$CG,68,FALSE),0)</f>
        <v>0</v>
      </c>
      <c r="AG42" s="146">
        <f>_xlfn.IFNA(VLOOKUP($A42,'Summary June 2026'!$A:$HJ,215,FALSE)+VLOOKUP($A42,'Grants+ Other Funding'!$A:$CG,69,FALSE),0)</f>
        <v>17316.75</v>
      </c>
      <c r="AH42" s="146">
        <f>_xlfn.IFNA(VLOOKUP($A42,'Grants+ Other Funding'!$A:$CG,70,FALSE),0)</f>
        <v>0</v>
      </c>
      <c r="AI42" s="146">
        <f>_xlfn.IFNA(VLOOKUP($A42,'Grants+ Other Funding'!$A:$CG,71,FALSE),0)</f>
        <v>0</v>
      </c>
      <c r="AJ42" s="146">
        <f>_xlfn.IFNA(VLOOKUP($A42,'Grants+ Other Funding'!$A:$CG,72,FALSE),0)</f>
        <v>0</v>
      </c>
      <c r="AK42" s="146">
        <f>_xlfn.IFNA(VLOOKUP($A42,'Summary June 2026'!$A:$HJ,217,FALSE),0)</f>
        <v>-4970.6793500000003</v>
      </c>
      <c r="AL42" s="146">
        <f>_xlfn.IFNA(VLOOKUP($A42,'Grants+ Other Funding'!$A:$CG,74,FALSE),0)</f>
        <v>0</v>
      </c>
      <c r="AM42" s="146">
        <f>_xlfn.IFNA(VLOOKUP($A42,'Summary June 2026'!$A:$HJ,218,FALSE),0)</f>
        <v>0</v>
      </c>
      <c r="AN42" s="146">
        <f>_xlfn.IFNA(VLOOKUP($A42,'Summary June 2026'!$A:$HJ,216,FALSE),0)</f>
        <v>-1114.2749999999999</v>
      </c>
      <c r="AO42" s="146">
        <f>_xlfn.IFNA(VLOOKUP($A42,'Grants+ Other Funding'!$A:$CG,73,FALSE),0)</f>
        <v>0</v>
      </c>
      <c r="AP42" s="65">
        <f t="shared" si="1"/>
        <v>339253.00170126231</v>
      </c>
    </row>
    <row r="43" spans="1:42">
      <c r="A43" s="198">
        <v>3319</v>
      </c>
      <c r="B43" s="2">
        <v>103423</v>
      </c>
      <c r="C43" s="2" t="s">
        <v>108</v>
      </c>
      <c r="D43" s="2" t="s">
        <v>109</v>
      </c>
      <c r="E43" s="190" t="s">
        <v>39</v>
      </c>
      <c r="F43" s="208" t="str">
        <f>VLOOKUP(A43,'Summary June 2026'!A:F,6,FALSE)</f>
        <v>Chq Bk</v>
      </c>
      <c r="H43" s="273">
        <f>_xlfn.IFNA(VLOOKUP($A43,ISB!$A:$BY,67,FALSE),0)</f>
        <v>2239574.9472762244</v>
      </c>
      <c r="I43" s="218">
        <f>_xlfn.IFNA(VLOOKUP($A43,ISB!$A:$BY,72,FALSE),0)</f>
        <v>-9063.6</v>
      </c>
      <c r="J43" s="274">
        <f>-_xlfn.IFNA(VLOOKUP($A43,ISB!$A:$BY,76,FALSE),0)</f>
        <v>-7088.5268999999998</v>
      </c>
      <c r="L43" s="273">
        <f>_xlfn.IFNA(VLOOKUP($A43,EY!$A:$DX,126,FALSE),0)</f>
        <v>78326.713296398884</v>
      </c>
      <c r="M43" s="273">
        <f>_xlfn.IFNA(VLOOKUP($A43,EY!$A:$DX,127,FALSE),0)</f>
        <v>0</v>
      </c>
      <c r="O43" s="273">
        <f>_xlfn.IFNA(VLOOKUP($A43,HN!$A:$AN,37,FALSE),0)</f>
        <v>0</v>
      </c>
      <c r="P43" s="273">
        <f>_xlfn.IFNA(VLOOKUP($A43,HN!$A:$AN,38,FALSE),0)</f>
        <v>0</v>
      </c>
      <c r="Q43" s="273">
        <f>_xlfn.IFNA(VLOOKUP($A43,HN!$A:$AN,39,FALSE),0)</f>
        <v>127113.5</v>
      </c>
      <c r="S43" s="337">
        <f>_xlfn.IFNA(VLOOKUP(A43,'Post 16'!A:AR,44,FALSE),0)</f>
        <v>0</v>
      </c>
      <c r="U43" s="337"/>
      <c r="V43" s="337">
        <f>VLOOKUP(A43,'LA Deductions'!A:AN,40,FALSE)</f>
        <v>0</v>
      </c>
      <c r="X43" s="274">
        <f>VLOOKUP($A43,'Summary June 2026'!$A:$AAX,206,FALSE)-SUMIFS($H43:$V43,$H$7:$V$7,X$7)</f>
        <v>0</v>
      </c>
      <c r="Y43" s="274">
        <f>VLOOKUP($A43,'Summary June 2026'!$A:$HC,207,FALSE)-SUMIFS($H43:$V43,$H$7:$V$7,Y$7)</f>
        <v>0</v>
      </c>
      <c r="Z43" s="274">
        <f>VLOOKUP($A43,'Summary June 2026'!$A:$HC,208,FALSE)-SUMIFS($H43:$V43,$H$7:$V$7,Z$7)</f>
        <v>0</v>
      </c>
      <c r="AA43" s="274">
        <f>VLOOKUP($A43,'Summary June 2026'!$A:$HC,209,FALSE)-SUMIFS($H43:$V43,$H$7:$V$7,AA$7)</f>
        <v>0</v>
      </c>
      <c r="AB43" s="274">
        <f>VLOOKUP($A43,'Summary June 2026'!$A:$HC,210,FALSE)-SUMIFS($H43:$V43,$H$7:$V$7,AB$7)</f>
        <v>0</v>
      </c>
      <c r="AC43" s="274">
        <f>VLOOKUP($A43,'Summary June 2026'!$A:$HC,211,FALSE)-SUMIFS($H43:$V43,$H$7:$V$7,AC$7)</f>
        <v>0</v>
      </c>
      <c r="AE43" s="146">
        <f>VLOOKUP($A43,'Summary June 2026'!$A:$HJ,213,FALSE)+VLOOKUP($A43,'Grants+ Other Funding'!$A:$CG,67,FALSE)</f>
        <v>622244.49011545489</v>
      </c>
      <c r="AF43" s="146">
        <f>_xlfn.IFNA(VLOOKUP($A43,'Summary June 2026'!$A:$HJ,214,FALSE)+VLOOKUP($A43,'Grants+ Other Funding'!$A:$CG,68,FALSE),0)</f>
        <v>0</v>
      </c>
      <c r="AG43" s="146">
        <f>_xlfn.IFNA(VLOOKUP($A43,'Summary June 2026'!$A:$HJ,215,FALSE)+VLOOKUP($A43,'Grants+ Other Funding'!$A:$CG,69,FALSE),0)</f>
        <v>33599.424499999994</v>
      </c>
      <c r="AH43" s="146">
        <f>_xlfn.IFNA(VLOOKUP($A43,'Grants+ Other Funding'!$A:$CG,70,FALSE),0)</f>
        <v>0</v>
      </c>
      <c r="AI43" s="146">
        <f>_xlfn.IFNA(VLOOKUP($A43,'Grants+ Other Funding'!$A:$CG,71,FALSE),0)</f>
        <v>0</v>
      </c>
      <c r="AJ43" s="146">
        <f>_xlfn.IFNA(VLOOKUP($A43,'Grants+ Other Funding'!$A:$CG,72,FALSE),0)</f>
        <v>0</v>
      </c>
      <c r="AK43" s="146">
        <f>_xlfn.IFNA(VLOOKUP($A43,'Summary June 2026'!$A:$HJ,217,FALSE),0)</f>
        <v>-1772.1317249999997</v>
      </c>
      <c r="AL43" s="146">
        <f>_xlfn.IFNA(VLOOKUP($A43,'Grants+ Other Funding'!$A:$CG,74,FALSE),0)</f>
        <v>0</v>
      </c>
      <c r="AM43" s="146">
        <f>_xlfn.IFNA(VLOOKUP($A43,'Summary June 2026'!$A:$HJ,218,FALSE),0)</f>
        <v>0</v>
      </c>
      <c r="AN43" s="146">
        <f>_xlfn.IFNA(VLOOKUP($A43,'Summary June 2026'!$A:$HJ,216,FALSE),0)</f>
        <v>-2265.9</v>
      </c>
      <c r="AO43" s="146">
        <f>_xlfn.IFNA(VLOOKUP($A43,'Grants+ Other Funding'!$A:$CG,73,FALSE),0)</f>
        <v>0</v>
      </c>
      <c r="AP43" s="65">
        <f t="shared" si="1"/>
        <v>651805.88289045484</v>
      </c>
    </row>
    <row r="44" spans="1:42">
      <c r="A44" s="198">
        <v>1100</v>
      </c>
      <c r="B44" s="2">
        <v>103146</v>
      </c>
      <c r="C44" s="2" t="s">
        <v>110</v>
      </c>
      <c r="D44" s="2" t="s">
        <v>111</v>
      </c>
      <c r="E44" s="190" t="s">
        <v>112</v>
      </c>
      <c r="F44" s="208" t="str">
        <f>VLOOKUP(A44,'Summary June 2026'!A:F,6,FALSE)</f>
        <v>Chq Bk</v>
      </c>
      <c r="H44" s="273">
        <f>_xlfn.IFNA(VLOOKUP($A44,ISB!$A:$BY,67,FALSE),0)</f>
        <v>0</v>
      </c>
      <c r="I44" s="218">
        <f>_xlfn.IFNA(VLOOKUP($A44,ISB!$A:$BY,72,FALSE),0)</f>
        <v>0</v>
      </c>
      <c r="J44" s="274">
        <f>-_xlfn.IFNA(VLOOKUP($A44,ISB!$A:$BY,76,FALSE),0)</f>
        <v>0</v>
      </c>
      <c r="L44" s="273">
        <f>_xlfn.IFNA(VLOOKUP($A44,EY!$A:$DX,126,FALSE),0)</f>
        <v>0</v>
      </c>
      <c r="M44" s="273">
        <f>_xlfn.IFNA(VLOOKUP($A44,EY!$A:$DX,127,FALSE),0)</f>
        <v>0</v>
      </c>
      <c r="O44" s="273">
        <f>_xlfn.IFNA(VLOOKUP($A44,HN!$A:$AN,37,FALSE),0)</f>
        <v>6000000</v>
      </c>
      <c r="P44" s="273">
        <f>_xlfn.IFNA(VLOOKUP($A44,HN!$A:$AN,38,FALSE),0)</f>
        <v>0</v>
      </c>
      <c r="Q44" s="273">
        <f>_xlfn.IFNA(VLOOKUP($A44,HN!$A:$AN,39,FALSE),0)</f>
        <v>8702058</v>
      </c>
      <c r="S44" s="337">
        <f>_xlfn.IFNA(VLOOKUP(A44,'Post 16'!A:AR,44,FALSE),0)</f>
        <v>0</v>
      </c>
      <c r="U44" s="337"/>
      <c r="V44" s="337">
        <f>VLOOKUP(A44,'LA Deductions'!A:AN,40,FALSE)</f>
        <v>0</v>
      </c>
      <c r="X44" s="274">
        <f>VLOOKUP($A44,'Summary June 2026'!$A:$AAX,206,FALSE)-SUMIFS($H44:$V44,$H$7:$V$7,X$7)</f>
        <v>0</v>
      </c>
      <c r="Y44" s="274">
        <f>VLOOKUP($A44,'Summary June 2026'!$A:$HC,207,FALSE)-SUMIFS($H44:$V44,$H$7:$V$7,Y$7)</f>
        <v>0</v>
      </c>
      <c r="Z44" s="274">
        <f>VLOOKUP($A44,'Summary June 2026'!$A:$HC,208,FALSE)-SUMIFS($H44:$V44,$H$7:$V$7,Z$7)</f>
        <v>0</v>
      </c>
      <c r="AA44" s="274">
        <f>VLOOKUP($A44,'Summary June 2026'!$A:$HC,209,FALSE)-SUMIFS($H44:$V44,$H$7:$V$7,AA$7)</f>
        <v>0</v>
      </c>
      <c r="AB44" s="274">
        <f>VLOOKUP($A44,'Summary June 2026'!$A:$HC,210,FALSE)-SUMIFS($H44:$V44,$H$7:$V$7,AB$7)</f>
        <v>0</v>
      </c>
      <c r="AC44" s="274">
        <f>VLOOKUP($A44,'Summary June 2026'!$A:$HC,211,FALSE)-SUMIFS($H44:$V44,$H$7:$V$7,AC$7)</f>
        <v>0</v>
      </c>
      <c r="AE44" s="146">
        <f>VLOOKUP($A44,'Summary June 2026'!$A:$HJ,213,FALSE)+VLOOKUP($A44,'Grants+ Other Funding'!$A:$CG,67,FALSE)</f>
        <v>1507562.34</v>
      </c>
      <c r="AF44" s="146">
        <f>_xlfn.IFNA(VLOOKUP($A44,'Summary June 2026'!$A:$HJ,214,FALSE)+VLOOKUP($A44,'Grants+ Other Funding'!$A:$CG,68,FALSE),0)</f>
        <v>-69.28</v>
      </c>
      <c r="AG44" s="146">
        <f>_xlfn.IFNA(VLOOKUP($A44,'Summary June 2026'!$A:$HJ,215,FALSE)+VLOOKUP($A44,'Grants+ Other Funding'!$A:$CG,69,FALSE),0)</f>
        <v>2175514.5</v>
      </c>
      <c r="AH44" s="146">
        <f>_xlfn.IFNA(VLOOKUP($A44,'Grants+ Other Funding'!$A:$CG,70,FALSE),0)</f>
        <v>0</v>
      </c>
      <c r="AI44" s="146">
        <f>_xlfn.IFNA(VLOOKUP($A44,'Grants+ Other Funding'!$A:$CG,71,FALSE),0)</f>
        <v>0</v>
      </c>
      <c r="AJ44" s="146">
        <f>_xlfn.IFNA(VLOOKUP($A44,'Grants+ Other Funding'!$A:$CG,72,FALSE),0)</f>
        <v>0</v>
      </c>
      <c r="AK44" s="146">
        <f>_xlfn.IFNA(VLOOKUP($A44,'Summary June 2026'!$A:$HJ,217,FALSE),0)</f>
        <v>0</v>
      </c>
      <c r="AL44" s="146">
        <f>_xlfn.IFNA(VLOOKUP($A44,'Grants+ Other Funding'!$A:$CG,74,FALSE),0)</f>
        <v>0</v>
      </c>
      <c r="AM44" s="146">
        <f>_xlfn.IFNA(VLOOKUP($A44,'Summary June 2026'!$A:$HJ,218,FALSE),0)</f>
        <v>0</v>
      </c>
      <c r="AN44" s="146">
        <f>_xlfn.IFNA(VLOOKUP($A44,'Summary June 2026'!$A:$HJ,216,FALSE),0)</f>
        <v>0</v>
      </c>
      <c r="AO44" s="146">
        <f>_xlfn.IFNA(VLOOKUP($A44,'Grants+ Other Funding'!$A:$CG,73,FALSE),0)</f>
        <v>0</v>
      </c>
      <c r="AP44" s="65">
        <f t="shared" si="1"/>
        <v>3683007.56</v>
      </c>
    </row>
    <row r="45" spans="1:42">
      <c r="A45" s="198">
        <v>3432</v>
      </c>
      <c r="B45" s="2">
        <v>134840</v>
      </c>
      <c r="C45" s="2" t="s">
        <v>113</v>
      </c>
      <c r="D45" s="2" t="s">
        <v>114</v>
      </c>
      <c r="E45" s="190" t="s">
        <v>39</v>
      </c>
      <c r="F45" s="208" t="str">
        <f>VLOOKUP(A45,'Summary June 2026'!A:F,6,FALSE)</f>
        <v>Chq Bk</v>
      </c>
      <c r="H45" s="273">
        <f>_xlfn.IFNA(VLOOKUP($A45,ISB!$A:$BY,67,FALSE),0)</f>
        <v>5886420.6446573501</v>
      </c>
      <c r="I45" s="218">
        <f>_xlfn.IFNA(VLOOKUP($A45,ISB!$A:$BY,72,FALSE),0)</f>
        <v>-20318.399999999998</v>
      </c>
      <c r="J45" s="274">
        <f>-_xlfn.IFNA(VLOOKUP($A45,ISB!$A:$BY,76,FALSE),0)</f>
        <v>-23974.2048</v>
      </c>
      <c r="L45" s="273">
        <f>_xlfn.IFNA(VLOOKUP($A45,EY!$A:$DX,126,FALSE),0)</f>
        <v>147124.7239418283</v>
      </c>
      <c r="M45" s="273">
        <f>_xlfn.IFNA(VLOOKUP($A45,EY!$A:$DX,127,FALSE),0)</f>
        <v>-3430</v>
      </c>
      <c r="O45" s="273">
        <f>_xlfn.IFNA(VLOOKUP($A45,HN!$A:$AN,37,FALSE),0)</f>
        <v>0</v>
      </c>
      <c r="P45" s="273">
        <f>_xlfn.IFNA(VLOOKUP($A45,HN!$A:$AN,38,FALSE),0)</f>
        <v>0</v>
      </c>
      <c r="Q45" s="273">
        <f>_xlfn.IFNA(VLOOKUP($A45,HN!$A:$AN,39,FALSE),0)</f>
        <v>259032.83000000002</v>
      </c>
      <c r="S45" s="337">
        <f>_xlfn.IFNA(VLOOKUP(A45,'Post 16'!A:AR,44,FALSE),0)</f>
        <v>0</v>
      </c>
      <c r="U45" s="337"/>
      <c r="V45" s="337">
        <f>VLOOKUP(A45,'LA Deductions'!A:AN,40,FALSE)</f>
        <v>0</v>
      </c>
      <c r="X45" s="274">
        <f>VLOOKUP($A45,'Summary June 2026'!$A:$AAX,206,FALSE)-SUMIFS($H45:$V45,$H$7:$V$7,X$7)</f>
        <v>0</v>
      </c>
      <c r="Y45" s="274">
        <f>VLOOKUP($A45,'Summary June 2026'!$A:$HC,207,FALSE)-SUMIFS($H45:$V45,$H$7:$V$7,Y$7)</f>
        <v>0</v>
      </c>
      <c r="Z45" s="274">
        <f>VLOOKUP($A45,'Summary June 2026'!$A:$HC,208,FALSE)-SUMIFS($H45:$V45,$H$7:$V$7,Z$7)</f>
        <v>0</v>
      </c>
      <c r="AA45" s="274">
        <f>VLOOKUP($A45,'Summary June 2026'!$A:$HC,209,FALSE)-SUMIFS($H45:$V45,$H$7:$V$7,AA$7)</f>
        <v>0</v>
      </c>
      <c r="AB45" s="274">
        <f>VLOOKUP($A45,'Summary June 2026'!$A:$HC,210,FALSE)-SUMIFS($H45:$V45,$H$7:$V$7,AB$7)</f>
        <v>0</v>
      </c>
      <c r="AC45" s="274">
        <f>VLOOKUP($A45,'Summary June 2026'!$A:$HC,211,FALSE)-SUMIFS($H45:$V45,$H$7:$V$7,AC$7)</f>
        <v>0</v>
      </c>
      <c r="AE45" s="146">
        <f>VLOOKUP($A45,'Summary June 2026'!$A:$HJ,213,FALSE)+VLOOKUP($A45,'Grants+ Other Funding'!$A:$CG,67,FALSE)</f>
        <v>1571556.452811429</v>
      </c>
      <c r="AF45" s="146">
        <f>_xlfn.IFNA(VLOOKUP($A45,'Summary June 2026'!$A:$HJ,214,FALSE)+VLOOKUP($A45,'Grants+ Other Funding'!$A:$CG,68,FALSE),0)</f>
        <v>-42</v>
      </c>
      <c r="AG45" s="146">
        <f>_xlfn.IFNA(VLOOKUP($A45,'Summary June 2026'!$A:$HJ,215,FALSE)+VLOOKUP($A45,'Grants+ Other Funding'!$A:$CG,69,FALSE),0)</f>
        <v>67948.163499999995</v>
      </c>
      <c r="AH45" s="146">
        <f>_xlfn.IFNA(VLOOKUP($A45,'Grants+ Other Funding'!$A:$CG,70,FALSE),0)</f>
        <v>0</v>
      </c>
      <c r="AI45" s="146">
        <f>_xlfn.IFNA(VLOOKUP($A45,'Grants+ Other Funding'!$A:$CG,71,FALSE),0)</f>
        <v>0</v>
      </c>
      <c r="AJ45" s="146">
        <f>_xlfn.IFNA(VLOOKUP($A45,'Grants+ Other Funding'!$A:$CG,72,FALSE),0)</f>
        <v>0</v>
      </c>
      <c r="AK45" s="146">
        <f>_xlfn.IFNA(VLOOKUP($A45,'Summary June 2026'!$A:$HJ,217,FALSE),0)</f>
        <v>-5993.5511999999999</v>
      </c>
      <c r="AL45" s="146">
        <f>_xlfn.IFNA(VLOOKUP($A45,'Grants+ Other Funding'!$A:$CG,74,FALSE),0)</f>
        <v>0</v>
      </c>
      <c r="AM45" s="146">
        <f>_xlfn.IFNA(VLOOKUP($A45,'Summary June 2026'!$A:$HJ,218,FALSE),0)</f>
        <v>0</v>
      </c>
      <c r="AN45" s="146">
        <f>_xlfn.IFNA(VLOOKUP($A45,'Summary June 2026'!$A:$HJ,216,FALSE),0)</f>
        <v>-5079.5999999999995</v>
      </c>
      <c r="AO45" s="146">
        <f>_xlfn.IFNA(VLOOKUP($A45,'Grants+ Other Funding'!$A:$CG,73,FALSE),0)</f>
        <v>0</v>
      </c>
      <c r="AP45" s="65">
        <f t="shared" si="1"/>
        <v>1628389.4651114289</v>
      </c>
    </row>
    <row r="46" spans="1:42">
      <c r="A46" s="198">
        <v>2289</v>
      </c>
      <c r="B46" s="2">
        <v>103315</v>
      </c>
      <c r="C46" s="2" t="s">
        <v>115</v>
      </c>
      <c r="D46" s="2" t="s">
        <v>116</v>
      </c>
      <c r="E46" s="190" t="s">
        <v>39</v>
      </c>
      <c r="F46" s="208" t="str">
        <f>VLOOKUP(A46,'Summary June 2026'!A:F,6,FALSE)</f>
        <v>Chq Bk</v>
      </c>
      <c r="H46" s="273">
        <f>_xlfn.IFNA(VLOOKUP($A46,ISB!$A:$BY,67,FALSE),0)</f>
        <v>2353672.8112983056</v>
      </c>
      <c r="I46" s="218">
        <f>_xlfn.IFNA(VLOOKUP($A46,ISB!$A:$BY,72,FALSE),0)</f>
        <v>-10233.9</v>
      </c>
      <c r="J46" s="274">
        <f>-_xlfn.IFNA(VLOOKUP($A46,ISB!$A:$BY,76,FALSE),0)</f>
        <v>-20036.387599999998</v>
      </c>
      <c r="L46" s="273">
        <f>_xlfn.IFNA(VLOOKUP($A46,EY!$A:$DX,126,FALSE),0)</f>
        <v>0</v>
      </c>
      <c r="M46" s="273">
        <f>_xlfn.IFNA(VLOOKUP($A46,EY!$A:$DX,127,FALSE),0)</f>
        <v>0</v>
      </c>
      <c r="O46" s="273">
        <f>_xlfn.IFNA(VLOOKUP($A46,HN!$A:$AN,37,FALSE),0)</f>
        <v>0</v>
      </c>
      <c r="P46" s="273">
        <f>_xlfn.IFNA(VLOOKUP($A46,HN!$A:$AN,38,FALSE),0)</f>
        <v>0</v>
      </c>
      <c r="Q46" s="273">
        <f>_xlfn.IFNA(VLOOKUP($A46,HN!$A:$AN,39,FALSE),0)</f>
        <v>120893.5</v>
      </c>
      <c r="S46" s="337">
        <f>_xlfn.IFNA(VLOOKUP(A46,'Post 16'!A:AR,44,FALSE),0)</f>
        <v>0</v>
      </c>
      <c r="U46" s="337"/>
      <c r="V46" s="337">
        <f>VLOOKUP(A46,'LA Deductions'!A:AN,40,FALSE)</f>
        <v>0</v>
      </c>
      <c r="X46" s="274">
        <f>VLOOKUP($A46,'Summary June 2026'!$A:$AAX,206,FALSE)-SUMIFS($H46:$V46,$H$7:$V$7,X$7)</f>
        <v>0</v>
      </c>
      <c r="Y46" s="274">
        <f>VLOOKUP($A46,'Summary June 2026'!$A:$HC,207,FALSE)-SUMIFS($H46:$V46,$H$7:$V$7,Y$7)</f>
        <v>0</v>
      </c>
      <c r="Z46" s="274">
        <f>VLOOKUP($A46,'Summary June 2026'!$A:$HC,208,FALSE)-SUMIFS($H46:$V46,$H$7:$V$7,Z$7)</f>
        <v>0</v>
      </c>
      <c r="AA46" s="274">
        <f>VLOOKUP($A46,'Summary June 2026'!$A:$HC,209,FALSE)-SUMIFS($H46:$V46,$H$7:$V$7,AA$7)</f>
        <v>0</v>
      </c>
      <c r="AB46" s="274">
        <f>VLOOKUP($A46,'Summary June 2026'!$A:$HC,210,FALSE)-SUMIFS($H46:$V46,$H$7:$V$7,AB$7)</f>
        <v>0</v>
      </c>
      <c r="AC46" s="274">
        <f>VLOOKUP($A46,'Summary June 2026'!$A:$HC,211,FALSE)-SUMIFS($H46:$V46,$H$7:$V$7,AC$7)</f>
        <v>0</v>
      </c>
      <c r="AE46" s="146">
        <f>VLOOKUP($A46,'Summary June 2026'!$A:$HJ,213,FALSE)+VLOOKUP($A46,'Grants+ Other Funding'!$A:$CG,67,FALSE)</f>
        <v>588959.27282457636</v>
      </c>
      <c r="AF46" s="146">
        <f>_xlfn.IFNA(VLOOKUP($A46,'Summary June 2026'!$A:$HJ,214,FALSE)+VLOOKUP($A46,'Grants+ Other Funding'!$A:$CG,68,FALSE),0)</f>
        <v>-56.78</v>
      </c>
      <c r="AG46" s="146">
        <f>_xlfn.IFNA(VLOOKUP($A46,'Summary June 2026'!$A:$HJ,215,FALSE)+VLOOKUP($A46,'Grants+ Other Funding'!$A:$CG,69,FALSE),0)</f>
        <v>32886.05575</v>
      </c>
      <c r="AH46" s="146">
        <f>_xlfn.IFNA(VLOOKUP($A46,'Grants+ Other Funding'!$A:$CG,70,FALSE),0)</f>
        <v>0</v>
      </c>
      <c r="AI46" s="146">
        <f>_xlfn.IFNA(VLOOKUP($A46,'Grants+ Other Funding'!$A:$CG,71,FALSE),0)</f>
        <v>0</v>
      </c>
      <c r="AJ46" s="146">
        <f>_xlfn.IFNA(VLOOKUP($A46,'Grants+ Other Funding'!$A:$CG,72,FALSE),0)</f>
        <v>0</v>
      </c>
      <c r="AK46" s="146">
        <f>_xlfn.IFNA(VLOOKUP($A46,'Summary June 2026'!$A:$HJ,217,FALSE),0)</f>
        <v>-5009.0968999999996</v>
      </c>
      <c r="AL46" s="146">
        <f>_xlfn.IFNA(VLOOKUP($A46,'Grants+ Other Funding'!$A:$CG,74,FALSE),0)</f>
        <v>0</v>
      </c>
      <c r="AM46" s="146">
        <f>_xlfn.IFNA(VLOOKUP($A46,'Summary June 2026'!$A:$HJ,218,FALSE),0)</f>
        <v>0</v>
      </c>
      <c r="AN46" s="146">
        <f>_xlfn.IFNA(VLOOKUP($A46,'Summary June 2026'!$A:$HJ,216,FALSE),0)</f>
        <v>-2558.4749999999999</v>
      </c>
      <c r="AO46" s="146">
        <f>_xlfn.IFNA(VLOOKUP($A46,'Grants+ Other Funding'!$A:$CG,73,FALSE),0)</f>
        <v>0</v>
      </c>
      <c r="AP46" s="65">
        <f t="shared" si="1"/>
        <v>614220.97667457641</v>
      </c>
    </row>
    <row r="47" spans="1:42">
      <c r="A47" s="198">
        <v>2185</v>
      </c>
      <c r="B47" s="2">
        <v>103263</v>
      </c>
      <c r="C47" s="2" t="s">
        <v>117</v>
      </c>
      <c r="D47" s="2" t="s">
        <v>118</v>
      </c>
      <c r="E47" s="190" t="s">
        <v>39</v>
      </c>
      <c r="F47" s="208" t="str">
        <f>VLOOKUP(A47,'Summary June 2026'!A:F,6,FALSE)</f>
        <v>Chq Bk</v>
      </c>
      <c r="H47" s="273">
        <f>_xlfn.IFNA(VLOOKUP($A47,ISB!$A:$BY,67,FALSE),0)</f>
        <v>2529573.0344946696</v>
      </c>
      <c r="I47" s="218">
        <f>_xlfn.IFNA(VLOOKUP($A47,ISB!$A:$BY,72,FALSE),0)</f>
        <v>-10482.9</v>
      </c>
      <c r="J47" s="274">
        <f>-_xlfn.IFNA(VLOOKUP($A47,ISB!$A:$BY,76,FALSE),0)</f>
        <v>-34001.877</v>
      </c>
      <c r="L47" s="273">
        <f>_xlfn.IFNA(VLOOKUP($A47,EY!$A:$DX,126,FALSE),0)</f>
        <v>102239.02757894737</v>
      </c>
      <c r="M47" s="273">
        <f>_xlfn.IFNA(VLOOKUP($A47,EY!$A:$DX,127,FALSE),0)</f>
        <v>0</v>
      </c>
      <c r="O47" s="273">
        <f>_xlfn.IFNA(VLOOKUP($A47,HN!$A:$AN,37,FALSE),0)</f>
        <v>0</v>
      </c>
      <c r="P47" s="273">
        <f>_xlfn.IFNA(VLOOKUP($A47,HN!$A:$AN,38,FALSE),0)</f>
        <v>0</v>
      </c>
      <c r="Q47" s="273">
        <f>_xlfn.IFNA(VLOOKUP($A47,HN!$A:$AN,39,FALSE),0)</f>
        <v>105159.33</v>
      </c>
      <c r="S47" s="337">
        <f>_xlfn.IFNA(VLOOKUP(A47,'Post 16'!A:AR,44,FALSE),0)</f>
        <v>0</v>
      </c>
      <c r="U47" s="337"/>
      <c r="V47" s="337">
        <f>VLOOKUP(A47,'LA Deductions'!A:AN,40,FALSE)</f>
        <v>0</v>
      </c>
      <c r="X47" s="274">
        <f>VLOOKUP($A47,'Summary June 2026'!$A:$AAX,206,FALSE)-SUMIFS($H47:$V47,$H$7:$V$7,X$7)</f>
        <v>0</v>
      </c>
      <c r="Y47" s="274">
        <f>VLOOKUP($A47,'Summary June 2026'!$A:$HC,207,FALSE)-SUMIFS($H47:$V47,$H$7:$V$7,Y$7)</f>
        <v>0</v>
      </c>
      <c r="Z47" s="274">
        <f>VLOOKUP($A47,'Summary June 2026'!$A:$HC,208,FALSE)-SUMIFS($H47:$V47,$H$7:$V$7,Z$7)</f>
        <v>0</v>
      </c>
      <c r="AA47" s="274">
        <f>VLOOKUP($A47,'Summary June 2026'!$A:$HC,209,FALSE)-SUMIFS($H47:$V47,$H$7:$V$7,AA$7)</f>
        <v>0</v>
      </c>
      <c r="AB47" s="274">
        <f>VLOOKUP($A47,'Summary June 2026'!$A:$HC,210,FALSE)-SUMIFS($H47:$V47,$H$7:$V$7,AB$7)</f>
        <v>0</v>
      </c>
      <c r="AC47" s="274">
        <f>VLOOKUP($A47,'Summary June 2026'!$A:$HC,211,FALSE)-SUMIFS($H47:$V47,$H$7:$V$7,AC$7)</f>
        <v>0</v>
      </c>
      <c r="AE47" s="146">
        <f>VLOOKUP($A47,'Summary June 2026'!$A:$HJ,213,FALSE)+VLOOKUP($A47,'Grants+ Other Funding'!$A:$CG,67,FALSE)</f>
        <v>686645.94020261476</v>
      </c>
      <c r="AF47" s="146">
        <f>_xlfn.IFNA(VLOOKUP($A47,'Summary June 2026'!$A:$HJ,214,FALSE)+VLOOKUP($A47,'Grants+ Other Funding'!$A:$CG,68,FALSE),0)</f>
        <v>-69.91</v>
      </c>
      <c r="AG47" s="146">
        <f>_xlfn.IFNA(VLOOKUP($A47,'Summary June 2026'!$A:$HJ,215,FALSE)+VLOOKUP($A47,'Grants+ Other Funding'!$A:$CG,69,FALSE),0)</f>
        <v>32317.908000000003</v>
      </c>
      <c r="AH47" s="146">
        <f>_xlfn.IFNA(VLOOKUP($A47,'Grants+ Other Funding'!$A:$CG,70,FALSE),0)</f>
        <v>0</v>
      </c>
      <c r="AI47" s="146">
        <f>_xlfn.IFNA(VLOOKUP($A47,'Grants+ Other Funding'!$A:$CG,71,FALSE),0)</f>
        <v>0</v>
      </c>
      <c r="AJ47" s="146">
        <f>_xlfn.IFNA(VLOOKUP($A47,'Grants+ Other Funding'!$A:$CG,72,FALSE),0)</f>
        <v>0</v>
      </c>
      <c r="AK47" s="146">
        <f>_xlfn.IFNA(VLOOKUP($A47,'Summary June 2026'!$A:$HJ,217,FALSE),0)</f>
        <v>-8500.4692500000001</v>
      </c>
      <c r="AL47" s="146">
        <f>_xlfn.IFNA(VLOOKUP($A47,'Grants+ Other Funding'!$A:$CG,74,FALSE),0)</f>
        <v>0</v>
      </c>
      <c r="AM47" s="146">
        <f>_xlfn.IFNA(VLOOKUP($A47,'Summary June 2026'!$A:$HJ,218,FALSE),0)</f>
        <v>0</v>
      </c>
      <c r="AN47" s="146">
        <f>_xlfn.IFNA(VLOOKUP($A47,'Summary June 2026'!$A:$HJ,216,FALSE),0)</f>
        <v>-2620.7249999999999</v>
      </c>
      <c r="AO47" s="146">
        <f>_xlfn.IFNA(VLOOKUP($A47,'Grants+ Other Funding'!$A:$CG,73,FALSE),0)</f>
        <v>0</v>
      </c>
      <c r="AP47" s="65">
        <f t="shared" si="1"/>
        <v>707772.74395261484</v>
      </c>
    </row>
    <row r="48" spans="1:42">
      <c r="A48" s="198">
        <v>5416</v>
      </c>
      <c r="B48" s="2">
        <v>103563</v>
      </c>
      <c r="C48" s="2" t="s">
        <v>119</v>
      </c>
      <c r="D48" s="2" t="s">
        <v>120</v>
      </c>
      <c r="E48" s="190" t="s">
        <v>71</v>
      </c>
      <c r="F48" s="208" t="str">
        <f>VLOOKUP(A48,'Summary June 2026'!A:F,6,FALSE)</f>
        <v>Chq Bk</v>
      </c>
      <c r="H48" s="273">
        <f>_xlfn.IFNA(VLOOKUP($A48,ISB!$A:$BY,67,FALSE),0)</f>
        <v>9204468.7656803094</v>
      </c>
      <c r="I48" s="218">
        <f>_xlfn.IFNA(VLOOKUP($A48,ISB!$A:$BY,72,FALSE),0)</f>
        <v>-21040.5</v>
      </c>
      <c r="J48" s="274">
        <f>-_xlfn.IFNA(VLOOKUP($A48,ISB!$A:$BY,76,FALSE),0)</f>
        <v>-39764.906999999999</v>
      </c>
      <c r="L48" s="273">
        <f>_xlfn.IFNA(VLOOKUP($A48,EY!$A:$DX,126,FALSE),0)</f>
        <v>0</v>
      </c>
      <c r="M48" s="273">
        <f>_xlfn.IFNA(VLOOKUP($A48,EY!$A:$DX,127,FALSE),0)</f>
        <v>0</v>
      </c>
      <c r="O48" s="273">
        <f>_xlfn.IFNA(VLOOKUP($A48,HN!$A:$AN,37,FALSE),0)</f>
        <v>0</v>
      </c>
      <c r="P48" s="273">
        <f>_xlfn.IFNA(VLOOKUP($A48,HN!$A:$AN,38,FALSE),0)</f>
        <v>0</v>
      </c>
      <c r="Q48" s="273">
        <f>_xlfn.IFNA(VLOOKUP($A48,HN!$A:$AN,39,FALSE),0)</f>
        <v>148383.74999999997</v>
      </c>
      <c r="S48" s="337">
        <f>_xlfn.IFNA(VLOOKUP(A48,'Post 16'!A:AR,44,FALSE),0)</f>
        <v>390148</v>
      </c>
      <c r="U48" s="337"/>
      <c r="V48" s="337">
        <f>VLOOKUP(A48,'LA Deductions'!A:AN,40,FALSE)</f>
        <v>-5490</v>
      </c>
      <c r="X48" s="274">
        <f>VLOOKUP($A48,'Summary June 2026'!$A:$AAX,206,FALSE)-SUMIFS($H48:$V48,$H$7:$V$7,X$7)</f>
        <v>0</v>
      </c>
      <c r="Y48" s="274">
        <f>VLOOKUP($A48,'Summary June 2026'!$A:$HC,207,FALSE)-SUMIFS($H48:$V48,$H$7:$V$7,Y$7)</f>
        <v>0</v>
      </c>
      <c r="Z48" s="274">
        <f>VLOOKUP($A48,'Summary June 2026'!$A:$HC,208,FALSE)-SUMIFS($H48:$V48,$H$7:$V$7,Z$7)</f>
        <v>0</v>
      </c>
      <c r="AA48" s="274">
        <f>VLOOKUP($A48,'Summary June 2026'!$A:$HC,209,FALSE)-SUMIFS($H48:$V48,$H$7:$V$7,AA$7)</f>
        <v>0</v>
      </c>
      <c r="AB48" s="274">
        <f>VLOOKUP($A48,'Summary June 2026'!$A:$HC,210,FALSE)-SUMIFS($H48:$V48,$H$7:$V$7,AB$7)</f>
        <v>0</v>
      </c>
      <c r="AC48" s="274">
        <f>VLOOKUP($A48,'Summary June 2026'!$A:$HC,211,FALSE)-SUMIFS($H48:$V48,$H$7:$V$7,AC$7)</f>
        <v>0</v>
      </c>
      <c r="AE48" s="146">
        <f>VLOOKUP($A48,'Summary June 2026'!$A:$HJ,213,FALSE)+VLOOKUP($A48,'Grants+ Other Funding'!$A:$CG,67,FALSE)</f>
        <v>2301117.1914200773</v>
      </c>
      <c r="AF48" s="146">
        <f>_xlfn.IFNA(VLOOKUP($A48,'Summary June 2026'!$A:$HJ,214,FALSE)+VLOOKUP($A48,'Grants+ Other Funding'!$A:$CG,68,FALSE),0)</f>
        <v>85188.5</v>
      </c>
      <c r="AG48" s="146">
        <f>_xlfn.IFNA(VLOOKUP($A48,'Summary June 2026'!$A:$HJ,215,FALSE)+VLOOKUP($A48,'Grants+ Other Funding'!$A:$CG,69,FALSE),0)</f>
        <v>36234.962249999997</v>
      </c>
      <c r="AH48" s="146">
        <f>_xlfn.IFNA(VLOOKUP($A48,'Grants+ Other Funding'!$A:$CG,70,FALSE),0)</f>
        <v>0</v>
      </c>
      <c r="AI48" s="146">
        <f>_xlfn.IFNA(VLOOKUP($A48,'Grants+ Other Funding'!$A:$CG,71,FALSE),0)</f>
        <v>0</v>
      </c>
      <c r="AJ48" s="146">
        <f>_xlfn.IFNA(VLOOKUP($A48,'Grants+ Other Funding'!$A:$CG,72,FALSE),0)</f>
        <v>0</v>
      </c>
      <c r="AK48" s="146">
        <f>_xlfn.IFNA(VLOOKUP($A48,'Summary June 2026'!$A:$HJ,217,FALSE),0)</f>
        <v>-9941.2267499999998</v>
      </c>
      <c r="AL48" s="146">
        <f>_xlfn.IFNA(VLOOKUP($A48,'Grants+ Other Funding'!$A:$CG,74,FALSE),0)</f>
        <v>0</v>
      </c>
      <c r="AM48" s="146">
        <f>_xlfn.IFNA(VLOOKUP($A48,'Summary June 2026'!$A:$HJ,218,FALSE),0)</f>
        <v>0</v>
      </c>
      <c r="AN48" s="146">
        <f>_xlfn.IFNA(VLOOKUP($A48,'Summary June 2026'!$A:$HJ,216,FALSE),0)</f>
        <v>-5260.125</v>
      </c>
      <c r="AO48" s="146">
        <f>_xlfn.IFNA(VLOOKUP($A48,'Grants+ Other Funding'!$A:$CG,73,FALSE),0)</f>
        <v>0</v>
      </c>
      <c r="AP48" s="65">
        <f t="shared" si="1"/>
        <v>2407339.3019200773</v>
      </c>
    </row>
    <row r="49" spans="1:42">
      <c r="A49" s="198">
        <v>2054</v>
      </c>
      <c r="B49" s="2">
        <v>103189</v>
      </c>
      <c r="C49" s="2" t="s">
        <v>121</v>
      </c>
      <c r="D49" s="2" t="s">
        <v>122</v>
      </c>
      <c r="E49" s="190" t="s">
        <v>39</v>
      </c>
      <c r="F49" s="208" t="str">
        <f>VLOOKUP(A49,'Summary June 2026'!A:F,6,FALSE)</f>
        <v>Chq Bk</v>
      </c>
      <c r="H49" s="273">
        <f>_xlfn.IFNA(VLOOKUP($A49,ISB!$A:$BY,67,FALSE),0)</f>
        <v>1946789.8914969997</v>
      </c>
      <c r="I49" s="218">
        <f>_xlfn.IFNA(VLOOKUP($A49,ISB!$A:$BY,72,FALSE),0)</f>
        <v>-8964</v>
      </c>
      <c r="J49" s="274">
        <f>-_xlfn.IFNA(VLOOKUP($A49,ISB!$A:$BY,76,FALSE),0)</f>
        <v>-15023.0054</v>
      </c>
      <c r="L49" s="273">
        <f>_xlfn.IFNA(VLOOKUP($A49,EY!$A:$DX,126,FALSE),0)</f>
        <v>105849.29961772855</v>
      </c>
      <c r="M49" s="273">
        <f>_xlfn.IFNA(VLOOKUP($A49,EY!$A:$DX,127,FALSE),0)</f>
        <v>705.1678670360111</v>
      </c>
      <c r="O49" s="273">
        <f>_xlfn.IFNA(VLOOKUP($A49,HN!$A:$AN,37,FALSE),0)</f>
        <v>0</v>
      </c>
      <c r="P49" s="273">
        <f>_xlfn.IFNA(VLOOKUP($A49,HN!$A:$AN,38,FALSE),0)</f>
        <v>0</v>
      </c>
      <c r="Q49" s="273">
        <f>_xlfn.IFNA(VLOOKUP($A49,HN!$A:$AN,39,FALSE),0)</f>
        <v>51282.25</v>
      </c>
      <c r="S49" s="337">
        <f>_xlfn.IFNA(VLOOKUP(A49,'Post 16'!A:AR,44,FALSE),0)</f>
        <v>0</v>
      </c>
      <c r="U49" s="337"/>
      <c r="V49" s="337">
        <f>VLOOKUP(A49,'LA Deductions'!A:AN,40,FALSE)</f>
        <v>0</v>
      </c>
      <c r="X49" s="274">
        <f>VLOOKUP($A49,'Summary June 2026'!$A:$AAX,206,FALSE)-SUMIFS($H49:$V49,$H$7:$V$7,X$7)</f>
        <v>0</v>
      </c>
      <c r="Y49" s="274">
        <f>VLOOKUP($A49,'Summary June 2026'!$A:$HC,207,FALSE)-SUMIFS($H49:$V49,$H$7:$V$7,Y$7)</f>
        <v>0</v>
      </c>
      <c r="Z49" s="274">
        <f>VLOOKUP($A49,'Summary June 2026'!$A:$HC,208,FALSE)-SUMIFS($H49:$V49,$H$7:$V$7,Z$7)</f>
        <v>0</v>
      </c>
      <c r="AA49" s="274">
        <f>VLOOKUP($A49,'Summary June 2026'!$A:$HC,209,FALSE)-SUMIFS($H49:$V49,$H$7:$V$7,AA$7)</f>
        <v>0</v>
      </c>
      <c r="AB49" s="274">
        <f>VLOOKUP($A49,'Summary June 2026'!$A:$HC,210,FALSE)-SUMIFS($H49:$V49,$H$7:$V$7,AB$7)</f>
        <v>0</v>
      </c>
      <c r="AC49" s="274">
        <f>VLOOKUP($A49,'Summary June 2026'!$A:$HC,211,FALSE)-SUMIFS($H49:$V49,$H$7:$V$7,AC$7)</f>
        <v>0</v>
      </c>
      <c r="AE49" s="146">
        <f>VLOOKUP($A49,'Summary June 2026'!$A:$HJ,213,FALSE)+VLOOKUP($A49,'Grants+ Other Funding'!$A:$CG,67,FALSE)</f>
        <v>543200.51859724161</v>
      </c>
      <c r="AF49" s="146">
        <f>_xlfn.IFNA(VLOOKUP($A49,'Summary June 2026'!$A:$HJ,214,FALSE)+VLOOKUP($A49,'Grants+ Other Funding'!$A:$CG,68,FALSE),0)</f>
        <v>0</v>
      </c>
      <c r="AG49" s="146">
        <f>_xlfn.IFNA(VLOOKUP($A49,'Summary June 2026'!$A:$HJ,215,FALSE)+VLOOKUP($A49,'Grants+ Other Funding'!$A:$CG,69,FALSE),0)</f>
        <v>18896.405367036012</v>
      </c>
      <c r="AH49" s="146">
        <f>_xlfn.IFNA(VLOOKUP($A49,'Grants+ Other Funding'!$A:$CG,70,FALSE),0)</f>
        <v>0</v>
      </c>
      <c r="AI49" s="146">
        <f>_xlfn.IFNA(VLOOKUP($A49,'Grants+ Other Funding'!$A:$CG,71,FALSE),0)</f>
        <v>0</v>
      </c>
      <c r="AJ49" s="146">
        <f>_xlfn.IFNA(VLOOKUP($A49,'Grants+ Other Funding'!$A:$CG,72,FALSE),0)</f>
        <v>0</v>
      </c>
      <c r="AK49" s="146">
        <f>_xlfn.IFNA(VLOOKUP($A49,'Summary June 2026'!$A:$HJ,217,FALSE),0)</f>
        <v>-3755.7513500000005</v>
      </c>
      <c r="AL49" s="146">
        <f>_xlfn.IFNA(VLOOKUP($A49,'Grants+ Other Funding'!$A:$CG,74,FALSE),0)</f>
        <v>0</v>
      </c>
      <c r="AM49" s="146">
        <f>_xlfn.IFNA(VLOOKUP($A49,'Summary June 2026'!$A:$HJ,218,FALSE),0)</f>
        <v>0</v>
      </c>
      <c r="AN49" s="146">
        <f>_xlfn.IFNA(VLOOKUP($A49,'Summary June 2026'!$A:$HJ,216,FALSE),0)</f>
        <v>-2241</v>
      </c>
      <c r="AO49" s="146">
        <f>_xlfn.IFNA(VLOOKUP($A49,'Grants+ Other Funding'!$A:$CG,73,FALSE),0)</f>
        <v>0</v>
      </c>
      <c r="AP49" s="65">
        <f t="shared" si="1"/>
        <v>556100.17261427757</v>
      </c>
    </row>
    <row r="50" spans="1:42">
      <c r="A50" s="198">
        <v>2053</v>
      </c>
      <c r="B50" s="2">
        <v>103188</v>
      </c>
      <c r="C50" s="2" t="s">
        <v>123</v>
      </c>
      <c r="D50" s="2" t="s">
        <v>124</v>
      </c>
      <c r="E50" s="190" t="s">
        <v>39</v>
      </c>
      <c r="F50" s="208" t="str">
        <f>VLOOKUP(A50,'Summary June 2026'!A:F,6,FALSE)</f>
        <v>Chq Bk</v>
      </c>
      <c r="H50" s="273">
        <f>_xlfn.IFNA(VLOOKUP($A50,ISB!$A:$BY,67,FALSE),0)</f>
        <v>2572728.4613141972</v>
      </c>
      <c r="I50" s="218">
        <f>_xlfn.IFNA(VLOOKUP($A50,ISB!$A:$BY,72,FALSE),0)</f>
        <v>-11852.4</v>
      </c>
      <c r="J50" s="274">
        <f>-_xlfn.IFNA(VLOOKUP($A50,ISB!$A:$BY,76,FALSE),0)</f>
        <v>-21618.466</v>
      </c>
      <c r="L50" s="273">
        <f>_xlfn.IFNA(VLOOKUP($A50,EY!$A:$DX,126,FALSE),0)</f>
        <v>0</v>
      </c>
      <c r="M50" s="273">
        <f>_xlfn.IFNA(VLOOKUP($A50,EY!$A:$DX,127,FALSE),0)</f>
        <v>0</v>
      </c>
      <c r="O50" s="273">
        <f>_xlfn.IFNA(VLOOKUP($A50,HN!$A:$AN,37,FALSE),0)</f>
        <v>0</v>
      </c>
      <c r="P50" s="273">
        <f>_xlfn.IFNA(VLOOKUP($A50,HN!$A:$AN,38,FALSE),0)</f>
        <v>0</v>
      </c>
      <c r="Q50" s="273">
        <f>_xlfn.IFNA(VLOOKUP($A50,HN!$A:$AN,39,FALSE),0)</f>
        <v>88945.34</v>
      </c>
      <c r="S50" s="337">
        <f>_xlfn.IFNA(VLOOKUP(A50,'Post 16'!A:AR,44,FALSE),0)</f>
        <v>0</v>
      </c>
      <c r="U50" s="337"/>
      <c r="V50" s="337">
        <f>VLOOKUP(A50,'LA Deductions'!A:AN,40,FALSE)</f>
        <v>0</v>
      </c>
      <c r="X50" s="274">
        <f>VLOOKUP($A50,'Summary June 2026'!$A:$AAX,206,FALSE)-SUMIFS($H50:$V50,$H$7:$V$7,X$7)</f>
        <v>0</v>
      </c>
      <c r="Y50" s="274">
        <f>VLOOKUP($A50,'Summary June 2026'!$A:$HC,207,FALSE)-SUMIFS($H50:$V50,$H$7:$V$7,Y$7)</f>
        <v>0</v>
      </c>
      <c r="Z50" s="274">
        <f>VLOOKUP($A50,'Summary June 2026'!$A:$HC,208,FALSE)-SUMIFS($H50:$V50,$H$7:$V$7,Z$7)</f>
        <v>0</v>
      </c>
      <c r="AA50" s="274">
        <f>VLOOKUP($A50,'Summary June 2026'!$A:$HC,209,FALSE)-SUMIFS($H50:$V50,$H$7:$V$7,AA$7)</f>
        <v>0</v>
      </c>
      <c r="AB50" s="274">
        <f>VLOOKUP($A50,'Summary June 2026'!$A:$HC,210,FALSE)-SUMIFS($H50:$V50,$H$7:$V$7,AB$7)</f>
        <v>0</v>
      </c>
      <c r="AC50" s="274">
        <f>VLOOKUP($A50,'Summary June 2026'!$A:$HC,211,FALSE)-SUMIFS($H50:$V50,$H$7:$V$7,AC$7)</f>
        <v>0</v>
      </c>
      <c r="AE50" s="146">
        <f>VLOOKUP($A50,'Summary June 2026'!$A:$HJ,213,FALSE)+VLOOKUP($A50,'Grants+ Other Funding'!$A:$CG,67,FALSE)</f>
        <v>643182.11532854929</v>
      </c>
      <c r="AF50" s="146">
        <f>_xlfn.IFNA(VLOOKUP($A50,'Summary June 2026'!$A:$HJ,214,FALSE)+VLOOKUP($A50,'Grants+ Other Funding'!$A:$CG,68,FALSE),0)</f>
        <v>0</v>
      </c>
      <c r="AG50" s="146">
        <f>_xlfn.IFNA(VLOOKUP($A50,'Summary June 2026'!$A:$HJ,215,FALSE)+VLOOKUP($A50,'Grants+ Other Funding'!$A:$CG,69,FALSE),0)</f>
        <v>30092.953249999999</v>
      </c>
      <c r="AH50" s="146">
        <f>_xlfn.IFNA(VLOOKUP($A50,'Grants+ Other Funding'!$A:$CG,70,FALSE),0)</f>
        <v>0</v>
      </c>
      <c r="AI50" s="146">
        <f>_xlfn.IFNA(VLOOKUP($A50,'Grants+ Other Funding'!$A:$CG,71,FALSE),0)</f>
        <v>0</v>
      </c>
      <c r="AJ50" s="146">
        <f>_xlfn.IFNA(VLOOKUP($A50,'Grants+ Other Funding'!$A:$CG,72,FALSE),0)</f>
        <v>0</v>
      </c>
      <c r="AK50" s="146">
        <f>_xlfn.IFNA(VLOOKUP($A50,'Summary June 2026'!$A:$HJ,217,FALSE),0)</f>
        <v>-5404.6165000000001</v>
      </c>
      <c r="AL50" s="146">
        <f>_xlfn.IFNA(VLOOKUP($A50,'Grants+ Other Funding'!$A:$CG,74,FALSE),0)</f>
        <v>0</v>
      </c>
      <c r="AM50" s="146">
        <f>_xlfn.IFNA(VLOOKUP($A50,'Summary June 2026'!$A:$HJ,218,FALSE),0)</f>
        <v>0</v>
      </c>
      <c r="AN50" s="146">
        <f>_xlfn.IFNA(VLOOKUP($A50,'Summary June 2026'!$A:$HJ,216,FALSE),0)</f>
        <v>-2963.1</v>
      </c>
      <c r="AO50" s="146">
        <f>_xlfn.IFNA(VLOOKUP($A50,'Grants+ Other Funding'!$A:$CG,73,FALSE),0)</f>
        <v>0</v>
      </c>
      <c r="AP50" s="65">
        <f t="shared" si="1"/>
        <v>664907.35207854933</v>
      </c>
    </row>
    <row r="51" spans="1:42">
      <c r="A51" s="198">
        <v>2464</v>
      </c>
      <c r="B51" s="2">
        <v>103390</v>
      </c>
      <c r="C51" s="2" t="s">
        <v>125</v>
      </c>
      <c r="D51" s="2" t="s">
        <v>126</v>
      </c>
      <c r="E51" s="190" t="s">
        <v>39</v>
      </c>
      <c r="F51" s="208" t="str">
        <f>VLOOKUP(A51,'Summary June 2026'!A:F,6,FALSE)</f>
        <v>Chq Bk</v>
      </c>
      <c r="H51" s="273">
        <f>_xlfn.IFNA(VLOOKUP($A51,ISB!$A:$BY,67,FALSE),0)</f>
        <v>2146339.4070000001</v>
      </c>
      <c r="I51" s="218">
        <f>_xlfn.IFNA(VLOOKUP($A51,ISB!$A:$BY,72,FALSE),0)</f>
        <v>-10283.699999999999</v>
      </c>
      <c r="J51" s="274">
        <f>-_xlfn.IFNA(VLOOKUP($A51,ISB!$A:$BY,76,FALSE),0)</f>
        <v>-33844.406999999999</v>
      </c>
      <c r="L51" s="273">
        <f>_xlfn.IFNA(VLOOKUP($A51,EY!$A:$DX,126,FALSE),0)</f>
        <v>0</v>
      </c>
      <c r="M51" s="273">
        <f>_xlfn.IFNA(VLOOKUP($A51,EY!$A:$DX,127,FALSE),0)</f>
        <v>0</v>
      </c>
      <c r="O51" s="273">
        <f>_xlfn.IFNA(VLOOKUP($A51,HN!$A:$AN,37,FALSE),0)</f>
        <v>0</v>
      </c>
      <c r="P51" s="273">
        <f>_xlfn.IFNA(VLOOKUP($A51,HN!$A:$AN,38,FALSE),0)</f>
        <v>0</v>
      </c>
      <c r="Q51" s="273">
        <f>_xlfn.IFNA(VLOOKUP($A51,HN!$A:$AN,39,FALSE),0)</f>
        <v>32643</v>
      </c>
      <c r="S51" s="337">
        <f>_xlfn.IFNA(VLOOKUP(A51,'Post 16'!A:AR,44,FALSE),0)</f>
        <v>0</v>
      </c>
      <c r="U51" s="337"/>
      <c r="V51" s="337">
        <f>VLOOKUP(A51,'LA Deductions'!A:AN,40,FALSE)</f>
        <v>0</v>
      </c>
      <c r="X51" s="274">
        <f>VLOOKUP($A51,'Summary June 2026'!$A:$AAX,206,FALSE)-SUMIFS($H51:$V51,$H$7:$V$7,X$7)</f>
        <v>0</v>
      </c>
      <c r="Y51" s="274">
        <f>VLOOKUP($A51,'Summary June 2026'!$A:$HC,207,FALSE)-SUMIFS($H51:$V51,$H$7:$V$7,Y$7)</f>
        <v>0</v>
      </c>
      <c r="Z51" s="274">
        <f>VLOOKUP($A51,'Summary June 2026'!$A:$HC,208,FALSE)-SUMIFS($H51:$V51,$H$7:$V$7,Z$7)</f>
        <v>0</v>
      </c>
      <c r="AA51" s="274">
        <f>VLOOKUP($A51,'Summary June 2026'!$A:$HC,209,FALSE)-SUMIFS($H51:$V51,$H$7:$V$7,AA$7)</f>
        <v>0</v>
      </c>
      <c r="AB51" s="274">
        <f>VLOOKUP($A51,'Summary June 2026'!$A:$HC,210,FALSE)-SUMIFS($H51:$V51,$H$7:$V$7,AB$7)</f>
        <v>0</v>
      </c>
      <c r="AC51" s="274">
        <f>VLOOKUP($A51,'Summary June 2026'!$A:$HC,211,FALSE)-SUMIFS($H51:$V51,$H$7:$V$7,AC$7)</f>
        <v>0</v>
      </c>
      <c r="AE51" s="146">
        <f>VLOOKUP($A51,'Summary June 2026'!$A:$HJ,213,FALSE)+VLOOKUP($A51,'Grants+ Other Funding'!$A:$CG,67,FALSE)</f>
        <v>537725.53175000008</v>
      </c>
      <c r="AF51" s="146">
        <f>_xlfn.IFNA(VLOOKUP($A51,'Summary June 2026'!$A:$HJ,214,FALSE)+VLOOKUP($A51,'Grants+ Other Funding'!$A:$CG,68,FALSE),0)</f>
        <v>-161.71</v>
      </c>
      <c r="AG51" s="146">
        <f>_xlfn.IFNA(VLOOKUP($A51,'Summary June 2026'!$A:$HJ,215,FALSE)+VLOOKUP($A51,'Grants+ Other Funding'!$A:$CG,69,FALSE),0)</f>
        <v>7871.7247500000012</v>
      </c>
      <c r="AH51" s="146">
        <f>_xlfn.IFNA(VLOOKUP($A51,'Grants+ Other Funding'!$A:$CG,70,FALSE),0)</f>
        <v>0</v>
      </c>
      <c r="AI51" s="146">
        <f>_xlfn.IFNA(VLOOKUP($A51,'Grants+ Other Funding'!$A:$CG,71,FALSE),0)</f>
        <v>0</v>
      </c>
      <c r="AJ51" s="146">
        <f>_xlfn.IFNA(VLOOKUP($A51,'Grants+ Other Funding'!$A:$CG,72,FALSE),0)</f>
        <v>0</v>
      </c>
      <c r="AK51" s="146">
        <f>_xlfn.IFNA(VLOOKUP($A51,'Summary June 2026'!$A:$HJ,217,FALSE),0)</f>
        <v>-8461.1017499999998</v>
      </c>
      <c r="AL51" s="146">
        <f>_xlfn.IFNA(VLOOKUP($A51,'Grants+ Other Funding'!$A:$CG,74,FALSE),0)</f>
        <v>0</v>
      </c>
      <c r="AM51" s="146">
        <f>_xlfn.IFNA(VLOOKUP($A51,'Summary June 2026'!$A:$HJ,218,FALSE),0)</f>
        <v>0</v>
      </c>
      <c r="AN51" s="146">
        <f>_xlfn.IFNA(VLOOKUP($A51,'Summary June 2026'!$A:$HJ,216,FALSE),0)</f>
        <v>-2570.9249999999997</v>
      </c>
      <c r="AO51" s="146">
        <f>_xlfn.IFNA(VLOOKUP($A51,'Grants+ Other Funding'!$A:$CG,73,FALSE),0)</f>
        <v>0</v>
      </c>
      <c r="AP51" s="65">
        <f t="shared" si="1"/>
        <v>534403.51975000009</v>
      </c>
    </row>
    <row r="52" spans="1:42">
      <c r="A52" s="198">
        <v>3320</v>
      </c>
      <c r="B52" s="2">
        <v>103424</v>
      </c>
      <c r="C52" s="2" t="s">
        <v>127</v>
      </c>
      <c r="D52" s="2" t="s">
        <v>128</v>
      </c>
      <c r="E52" s="190" t="s">
        <v>39</v>
      </c>
      <c r="F52" s="208" t="str">
        <f>VLOOKUP(A52,'Summary June 2026'!A:F,6,FALSE)</f>
        <v>Chq Bk</v>
      </c>
      <c r="H52" s="273">
        <f>_xlfn.IFNA(VLOOKUP($A52,ISB!$A:$BY,67,FALSE),0)</f>
        <v>2511252.5376739195</v>
      </c>
      <c r="I52" s="218">
        <f>_xlfn.IFNA(VLOOKUP($A52,ISB!$A:$BY,72,FALSE),0)</f>
        <v>-9785.6999999999989</v>
      </c>
      <c r="J52" s="274">
        <f>-_xlfn.IFNA(VLOOKUP($A52,ISB!$A:$BY,76,FALSE),0)</f>
        <v>-7549.5693000000001</v>
      </c>
      <c r="L52" s="273">
        <f>_xlfn.IFNA(VLOOKUP($A52,EY!$A:$DX,126,FALSE),0)</f>
        <v>0</v>
      </c>
      <c r="M52" s="273">
        <f>_xlfn.IFNA(VLOOKUP($A52,EY!$A:$DX,127,FALSE),0)</f>
        <v>0</v>
      </c>
      <c r="O52" s="273">
        <f>_xlfn.IFNA(VLOOKUP($A52,HN!$A:$AN,37,FALSE),0)</f>
        <v>0</v>
      </c>
      <c r="P52" s="273">
        <f>_xlfn.IFNA(VLOOKUP($A52,HN!$A:$AN,38,FALSE),0)</f>
        <v>0</v>
      </c>
      <c r="Q52" s="273">
        <f>_xlfn.IFNA(VLOOKUP($A52,HN!$A:$AN,39,FALSE),0)</f>
        <v>63405.33</v>
      </c>
      <c r="S52" s="337">
        <f>_xlfn.IFNA(VLOOKUP(A52,'Post 16'!A:AR,44,FALSE),0)</f>
        <v>0</v>
      </c>
      <c r="U52" s="337"/>
      <c r="V52" s="337">
        <f>VLOOKUP(A52,'LA Deductions'!A:AN,40,FALSE)</f>
        <v>-4530</v>
      </c>
      <c r="X52" s="274">
        <f>VLOOKUP($A52,'Summary June 2026'!$A:$AAX,206,FALSE)-SUMIFS($H52:$V52,$H$7:$V$7,X$7)</f>
        <v>0</v>
      </c>
      <c r="Y52" s="274">
        <f>VLOOKUP($A52,'Summary June 2026'!$A:$HC,207,FALSE)-SUMIFS($H52:$V52,$H$7:$V$7,Y$7)</f>
        <v>0</v>
      </c>
      <c r="Z52" s="274">
        <f>VLOOKUP($A52,'Summary June 2026'!$A:$HC,208,FALSE)-SUMIFS($H52:$V52,$H$7:$V$7,Z$7)</f>
        <v>0</v>
      </c>
      <c r="AA52" s="274">
        <f>VLOOKUP($A52,'Summary June 2026'!$A:$HC,209,FALSE)-SUMIFS($H52:$V52,$H$7:$V$7,AA$7)</f>
        <v>0</v>
      </c>
      <c r="AB52" s="274">
        <f>VLOOKUP($A52,'Summary June 2026'!$A:$HC,210,FALSE)-SUMIFS($H52:$V52,$H$7:$V$7,AB$7)</f>
        <v>0</v>
      </c>
      <c r="AC52" s="274">
        <f>VLOOKUP($A52,'Summary June 2026'!$A:$HC,211,FALSE)-SUMIFS($H52:$V52,$H$7:$V$7,AC$7)</f>
        <v>0</v>
      </c>
      <c r="AE52" s="146">
        <f>VLOOKUP($A52,'Summary June 2026'!$A:$HJ,213,FALSE)+VLOOKUP($A52,'Grants+ Other Funding'!$A:$CG,67,FALSE)</f>
        <v>633912.7944184799</v>
      </c>
      <c r="AF52" s="146">
        <f>_xlfn.IFNA(VLOOKUP($A52,'Summary June 2026'!$A:$HJ,214,FALSE)+VLOOKUP($A52,'Grants+ Other Funding'!$A:$CG,68,FALSE),0)</f>
        <v>-28.92</v>
      </c>
      <c r="AG52" s="146">
        <f>_xlfn.IFNA(VLOOKUP($A52,'Summary June 2026'!$A:$HJ,215,FALSE)+VLOOKUP($A52,'Grants+ Other Funding'!$A:$CG,69,FALSE),0)</f>
        <v>19524.45075</v>
      </c>
      <c r="AH52" s="146">
        <f>_xlfn.IFNA(VLOOKUP($A52,'Grants+ Other Funding'!$A:$CG,70,FALSE),0)</f>
        <v>0</v>
      </c>
      <c r="AI52" s="146">
        <f>_xlfn.IFNA(VLOOKUP($A52,'Grants+ Other Funding'!$A:$CG,71,FALSE),0)</f>
        <v>0</v>
      </c>
      <c r="AJ52" s="146">
        <f>_xlfn.IFNA(VLOOKUP($A52,'Grants+ Other Funding'!$A:$CG,72,FALSE),0)</f>
        <v>0</v>
      </c>
      <c r="AK52" s="146">
        <f>_xlfn.IFNA(VLOOKUP($A52,'Summary June 2026'!$A:$HJ,217,FALSE),0)</f>
        <v>-1887.3923249999998</v>
      </c>
      <c r="AL52" s="146">
        <f>_xlfn.IFNA(VLOOKUP($A52,'Grants+ Other Funding'!$A:$CG,74,FALSE),0)</f>
        <v>0</v>
      </c>
      <c r="AM52" s="146">
        <f>_xlfn.IFNA(VLOOKUP($A52,'Summary June 2026'!$A:$HJ,218,FALSE),0)</f>
        <v>0</v>
      </c>
      <c r="AN52" s="146">
        <f>_xlfn.IFNA(VLOOKUP($A52,'Summary June 2026'!$A:$HJ,216,FALSE),0)</f>
        <v>-2446.4249999999997</v>
      </c>
      <c r="AO52" s="146">
        <f>_xlfn.IFNA(VLOOKUP($A52,'Grants+ Other Funding'!$A:$CG,73,FALSE),0)</f>
        <v>0</v>
      </c>
      <c r="AP52" s="65">
        <f t="shared" si="1"/>
        <v>649074.50784347975</v>
      </c>
    </row>
    <row r="53" spans="1:42">
      <c r="A53" s="198">
        <v>2055</v>
      </c>
      <c r="B53" s="2">
        <v>103190</v>
      </c>
      <c r="C53" s="2" t="s">
        <v>129</v>
      </c>
      <c r="D53" s="2" t="s">
        <v>130</v>
      </c>
      <c r="E53" s="190" t="s">
        <v>39</v>
      </c>
      <c r="F53" s="208" t="str">
        <f>VLOOKUP(A53,'Summary June 2026'!A:F,6,FALSE)</f>
        <v>Chq Bk</v>
      </c>
      <c r="H53" s="273">
        <f>_xlfn.IFNA(VLOOKUP($A53,ISB!$A:$BY,67,FALSE),0)</f>
        <v>2279501.4801436528</v>
      </c>
      <c r="I53" s="218">
        <f>_xlfn.IFNA(VLOOKUP($A53,ISB!$A:$BY,72,FALSE),0)</f>
        <v>-10258.799999999999</v>
      </c>
      <c r="J53" s="274">
        <f>-_xlfn.IFNA(VLOOKUP($A53,ISB!$A:$BY,76,FALSE),0)</f>
        <v>-39188.603999999999</v>
      </c>
      <c r="L53" s="273">
        <f>_xlfn.IFNA(VLOOKUP($A53,EY!$A:$DX,126,FALSE),0)</f>
        <v>104176.07284210526</v>
      </c>
      <c r="M53" s="273">
        <f>_xlfn.IFNA(VLOOKUP($A53,EY!$A:$DX,127,FALSE),0)</f>
        <v>0</v>
      </c>
      <c r="O53" s="273">
        <f>_xlfn.IFNA(VLOOKUP($A53,HN!$A:$AN,37,FALSE),0)</f>
        <v>0</v>
      </c>
      <c r="P53" s="273">
        <f>_xlfn.IFNA(VLOOKUP($A53,HN!$A:$AN,38,FALSE),0)</f>
        <v>0</v>
      </c>
      <c r="Q53" s="273">
        <f>_xlfn.IFNA(VLOOKUP($A53,HN!$A:$AN,39,FALSE),0)</f>
        <v>103489.5</v>
      </c>
      <c r="S53" s="337">
        <f>_xlfn.IFNA(VLOOKUP(A53,'Post 16'!A:AR,44,FALSE),0)</f>
        <v>0</v>
      </c>
      <c r="U53" s="337"/>
      <c r="V53" s="337">
        <f>VLOOKUP(A53,'LA Deductions'!A:AN,40,FALSE)</f>
        <v>0</v>
      </c>
      <c r="X53" s="274">
        <f>VLOOKUP($A53,'Summary June 2026'!$A:$AAX,206,FALSE)-SUMIFS($H53:$V53,$H$7:$V$7,X$7)</f>
        <v>0</v>
      </c>
      <c r="Y53" s="274">
        <f>VLOOKUP($A53,'Summary June 2026'!$A:$HC,207,FALSE)-SUMIFS($H53:$V53,$H$7:$V$7,Y$7)</f>
        <v>0</v>
      </c>
      <c r="Z53" s="274">
        <f>VLOOKUP($A53,'Summary June 2026'!$A:$HC,208,FALSE)-SUMIFS($H53:$V53,$H$7:$V$7,Z$7)</f>
        <v>0</v>
      </c>
      <c r="AA53" s="274">
        <f>VLOOKUP($A53,'Summary June 2026'!$A:$HC,209,FALSE)-SUMIFS($H53:$V53,$H$7:$V$7,AA$7)</f>
        <v>0</v>
      </c>
      <c r="AB53" s="274">
        <f>VLOOKUP($A53,'Summary June 2026'!$A:$HC,210,FALSE)-SUMIFS($H53:$V53,$H$7:$V$7,AB$7)</f>
        <v>0</v>
      </c>
      <c r="AC53" s="274">
        <f>VLOOKUP($A53,'Summary June 2026'!$A:$HC,211,FALSE)-SUMIFS($H53:$V53,$H$7:$V$7,AC$7)</f>
        <v>0</v>
      </c>
      <c r="AE53" s="146">
        <f>VLOOKUP($A53,'Summary June 2026'!$A:$HJ,213,FALSE)+VLOOKUP($A53,'Grants+ Other Funding'!$A:$CG,67,FALSE)</f>
        <v>630475.9628780185</v>
      </c>
      <c r="AF53" s="146">
        <f>_xlfn.IFNA(VLOOKUP($A53,'Summary June 2026'!$A:$HJ,214,FALSE)+VLOOKUP($A53,'Grants+ Other Funding'!$A:$CG,68,FALSE),0)</f>
        <v>0</v>
      </c>
      <c r="AG53" s="146">
        <f>_xlfn.IFNA(VLOOKUP($A53,'Summary June 2026'!$A:$HJ,215,FALSE)+VLOOKUP($A53,'Grants+ Other Funding'!$A:$CG,69,FALSE),0)</f>
        <v>26092.82475</v>
      </c>
      <c r="AH53" s="146">
        <f>_xlfn.IFNA(VLOOKUP($A53,'Grants+ Other Funding'!$A:$CG,70,FALSE),0)</f>
        <v>0</v>
      </c>
      <c r="AI53" s="146">
        <f>_xlfn.IFNA(VLOOKUP($A53,'Grants+ Other Funding'!$A:$CG,71,FALSE),0)</f>
        <v>0</v>
      </c>
      <c r="AJ53" s="146">
        <f>_xlfn.IFNA(VLOOKUP($A53,'Grants+ Other Funding'!$A:$CG,72,FALSE),0)</f>
        <v>0</v>
      </c>
      <c r="AK53" s="146">
        <f>_xlfn.IFNA(VLOOKUP($A53,'Summary June 2026'!$A:$HJ,217,FALSE),0)</f>
        <v>-9797.1509999999998</v>
      </c>
      <c r="AL53" s="146">
        <f>_xlfn.IFNA(VLOOKUP($A53,'Grants+ Other Funding'!$A:$CG,74,FALSE),0)</f>
        <v>0</v>
      </c>
      <c r="AM53" s="146">
        <f>_xlfn.IFNA(VLOOKUP($A53,'Summary June 2026'!$A:$HJ,218,FALSE),0)</f>
        <v>0</v>
      </c>
      <c r="AN53" s="146">
        <f>_xlfn.IFNA(VLOOKUP($A53,'Summary June 2026'!$A:$HJ,216,FALSE),0)</f>
        <v>-2564.6999999999998</v>
      </c>
      <c r="AO53" s="146">
        <f>_xlfn.IFNA(VLOOKUP($A53,'Grants+ Other Funding'!$A:$CG,73,FALSE),0)</f>
        <v>0</v>
      </c>
      <c r="AP53" s="65">
        <f t="shared" si="1"/>
        <v>644206.93662801862</v>
      </c>
    </row>
    <row r="54" spans="1:42">
      <c r="A54" s="198">
        <v>1802</v>
      </c>
      <c r="B54" s="2">
        <v>103150</v>
      </c>
      <c r="C54" s="2" t="s">
        <v>131</v>
      </c>
      <c r="D54" s="2" t="s">
        <v>132</v>
      </c>
      <c r="E54" s="190" t="s">
        <v>36</v>
      </c>
      <c r="F54" s="208" t="str">
        <f>VLOOKUP(A54,'Summary June 2026'!A:F,6,FALSE)</f>
        <v>Chq Bk</v>
      </c>
      <c r="H54" s="273">
        <f>_xlfn.IFNA(VLOOKUP($A54,ISB!$A:$BY,67,FALSE),0)</f>
        <v>0</v>
      </c>
      <c r="I54" s="218">
        <f>_xlfn.IFNA(VLOOKUP($A54,ISB!$A:$BY,72,FALSE),0)</f>
        <v>0</v>
      </c>
      <c r="J54" s="274">
        <f>-_xlfn.IFNA(VLOOKUP($A54,ISB!$A:$BY,76,FALSE),0)</f>
        <v>0</v>
      </c>
      <c r="L54" s="273">
        <f>_xlfn.IFNA(VLOOKUP($A54,EY!$A:$DX,126,FALSE),0)</f>
        <v>517024.96504111245</v>
      </c>
      <c r="M54" s="273">
        <f>_xlfn.IFNA(VLOOKUP($A54,EY!$A:$DX,127,FALSE),0)</f>
        <v>5626.3357340720222</v>
      </c>
      <c r="O54" s="273">
        <f>_xlfn.IFNA(VLOOKUP($A54,HN!$A:$AN,37,FALSE),0)</f>
        <v>0</v>
      </c>
      <c r="P54" s="273">
        <f>_xlfn.IFNA(VLOOKUP($A54,HN!$A:$AN,38,FALSE),0)</f>
        <v>0</v>
      </c>
      <c r="Q54" s="273">
        <f>_xlfn.IFNA(VLOOKUP($A54,HN!$A:$AN,39,FALSE),0)</f>
        <v>0</v>
      </c>
      <c r="S54" s="337">
        <f>_xlfn.IFNA(VLOOKUP(A54,'Post 16'!A:AR,44,FALSE),0)</f>
        <v>0</v>
      </c>
      <c r="U54" s="337"/>
      <c r="V54" s="337">
        <f>VLOOKUP(A54,'LA Deductions'!A:AN,40,FALSE)</f>
        <v>0</v>
      </c>
      <c r="X54" s="274">
        <f>VLOOKUP($A54,'Summary June 2026'!$A:$AAX,206,FALSE)-SUMIFS($H54:$V54,$H$7:$V$7,X$7)</f>
        <v>0</v>
      </c>
      <c r="Y54" s="274">
        <f>VLOOKUP($A54,'Summary June 2026'!$A:$HC,207,FALSE)-SUMIFS($H54:$V54,$H$7:$V$7,Y$7)</f>
        <v>0</v>
      </c>
      <c r="Z54" s="274">
        <f>VLOOKUP($A54,'Summary June 2026'!$A:$HC,208,FALSE)-SUMIFS($H54:$V54,$H$7:$V$7,Z$7)</f>
        <v>0</v>
      </c>
      <c r="AA54" s="274">
        <f>VLOOKUP($A54,'Summary June 2026'!$A:$HC,209,FALSE)-SUMIFS($H54:$V54,$H$7:$V$7,AA$7)</f>
        <v>0</v>
      </c>
      <c r="AB54" s="274">
        <f>VLOOKUP($A54,'Summary June 2026'!$A:$HC,210,FALSE)-SUMIFS($H54:$V54,$H$7:$V$7,AB$7)</f>
        <v>0</v>
      </c>
      <c r="AC54" s="274">
        <f>VLOOKUP($A54,'Summary June 2026'!$A:$HC,211,FALSE)-SUMIFS($H54:$V54,$H$7:$V$7,AC$7)</f>
        <v>0</v>
      </c>
      <c r="AE54" s="146">
        <f>VLOOKUP($A54,'Summary June 2026'!$A:$HJ,213,FALSE)+VLOOKUP($A54,'Grants+ Other Funding'!$A:$CG,67,FALSE)</f>
        <v>396193.59756742819</v>
      </c>
      <c r="AF54" s="146">
        <f>_xlfn.IFNA(VLOOKUP($A54,'Summary June 2026'!$A:$HJ,214,FALSE)+VLOOKUP($A54,'Grants+ Other Funding'!$A:$CG,68,FALSE),0)</f>
        <v>-29.1</v>
      </c>
      <c r="AG54" s="146">
        <f>_xlfn.IFNA(VLOOKUP($A54,'Summary June 2026'!$A:$HJ,215,FALSE)+VLOOKUP($A54,'Grants+ Other Funding'!$A:$CG,69,FALSE),0)</f>
        <v>2506.3357340720222</v>
      </c>
      <c r="AH54" s="146">
        <f>_xlfn.IFNA(VLOOKUP($A54,'Grants+ Other Funding'!$A:$CG,70,FALSE),0)</f>
        <v>0</v>
      </c>
      <c r="AI54" s="146">
        <f>_xlfn.IFNA(VLOOKUP($A54,'Grants+ Other Funding'!$A:$CG,71,FALSE),0)</f>
        <v>0</v>
      </c>
      <c r="AJ54" s="146">
        <f>_xlfn.IFNA(VLOOKUP($A54,'Grants+ Other Funding'!$A:$CG,72,FALSE),0)</f>
        <v>0</v>
      </c>
      <c r="AK54" s="146">
        <f>_xlfn.IFNA(VLOOKUP($A54,'Summary June 2026'!$A:$HJ,217,FALSE),0)</f>
        <v>0</v>
      </c>
      <c r="AL54" s="146">
        <f>_xlfn.IFNA(VLOOKUP($A54,'Grants+ Other Funding'!$A:$CG,74,FALSE),0)</f>
        <v>0</v>
      </c>
      <c r="AM54" s="146">
        <f>_xlfn.IFNA(VLOOKUP($A54,'Summary June 2026'!$A:$HJ,218,FALSE),0)</f>
        <v>0</v>
      </c>
      <c r="AN54" s="146">
        <f>_xlfn.IFNA(VLOOKUP($A54,'Summary June 2026'!$A:$HJ,216,FALSE),0)</f>
        <v>0</v>
      </c>
      <c r="AO54" s="146">
        <f>_xlfn.IFNA(VLOOKUP($A54,'Grants+ Other Funding'!$A:$CG,73,FALSE),0)</f>
        <v>0</v>
      </c>
      <c r="AP54" s="65">
        <f t="shared" si="1"/>
        <v>398670.83330150024</v>
      </c>
    </row>
    <row r="55" spans="1:42">
      <c r="A55" s="198">
        <v>2454</v>
      </c>
      <c r="B55" s="2">
        <v>103381</v>
      </c>
      <c r="C55" s="2" t="s">
        <v>133</v>
      </c>
      <c r="D55" s="2" t="s">
        <v>134</v>
      </c>
      <c r="E55" s="190" t="s">
        <v>39</v>
      </c>
      <c r="F55" s="208" t="str">
        <f>VLOOKUP(A55,'Summary June 2026'!A:F,6,FALSE)</f>
        <v>Chq Bk</v>
      </c>
      <c r="H55" s="273">
        <f>_xlfn.IFNA(VLOOKUP($A55,ISB!$A:$BY,67,FALSE),0)</f>
        <v>2559880.6798802582</v>
      </c>
      <c r="I55" s="218">
        <f>_xlfn.IFNA(VLOOKUP($A55,ISB!$A:$BY,72,FALSE),0)</f>
        <v>-9586.5</v>
      </c>
      <c r="J55" s="274">
        <f>-_xlfn.IFNA(VLOOKUP($A55,ISB!$A:$BY,76,FALSE),0)</f>
        <v>-31408.513500000001</v>
      </c>
      <c r="L55" s="273">
        <f>_xlfn.IFNA(VLOOKUP($A55,EY!$A:$DX,126,FALSE),0)</f>
        <v>88022.16440997232</v>
      </c>
      <c r="M55" s="273">
        <f>_xlfn.IFNA(VLOOKUP($A55,EY!$A:$DX,127,FALSE),0)</f>
        <v>0</v>
      </c>
      <c r="O55" s="273">
        <f>_xlfn.IFNA(VLOOKUP($A55,HN!$A:$AN,37,FALSE),0)</f>
        <v>0</v>
      </c>
      <c r="P55" s="273">
        <f>_xlfn.IFNA(VLOOKUP($A55,HN!$A:$AN,38,FALSE),0)</f>
        <v>0</v>
      </c>
      <c r="Q55" s="273">
        <f>_xlfn.IFNA(VLOOKUP($A55,HN!$A:$AN,39,FALSE),0)</f>
        <v>57956</v>
      </c>
      <c r="S55" s="337">
        <f>_xlfn.IFNA(VLOOKUP(A55,'Post 16'!A:AR,44,FALSE),0)</f>
        <v>0</v>
      </c>
      <c r="U55" s="337"/>
      <c r="V55" s="337">
        <f>VLOOKUP(A55,'LA Deductions'!A:AN,40,FALSE)</f>
        <v>0</v>
      </c>
      <c r="X55" s="274">
        <f>VLOOKUP($A55,'Summary June 2026'!$A:$AAX,206,FALSE)-SUMIFS($H55:$V55,$H$7:$V$7,X$7)</f>
        <v>0</v>
      </c>
      <c r="Y55" s="274">
        <f>VLOOKUP($A55,'Summary June 2026'!$A:$HC,207,FALSE)-SUMIFS($H55:$V55,$H$7:$V$7,Y$7)</f>
        <v>0</v>
      </c>
      <c r="Z55" s="274">
        <f>VLOOKUP($A55,'Summary June 2026'!$A:$HC,208,FALSE)-SUMIFS($H55:$V55,$H$7:$V$7,Z$7)</f>
        <v>0</v>
      </c>
      <c r="AA55" s="274">
        <f>VLOOKUP($A55,'Summary June 2026'!$A:$HC,209,FALSE)-SUMIFS($H55:$V55,$H$7:$V$7,AA$7)</f>
        <v>0</v>
      </c>
      <c r="AB55" s="274">
        <f>VLOOKUP($A55,'Summary June 2026'!$A:$HC,210,FALSE)-SUMIFS($H55:$V55,$H$7:$V$7,AB$7)</f>
        <v>0</v>
      </c>
      <c r="AC55" s="274">
        <f>VLOOKUP($A55,'Summary June 2026'!$A:$HC,211,FALSE)-SUMIFS($H55:$V55,$H$7:$V$7,AC$7)</f>
        <v>0</v>
      </c>
      <c r="AE55" s="146">
        <f>VLOOKUP($A55,'Summary June 2026'!$A:$HJ,213,FALSE)+VLOOKUP($A55,'Grants+ Other Funding'!$A:$CG,67,FALSE)</f>
        <v>705199.10238003684</v>
      </c>
      <c r="AF55" s="146">
        <f>_xlfn.IFNA(VLOOKUP($A55,'Summary June 2026'!$A:$HJ,214,FALSE)+VLOOKUP($A55,'Grants+ Other Funding'!$A:$CG,68,FALSE),0)</f>
        <v>-39.369999999999997</v>
      </c>
      <c r="AG55" s="146">
        <f>_xlfn.IFNA(VLOOKUP($A55,'Summary June 2026'!$A:$HJ,215,FALSE)+VLOOKUP($A55,'Grants+ Other Funding'!$A:$CG,69,FALSE),0)</f>
        <v>18535.34375</v>
      </c>
      <c r="AH55" s="146">
        <f>_xlfn.IFNA(VLOOKUP($A55,'Grants+ Other Funding'!$A:$CG,70,FALSE),0)</f>
        <v>0</v>
      </c>
      <c r="AI55" s="146">
        <f>_xlfn.IFNA(VLOOKUP($A55,'Grants+ Other Funding'!$A:$CG,71,FALSE),0)</f>
        <v>0</v>
      </c>
      <c r="AJ55" s="146">
        <f>_xlfn.IFNA(VLOOKUP($A55,'Grants+ Other Funding'!$A:$CG,72,FALSE),0)</f>
        <v>0</v>
      </c>
      <c r="AK55" s="146">
        <f>_xlfn.IFNA(VLOOKUP($A55,'Summary June 2026'!$A:$HJ,217,FALSE),0)</f>
        <v>-7852.1283750000002</v>
      </c>
      <c r="AL55" s="146">
        <f>_xlfn.IFNA(VLOOKUP($A55,'Grants+ Other Funding'!$A:$CG,74,FALSE),0)</f>
        <v>0</v>
      </c>
      <c r="AM55" s="146">
        <f>_xlfn.IFNA(VLOOKUP($A55,'Summary June 2026'!$A:$HJ,218,FALSE),0)</f>
        <v>0</v>
      </c>
      <c r="AN55" s="146">
        <f>_xlfn.IFNA(VLOOKUP($A55,'Summary June 2026'!$A:$HJ,216,FALSE),0)</f>
        <v>-2396.625</v>
      </c>
      <c r="AO55" s="146">
        <f>_xlfn.IFNA(VLOOKUP($A55,'Grants+ Other Funding'!$A:$CG,73,FALSE),0)</f>
        <v>0</v>
      </c>
      <c r="AP55" s="65">
        <f t="shared" si="1"/>
        <v>713446.32275503688</v>
      </c>
    </row>
    <row r="56" spans="1:42">
      <c r="A56" s="198">
        <v>3321</v>
      </c>
      <c r="B56" s="2">
        <v>103425</v>
      </c>
      <c r="C56" s="2" t="s">
        <v>135</v>
      </c>
      <c r="D56" s="2" t="s">
        <v>136</v>
      </c>
      <c r="E56" s="190" t="s">
        <v>39</v>
      </c>
      <c r="F56" s="208" t="str">
        <f>VLOOKUP(A56,'Summary June 2026'!A:F,6,FALSE)</f>
        <v>Chq Bk</v>
      </c>
      <c r="H56" s="273">
        <f>_xlfn.IFNA(VLOOKUP($A56,ISB!$A:$BY,67,FALSE),0)</f>
        <v>1927052.8543284149</v>
      </c>
      <c r="I56" s="218">
        <f>_xlfn.IFNA(VLOOKUP($A56,ISB!$A:$BY,72,FALSE),0)</f>
        <v>-7519.7999999999993</v>
      </c>
      <c r="J56" s="274">
        <f>-_xlfn.IFNA(VLOOKUP($A56,ISB!$A:$BY,76,FALSE),0)</f>
        <v>-5214.2755999999999</v>
      </c>
      <c r="L56" s="273">
        <f>_xlfn.IFNA(VLOOKUP($A56,EY!$A:$DX,126,FALSE),0)</f>
        <v>0</v>
      </c>
      <c r="M56" s="273">
        <f>_xlfn.IFNA(VLOOKUP($A56,EY!$A:$DX,127,FALSE),0)</f>
        <v>0</v>
      </c>
      <c r="O56" s="273">
        <f>_xlfn.IFNA(VLOOKUP($A56,HN!$A:$AN,37,FALSE),0)</f>
        <v>0</v>
      </c>
      <c r="P56" s="273">
        <f>_xlfn.IFNA(VLOOKUP($A56,HN!$A:$AN,38,FALSE),0)</f>
        <v>0</v>
      </c>
      <c r="Q56" s="273">
        <f>_xlfn.IFNA(VLOOKUP($A56,HN!$A:$AN,39,FALSE),0)</f>
        <v>82099.33</v>
      </c>
      <c r="S56" s="337">
        <f>_xlfn.IFNA(VLOOKUP(A56,'Post 16'!A:AR,44,FALSE),0)</f>
        <v>0</v>
      </c>
      <c r="U56" s="337"/>
      <c r="V56" s="337">
        <f>VLOOKUP(A56,'LA Deductions'!A:AN,40,FALSE)</f>
        <v>0</v>
      </c>
      <c r="X56" s="274">
        <f>VLOOKUP($A56,'Summary June 2026'!$A:$AAX,206,FALSE)-SUMIFS($H56:$V56,$H$7:$V$7,X$7)</f>
        <v>0</v>
      </c>
      <c r="Y56" s="274">
        <f>VLOOKUP($A56,'Summary June 2026'!$A:$HC,207,FALSE)-SUMIFS($H56:$V56,$H$7:$V$7,Y$7)</f>
        <v>0</v>
      </c>
      <c r="Z56" s="274">
        <f>VLOOKUP($A56,'Summary June 2026'!$A:$HC,208,FALSE)-SUMIFS($H56:$V56,$H$7:$V$7,Z$7)</f>
        <v>0</v>
      </c>
      <c r="AA56" s="274">
        <f>VLOOKUP($A56,'Summary June 2026'!$A:$HC,209,FALSE)-SUMIFS($H56:$V56,$H$7:$V$7,AA$7)</f>
        <v>0</v>
      </c>
      <c r="AB56" s="274">
        <f>VLOOKUP($A56,'Summary June 2026'!$A:$HC,210,FALSE)-SUMIFS($H56:$V56,$H$7:$V$7,AB$7)</f>
        <v>0</v>
      </c>
      <c r="AC56" s="274">
        <f>VLOOKUP($A56,'Summary June 2026'!$A:$HC,211,FALSE)-SUMIFS($H56:$V56,$H$7:$V$7,AC$7)</f>
        <v>0</v>
      </c>
      <c r="AE56" s="146">
        <f>VLOOKUP($A56,'Summary June 2026'!$A:$HJ,213,FALSE)+VLOOKUP($A56,'Grants+ Other Funding'!$A:$CG,67,FALSE)</f>
        <v>484040.43358210369</v>
      </c>
      <c r="AF56" s="146">
        <f>_xlfn.IFNA(VLOOKUP($A56,'Summary June 2026'!$A:$HJ,214,FALSE)+VLOOKUP($A56,'Grants+ Other Funding'!$A:$CG,68,FALSE),0)</f>
        <v>-31.26</v>
      </c>
      <c r="AG56" s="146">
        <f>_xlfn.IFNA(VLOOKUP($A56,'Summary June 2026'!$A:$HJ,215,FALSE)+VLOOKUP($A56,'Grants+ Other Funding'!$A:$CG,69,FALSE),0)</f>
        <v>25211.995000000003</v>
      </c>
      <c r="AH56" s="146">
        <f>_xlfn.IFNA(VLOOKUP($A56,'Grants+ Other Funding'!$A:$CG,70,FALSE),0)</f>
        <v>0</v>
      </c>
      <c r="AI56" s="146">
        <f>_xlfn.IFNA(VLOOKUP($A56,'Grants+ Other Funding'!$A:$CG,71,FALSE),0)</f>
        <v>0</v>
      </c>
      <c r="AJ56" s="146">
        <f>_xlfn.IFNA(VLOOKUP($A56,'Grants+ Other Funding'!$A:$CG,72,FALSE),0)</f>
        <v>0</v>
      </c>
      <c r="AK56" s="146">
        <f>_xlfn.IFNA(VLOOKUP($A56,'Summary June 2026'!$A:$HJ,217,FALSE),0)</f>
        <v>-1303.5689</v>
      </c>
      <c r="AL56" s="146">
        <f>_xlfn.IFNA(VLOOKUP($A56,'Grants+ Other Funding'!$A:$CG,74,FALSE),0)</f>
        <v>0</v>
      </c>
      <c r="AM56" s="146">
        <f>_xlfn.IFNA(VLOOKUP($A56,'Summary June 2026'!$A:$HJ,218,FALSE),0)</f>
        <v>0</v>
      </c>
      <c r="AN56" s="146">
        <f>_xlfn.IFNA(VLOOKUP($A56,'Summary June 2026'!$A:$HJ,216,FALSE),0)</f>
        <v>-1879.9499999999998</v>
      </c>
      <c r="AO56" s="146">
        <f>_xlfn.IFNA(VLOOKUP($A56,'Grants+ Other Funding'!$A:$CG,73,FALSE),0)</f>
        <v>0</v>
      </c>
      <c r="AP56" s="65">
        <f t="shared" si="1"/>
        <v>506037.64968210366</v>
      </c>
    </row>
    <row r="57" spans="1:42">
      <c r="A57" s="198">
        <v>1026</v>
      </c>
      <c r="B57" s="2">
        <v>103139</v>
      </c>
      <c r="C57" s="2" t="s">
        <v>137</v>
      </c>
      <c r="D57" s="2" t="s">
        <v>138</v>
      </c>
      <c r="E57" s="190" t="s">
        <v>36</v>
      </c>
      <c r="F57" s="208" t="str">
        <f>VLOOKUP(A57,'Summary June 2026'!A:F,6,FALSE)</f>
        <v>Chq Bk</v>
      </c>
      <c r="H57" s="273">
        <f>_xlfn.IFNA(VLOOKUP($A57,ISB!$A:$BY,67,FALSE),0)</f>
        <v>0</v>
      </c>
      <c r="I57" s="218">
        <f>_xlfn.IFNA(VLOOKUP($A57,ISB!$A:$BY,72,FALSE),0)</f>
        <v>0</v>
      </c>
      <c r="J57" s="274">
        <f>-_xlfn.IFNA(VLOOKUP($A57,ISB!$A:$BY,76,FALSE),0)</f>
        <v>0</v>
      </c>
      <c r="L57" s="273">
        <f>_xlfn.IFNA(VLOOKUP($A57,EY!$A:$DX,126,FALSE),0)</f>
        <v>588713.2526451539</v>
      </c>
      <c r="M57" s="273">
        <f>_xlfn.IFNA(VLOOKUP($A57,EY!$A:$DX,127,FALSE),0)</f>
        <v>6587.6786703601101</v>
      </c>
      <c r="O57" s="273">
        <f>_xlfn.IFNA(VLOOKUP($A57,HN!$A:$AN,37,FALSE),0)</f>
        <v>0</v>
      </c>
      <c r="P57" s="273">
        <f>_xlfn.IFNA(VLOOKUP($A57,HN!$A:$AN,38,FALSE),0)</f>
        <v>0</v>
      </c>
      <c r="Q57" s="273">
        <f>_xlfn.IFNA(VLOOKUP($A57,HN!$A:$AN,39,FALSE),0)</f>
        <v>0</v>
      </c>
      <c r="S57" s="337">
        <f>_xlfn.IFNA(VLOOKUP(A57,'Post 16'!A:AR,44,FALSE),0)</f>
        <v>0</v>
      </c>
      <c r="U57" s="337"/>
      <c r="V57" s="337">
        <f>VLOOKUP(A57,'LA Deductions'!A:AN,40,FALSE)</f>
        <v>0</v>
      </c>
      <c r="X57" s="274">
        <f>VLOOKUP($A57,'Summary June 2026'!$A:$AAX,206,FALSE)-SUMIFS($H57:$V57,$H$7:$V$7,X$7)</f>
        <v>0</v>
      </c>
      <c r="Y57" s="274">
        <f>VLOOKUP($A57,'Summary June 2026'!$A:$HC,207,FALSE)-SUMIFS($H57:$V57,$H$7:$V$7,Y$7)</f>
        <v>0</v>
      </c>
      <c r="Z57" s="274">
        <f>VLOOKUP($A57,'Summary June 2026'!$A:$HC,208,FALSE)-SUMIFS($H57:$V57,$H$7:$V$7,Z$7)</f>
        <v>0</v>
      </c>
      <c r="AA57" s="274">
        <f>VLOOKUP($A57,'Summary June 2026'!$A:$HC,209,FALSE)-SUMIFS($H57:$V57,$H$7:$V$7,AA$7)</f>
        <v>0</v>
      </c>
      <c r="AB57" s="274">
        <f>VLOOKUP($A57,'Summary June 2026'!$A:$HC,210,FALSE)-SUMIFS($H57:$V57,$H$7:$V$7,AB$7)</f>
        <v>0</v>
      </c>
      <c r="AC57" s="274">
        <f>VLOOKUP($A57,'Summary June 2026'!$A:$HC,211,FALSE)-SUMIFS($H57:$V57,$H$7:$V$7,AC$7)</f>
        <v>0</v>
      </c>
      <c r="AE57" s="146">
        <f>VLOOKUP($A57,'Summary June 2026'!$A:$HJ,213,FALSE)+VLOOKUP($A57,'Grants+ Other Funding'!$A:$CG,67,FALSE)</f>
        <v>453486.61306620663</v>
      </c>
      <c r="AF57" s="146">
        <f>_xlfn.IFNA(VLOOKUP($A57,'Summary June 2026'!$A:$HJ,214,FALSE)+VLOOKUP($A57,'Grants+ Other Funding'!$A:$CG,68,FALSE),0)</f>
        <v>0</v>
      </c>
      <c r="AG57" s="146">
        <f>_xlfn.IFNA(VLOOKUP($A57,'Summary June 2026'!$A:$HJ,215,FALSE)+VLOOKUP($A57,'Grants+ Other Funding'!$A:$CG,69,FALSE),0)</f>
        <v>5027.6786703601101</v>
      </c>
      <c r="AH57" s="146">
        <f>_xlfn.IFNA(VLOOKUP($A57,'Grants+ Other Funding'!$A:$CG,70,FALSE),0)</f>
        <v>0</v>
      </c>
      <c r="AI57" s="146">
        <f>_xlfn.IFNA(VLOOKUP($A57,'Grants+ Other Funding'!$A:$CG,71,FALSE),0)</f>
        <v>0</v>
      </c>
      <c r="AJ57" s="146">
        <f>_xlfn.IFNA(VLOOKUP($A57,'Grants+ Other Funding'!$A:$CG,72,FALSE),0)</f>
        <v>0</v>
      </c>
      <c r="AK57" s="146">
        <f>_xlfn.IFNA(VLOOKUP($A57,'Summary June 2026'!$A:$HJ,217,FALSE),0)</f>
        <v>0</v>
      </c>
      <c r="AL57" s="146">
        <f>_xlfn.IFNA(VLOOKUP($A57,'Grants+ Other Funding'!$A:$CG,74,FALSE),0)</f>
        <v>0</v>
      </c>
      <c r="AM57" s="146">
        <f>_xlfn.IFNA(VLOOKUP($A57,'Summary June 2026'!$A:$HJ,218,FALSE),0)</f>
        <v>0</v>
      </c>
      <c r="AN57" s="146">
        <f>_xlfn.IFNA(VLOOKUP($A57,'Summary June 2026'!$A:$HJ,216,FALSE),0)</f>
        <v>0</v>
      </c>
      <c r="AO57" s="146">
        <f>_xlfn.IFNA(VLOOKUP($A57,'Grants+ Other Funding'!$A:$CG,73,FALSE),0)</f>
        <v>0</v>
      </c>
      <c r="AP57" s="65">
        <f t="shared" si="1"/>
        <v>458514.29173656675</v>
      </c>
    </row>
    <row r="58" spans="1:42">
      <c r="A58" s="198">
        <v>2294</v>
      </c>
      <c r="B58" s="2">
        <v>103318</v>
      </c>
      <c r="C58" s="2" t="s">
        <v>139</v>
      </c>
      <c r="D58" s="2" t="s">
        <v>140</v>
      </c>
      <c r="E58" s="190" t="s">
        <v>39</v>
      </c>
      <c r="F58" s="208" t="str">
        <f>VLOOKUP(A58,'Summary June 2026'!A:F,6,FALSE)</f>
        <v>Chq Bk</v>
      </c>
      <c r="H58" s="273">
        <f>_xlfn.IFNA(VLOOKUP($A58,ISB!$A:$BY,67,FALSE),0)</f>
        <v>2654959.5851899525</v>
      </c>
      <c r="I58" s="218">
        <f>_xlfn.IFNA(VLOOKUP($A58,ISB!$A:$BY,72,FALSE),0)</f>
        <v>-10433.099999999999</v>
      </c>
      <c r="J58" s="274">
        <f>-_xlfn.IFNA(VLOOKUP($A58,ISB!$A:$BY,76,FALSE),0)</f>
        <v>-50550.069300000003</v>
      </c>
      <c r="L58" s="273">
        <f>_xlfn.IFNA(VLOOKUP($A58,EY!$A:$DX,126,FALSE),0)</f>
        <v>0</v>
      </c>
      <c r="M58" s="273">
        <f>_xlfn.IFNA(VLOOKUP($A58,EY!$A:$DX,127,FALSE),0)</f>
        <v>0</v>
      </c>
      <c r="O58" s="273">
        <f>_xlfn.IFNA(VLOOKUP($A58,HN!$A:$AN,37,FALSE),0)</f>
        <v>0</v>
      </c>
      <c r="P58" s="273">
        <f>_xlfn.IFNA(VLOOKUP($A58,HN!$A:$AN,38,FALSE),0)</f>
        <v>0</v>
      </c>
      <c r="Q58" s="273">
        <f>_xlfn.IFNA(VLOOKUP($A58,HN!$A:$AN,39,FALSE),0)</f>
        <v>227798.5</v>
      </c>
      <c r="S58" s="337">
        <f>_xlfn.IFNA(VLOOKUP(A58,'Post 16'!A:AR,44,FALSE),0)</f>
        <v>0</v>
      </c>
      <c r="U58" s="337"/>
      <c r="V58" s="337">
        <f>VLOOKUP(A58,'LA Deductions'!A:AN,40,FALSE)</f>
        <v>0</v>
      </c>
      <c r="X58" s="274">
        <f>VLOOKUP($A58,'Summary June 2026'!$A:$AAX,206,FALSE)-SUMIFS($H58:$V58,$H$7:$V$7,X$7)</f>
        <v>0</v>
      </c>
      <c r="Y58" s="274">
        <f>VLOOKUP($A58,'Summary June 2026'!$A:$HC,207,FALSE)-SUMIFS($H58:$V58,$H$7:$V$7,Y$7)</f>
        <v>0</v>
      </c>
      <c r="Z58" s="274">
        <f>VLOOKUP($A58,'Summary June 2026'!$A:$HC,208,FALSE)-SUMIFS($H58:$V58,$H$7:$V$7,Z$7)</f>
        <v>0</v>
      </c>
      <c r="AA58" s="274">
        <f>VLOOKUP($A58,'Summary June 2026'!$A:$HC,209,FALSE)-SUMIFS($H58:$V58,$H$7:$V$7,AA$7)</f>
        <v>0</v>
      </c>
      <c r="AB58" s="274">
        <f>VLOOKUP($A58,'Summary June 2026'!$A:$HC,210,FALSE)-SUMIFS($H58:$V58,$H$7:$V$7,AB$7)</f>
        <v>0</v>
      </c>
      <c r="AC58" s="274">
        <f>VLOOKUP($A58,'Summary June 2026'!$A:$HC,211,FALSE)-SUMIFS($H58:$V58,$H$7:$V$7,AC$7)</f>
        <v>0</v>
      </c>
      <c r="AE58" s="146">
        <f>VLOOKUP($A58,'Summary June 2026'!$A:$HJ,213,FALSE)+VLOOKUP($A58,'Grants+ Other Funding'!$A:$CG,67,FALSE)</f>
        <v>663739.89629748813</v>
      </c>
      <c r="AF58" s="146">
        <f>_xlfn.IFNA(VLOOKUP($A58,'Summary June 2026'!$A:$HJ,214,FALSE)+VLOOKUP($A58,'Grants+ Other Funding'!$A:$CG,68,FALSE),0)</f>
        <v>0</v>
      </c>
      <c r="AG58" s="146">
        <f>_xlfn.IFNA(VLOOKUP($A58,'Summary June 2026'!$A:$HJ,215,FALSE)+VLOOKUP($A58,'Grants+ Other Funding'!$A:$CG,69,FALSE),0)</f>
        <v>64063.675749999995</v>
      </c>
      <c r="AH58" s="146">
        <f>_xlfn.IFNA(VLOOKUP($A58,'Grants+ Other Funding'!$A:$CG,70,FALSE),0)</f>
        <v>0</v>
      </c>
      <c r="AI58" s="146">
        <f>_xlfn.IFNA(VLOOKUP($A58,'Grants+ Other Funding'!$A:$CG,71,FALSE),0)</f>
        <v>0</v>
      </c>
      <c r="AJ58" s="146">
        <f>_xlfn.IFNA(VLOOKUP($A58,'Grants+ Other Funding'!$A:$CG,72,FALSE),0)</f>
        <v>0</v>
      </c>
      <c r="AK58" s="146">
        <f>_xlfn.IFNA(VLOOKUP($A58,'Summary June 2026'!$A:$HJ,217,FALSE),0)</f>
        <v>-12637.517325000001</v>
      </c>
      <c r="AL58" s="146">
        <f>_xlfn.IFNA(VLOOKUP($A58,'Grants+ Other Funding'!$A:$CG,74,FALSE),0)</f>
        <v>0</v>
      </c>
      <c r="AM58" s="146">
        <f>_xlfn.IFNA(VLOOKUP($A58,'Summary June 2026'!$A:$HJ,218,FALSE),0)</f>
        <v>0</v>
      </c>
      <c r="AN58" s="146">
        <f>_xlfn.IFNA(VLOOKUP($A58,'Summary June 2026'!$A:$HJ,216,FALSE),0)</f>
        <v>-2608.2749999999996</v>
      </c>
      <c r="AO58" s="146">
        <f>_xlfn.IFNA(VLOOKUP($A58,'Grants+ Other Funding'!$A:$CG,73,FALSE),0)</f>
        <v>0</v>
      </c>
      <c r="AP58" s="65">
        <f t="shared" si="1"/>
        <v>712557.77972248802</v>
      </c>
    </row>
    <row r="59" spans="1:42">
      <c r="A59" s="198">
        <v>2486</v>
      </c>
      <c r="B59" s="2">
        <v>133759</v>
      </c>
      <c r="C59" s="2" t="s">
        <v>141</v>
      </c>
      <c r="D59" s="2" t="s">
        <v>142</v>
      </c>
      <c r="E59" s="190" t="s">
        <v>39</v>
      </c>
      <c r="F59" s="208" t="str">
        <f>VLOOKUP(A59,'Summary June 2026'!A:F,6,FALSE)</f>
        <v>Chq Bk</v>
      </c>
      <c r="H59" s="273">
        <f>_xlfn.IFNA(VLOOKUP($A59,ISB!$A:$BY,67,FALSE),0)</f>
        <v>1377854.6758838289</v>
      </c>
      <c r="I59" s="218">
        <f>_xlfn.IFNA(VLOOKUP($A59,ISB!$A:$BY,72,FALSE),0)</f>
        <v>-4681.2</v>
      </c>
      <c r="J59" s="274">
        <f>-_xlfn.IFNA(VLOOKUP($A59,ISB!$A:$BY,76,FALSE),0)</f>
        <v>-4187.2213000000002</v>
      </c>
      <c r="L59" s="273">
        <f>_xlfn.IFNA(VLOOKUP($A59,EY!$A:$DX,126,FALSE),0)</f>
        <v>36141.093351800562</v>
      </c>
      <c r="M59" s="273">
        <f>_xlfn.IFNA(VLOOKUP($A59,EY!$A:$DX,127,FALSE),0)</f>
        <v>0</v>
      </c>
      <c r="O59" s="273">
        <f>_xlfn.IFNA(VLOOKUP($A59,HN!$A:$AN,37,FALSE),0)</f>
        <v>0</v>
      </c>
      <c r="P59" s="273">
        <f>_xlfn.IFNA(VLOOKUP($A59,HN!$A:$AN,38,FALSE),0)</f>
        <v>0</v>
      </c>
      <c r="Q59" s="273">
        <f>_xlfn.IFNA(VLOOKUP($A59,HN!$A:$AN,39,FALSE),0)</f>
        <v>111767</v>
      </c>
      <c r="S59" s="337">
        <f>_xlfn.IFNA(VLOOKUP(A59,'Post 16'!A:AR,44,FALSE),0)</f>
        <v>0</v>
      </c>
      <c r="U59" s="337"/>
      <c r="V59" s="337">
        <f>VLOOKUP(A59,'LA Deductions'!A:AN,40,FALSE)</f>
        <v>0</v>
      </c>
      <c r="X59" s="274">
        <f>VLOOKUP($A59,'Summary June 2026'!$A:$AAX,206,FALSE)-SUMIFS($H59:$V59,$H$7:$V$7,X$7)</f>
        <v>0</v>
      </c>
      <c r="Y59" s="274">
        <f>VLOOKUP($A59,'Summary June 2026'!$A:$HC,207,FALSE)-SUMIFS($H59:$V59,$H$7:$V$7,Y$7)</f>
        <v>0</v>
      </c>
      <c r="Z59" s="274">
        <f>VLOOKUP($A59,'Summary June 2026'!$A:$HC,208,FALSE)-SUMIFS($H59:$V59,$H$7:$V$7,Z$7)</f>
        <v>0</v>
      </c>
      <c r="AA59" s="274">
        <f>VLOOKUP($A59,'Summary June 2026'!$A:$HC,209,FALSE)-SUMIFS($H59:$V59,$H$7:$V$7,AA$7)</f>
        <v>0</v>
      </c>
      <c r="AB59" s="274">
        <f>VLOOKUP($A59,'Summary June 2026'!$A:$HC,210,FALSE)-SUMIFS($H59:$V59,$H$7:$V$7,AB$7)</f>
        <v>0</v>
      </c>
      <c r="AC59" s="274">
        <f>VLOOKUP($A59,'Summary June 2026'!$A:$HC,211,FALSE)-SUMIFS($H59:$V59,$H$7:$V$7,AC$7)</f>
        <v>0</v>
      </c>
      <c r="AE59" s="146">
        <f>VLOOKUP($A59,'Summary June 2026'!$A:$HJ,213,FALSE)+VLOOKUP($A59,'Grants+ Other Funding'!$A:$CG,67,FALSE)</f>
        <v>366142.6263227578</v>
      </c>
      <c r="AF59" s="146">
        <f>_xlfn.IFNA(VLOOKUP($A59,'Summary June 2026'!$A:$HJ,214,FALSE)+VLOOKUP($A59,'Grants+ Other Funding'!$A:$CG,68,FALSE),0)</f>
        <v>0</v>
      </c>
      <c r="AG59" s="146">
        <f>_xlfn.IFNA(VLOOKUP($A59,'Summary June 2026'!$A:$HJ,215,FALSE)+VLOOKUP($A59,'Grants+ Other Funding'!$A:$CG,69,FALSE),0)</f>
        <v>32482.481</v>
      </c>
      <c r="AH59" s="146">
        <f>_xlfn.IFNA(VLOOKUP($A59,'Grants+ Other Funding'!$A:$CG,70,FALSE),0)</f>
        <v>0</v>
      </c>
      <c r="AI59" s="146">
        <f>_xlfn.IFNA(VLOOKUP($A59,'Grants+ Other Funding'!$A:$CG,71,FALSE),0)</f>
        <v>0</v>
      </c>
      <c r="AJ59" s="146">
        <f>_xlfn.IFNA(VLOOKUP($A59,'Grants+ Other Funding'!$A:$CG,72,FALSE),0)</f>
        <v>0</v>
      </c>
      <c r="AK59" s="146">
        <f>_xlfn.IFNA(VLOOKUP($A59,'Summary June 2026'!$A:$HJ,217,FALSE),0)</f>
        <v>-1046.805325</v>
      </c>
      <c r="AL59" s="146">
        <f>_xlfn.IFNA(VLOOKUP($A59,'Grants+ Other Funding'!$A:$CG,74,FALSE),0)</f>
        <v>0</v>
      </c>
      <c r="AM59" s="146">
        <f>_xlfn.IFNA(VLOOKUP($A59,'Summary June 2026'!$A:$HJ,218,FALSE),0)</f>
        <v>0</v>
      </c>
      <c r="AN59" s="146">
        <f>_xlfn.IFNA(VLOOKUP($A59,'Summary June 2026'!$A:$HJ,216,FALSE),0)</f>
        <v>-1170.3</v>
      </c>
      <c r="AO59" s="146">
        <f>_xlfn.IFNA(VLOOKUP($A59,'Grants+ Other Funding'!$A:$CG,73,FALSE),0)</f>
        <v>0</v>
      </c>
      <c r="AP59" s="65">
        <f t="shared" si="1"/>
        <v>396408.00199775782</v>
      </c>
    </row>
    <row r="60" spans="1:42">
      <c r="A60" s="198">
        <v>3435</v>
      </c>
      <c r="B60" s="2">
        <v>131920</v>
      </c>
      <c r="C60" s="2" t="s">
        <v>143</v>
      </c>
      <c r="D60" s="2" t="s">
        <v>144</v>
      </c>
      <c r="E60" s="190" t="s">
        <v>39</v>
      </c>
      <c r="F60" s="208" t="str">
        <f>VLOOKUP(A60,'Summary June 2026'!A:F,6,FALSE)</f>
        <v>Chq Bk</v>
      </c>
      <c r="H60" s="273">
        <f>_xlfn.IFNA(VLOOKUP($A60,ISB!$A:$BY,67,FALSE),0)</f>
        <v>2156368.2420000001</v>
      </c>
      <c r="I60" s="218">
        <f>_xlfn.IFNA(VLOOKUP($A60,ISB!$A:$BY,72,FALSE),0)</f>
        <v>-10458</v>
      </c>
      <c r="J60" s="274">
        <f>-_xlfn.IFNA(VLOOKUP($A60,ISB!$A:$BY,76,FALSE),0)</f>
        <v>-8068.2420000000002</v>
      </c>
      <c r="L60" s="273">
        <f>_xlfn.IFNA(VLOOKUP($A60,EY!$A:$DX,126,FALSE),0)</f>
        <v>0</v>
      </c>
      <c r="M60" s="273">
        <f>_xlfn.IFNA(VLOOKUP($A60,EY!$A:$DX,127,FALSE),0)</f>
        <v>0</v>
      </c>
      <c r="O60" s="273">
        <f>_xlfn.IFNA(VLOOKUP($A60,HN!$A:$AN,37,FALSE),0)</f>
        <v>0</v>
      </c>
      <c r="P60" s="273">
        <f>_xlfn.IFNA(VLOOKUP($A60,HN!$A:$AN,38,FALSE),0)</f>
        <v>0</v>
      </c>
      <c r="Q60" s="273">
        <f>_xlfn.IFNA(VLOOKUP($A60,HN!$A:$AN,39,FALSE),0)</f>
        <v>151586.25</v>
      </c>
      <c r="S60" s="337">
        <f>_xlfn.IFNA(VLOOKUP(A60,'Post 16'!A:AR,44,FALSE),0)</f>
        <v>0</v>
      </c>
      <c r="U60" s="337"/>
      <c r="V60" s="337">
        <f>VLOOKUP(A60,'LA Deductions'!A:AN,40,FALSE)</f>
        <v>0</v>
      </c>
      <c r="X60" s="274">
        <f>VLOOKUP($A60,'Summary June 2026'!$A:$AAX,206,FALSE)-SUMIFS($H60:$V60,$H$7:$V$7,X$7)</f>
        <v>0</v>
      </c>
      <c r="Y60" s="274">
        <f>VLOOKUP($A60,'Summary June 2026'!$A:$HC,207,FALSE)-SUMIFS($H60:$V60,$H$7:$V$7,Y$7)</f>
        <v>0</v>
      </c>
      <c r="Z60" s="274">
        <f>VLOOKUP($A60,'Summary June 2026'!$A:$HC,208,FALSE)-SUMIFS($H60:$V60,$H$7:$V$7,Z$7)</f>
        <v>0</v>
      </c>
      <c r="AA60" s="274">
        <f>VLOOKUP($A60,'Summary June 2026'!$A:$HC,209,FALSE)-SUMIFS($H60:$V60,$H$7:$V$7,AA$7)</f>
        <v>0</v>
      </c>
      <c r="AB60" s="274">
        <f>VLOOKUP($A60,'Summary June 2026'!$A:$HC,210,FALSE)-SUMIFS($H60:$V60,$H$7:$V$7,AB$7)</f>
        <v>0</v>
      </c>
      <c r="AC60" s="274">
        <f>VLOOKUP($A60,'Summary June 2026'!$A:$HC,211,FALSE)-SUMIFS($H60:$V60,$H$7:$V$7,AC$7)</f>
        <v>0</v>
      </c>
      <c r="AE60" s="146">
        <f>VLOOKUP($A60,'Summary June 2026'!$A:$HJ,213,FALSE)+VLOOKUP($A60,'Grants+ Other Funding'!$A:$CG,67,FALSE)</f>
        <v>540715.00049999997</v>
      </c>
      <c r="AF60" s="146">
        <f>_xlfn.IFNA(VLOOKUP($A60,'Summary June 2026'!$A:$HJ,214,FALSE)+VLOOKUP($A60,'Grants+ Other Funding'!$A:$CG,68,FALSE),0)</f>
        <v>-9.51</v>
      </c>
      <c r="AG60" s="146">
        <f>_xlfn.IFNA(VLOOKUP($A60,'Summary June 2026'!$A:$HJ,215,FALSE)+VLOOKUP($A60,'Grants+ Other Funding'!$A:$CG,69,FALSE),0)</f>
        <v>48172.675499999998</v>
      </c>
      <c r="AH60" s="146">
        <f>_xlfn.IFNA(VLOOKUP($A60,'Grants+ Other Funding'!$A:$CG,70,FALSE),0)</f>
        <v>0</v>
      </c>
      <c r="AI60" s="146">
        <f>_xlfn.IFNA(VLOOKUP($A60,'Grants+ Other Funding'!$A:$CG,71,FALSE),0)</f>
        <v>0</v>
      </c>
      <c r="AJ60" s="146">
        <f>_xlfn.IFNA(VLOOKUP($A60,'Grants+ Other Funding'!$A:$CG,72,FALSE),0)</f>
        <v>0</v>
      </c>
      <c r="AK60" s="146">
        <f>_xlfn.IFNA(VLOOKUP($A60,'Summary June 2026'!$A:$HJ,217,FALSE),0)</f>
        <v>-2017.0605</v>
      </c>
      <c r="AL60" s="146">
        <f>_xlfn.IFNA(VLOOKUP($A60,'Grants+ Other Funding'!$A:$CG,74,FALSE),0)</f>
        <v>0</v>
      </c>
      <c r="AM60" s="146">
        <f>_xlfn.IFNA(VLOOKUP($A60,'Summary June 2026'!$A:$HJ,218,FALSE),0)</f>
        <v>0</v>
      </c>
      <c r="AN60" s="146">
        <f>_xlfn.IFNA(VLOOKUP($A60,'Summary June 2026'!$A:$HJ,216,FALSE),0)</f>
        <v>-2614.5</v>
      </c>
      <c r="AO60" s="146">
        <f>_xlfn.IFNA(VLOOKUP($A60,'Grants+ Other Funding'!$A:$CG,73,FALSE),0)</f>
        <v>0</v>
      </c>
      <c r="AP60" s="65">
        <f t="shared" si="1"/>
        <v>584246.60549999995</v>
      </c>
    </row>
    <row r="61" spans="1:42">
      <c r="A61" s="198">
        <v>7050</v>
      </c>
      <c r="B61" s="2">
        <v>103625</v>
      </c>
      <c r="C61" s="2" t="s">
        <v>145</v>
      </c>
      <c r="D61" s="2" t="s">
        <v>146</v>
      </c>
      <c r="E61" s="190" t="s">
        <v>56</v>
      </c>
      <c r="F61" s="208" t="str">
        <f>VLOOKUP(A61,'Summary June 2026'!A:F,6,FALSE)</f>
        <v>Chq Bk</v>
      </c>
      <c r="H61" s="273">
        <f>_xlfn.IFNA(VLOOKUP($A61,ISB!$A:$BY,67,FALSE),0)</f>
        <v>0</v>
      </c>
      <c r="I61" s="218">
        <f>_xlfn.IFNA(VLOOKUP($A61,ISB!$A:$BY,72,FALSE),0)</f>
        <v>0</v>
      </c>
      <c r="J61" s="274">
        <f>-_xlfn.IFNA(VLOOKUP($A61,ISB!$A:$BY,76,FALSE),0)</f>
        <v>0</v>
      </c>
      <c r="L61" s="273">
        <f>_xlfn.IFNA(VLOOKUP($A61,EY!$A:$DX,126,FALSE),0)</f>
        <v>0</v>
      </c>
      <c r="M61" s="273">
        <f>_xlfn.IFNA(VLOOKUP($A61,EY!$A:$DX,127,FALSE),0)</f>
        <v>0</v>
      </c>
      <c r="O61" s="273">
        <f>_xlfn.IFNA(VLOOKUP($A61,HN!$A:$AN,37,FALSE),0)</f>
        <v>720000</v>
      </c>
      <c r="P61" s="273">
        <f>_xlfn.IFNA(VLOOKUP($A61,HN!$A:$AN,38,FALSE),0)</f>
        <v>390000</v>
      </c>
      <c r="Q61" s="273">
        <f>_xlfn.IFNA(VLOOKUP($A61,HN!$A:$AN,39,FALSE),0)</f>
        <v>2042428.44</v>
      </c>
      <c r="S61" s="337">
        <f>_xlfn.IFNA(VLOOKUP(A61,'Post 16'!A:AR,44,FALSE),0)</f>
        <v>0</v>
      </c>
      <c r="U61" s="337"/>
      <c r="V61" s="337">
        <f>VLOOKUP(A61,'LA Deductions'!A:AN,40,FALSE)</f>
        <v>0</v>
      </c>
      <c r="X61" s="274">
        <f>VLOOKUP($A61,'Summary June 2026'!$A:$AAX,206,FALSE)-SUMIFS($H61:$V61,$H$7:$V$7,X$7)</f>
        <v>0</v>
      </c>
      <c r="Y61" s="274">
        <f>VLOOKUP($A61,'Summary June 2026'!$A:$HC,207,FALSE)-SUMIFS($H61:$V61,$H$7:$V$7,Y$7)</f>
        <v>0</v>
      </c>
      <c r="Z61" s="274">
        <f>VLOOKUP($A61,'Summary June 2026'!$A:$HC,208,FALSE)-SUMIFS($H61:$V61,$H$7:$V$7,Z$7)</f>
        <v>0</v>
      </c>
      <c r="AA61" s="274">
        <f>VLOOKUP($A61,'Summary June 2026'!$A:$HC,209,FALSE)-SUMIFS($H61:$V61,$H$7:$V$7,AA$7)</f>
        <v>0</v>
      </c>
      <c r="AB61" s="274">
        <f>VLOOKUP($A61,'Summary June 2026'!$A:$HC,210,FALSE)-SUMIFS($H61:$V61,$H$7:$V$7,AB$7)</f>
        <v>0</v>
      </c>
      <c r="AC61" s="274">
        <f>VLOOKUP($A61,'Summary June 2026'!$A:$HC,211,FALSE)-SUMIFS($H61:$V61,$H$7:$V$7,AC$7)</f>
        <v>0</v>
      </c>
      <c r="AE61" s="146">
        <f>VLOOKUP($A61,'Summary June 2026'!$A:$HJ,213,FALSE)+VLOOKUP($A61,'Grants+ Other Funding'!$A:$CG,67,FALSE)</f>
        <v>180000</v>
      </c>
      <c r="AF61" s="146">
        <f>_xlfn.IFNA(VLOOKUP($A61,'Summary June 2026'!$A:$HJ,214,FALSE)+VLOOKUP($A61,'Grants+ Other Funding'!$A:$CG,68,FALSE),0)</f>
        <v>97500</v>
      </c>
      <c r="AG61" s="146">
        <f>_xlfn.IFNA(VLOOKUP($A61,'Summary June 2026'!$A:$HJ,215,FALSE)+VLOOKUP($A61,'Grants+ Other Funding'!$A:$CG,69,FALSE),0)</f>
        <v>510607.11</v>
      </c>
      <c r="AH61" s="146">
        <f>_xlfn.IFNA(VLOOKUP($A61,'Grants+ Other Funding'!$A:$CG,70,FALSE),0)</f>
        <v>0</v>
      </c>
      <c r="AI61" s="146">
        <f>_xlfn.IFNA(VLOOKUP($A61,'Grants+ Other Funding'!$A:$CG,71,FALSE),0)</f>
        <v>0</v>
      </c>
      <c r="AJ61" s="146">
        <f>_xlfn.IFNA(VLOOKUP($A61,'Grants+ Other Funding'!$A:$CG,72,FALSE),0)</f>
        <v>0</v>
      </c>
      <c r="AK61" s="146">
        <f>_xlfn.IFNA(VLOOKUP($A61,'Summary June 2026'!$A:$HJ,217,FALSE),0)</f>
        <v>0</v>
      </c>
      <c r="AL61" s="146">
        <f>_xlfn.IFNA(VLOOKUP($A61,'Grants+ Other Funding'!$A:$CG,74,FALSE),0)</f>
        <v>0</v>
      </c>
      <c r="AM61" s="146">
        <f>_xlfn.IFNA(VLOOKUP($A61,'Summary June 2026'!$A:$HJ,218,FALSE),0)</f>
        <v>0</v>
      </c>
      <c r="AN61" s="146">
        <f>_xlfn.IFNA(VLOOKUP($A61,'Summary June 2026'!$A:$HJ,216,FALSE),0)</f>
        <v>0</v>
      </c>
      <c r="AO61" s="146">
        <f>_xlfn.IFNA(VLOOKUP($A61,'Grants+ Other Funding'!$A:$CG,73,FALSE),0)</f>
        <v>0</v>
      </c>
      <c r="AP61" s="65">
        <f t="shared" si="1"/>
        <v>788107.11</v>
      </c>
    </row>
    <row r="62" spans="1:42">
      <c r="A62" s="198">
        <v>1006</v>
      </c>
      <c r="B62" s="2">
        <v>103122</v>
      </c>
      <c r="C62" s="2" t="s">
        <v>147</v>
      </c>
      <c r="D62" s="2" t="s">
        <v>148</v>
      </c>
      <c r="E62" s="190" t="s">
        <v>36</v>
      </c>
      <c r="F62" s="208" t="str">
        <f>VLOOKUP(A62,'Summary June 2026'!A:F,6,FALSE)</f>
        <v>Chq Bk</v>
      </c>
      <c r="H62" s="273">
        <f>_xlfn.IFNA(VLOOKUP($A62,ISB!$A:$BY,67,FALSE),0)</f>
        <v>0</v>
      </c>
      <c r="I62" s="218">
        <f>_xlfn.IFNA(VLOOKUP($A62,ISB!$A:$BY,72,FALSE),0)</f>
        <v>0</v>
      </c>
      <c r="J62" s="274">
        <f>-_xlfn.IFNA(VLOOKUP($A62,ISB!$A:$BY,76,FALSE),0)</f>
        <v>0</v>
      </c>
      <c r="L62" s="273">
        <f>_xlfn.IFNA(VLOOKUP($A62,EY!$A:$DX,126,FALSE),0)</f>
        <v>456748.36557594803</v>
      </c>
      <c r="M62" s="273">
        <f>_xlfn.IFNA(VLOOKUP($A62,EY!$A:$DX,127,FALSE),0)</f>
        <v>15590.189473684211</v>
      </c>
      <c r="O62" s="273">
        <f>_xlfn.IFNA(VLOOKUP($A62,HN!$A:$AN,37,FALSE),0)</f>
        <v>56000</v>
      </c>
      <c r="P62" s="273">
        <f>_xlfn.IFNA(VLOOKUP($A62,HN!$A:$AN,38,FALSE),0)</f>
        <v>0</v>
      </c>
      <c r="Q62" s="273">
        <f>_xlfn.IFNA(VLOOKUP($A62,HN!$A:$AN,39,FALSE),0)</f>
        <v>110756</v>
      </c>
      <c r="S62" s="337">
        <f>_xlfn.IFNA(VLOOKUP(A62,'Post 16'!A:AR,44,FALSE),0)</f>
        <v>0</v>
      </c>
      <c r="U62" s="337"/>
      <c r="V62" s="337">
        <f>VLOOKUP(A62,'LA Deductions'!A:AN,40,FALSE)</f>
        <v>0</v>
      </c>
      <c r="X62" s="274">
        <f>VLOOKUP($A62,'Summary June 2026'!$A:$AAX,206,FALSE)-SUMIFS($H62:$V62,$H$7:$V$7,X$7)</f>
        <v>0</v>
      </c>
      <c r="Y62" s="274">
        <f>VLOOKUP($A62,'Summary June 2026'!$A:$HC,207,FALSE)-SUMIFS($H62:$V62,$H$7:$V$7,Y$7)</f>
        <v>0</v>
      </c>
      <c r="Z62" s="274">
        <f>VLOOKUP($A62,'Summary June 2026'!$A:$HC,208,FALSE)-SUMIFS($H62:$V62,$H$7:$V$7,Z$7)</f>
        <v>0</v>
      </c>
      <c r="AA62" s="274">
        <f>VLOOKUP($A62,'Summary June 2026'!$A:$HC,209,FALSE)-SUMIFS($H62:$V62,$H$7:$V$7,AA$7)</f>
        <v>0</v>
      </c>
      <c r="AB62" s="274">
        <f>VLOOKUP($A62,'Summary June 2026'!$A:$HC,210,FALSE)-SUMIFS($H62:$V62,$H$7:$V$7,AB$7)</f>
        <v>0</v>
      </c>
      <c r="AC62" s="274">
        <f>VLOOKUP($A62,'Summary June 2026'!$A:$HC,211,FALSE)-SUMIFS($H62:$V62,$H$7:$V$7,AC$7)</f>
        <v>0</v>
      </c>
      <c r="AE62" s="146">
        <f>VLOOKUP($A62,'Summary June 2026'!$A:$HJ,213,FALSE)+VLOOKUP($A62,'Grants+ Other Funding'!$A:$CG,67,FALSE)</f>
        <v>358564.33978647436</v>
      </c>
      <c r="AF62" s="146">
        <f>_xlfn.IFNA(VLOOKUP($A62,'Summary June 2026'!$A:$HJ,214,FALSE)+VLOOKUP($A62,'Grants+ Other Funding'!$A:$CG,68,FALSE),0)</f>
        <v>-26.52</v>
      </c>
      <c r="AG62" s="146">
        <f>_xlfn.IFNA(VLOOKUP($A62,'Summary June 2026'!$A:$HJ,215,FALSE)+VLOOKUP($A62,'Grants+ Other Funding'!$A:$CG,69,FALSE),0)</f>
        <v>37039.189473684208</v>
      </c>
      <c r="AH62" s="146">
        <f>_xlfn.IFNA(VLOOKUP($A62,'Grants+ Other Funding'!$A:$CG,70,FALSE),0)</f>
        <v>0</v>
      </c>
      <c r="AI62" s="146">
        <f>_xlfn.IFNA(VLOOKUP($A62,'Grants+ Other Funding'!$A:$CG,71,FALSE),0)</f>
        <v>0</v>
      </c>
      <c r="AJ62" s="146">
        <f>_xlfn.IFNA(VLOOKUP($A62,'Grants+ Other Funding'!$A:$CG,72,FALSE),0)</f>
        <v>0</v>
      </c>
      <c r="AK62" s="146">
        <f>_xlfn.IFNA(VLOOKUP($A62,'Summary June 2026'!$A:$HJ,217,FALSE),0)</f>
        <v>0</v>
      </c>
      <c r="AL62" s="146">
        <f>_xlfn.IFNA(VLOOKUP($A62,'Grants+ Other Funding'!$A:$CG,74,FALSE),0)</f>
        <v>0</v>
      </c>
      <c r="AM62" s="146">
        <f>_xlfn.IFNA(VLOOKUP($A62,'Summary June 2026'!$A:$HJ,218,FALSE),0)</f>
        <v>0</v>
      </c>
      <c r="AN62" s="146">
        <f>_xlfn.IFNA(VLOOKUP($A62,'Summary June 2026'!$A:$HJ,216,FALSE),0)</f>
        <v>0</v>
      </c>
      <c r="AO62" s="146">
        <f>_xlfn.IFNA(VLOOKUP($A62,'Grants+ Other Funding'!$A:$CG,73,FALSE),0)</f>
        <v>0</v>
      </c>
      <c r="AP62" s="65">
        <f t="shared" si="1"/>
        <v>395577.00926015852</v>
      </c>
    </row>
    <row r="63" spans="1:42">
      <c r="A63" s="198">
        <v>2079</v>
      </c>
      <c r="B63" s="2">
        <v>103200</v>
      </c>
      <c r="C63" s="2" t="s">
        <v>149</v>
      </c>
      <c r="D63" s="2" t="s">
        <v>150</v>
      </c>
      <c r="E63" s="190" t="s">
        <v>39</v>
      </c>
      <c r="F63" s="208" t="str">
        <f>VLOOKUP(A63,'Summary June 2026'!A:F,6,FALSE)</f>
        <v>Chq Bk</v>
      </c>
      <c r="H63" s="273">
        <f>_xlfn.IFNA(VLOOKUP($A63,ISB!$A:$BY,67,FALSE),0)</f>
        <v>1780327.0639150094</v>
      </c>
      <c r="I63" s="218">
        <f>_xlfn.IFNA(VLOOKUP($A63,ISB!$A:$BY,72,FALSE),0)</f>
        <v>-7046.7</v>
      </c>
      <c r="J63" s="274">
        <f>-_xlfn.IFNA(VLOOKUP($A63,ISB!$A:$BY,76,FALSE),0)</f>
        <v>-34866.3315</v>
      </c>
      <c r="L63" s="273">
        <f>_xlfn.IFNA(VLOOKUP($A63,EY!$A:$DX,126,FALSE),0)</f>
        <v>0</v>
      </c>
      <c r="M63" s="273">
        <f>_xlfn.IFNA(VLOOKUP($A63,EY!$A:$DX,127,FALSE),0)</f>
        <v>0</v>
      </c>
      <c r="O63" s="273">
        <f>_xlfn.IFNA(VLOOKUP($A63,HN!$A:$AN,37,FALSE),0)</f>
        <v>0</v>
      </c>
      <c r="P63" s="273">
        <f>_xlfn.IFNA(VLOOKUP($A63,HN!$A:$AN,38,FALSE),0)</f>
        <v>0</v>
      </c>
      <c r="Q63" s="273">
        <f>_xlfn.IFNA(VLOOKUP($A63,HN!$A:$AN,39,FALSE),0)</f>
        <v>104611.67</v>
      </c>
      <c r="S63" s="337">
        <f>_xlfn.IFNA(VLOOKUP(A63,'Post 16'!A:AR,44,FALSE),0)</f>
        <v>0</v>
      </c>
      <c r="U63" s="337"/>
      <c r="V63" s="337">
        <f>VLOOKUP(A63,'LA Deductions'!A:AN,40,FALSE)</f>
        <v>0</v>
      </c>
      <c r="X63" s="274">
        <f>VLOOKUP($A63,'Summary June 2026'!$A:$AAX,206,FALSE)-SUMIFS($H63:$V63,$H$7:$V$7,X$7)</f>
        <v>0</v>
      </c>
      <c r="Y63" s="274">
        <f>VLOOKUP($A63,'Summary June 2026'!$A:$HC,207,FALSE)-SUMIFS($H63:$V63,$H$7:$V$7,Y$7)</f>
        <v>0</v>
      </c>
      <c r="Z63" s="274">
        <f>VLOOKUP($A63,'Summary June 2026'!$A:$HC,208,FALSE)-SUMIFS($H63:$V63,$H$7:$V$7,Z$7)</f>
        <v>0</v>
      </c>
      <c r="AA63" s="274">
        <f>VLOOKUP($A63,'Summary June 2026'!$A:$HC,209,FALSE)-SUMIFS($H63:$V63,$H$7:$V$7,AA$7)</f>
        <v>0</v>
      </c>
      <c r="AB63" s="274">
        <f>VLOOKUP($A63,'Summary June 2026'!$A:$HC,210,FALSE)-SUMIFS($H63:$V63,$H$7:$V$7,AB$7)</f>
        <v>0</v>
      </c>
      <c r="AC63" s="274">
        <f>VLOOKUP($A63,'Summary June 2026'!$A:$HC,211,FALSE)-SUMIFS($H63:$V63,$H$7:$V$7,AC$7)</f>
        <v>0</v>
      </c>
      <c r="AE63" s="146">
        <f>VLOOKUP($A63,'Summary June 2026'!$A:$HJ,213,FALSE)+VLOOKUP($A63,'Grants+ Other Funding'!$A:$CG,67,FALSE)</f>
        <v>446552.22597875237</v>
      </c>
      <c r="AF63" s="146">
        <f>_xlfn.IFNA(VLOOKUP($A63,'Summary June 2026'!$A:$HJ,214,FALSE)+VLOOKUP($A63,'Grants+ Other Funding'!$A:$CG,68,FALSE),0)</f>
        <v>-1.67</v>
      </c>
      <c r="AG63" s="146">
        <f>_xlfn.IFNA(VLOOKUP($A63,'Summary June 2026'!$A:$HJ,215,FALSE)+VLOOKUP($A63,'Grants+ Other Funding'!$A:$CG,69,FALSE),0)</f>
        <v>32185.366999999998</v>
      </c>
      <c r="AH63" s="146">
        <f>_xlfn.IFNA(VLOOKUP($A63,'Grants+ Other Funding'!$A:$CG,70,FALSE),0)</f>
        <v>0</v>
      </c>
      <c r="AI63" s="146">
        <f>_xlfn.IFNA(VLOOKUP($A63,'Grants+ Other Funding'!$A:$CG,71,FALSE),0)</f>
        <v>0</v>
      </c>
      <c r="AJ63" s="146">
        <f>_xlfn.IFNA(VLOOKUP($A63,'Grants+ Other Funding'!$A:$CG,72,FALSE),0)</f>
        <v>0</v>
      </c>
      <c r="AK63" s="146">
        <f>_xlfn.IFNA(VLOOKUP($A63,'Summary June 2026'!$A:$HJ,217,FALSE),0)</f>
        <v>-8716.5828750000001</v>
      </c>
      <c r="AL63" s="146">
        <f>_xlfn.IFNA(VLOOKUP($A63,'Grants+ Other Funding'!$A:$CG,74,FALSE),0)</f>
        <v>0</v>
      </c>
      <c r="AM63" s="146">
        <f>_xlfn.IFNA(VLOOKUP($A63,'Summary June 2026'!$A:$HJ,218,FALSE),0)</f>
        <v>0</v>
      </c>
      <c r="AN63" s="146">
        <f>_xlfn.IFNA(VLOOKUP($A63,'Summary June 2026'!$A:$HJ,216,FALSE),0)</f>
        <v>-1761.6750000000002</v>
      </c>
      <c r="AO63" s="146">
        <f>_xlfn.IFNA(VLOOKUP($A63,'Grants+ Other Funding'!$A:$CG,73,FALSE),0)</f>
        <v>0</v>
      </c>
      <c r="AP63" s="65">
        <f t="shared" si="1"/>
        <v>468257.6651037524</v>
      </c>
    </row>
    <row r="64" spans="1:42">
      <c r="A64" s="198">
        <v>2081</v>
      </c>
      <c r="B64" s="2">
        <v>103201</v>
      </c>
      <c r="C64" s="2" t="s">
        <v>151</v>
      </c>
      <c r="D64" s="2" t="s">
        <v>152</v>
      </c>
      <c r="E64" s="190" t="s">
        <v>39</v>
      </c>
      <c r="F64" s="208" t="str">
        <f>VLOOKUP(A64,'Summary June 2026'!A:F,6,FALSE)</f>
        <v>Chq Bk</v>
      </c>
      <c r="H64" s="273">
        <f>_xlfn.IFNA(VLOOKUP($A64,ISB!$A:$BY,67,FALSE),0)</f>
        <v>2318383.8258093242</v>
      </c>
      <c r="I64" s="218">
        <f>_xlfn.IFNA(VLOOKUP($A64,ISB!$A:$BY,72,FALSE),0)</f>
        <v>-10233.9</v>
      </c>
      <c r="J64" s="274">
        <f>-_xlfn.IFNA(VLOOKUP($A64,ISB!$A:$BY,76,FALSE),0)</f>
        <v>-53308.027499999997</v>
      </c>
      <c r="L64" s="273">
        <f>_xlfn.IFNA(VLOOKUP($A64,EY!$A:$DX,126,FALSE),0)</f>
        <v>0</v>
      </c>
      <c r="M64" s="273">
        <f>_xlfn.IFNA(VLOOKUP($A64,EY!$A:$DX,127,FALSE),0)</f>
        <v>0</v>
      </c>
      <c r="O64" s="273">
        <f>_xlfn.IFNA(VLOOKUP($A64,HN!$A:$AN,37,FALSE),0)</f>
        <v>0</v>
      </c>
      <c r="P64" s="273">
        <f>_xlfn.IFNA(VLOOKUP($A64,HN!$A:$AN,38,FALSE),0)</f>
        <v>0</v>
      </c>
      <c r="Q64" s="273">
        <f>_xlfn.IFNA(VLOOKUP($A64,HN!$A:$AN,39,FALSE),0)</f>
        <v>109796.5</v>
      </c>
      <c r="S64" s="337">
        <f>_xlfn.IFNA(VLOOKUP(A64,'Post 16'!A:AR,44,FALSE),0)</f>
        <v>0</v>
      </c>
      <c r="U64" s="337"/>
      <c r="V64" s="337">
        <f>VLOOKUP(A64,'LA Deductions'!A:AN,40,FALSE)</f>
        <v>0</v>
      </c>
      <c r="X64" s="274">
        <f>VLOOKUP($A64,'Summary June 2026'!$A:$AAX,206,FALSE)-SUMIFS($H64:$V64,$H$7:$V$7,X$7)</f>
        <v>0</v>
      </c>
      <c r="Y64" s="274">
        <f>VLOOKUP($A64,'Summary June 2026'!$A:$HC,207,FALSE)-SUMIFS($H64:$V64,$H$7:$V$7,Y$7)</f>
        <v>0</v>
      </c>
      <c r="Z64" s="274">
        <f>VLOOKUP($A64,'Summary June 2026'!$A:$HC,208,FALSE)-SUMIFS($H64:$V64,$H$7:$V$7,Z$7)</f>
        <v>0</v>
      </c>
      <c r="AA64" s="274">
        <f>VLOOKUP($A64,'Summary June 2026'!$A:$HC,209,FALSE)-SUMIFS($H64:$V64,$H$7:$V$7,AA$7)</f>
        <v>0</v>
      </c>
      <c r="AB64" s="274">
        <f>VLOOKUP($A64,'Summary June 2026'!$A:$HC,210,FALSE)-SUMIFS($H64:$V64,$H$7:$V$7,AB$7)</f>
        <v>0</v>
      </c>
      <c r="AC64" s="274">
        <f>VLOOKUP($A64,'Summary June 2026'!$A:$HC,211,FALSE)-SUMIFS($H64:$V64,$H$7:$V$7,AC$7)</f>
        <v>0</v>
      </c>
      <c r="AE64" s="146">
        <f>VLOOKUP($A64,'Summary June 2026'!$A:$HJ,213,FALSE)+VLOOKUP($A64,'Grants+ Other Funding'!$A:$CG,67,FALSE)</f>
        <v>580909.17645233101</v>
      </c>
      <c r="AF64" s="146">
        <f>_xlfn.IFNA(VLOOKUP($A64,'Summary June 2026'!$A:$HJ,214,FALSE)+VLOOKUP($A64,'Grants+ Other Funding'!$A:$CG,68,FALSE),0)</f>
        <v>-32.42</v>
      </c>
      <c r="AG64" s="146">
        <f>_xlfn.IFNA(VLOOKUP($A64,'Summary June 2026'!$A:$HJ,215,FALSE)+VLOOKUP($A64,'Grants+ Other Funding'!$A:$CG,69,FALSE),0)</f>
        <v>35672.556250000001</v>
      </c>
      <c r="AH64" s="146">
        <f>_xlfn.IFNA(VLOOKUP($A64,'Grants+ Other Funding'!$A:$CG,70,FALSE),0)</f>
        <v>0</v>
      </c>
      <c r="AI64" s="146">
        <f>_xlfn.IFNA(VLOOKUP($A64,'Grants+ Other Funding'!$A:$CG,71,FALSE),0)</f>
        <v>0</v>
      </c>
      <c r="AJ64" s="146">
        <f>_xlfn.IFNA(VLOOKUP($A64,'Grants+ Other Funding'!$A:$CG,72,FALSE),0)</f>
        <v>0</v>
      </c>
      <c r="AK64" s="146">
        <f>_xlfn.IFNA(VLOOKUP($A64,'Summary June 2026'!$A:$HJ,217,FALSE),0)</f>
        <v>-13327.006874999999</v>
      </c>
      <c r="AL64" s="146">
        <f>_xlfn.IFNA(VLOOKUP($A64,'Grants+ Other Funding'!$A:$CG,74,FALSE),0)</f>
        <v>0</v>
      </c>
      <c r="AM64" s="146">
        <f>_xlfn.IFNA(VLOOKUP($A64,'Summary June 2026'!$A:$HJ,218,FALSE),0)</f>
        <v>0</v>
      </c>
      <c r="AN64" s="146">
        <f>_xlfn.IFNA(VLOOKUP($A64,'Summary June 2026'!$A:$HJ,216,FALSE),0)</f>
        <v>-2558.4749999999999</v>
      </c>
      <c r="AO64" s="146">
        <f>_xlfn.IFNA(VLOOKUP($A64,'Grants+ Other Funding'!$A:$CG,73,FALSE),0)</f>
        <v>0</v>
      </c>
      <c r="AP64" s="65">
        <f t="shared" si="1"/>
        <v>600663.83082733105</v>
      </c>
    </row>
    <row r="65" spans="1:42">
      <c r="A65" s="198">
        <v>2296</v>
      </c>
      <c r="B65" s="2">
        <v>103320</v>
      </c>
      <c r="C65" s="2" t="s">
        <v>153</v>
      </c>
      <c r="D65" s="2" t="s">
        <v>154</v>
      </c>
      <c r="E65" s="190" t="s">
        <v>39</v>
      </c>
      <c r="F65" s="208" t="str">
        <f>VLOOKUP(A65,'Summary June 2026'!A:F,6,FALSE)</f>
        <v>Chq bk</v>
      </c>
      <c r="H65" s="273">
        <f>_xlfn.IFNA(VLOOKUP($A65,ISB!$A:$BY,67,FALSE),0)</f>
        <v>1603205.0653998072</v>
      </c>
      <c r="I65" s="218">
        <f>_xlfn.IFNA(VLOOKUP($A65,ISB!$A:$BY,72,FALSE),0)</f>
        <v>-6523.7999999999993</v>
      </c>
      <c r="J65" s="274">
        <f>-_xlfn.IFNA(VLOOKUP($A65,ISB!$A:$BY,76,FALSE),0)</f>
        <v>-30544.059000000001</v>
      </c>
      <c r="L65" s="273">
        <f>_xlfn.IFNA(VLOOKUP($A65,EY!$A:$DX,126,FALSE),0)</f>
        <v>0</v>
      </c>
      <c r="M65" s="273">
        <f>_xlfn.IFNA(VLOOKUP($A65,EY!$A:$DX,127,FALSE),0)</f>
        <v>0</v>
      </c>
      <c r="O65" s="273">
        <f>_xlfn.IFNA(VLOOKUP($A65,HN!$A:$AN,37,FALSE),0)</f>
        <v>0</v>
      </c>
      <c r="P65" s="273">
        <f>_xlfn.IFNA(VLOOKUP($A65,HN!$A:$AN,38,FALSE),0)</f>
        <v>0</v>
      </c>
      <c r="Q65" s="273">
        <f>_xlfn.IFNA(VLOOKUP($A65,HN!$A:$AN,39,FALSE),0)</f>
        <v>98750</v>
      </c>
      <c r="S65" s="337">
        <f>_xlfn.IFNA(VLOOKUP(A65,'Post 16'!A:AR,44,FALSE),0)</f>
        <v>0</v>
      </c>
      <c r="U65" s="337"/>
      <c r="V65" s="337">
        <f>VLOOKUP(A65,'LA Deductions'!A:AN,40,FALSE)</f>
        <v>0</v>
      </c>
      <c r="X65" s="274">
        <f>VLOOKUP($A65,'Summary June 2026'!$A:$AAX,206,FALSE)-SUMIFS($H65:$V65,$H$7:$V$7,X$7)</f>
        <v>0</v>
      </c>
      <c r="Y65" s="274">
        <f>VLOOKUP($A65,'Summary June 2026'!$A:$HC,207,FALSE)-SUMIFS($H65:$V65,$H$7:$V$7,Y$7)</f>
        <v>0</v>
      </c>
      <c r="Z65" s="274">
        <f>VLOOKUP($A65,'Summary June 2026'!$A:$HC,208,FALSE)-SUMIFS($H65:$V65,$H$7:$V$7,Z$7)</f>
        <v>0</v>
      </c>
      <c r="AA65" s="274">
        <f>VLOOKUP($A65,'Summary June 2026'!$A:$HC,209,FALSE)-SUMIFS($H65:$V65,$H$7:$V$7,AA$7)</f>
        <v>0</v>
      </c>
      <c r="AB65" s="274">
        <f>VLOOKUP($A65,'Summary June 2026'!$A:$HC,210,FALSE)-SUMIFS($H65:$V65,$H$7:$V$7,AB$7)</f>
        <v>0</v>
      </c>
      <c r="AC65" s="274">
        <f>VLOOKUP($A65,'Summary June 2026'!$A:$HC,211,FALSE)-SUMIFS($H65:$V65,$H$7:$V$7,AC$7)</f>
        <v>0</v>
      </c>
      <c r="AE65" s="146">
        <f>VLOOKUP($A65,'Summary June 2026'!$A:$HJ,213,FALSE)+VLOOKUP($A65,'Grants+ Other Funding'!$A:$CG,67,FALSE)</f>
        <v>400801.26634995174</v>
      </c>
      <c r="AF65" s="146">
        <f>_xlfn.IFNA(VLOOKUP($A65,'Summary June 2026'!$A:$HJ,214,FALSE)+VLOOKUP($A65,'Grants+ Other Funding'!$A:$CG,68,FALSE),0)</f>
        <v>0</v>
      </c>
      <c r="AG65" s="146">
        <f>_xlfn.IFNA(VLOOKUP($A65,'Summary June 2026'!$A:$HJ,215,FALSE)+VLOOKUP($A65,'Grants+ Other Funding'!$A:$CG,69,FALSE),0)</f>
        <v>29586.575000000001</v>
      </c>
      <c r="AH65" s="146">
        <f>_xlfn.IFNA(VLOOKUP($A65,'Grants+ Other Funding'!$A:$CG,70,FALSE),0)</f>
        <v>0</v>
      </c>
      <c r="AI65" s="146">
        <f>_xlfn.IFNA(VLOOKUP($A65,'Grants+ Other Funding'!$A:$CG,71,FALSE),0)</f>
        <v>0</v>
      </c>
      <c r="AJ65" s="146">
        <f>_xlfn.IFNA(VLOOKUP($A65,'Grants+ Other Funding'!$A:$CG,72,FALSE),0)</f>
        <v>0</v>
      </c>
      <c r="AK65" s="146">
        <f>_xlfn.IFNA(VLOOKUP($A65,'Summary June 2026'!$A:$HJ,217,FALSE),0)</f>
        <v>-7636.0147500000003</v>
      </c>
      <c r="AL65" s="146">
        <f>_xlfn.IFNA(VLOOKUP($A65,'Grants+ Other Funding'!$A:$CG,74,FALSE),0)</f>
        <v>0</v>
      </c>
      <c r="AM65" s="146">
        <f>_xlfn.IFNA(VLOOKUP($A65,'Summary June 2026'!$A:$HJ,218,FALSE),0)</f>
        <v>0</v>
      </c>
      <c r="AN65" s="146">
        <f>_xlfn.IFNA(VLOOKUP($A65,'Summary June 2026'!$A:$HJ,216,FALSE),0)</f>
        <v>-1630.9499999999998</v>
      </c>
      <c r="AO65" s="146">
        <f>_xlfn.IFNA(VLOOKUP($A65,'Grants+ Other Funding'!$A:$CG,73,FALSE),0)</f>
        <v>0</v>
      </c>
      <c r="AP65" s="65">
        <f t="shared" si="1"/>
        <v>421120.87659995176</v>
      </c>
    </row>
    <row r="66" spans="1:42">
      <c r="A66" s="198">
        <v>1015</v>
      </c>
      <c r="B66" s="2">
        <v>103128</v>
      </c>
      <c r="C66" s="2" t="s">
        <v>155</v>
      </c>
      <c r="D66" s="2" t="s">
        <v>156</v>
      </c>
      <c r="E66" s="190" t="s">
        <v>36</v>
      </c>
      <c r="F66" s="208" t="str">
        <f>VLOOKUP(A66,'Summary June 2026'!A:F,6,FALSE)</f>
        <v>Chq Bk</v>
      </c>
      <c r="H66" s="273">
        <f>_xlfn.IFNA(VLOOKUP($A66,ISB!$A:$BY,67,FALSE),0)</f>
        <v>0</v>
      </c>
      <c r="I66" s="218">
        <f>_xlfn.IFNA(VLOOKUP($A66,ISB!$A:$BY,72,FALSE),0)</f>
        <v>0</v>
      </c>
      <c r="J66" s="274">
        <f>-_xlfn.IFNA(VLOOKUP($A66,ISB!$A:$BY,76,FALSE),0)</f>
        <v>0</v>
      </c>
      <c r="L66" s="273">
        <f>_xlfn.IFNA(VLOOKUP($A66,EY!$A:$DX,126,FALSE),0)</f>
        <v>628542.93024014949</v>
      </c>
      <c r="M66" s="273">
        <f>_xlfn.IFNA(VLOOKUP($A66,EY!$A:$DX,127,FALSE),0)</f>
        <v>13383.182271468144</v>
      </c>
      <c r="O66" s="273">
        <f>_xlfn.IFNA(VLOOKUP($A66,HN!$A:$AN,37,FALSE),0)</f>
        <v>0</v>
      </c>
      <c r="P66" s="273">
        <f>_xlfn.IFNA(VLOOKUP($A66,HN!$A:$AN,38,FALSE),0)</f>
        <v>0</v>
      </c>
      <c r="Q66" s="273">
        <f>_xlfn.IFNA(VLOOKUP($A66,HN!$A:$AN,39,FALSE),0)</f>
        <v>13290</v>
      </c>
      <c r="S66" s="337">
        <f>_xlfn.IFNA(VLOOKUP(A66,'Post 16'!A:AR,44,FALSE),0)</f>
        <v>0</v>
      </c>
      <c r="U66" s="337"/>
      <c r="V66" s="337">
        <f>VLOOKUP(A66,'LA Deductions'!A:AN,40,FALSE)</f>
        <v>0</v>
      </c>
      <c r="X66" s="274">
        <f>VLOOKUP($A66,'Summary June 2026'!$A:$AAX,206,FALSE)-SUMIFS($H66:$V66,$H$7:$V$7,X$7)</f>
        <v>0</v>
      </c>
      <c r="Y66" s="274">
        <f>VLOOKUP($A66,'Summary June 2026'!$A:$HC,207,FALSE)-SUMIFS($H66:$V66,$H$7:$V$7,Y$7)</f>
        <v>0</v>
      </c>
      <c r="Z66" s="274">
        <f>VLOOKUP($A66,'Summary June 2026'!$A:$HC,208,FALSE)-SUMIFS($H66:$V66,$H$7:$V$7,Z$7)</f>
        <v>0</v>
      </c>
      <c r="AA66" s="274">
        <f>VLOOKUP($A66,'Summary June 2026'!$A:$HC,209,FALSE)-SUMIFS($H66:$V66,$H$7:$V$7,AA$7)</f>
        <v>0</v>
      </c>
      <c r="AB66" s="274">
        <f>VLOOKUP($A66,'Summary June 2026'!$A:$HC,210,FALSE)-SUMIFS($H66:$V66,$H$7:$V$7,AB$7)</f>
        <v>0</v>
      </c>
      <c r="AC66" s="274">
        <f>VLOOKUP($A66,'Summary June 2026'!$A:$HC,211,FALSE)-SUMIFS($H66:$V66,$H$7:$V$7,AC$7)</f>
        <v>0</v>
      </c>
      <c r="AE66" s="146">
        <f>VLOOKUP($A66,'Summary June 2026'!$A:$HJ,213,FALSE)+VLOOKUP($A66,'Grants+ Other Funding'!$A:$CG,67,FALSE)</f>
        <v>456881.85581909679</v>
      </c>
      <c r="AF66" s="146">
        <f>_xlfn.IFNA(VLOOKUP($A66,'Summary June 2026'!$A:$HJ,214,FALSE)+VLOOKUP($A66,'Grants+ Other Funding'!$A:$CG,68,FALSE),0)</f>
        <v>-15.02</v>
      </c>
      <c r="AG66" s="146">
        <f>_xlfn.IFNA(VLOOKUP($A66,'Summary June 2026'!$A:$HJ,215,FALSE)+VLOOKUP($A66,'Grants+ Other Funding'!$A:$CG,69,FALSE),0)</f>
        <v>11028.932271468144</v>
      </c>
      <c r="AH66" s="146">
        <f>_xlfn.IFNA(VLOOKUP($A66,'Grants+ Other Funding'!$A:$CG,70,FALSE),0)</f>
        <v>0</v>
      </c>
      <c r="AI66" s="146">
        <f>_xlfn.IFNA(VLOOKUP($A66,'Grants+ Other Funding'!$A:$CG,71,FALSE),0)</f>
        <v>0</v>
      </c>
      <c r="AJ66" s="146">
        <f>_xlfn.IFNA(VLOOKUP($A66,'Grants+ Other Funding'!$A:$CG,72,FALSE),0)</f>
        <v>0</v>
      </c>
      <c r="AK66" s="146">
        <f>_xlfn.IFNA(VLOOKUP($A66,'Summary June 2026'!$A:$HJ,217,FALSE),0)</f>
        <v>0</v>
      </c>
      <c r="AL66" s="146">
        <f>_xlfn.IFNA(VLOOKUP($A66,'Grants+ Other Funding'!$A:$CG,74,FALSE),0)</f>
        <v>0</v>
      </c>
      <c r="AM66" s="146">
        <f>_xlfn.IFNA(VLOOKUP($A66,'Summary June 2026'!$A:$HJ,218,FALSE),0)</f>
        <v>0</v>
      </c>
      <c r="AN66" s="146">
        <f>_xlfn.IFNA(VLOOKUP($A66,'Summary June 2026'!$A:$HJ,216,FALSE),0)</f>
        <v>0</v>
      </c>
      <c r="AO66" s="146">
        <f>_xlfn.IFNA(VLOOKUP($A66,'Grants+ Other Funding'!$A:$CG,73,FALSE),0)</f>
        <v>0</v>
      </c>
      <c r="AP66" s="65">
        <f t="shared" si="1"/>
        <v>467895.76809056493</v>
      </c>
    </row>
    <row r="67" spans="1:42">
      <c r="A67" s="198">
        <v>1022</v>
      </c>
      <c r="B67" s="2">
        <v>103135</v>
      </c>
      <c r="C67" s="2" t="s">
        <v>157</v>
      </c>
      <c r="D67" s="2" t="s">
        <v>158</v>
      </c>
      <c r="E67" s="190" t="s">
        <v>36</v>
      </c>
      <c r="F67" s="208" t="str">
        <f>VLOOKUP(A67,'Summary June 2026'!A:F,6,FALSE)</f>
        <v>Chq Bk</v>
      </c>
      <c r="H67" s="273">
        <f>_xlfn.IFNA(VLOOKUP($A67,ISB!$A:$BY,67,FALSE),0)</f>
        <v>0</v>
      </c>
      <c r="I67" s="218">
        <f>_xlfn.IFNA(VLOOKUP($A67,ISB!$A:$BY,72,FALSE),0)</f>
        <v>0</v>
      </c>
      <c r="J67" s="274">
        <f>-_xlfn.IFNA(VLOOKUP($A67,ISB!$A:$BY,76,FALSE),0)</f>
        <v>0</v>
      </c>
      <c r="L67" s="273">
        <f>_xlfn.IFNA(VLOOKUP($A67,EY!$A:$DX,126,FALSE),0)</f>
        <v>539833.23126780801</v>
      </c>
      <c r="M67" s="273">
        <f>_xlfn.IFNA(VLOOKUP($A67,EY!$A:$DX,127,FALSE),0)</f>
        <v>4668.5252077562327</v>
      </c>
      <c r="O67" s="273">
        <f>_xlfn.IFNA(VLOOKUP($A67,HN!$A:$AN,37,FALSE),0)</f>
        <v>0</v>
      </c>
      <c r="P67" s="273">
        <f>_xlfn.IFNA(VLOOKUP($A67,HN!$A:$AN,38,FALSE),0)</f>
        <v>0</v>
      </c>
      <c r="Q67" s="273">
        <f>_xlfn.IFNA(VLOOKUP($A67,HN!$A:$AN,39,FALSE),0)</f>
        <v>13290</v>
      </c>
      <c r="S67" s="337">
        <f>_xlfn.IFNA(VLOOKUP(A67,'Post 16'!A:AR,44,FALSE),0)</f>
        <v>0</v>
      </c>
      <c r="U67" s="337"/>
      <c r="V67" s="337">
        <f>VLOOKUP(A67,'LA Deductions'!A:AN,40,FALSE)</f>
        <v>0</v>
      </c>
      <c r="X67" s="274">
        <f>VLOOKUP($A67,'Summary June 2026'!$A:$AAX,206,FALSE)-SUMIFS($H67:$V67,$H$7:$V$7,X$7)</f>
        <v>0</v>
      </c>
      <c r="Y67" s="274">
        <f>VLOOKUP($A67,'Summary June 2026'!$A:$HC,207,FALSE)-SUMIFS($H67:$V67,$H$7:$V$7,Y$7)</f>
        <v>0</v>
      </c>
      <c r="Z67" s="274">
        <f>VLOOKUP($A67,'Summary June 2026'!$A:$HC,208,FALSE)-SUMIFS($H67:$V67,$H$7:$V$7,Z$7)</f>
        <v>0</v>
      </c>
      <c r="AA67" s="274">
        <f>VLOOKUP($A67,'Summary June 2026'!$A:$HC,209,FALSE)-SUMIFS($H67:$V67,$H$7:$V$7,AA$7)</f>
        <v>0</v>
      </c>
      <c r="AB67" s="274">
        <f>VLOOKUP($A67,'Summary June 2026'!$A:$HC,210,FALSE)-SUMIFS($H67:$V67,$H$7:$V$7,AB$7)</f>
        <v>0</v>
      </c>
      <c r="AC67" s="274">
        <f>VLOOKUP($A67,'Summary June 2026'!$A:$HC,211,FALSE)-SUMIFS($H67:$V67,$H$7:$V$7,AC$7)</f>
        <v>0</v>
      </c>
      <c r="AE67" s="146">
        <f>VLOOKUP($A67,'Summary June 2026'!$A:$HJ,213,FALSE)+VLOOKUP($A67,'Grants+ Other Funding'!$A:$CG,67,FALSE)</f>
        <v>403708.44389938691</v>
      </c>
      <c r="AF67" s="146">
        <f>_xlfn.IFNA(VLOOKUP($A67,'Summary June 2026'!$A:$HJ,214,FALSE)+VLOOKUP($A67,'Grants+ Other Funding'!$A:$CG,68,FALSE),0)</f>
        <v>0</v>
      </c>
      <c r="AG67" s="146">
        <f>_xlfn.IFNA(VLOOKUP($A67,'Summary June 2026'!$A:$HJ,215,FALSE)+VLOOKUP($A67,'Grants+ Other Funding'!$A:$CG,69,FALSE),0)</f>
        <v>7547.7752077562327</v>
      </c>
      <c r="AH67" s="146">
        <f>_xlfn.IFNA(VLOOKUP($A67,'Grants+ Other Funding'!$A:$CG,70,FALSE),0)</f>
        <v>0</v>
      </c>
      <c r="AI67" s="146">
        <f>_xlfn.IFNA(VLOOKUP($A67,'Grants+ Other Funding'!$A:$CG,71,FALSE),0)</f>
        <v>0</v>
      </c>
      <c r="AJ67" s="146">
        <f>_xlfn.IFNA(VLOOKUP($A67,'Grants+ Other Funding'!$A:$CG,72,FALSE),0)</f>
        <v>0</v>
      </c>
      <c r="AK67" s="146">
        <f>_xlfn.IFNA(VLOOKUP($A67,'Summary June 2026'!$A:$HJ,217,FALSE),0)</f>
        <v>0</v>
      </c>
      <c r="AL67" s="146">
        <f>_xlfn.IFNA(VLOOKUP($A67,'Grants+ Other Funding'!$A:$CG,74,FALSE),0)</f>
        <v>0</v>
      </c>
      <c r="AM67" s="146">
        <f>_xlfn.IFNA(VLOOKUP($A67,'Summary June 2026'!$A:$HJ,218,FALSE),0)</f>
        <v>0</v>
      </c>
      <c r="AN67" s="146">
        <f>_xlfn.IFNA(VLOOKUP($A67,'Summary June 2026'!$A:$HJ,216,FALSE),0)</f>
        <v>0</v>
      </c>
      <c r="AO67" s="146">
        <f>_xlfn.IFNA(VLOOKUP($A67,'Grants+ Other Funding'!$A:$CG,73,FALSE),0)</f>
        <v>0</v>
      </c>
      <c r="AP67" s="65">
        <f t="shared" si="1"/>
        <v>411256.21910714312</v>
      </c>
    </row>
    <row r="68" spans="1:42">
      <c r="A68" s="198">
        <v>2087</v>
      </c>
      <c r="B68" s="2">
        <v>103205</v>
      </c>
      <c r="C68" s="2" t="s">
        <v>159</v>
      </c>
      <c r="D68" s="2" t="s">
        <v>160</v>
      </c>
      <c r="E68" s="190" t="s">
        <v>39</v>
      </c>
      <c r="F68" s="208" t="str">
        <f>VLOOKUP(A68,'Summary June 2026'!A:F,6,FALSE)</f>
        <v>Chq Bk</v>
      </c>
      <c r="H68" s="273">
        <f>_xlfn.IFNA(VLOOKUP($A68,ISB!$A:$BY,67,FALSE),0)</f>
        <v>2042316.3345782224</v>
      </c>
      <c r="I68" s="218">
        <f>_xlfn.IFNA(VLOOKUP($A68,ISB!$A:$BY,72,FALSE),0)</f>
        <v>-7644.2999999999993</v>
      </c>
      <c r="J68" s="274">
        <f>-_xlfn.IFNA(VLOOKUP($A68,ISB!$A:$BY,76,FALSE),0)</f>
        <v>-34866.3315</v>
      </c>
      <c r="L68" s="273">
        <f>_xlfn.IFNA(VLOOKUP($A68,EY!$A:$DX,126,FALSE),0)</f>
        <v>0</v>
      </c>
      <c r="M68" s="273">
        <f>_xlfn.IFNA(VLOOKUP($A68,EY!$A:$DX,127,FALSE),0)</f>
        <v>0</v>
      </c>
      <c r="O68" s="273">
        <f>_xlfn.IFNA(VLOOKUP($A68,HN!$A:$AN,37,FALSE),0)</f>
        <v>0</v>
      </c>
      <c r="P68" s="273">
        <f>_xlfn.IFNA(VLOOKUP($A68,HN!$A:$AN,38,FALSE),0)</f>
        <v>0</v>
      </c>
      <c r="Q68" s="273">
        <f>_xlfn.IFNA(VLOOKUP($A68,HN!$A:$AN,39,FALSE),0)</f>
        <v>125347</v>
      </c>
      <c r="S68" s="337">
        <f>_xlfn.IFNA(VLOOKUP(A68,'Post 16'!A:AR,44,FALSE),0)</f>
        <v>0</v>
      </c>
      <c r="U68" s="337"/>
      <c r="V68" s="337">
        <f>VLOOKUP(A68,'LA Deductions'!A:AN,40,FALSE)</f>
        <v>0</v>
      </c>
      <c r="X68" s="274">
        <f>VLOOKUP($A68,'Summary June 2026'!$A:$AAX,206,FALSE)-SUMIFS($H68:$V68,$H$7:$V$7,X$7)</f>
        <v>0</v>
      </c>
      <c r="Y68" s="274">
        <f>VLOOKUP($A68,'Summary June 2026'!$A:$HC,207,FALSE)-SUMIFS($H68:$V68,$H$7:$V$7,Y$7)</f>
        <v>0</v>
      </c>
      <c r="Z68" s="274">
        <f>VLOOKUP($A68,'Summary June 2026'!$A:$HC,208,FALSE)-SUMIFS($H68:$V68,$H$7:$V$7,Z$7)</f>
        <v>0</v>
      </c>
      <c r="AA68" s="274">
        <f>VLOOKUP($A68,'Summary June 2026'!$A:$HC,209,FALSE)-SUMIFS($H68:$V68,$H$7:$V$7,AA$7)</f>
        <v>0</v>
      </c>
      <c r="AB68" s="274">
        <f>VLOOKUP($A68,'Summary June 2026'!$A:$HC,210,FALSE)-SUMIFS($H68:$V68,$H$7:$V$7,AB$7)</f>
        <v>0</v>
      </c>
      <c r="AC68" s="274">
        <f>VLOOKUP($A68,'Summary June 2026'!$A:$HC,211,FALSE)-SUMIFS($H68:$V68,$H$7:$V$7,AC$7)</f>
        <v>0</v>
      </c>
      <c r="AE68" s="146">
        <f>VLOOKUP($A68,'Summary June 2026'!$A:$HJ,213,FALSE)+VLOOKUP($A68,'Grants+ Other Funding'!$A:$CG,67,FALSE)</f>
        <v>512626.62364455557</v>
      </c>
      <c r="AF68" s="146">
        <f>_xlfn.IFNA(VLOOKUP($A68,'Summary June 2026'!$A:$HJ,214,FALSE)+VLOOKUP($A68,'Grants+ Other Funding'!$A:$CG,68,FALSE),0)</f>
        <v>-28.25</v>
      </c>
      <c r="AG68" s="146">
        <f>_xlfn.IFNA(VLOOKUP($A68,'Summary June 2026'!$A:$HJ,215,FALSE)+VLOOKUP($A68,'Grants+ Other Funding'!$A:$CG,69,FALSE),0)</f>
        <v>35230.84375</v>
      </c>
      <c r="AH68" s="146">
        <f>_xlfn.IFNA(VLOOKUP($A68,'Grants+ Other Funding'!$A:$CG,70,FALSE),0)</f>
        <v>0</v>
      </c>
      <c r="AI68" s="146">
        <f>_xlfn.IFNA(VLOOKUP($A68,'Grants+ Other Funding'!$A:$CG,71,FALSE),0)</f>
        <v>0</v>
      </c>
      <c r="AJ68" s="146">
        <f>_xlfn.IFNA(VLOOKUP($A68,'Grants+ Other Funding'!$A:$CG,72,FALSE),0)</f>
        <v>0</v>
      </c>
      <c r="AK68" s="146">
        <f>_xlfn.IFNA(VLOOKUP($A68,'Summary June 2026'!$A:$HJ,217,FALSE),0)</f>
        <v>-8716.5828750000001</v>
      </c>
      <c r="AL68" s="146">
        <f>_xlfn.IFNA(VLOOKUP($A68,'Grants+ Other Funding'!$A:$CG,74,FALSE),0)</f>
        <v>0</v>
      </c>
      <c r="AM68" s="146">
        <f>_xlfn.IFNA(VLOOKUP($A68,'Summary June 2026'!$A:$HJ,218,FALSE),0)</f>
        <v>0</v>
      </c>
      <c r="AN68" s="146">
        <f>_xlfn.IFNA(VLOOKUP($A68,'Summary June 2026'!$A:$HJ,216,FALSE),0)</f>
        <v>-1911.0749999999998</v>
      </c>
      <c r="AO68" s="146">
        <f>_xlfn.IFNA(VLOOKUP($A68,'Grants+ Other Funding'!$A:$CG,73,FALSE),0)</f>
        <v>0</v>
      </c>
      <c r="AP68" s="65">
        <f t="shared" si="1"/>
        <v>537201.55951955565</v>
      </c>
    </row>
    <row r="69" spans="1:42">
      <c r="A69" s="198">
        <v>2466</v>
      </c>
      <c r="B69" s="2">
        <v>103392</v>
      </c>
      <c r="C69" s="2" t="s">
        <v>161</v>
      </c>
      <c r="D69" s="2" t="s">
        <v>162</v>
      </c>
      <c r="E69" s="190" t="s">
        <v>39</v>
      </c>
      <c r="F69" s="208" t="str">
        <f>VLOOKUP(A69,'Summary June 2026'!A:F,6,FALSE)</f>
        <v>Chq Bk</v>
      </c>
      <c r="H69" s="273">
        <f>_xlfn.IFNA(VLOOKUP($A69,ISB!$A:$BY,67,FALSE),0)</f>
        <v>3702772.9427154511</v>
      </c>
      <c r="I69" s="218">
        <f>_xlfn.IFNA(VLOOKUP($A69,ISB!$A:$BY,72,FALSE),0)</f>
        <v>-14193</v>
      </c>
      <c r="J69" s="274">
        <f>-_xlfn.IFNA(VLOOKUP($A69,ISB!$A:$BY,76,FALSE),0)</f>
        <v>-40053.058499999999</v>
      </c>
      <c r="L69" s="273">
        <f>_xlfn.IFNA(VLOOKUP($A69,EY!$A:$DX,126,FALSE),0)</f>
        <v>101954.51400554016</v>
      </c>
      <c r="M69" s="273">
        <f>_xlfn.IFNA(VLOOKUP($A69,EY!$A:$DX,127,FALSE),0)</f>
        <v>0</v>
      </c>
      <c r="O69" s="273">
        <f>_xlfn.IFNA(VLOOKUP($A69,HN!$A:$AN,37,FALSE),0)</f>
        <v>0</v>
      </c>
      <c r="P69" s="273">
        <f>_xlfn.IFNA(VLOOKUP($A69,HN!$A:$AN,38,FALSE),0)</f>
        <v>0</v>
      </c>
      <c r="Q69" s="273">
        <f>_xlfn.IFNA(VLOOKUP($A69,HN!$A:$AN,39,FALSE),0)</f>
        <v>69848.33</v>
      </c>
      <c r="S69" s="337">
        <f>_xlfn.IFNA(VLOOKUP(A69,'Post 16'!A:AR,44,FALSE),0)</f>
        <v>0</v>
      </c>
      <c r="U69" s="337"/>
      <c r="V69" s="337">
        <f>VLOOKUP(A69,'LA Deductions'!A:AN,40,FALSE)</f>
        <v>0</v>
      </c>
      <c r="X69" s="274">
        <f>VLOOKUP($A69,'Summary June 2026'!$A:$AAX,206,FALSE)-SUMIFS($H69:$V69,$H$7:$V$7,X$7)</f>
        <v>0</v>
      </c>
      <c r="Y69" s="274">
        <f>VLOOKUP($A69,'Summary June 2026'!$A:$HC,207,FALSE)-SUMIFS($H69:$V69,$H$7:$V$7,Y$7)</f>
        <v>0</v>
      </c>
      <c r="Z69" s="274">
        <f>VLOOKUP($A69,'Summary June 2026'!$A:$HC,208,FALSE)-SUMIFS($H69:$V69,$H$7:$V$7,Z$7)</f>
        <v>0</v>
      </c>
      <c r="AA69" s="274">
        <f>VLOOKUP($A69,'Summary June 2026'!$A:$HC,209,FALSE)-SUMIFS($H69:$V69,$H$7:$V$7,AA$7)</f>
        <v>0</v>
      </c>
      <c r="AB69" s="274">
        <f>VLOOKUP($A69,'Summary June 2026'!$A:$HC,210,FALSE)-SUMIFS($H69:$V69,$H$7:$V$7,AB$7)</f>
        <v>0</v>
      </c>
      <c r="AC69" s="274">
        <f>VLOOKUP($A69,'Summary June 2026'!$A:$HC,211,FALSE)-SUMIFS($H69:$V69,$H$7:$V$7,AC$7)</f>
        <v>0</v>
      </c>
      <c r="AE69" s="146">
        <f>VLOOKUP($A69,'Summary June 2026'!$A:$HJ,213,FALSE)+VLOOKUP($A69,'Grants+ Other Funding'!$A:$CG,67,FALSE)</f>
        <v>988750.83368440287</v>
      </c>
      <c r="AF69" s="146">
        <f>_xlfn.IFNA(VLOOKUP($A69,'Summary June 2026'!$A:$HJ,214,FALSE)+VLOOKUP($A69,'Grants+ Other Funding'!$A:$CG,68,FALSE),0)</f>
        <v>-41.05</v>
      </c>
      <c r="AG69" s="146">
        <f>_xlfn.IFNA(VLOOKUP($A69,'Summary June 2026'!$A:$HJ,215,FALSE)+VLOOKUP($A69,'Grants+ Other Funding'!$A:$CG,69,FALSE),0)</f>
        <v>19769.395250000001</v>
      </c>
      <c r="AH69" s="146">
        <f>_xlfn.IFNA(VLOOKUP($A69,'Grants+ Other Funding'!$A:$CG,70,FALSE),0)</f>
        <v>0</v>
      </c>
      <c r="AI69" s="146">
        <f>_xlfn.IFNA(VLOOKUP($A69,'Grants+ Other Funding'!$A:$CG,71,FALSE),0)</f>
        <v>0</v>
      </c>
      <c r="AJ69" s="146">
        <f>_xlfn.IFNA(VLOOKUP($A69,'Grants+ Other Funding'!$A:$CG,72,FALSE),0)</f>
        <v>0</v>
      </c>
      <c r="AK69" s="146">
        <f>_xlfn.IFNA(VLOOKUP($A69,'Summary June 2026'!$A:$HJ,217,FALSE),0)</f>
        <v>-10013.264625</v>
      </c>
      <c r="AL69" s="146">
        <f>_xlfn.IFNA(VLOOKUP($A69,'Grants+ Other Funding'!$A:$CG,74,FALSE),0)</f>
        <v>0</v>
      </c>
      <c r="AM69" s="146">
        <f>_xlfn.IFNA(VLOOKUP($A69,'Summary June 2026'!$A:$HJ,218,FALSE),0)</f>
        <v>0</v>
      </c>
      <c r="AN69" s="146">
        <f>_xlfn.IFNA(VLOOKUP($A69,'Summary June 2026'!$A:$HJ,216,FALSE),0)</f>
        <v>-3548.25</v>
      </c>
      <c r="AO69" s="146">
        <f>_xlfn.IFNA(VLOOKUP($A69,'Grants+ Other Funding'!$A:$CG,73,FALSE),0)</f>
        <v>0</v>
      </c>
      <c r="AP69" s="65">
        <f t="shared" si="1"/>
        <v>994917.66430940281</v>
      </c>
    </row>
    <row r="70" spans="1:42">
      <c r="A70" s="198">
        <v>2091</v>
      </c>
      <c r="B70" s="2">
        <v>103208</v>
      </c>
      <c r="C70" s="2" t="s">
        <v>163</v>
      </c>
      <c r="D70" s="2" t="s">
        <v>164</v>
      </c>
      <c r="E70" s="190" t="s">
        <v>39</v>
      </c>
      <c r="F70" s="208" t="str">
        <f>VLOOKUP(A70,'Summary June 2026'!A:F,6,FALSE)</f>
        <v>Chq Bk</v>
      </c>
      <c r="H70" s="273">
        <f>_xlfn.IFNA(VLOOKUP($A70,ISB!$A:$BY,67,FALSE),0)</f>
        <v>1299510.6361004051</v>
      </c>
      <c r="I70" s="218">
        <f>_xlfn.IFNA(VLOOKUP($A70,ISB!$A:$BY,72,FALSE),0)</f>
        <v>-4706.0999999999995</v>
      </c>
      <c r="J70" s="274">
        <f>-_xlfn.IFNA(VLOOKUP($A70,ISB!$A:$BY,76,FALSE),0)</f>
        <v>-21594.4745</v>
      </c>
      <c r="L70" s="273">
        <f>_xlfn.IFNA(VLOOKUP($A70,EY!$A:$DX,126,FALSE),0)</f>
        <v>0</v>
      </c>
      <c r="M70" s="273">
        <f>_xlfn.IFNA(VLOOKUP($A70,EY!$A:$DX,127,FALSE),0)</f>
        <v>0</v>
      </c>
      <c r="O70" s="273">
        <f>_xlfn.IFNA(VLOOKUP($A70,HN!$A:$AN,37,FALSE),0)</f>
        <v>0</v>
      </c>
      <c r="P70" s="273">
        <f>_xlfn.IFNA(VLOOKUP($A70,HN!$A:$AN,38,FALSE),0)</f>
        <v>0</v>
      </c>
      <c r="Q70" s="273">
        <f>_xlfn.IFNA(VLOOKUP($A70,HN!$A:$AN,39,FALSE),0)</f>
        <v>123897.25</v>
      </c>
      <c r="S70" s="337">
        <f>_xlfn.IFNA(VLOOKUP(A70,'Post 16'!A:AR,44,FALSE),0)</f>
        <v>0</v>
      </c>
      <c r="U70" s="337"/>
      <c r="V70" s="337">
        <f>VLOOKUP(A70,'LA Deductions'!A:AN,40,FALSE)</f>
        <v>0</v>
      </c>
      <c r="X70" s="274">
        <f>VLOOKUP($A70,'Summary June 2026'!$A:$AAX,206,FALSE)-SUMIFS($H70:$V70,$H$7:$V$7,X$7)</f>
        <v>0</v>
      </c>
      <c r="Y70" s="274">
        <f>VLOOKUP($A70,'Summary June 2026'!$A:$HC,207,FALSE)-SUMIFS($H70:$V70,$H$7:$V$7,Y$7)</f>
        <v>0</v>
      </c>
      <c r="Z70" s="274">
        <f>VLOOKUP($A70,'Summary June 2026'!$A:$HC,208,FALSE)-SUMIFS($H70:$V70,$H$7:$V$7,Z$7)</f>
        <v>0</v>
      </c>
      <c r="AA70" s="274">
        <f>VLOOKUP($A70,'Summary June 2026'!$A:$HC,209,FALSE)-SUMIFS($H70:$V70,$H$7:$V$7,AA$7)</f>
        <v>0</v>
      </c>
      <c r="AB70" s="274">
        <f>VLOOKUP($A70,'Summary June 2026'!$A:$HC,210,FALSE)-SUMIFS($H70:$V70,$H$7:$V$7,AB$7)</f>
        <v>0</v>
      </c>
      <c r="AC70" s="274">
        <f>VLOOKUP($A70,'Summary June 2026'!$A:$HC,211,FALSE)-SUMIFS($H70:$V70,$H$7:$V$7,AC$7)</f>
        <v>0</v>
      </c>
      <c r="AE70" s="146">
        <f>VLOOKUP($A70,'Summary June 2026'!$A:$HJ,213,FALSE)+VLOOKUP($A70,'Grants+ Other Funding'!$A:$CG,67,FALSE)</f>
        <v>325165.62902510125</v>
      </c>
      <c r="AF70" s="146">
        <f>_xlfn.IFNA(VLOOKUP($A70,'Summary June 2026'!$A:$HJ,214,FALSE)+VLOOKUP($A70,'Grants+ Other Funding'!$A:$CG,68,FALSE),0)</f>
        <v>-39.869999999999997</v>
      </c>
      <c r="AG70" s="146">
        <f>_xlfn.IFNA(VLOOKUP($A70,'Summary June 2026'!$A:$HJ,215,FALSE)+VLOOKUP($A70,'Grants+ Other Funding'!$A:$CG,69,FALSE),0)</f>
        <v>31246.46875</v>
      </c>
      <c r="AH70" s="146">
        <f>_xlfn.IFNA(VLOOKUP($A70,'Grants+ Other Funding'!$A:$CG,70,FALSE),0)</f>
        <v>0</v>
      </c>
      <c r="AI70" s="146">
        <f>_xlfn.IFNA(VLOOKUP($A70,'Grants+ Other Funding'!$A:$CG,71,FALSE),0)</f>
        <v>0</v>
      </c>
      <c r="AJ70" s="146">
        <f>_xlfn.IFNA(VLOOKUP($A70,'Grants+ Other Funding'!$A:$CG,72,FALSE),0)</f>
        <v>0</v>
      </c>
      <c r="AK70" s="146">
        <f>_xlfn.IFNA(VLOOKUP($A70,'Summary June 2026'!$A:$HJ,217,FALSE),0)</f>
        <v>-5398.6186250000001</v>
      </c>
      <c r="AL70" s="146">
        <f>_xlfn.IFNA(VLOOKUP($A70,'Grants+ Other Funding'!$A:$CG,74,FALSE),0)</f>
        <v>0</v>
      </c>
      <c r="AM70" s="146">
        <f>_xlfn.IFNA(VLOOKUP($A70,'Summary June 2026'!$A:$HJ,218,FALSE),0)</f>
        <v>0</v>
      </c>
      <c r="AN70" s="146">
        <f>_xlfn.IFNA(VLOOKUP($A70,'Summary June 2026'!$A:$HJ,216,FALSE),0)</f>
        <v>-1176.5249999999999</v>
      </c>
      <c r="AO70" s="146">
        <f>_xlfn.IFNA(VLOOKUP($A70,'Grants+ Other Funding'!$A:$CG,73,FALSE),0)</f>
        <v>0</v>
      </c>
      <c r="AP70" s="65">
        <f t="shared" si="1"/>
        <v>349797.08415010123</v>
      </c>
    </row>
    <row r="71" spans="1:42">
      <c r="A71" s="198">
        <v>2093</v>
      </c>
      <c r="B71" s="2">
        <v>103210</v>
      </c>
      <c r="C71" s="2" t="s">
        <v>165</v>
      </c>
      <c r="D71" s="2" t="s">
        <v>166</v>
      </c>
      <c r="E71" s="190" t="s">
        <v>39</v>
      </c>
      <c r="F71" s="208" t="str">
        <f>VLOOKUP(A71,'Summary June 2026'!A:F,6,FALSE)</f>
        <v>Chq Bk</v>
      </c>
      <c r="H71" s="273">
        <f>_xlfn.IFNA(VLOOKUP($A71,ISB!$A:$BY,67,FALSE),0)</f>
        <v>2020646.0714053567</v>
      </c>
      <c r="I71" s="218">
        <f>_xlfn.IFNA(VLOOKUP($A71,ISB!$A:$BY,72,FALSE),0)</f>
        <v>-8914.1999999999989</v>
      </c>
      <c r="J71" s="274">
        <f>-_xlfn.IFNA(VLOOKUP($A71,ISB!$A:$BY,76,FALSE),0)</f>
        <v>-23174.558000000001</v>
      </c>
      <c r="L71" s="273">
        <f>_xlfn.IFNA(VLOOKUP($A71,EY!$A:$DX,126,FALSE),0)</f>
        <v>111083.45701939058</v>
      </c>
      <c r="M71" s="273">
        <f>_xlfn.IFNA(VLOOKUP($A71,EY!$A:$DX,127,FALSE),0)</f>
        <v>0</v>
      </c>
      <c r="O71" s="273">
        <f>_xlfn.IFNA(VLOOKUP($A71,HN!$A:$AN,37,FALSE),0)</f>
        <v>0</v>
      </c>
      <c r="P71" s="273">
        <f>_xlfn.IFNA(VLOOKUP($A71,HN!$A:$AN,38,FALSE),0)</f>
        <v>0</v>
      </c>
      <c r="Q71" s="273">
        <f>_xlfn.IFNA(VLOOKUP($A71,HN!$A:$AN,39,FALSE),0)</f>
        <v>80617.25</v>
      </c>
      <c r="S71" s="337">
        <f>_xlfn.IFNA(VLOOKUP(A71,'Post 16'!A:AR,44,FALSE),0)</f>
        <v>0</v>
      </c>
      <c r="U71" s="337"/>
      <c r="V71" s="337">
        <f>VLOOKUP(A71,'LA Deductions'!A:AN,40,FALSE)</f>
        <v>0</v>
      </c>
      <c r="X71" s="274">
        <f>VLOOKUP($A71,'Summary June 2026'!$A:$AAX,206,FALSE)-SUMIFS($H71:$V71,$H$7:$V$7,X$7)</f>
        <v>0</v>
      </c>
      <c r="Y71" s="274">
        <f>VLOOKUP($A71,'Summary June 2026'!$A:$HC,207,FALSE)-SUMIFS($H71:$V71,$H$7:$V$7,Y$7)</f>
        <v>0</v>
      </c>
      <c r="Z71" s="274">
        <f>VLOOKUP($A71,'Summary June 2026'!$A:$HC,208,FALSE)-SUMIFS($H71:$V71,$H$7:$V$7,Z$7)</f>
        <v>0</v>
      </c>
      <c r="AA71" s="274">
        <f>VLOOKUP($A71,'Summary June 2026'!$A:$HC,209,FALSE)-SUMIFS($H71:$V71,$H$7:$V$7,AA$7)</f>
        <v>0</v>
      </c>
      <c r="AB71" s="274">
        <f>VLOOKUP($A71,'Summary June 2026'!$A:$HC,210,FALSE)-SUMIFS($H71:$V71,$H$7:$V$7,AB$7)</f>
        <v>0</v>
      </c>
      <c r="AC71" s="274">
        <f>VLOOKUP($A71,'Summary June 2026'!$A:$HC,211,FALSE)-SUMIFS($H71:$V71,$H$7:$V$7,AC$7)</f>
        <v>0</v>
      </c>
      <c r="AE71" s="146">
        <f>VLOOKUP($A71,'Summary June 2026'!$A:$HJ,213,FALSE)+VLOOKUP($A71,'Grants+ Other Funding'!$A:$CG,67,FALSE)</f>
        <v>568127.16087072983</v>
      </c>
      <c r="AF71" s="146">
        <f>_xlfn.IFNA(VLOOKUP($A71,'Summary June 2026'!$A:$HJ,214,FALSE)+VLOOKUP($A71,'Grants+ Other Funding'!$A:$CG,68,FALSE),0)</f>
        <v>-33.76</v>
      </c>
      <c r="AG71" s="146">
        <f>_xlfn.IFNA(VLOOKUP($A71,'Summary June 2026'!$A:$HJ,215,FALSE)+VLOOKUP($A71,'Grants+ Other Funding'!$A:$CG,69,FALSE),0)</f>
        <v>25956.569</v>
      </c>
      <c r="AH71" s="146">
        <f>_xlfn.IFNA(VLOOKUP($A71,'Grants+ Other Funding'!$A:$CG,70,FALSE),0)</f>
        <v>0</v>
      </c>
      <c r="AI71" s="146">
        <f>_xlfn.IFNA(VLOOKUP($A71,'Grants+ Other Funding'!$A:$CG,71,FALSE),0)</f>
        <v>0</v>
      </c>
      <c r="AJ71" s="146">
        <f>_xlfn.IFNA(VLOOKUP($A71,'Grants+ Other Funding'!$A:$CG,72,FALSE),0)</f>
        <v>0</v>
      </c>
      <c r="AK71" s="146">
        <f>_xlfn.IFNA(VLOOKUP($A71,'Summary June 2026'!$A:$HJ,217,FALSE),0)</f>
        <v>-5793.6395000000002</v>
      </c>
      <c r="AL71" s="146">
        <f>_xlfn.IFNA(VLOOKUP($A71,'Grants+ Other Funding'!$A:$CG,74,FALSE),0)</f>
        <v>0</v>
      </c>
      <c r="AM71" s="146">
        <f>_xlfn.IFNA(VLOOKUP($A71,'Summary June 2026'!$A:$HJ,218,FALSE),0)</f>
        <v>0</v>
      </c>
      <c r="AN71" s="146">
        <f>_xlfn.IFNA(VLOOKUP($A71,'Summary June 2026'!$A:$HJ,216,FALSE),0)</f>
        <v>-2228.5499999999997</v>
      </c>
      <c r="AO71" s="146">
        <f>_xlfn.IFNA(VLOOKUP($A71,'Grants+ Other Funding'!$A:$CG,73,FALSE),0)</f>
        <v>0</v>
      </c>
      <c r="AP71" s="65">
        <f t="shared" si="1"/>
        <v>586027.78037072974</v>
      </c>
    </row>
    <row r="72" spans="1:42">
      <c r="A72" s="198">
        <v>2092</v>
      </c>
      <c r="B72" s="2">
        <v>103209</v>
      </c>
      <c r="C72" s="2" t="s">
        <v>167</v>
      </c>
      <c r="D72" s="2" t="s">
        <v>168</v>
      </c>
      <c r="E72" s="190" t="s">
        <v>39</v>
      </c>
      <c r="F72" s="208" t="str">
        <f>VLOOKUP(A72,'Summary June 2026'!A:F,6,FALSE)</f>
        <v>Chq Bk</v>
      </c>
      <c r="H72" s="273">
        <f>_xlfn.IFNA(VLOOKUP($A72,ISB!$A:$BY,67,FALSE),0)</f>
        <v>2662542.0497983</v>
      </c>
      <c r="I72" s="218">
        <f>_xlfn.IFNA(VLOOKUP($A72,ISB!$A:$BY,72,FALSE),0)</f>
        <v>-12101.4</v>
      </c>
      <c r="J72" s="274">
        <f>-_xlfn.IFNA(VLOOKUP($A72,ISB!$A:$BY,76,FALSE),0)</f>
        <v>-32561.119500000001</v>
      </c>
      <c r="L72" s="273">
        <f>_xlfn.IFNA(VLOOKUP($A72,EY!$A:$DX,126,FALSE),0)</f>
        <v>0</v>
      </c>
      <c r="M72" s="273">
        <f>_xlfn.IFNA(VLOOKUP($A72,EY!$A:$DX,127,FALSE),0)</f>
        <v>0</v>
      </c>
      <c r="O72" s="273">
        <f>_xlfn.IFNA(VLOOKUP($A72,HN!$A:$AN,37,FALSE),0)</f>
        <v>0</v>
      </c>
      <c r="P72" s="273">
        <f>_xlfn.IFNA(VLOOKUP($A72,HN!$A:$AN,38,FALSE),0)</f>
        <v>0</v>
      </c>
      <c r="Q72" s="273">
        <f>_xlfn.IFNA(VLOOKUP($A72,HN!$A:$AN,39,FALSE),0)</f>
        <v>79362.33</v>
      </c>
      <c r="S72" s="337">
        <f>_xlfn.IFNA(VLOOKUP(A72,'Post 16'!A:AR,44,FALSE),0)</f>
        <v>0</v>
      </c>
      <c r="U72" s="337"/>
      <c r="V72" s="337">
        <f>VLOOKUP(A72,'LA Deductions'!A:AN,40,FALSE)</f>
        <v>0</v>
      </c>
      <c r="X72" s="274">
        <f>VLOOKUP($A72,'Summary June 2026'!$A:$AAX,206,FALSE)-SUMIFS($H72:$V72,$H$7:$V$7,X$7)</f>
        <v>0</v>
      </c>
      <c r="Y72" s="274">
        <f>VLOOKUP($A72,'Summary June 2026'!$A:$HC,207,FALSE)-SUMIFS($H72:$V72,$H$7:$V$7,Y$7)</f>
        <v>0</v>
      </c>
      <c r="Z72" s="274">
        <f>VLOOKUP($A72,'Summary June 2026'!$A:$HC,208,FALSE)-SUMIFS($H72:$V72,$H$7:$V$7,Z$7)</f>
        <v>0</v>
      </c>
      <c r="AA72" s="274">
        <f>VLOOKUP($A72,'Summary June 2026'!$A:$HC,209,FALSE)-SUMIFS($H72:$V72,$H$7:$V$7,AA$7)</f>
        <v>0</v>
      </c>
      <c r="AB72" s="274">
        <f>VLOOKUP($A72,'Summary June 2026'!$A:$HC,210,FALSE)-SUMIFS($H72:$V72,$H$7:$V$7,AB$7)</f>
        <v>0</v>
      </c>
      <c r="AC72" s="274">
        <f>VLOOKUP($A72,'Summary June 2026'!$A:$HC,211,FALSE)-SUMIFS($H72:$V72,$H$7:$V$7,AC$7)</f>
        <v>0</v>
      </c>
      <c r="AE72" s="146">
        <f>VLOOKUP($A72,'Summary June 2026'!$A:$HJ,213,FALSE)+VLOOKUP($A72,'Grants+ Other Funding'!$A:$CG,67,FALSE)</f>
        <v>665635.51244957501</v>
      </c>
      <c r="AF72" s="146">
        <f>_xlfn.IFNA(VLOOKUP($A72,'Summary June 2026'!$A:$HJ,214,FALSE)+VLOOKUP($A72,'Grants+ Other Funding'!$A:$CG,68,FALSE),0)</f>
        <v>0</v>
      </c>
      <c r="AG72" s="146">
        <f>_xlfn.IFNA(VLOOKUP($A72,'Summary June 2026'!$A:$HJ,215,FALSE)+VLOOKUP($A72,'Grants+ Other Funding'!$A:$CG,69,FALSE),0)</f>
        <v>24154.51425</v>
      </c>
      <c r="AH72" s="146">
        <f>_xlfn.IFNA(VLOOKUP($A72,'Grants+ Other Funding'!$A:$CG,70,FALSE),0)</f>
        <v>0</v>
      </c>
      <c r="AI72" s="146">
        <f>_xlfn.IFNA(VLOOKUP($A72,'Grants+ Other Funding'!$A:$CG,71,FALSE),0)</f>
        <v>0</v>
      </c>
      <c r="AJ72" s="146">
        <f>_xlfn.IFNA(VLOOKUP($A72,'Grants+ Other Funding'!$A:$CG,72,FALSE),0)</f>
        <v>0</v>
      </c>
      <c r="AK72" s="146">
        <f>_xlfn.IFNA(VLOOKUP($A72,'Summary June 2026'!$A:$HJ,217,FALSE),0)</f>
        <v>-8140.2798750000002</v>
      </c>
      <c r="AL72" s="146">
        <f>_xlfn.IFNA(VLOOKUP($A72,'Grants+ Other Funding'!$A:$CG,74,FALSE),0)</f>
        <v>0</v>
      </c>
      <c r="AM72" s="146">
        <f>_xlfn.IFNA(VLOOKUP($A72,'Summary June 2026'!$A:$HJ,218,FALSE),0)</f>
        <v>0</v>
      </c>
      <c r="AN72" s="146">
        <f>_xlfn.IFNA(VLOOKUP($A72,'Summary June 2026'!$A:$HJ,216,FALSE),0)</f>
        <v>-3025.35</v>
      </c>
      <c r="AO72" s="146">
        <f>_xlfn.IFNA(VLOOKUP($A72,'Grants+ Other Funding'!$A:$CG,73,FALSE),0)</f>
        <v>0</v>
      </c>
      <c r="AP72" s="65">
        <f t="shared" ref="AP72:AP103" si="2">SUM(AE72:AO72)</f>
        <v>678624.39682457503</v>
      </c>
    </row>
    <row r="73" spans="1:42">
      <c r="A73" s="198">
        <v>7006</v>
      </c>
      <c r="B73" s="2">
        <v>103600</v>
      </c>
      <c r="C73" s="2" t="s">
        <v>169</v>
      </c>
      <c r="D73" s="2" t="s">
        <v>170</v>
      </c>
      <c r="E73" s="190" t="s">
        <v>56</v>
      </c>
      <c r="F73" s="208" t="str">
        <f>VLOOKUP(A73,'Summary June 2026'!A:F,6,FALSE)</f>
        <v>Chq Bk</v>
      </c>
      <c r="H73" s="273">
        <f>_xlfn.IFNA(VLOOKUP($A73,ISB!$A:$BY,67,FALSE),0)</f>
        <v>0</v>
      </c>
      <c r="I73" s="218">
        <f>_xlfn.IFNA(VLOOKUP($A73,ISB!$A:$BY,72,FALSE),0)</f>
        <v>0</v>
      </c>
      <c r="J73" s="274">
        <f>-_xlfn.IFNA(VLOOKUP($A73,ISB!$A:$BY,76,FALSE),0)</f>
        <v>0</v>
      </c>
      <c r="L73" s="273">
        <f>_xlfn.IFNA(VLOOKUP($A73,EY!$A:$DX,126,FALSE),0)</f>
        <v>0</v>
      </c>
      <c r="M73" s="273">
        <f>_xlfn.IFNA(VLOOKUP($A73,EY!$A:$DX,127,FALSE),0)</f>
        <v>0</v>
      </c>
      <c r="O73" s="273">
        <f>_xlfn.IFNA(VLOOKUP($A73,HN!$A:$AN,37,FALSE),0)</f>
        <v>2130000</v>
      </c>
      <c r="P73" s="273">
        <f>_xlfn.IFNA(VLOOKUP($A73,HN!$A:$AN,38,FALSE),0)</f>
        <v>0</v>
      </c>
      <c r="Q73" s="273">
        <f>_xlfn.IFNA(VLOOKUP($A73,HN!$A:$AN,39,FALSE),0)</f>
        <v>3624987.6799999997</v>
      </c>
      <c r="S73" s="337">
        <f>_xlfn.IFNA(VLOOKUP(A73,'Post 16'!A:AR,44,FALSE),0)</f>
        <v>0</v>
      </c>
      <c r="U73" s="337"/>
      <c r="V73" s="337">
        <f>VLOOKUP(A73,'LA Deductions'!A:AN,40,FALSE)</f>
        <v>0</v>
      </c>
      <c r="X73" s="274">
        <f>VLOOKUP($A73,'Summary June 2026'!$A:$AAX,206,FALSE)-SUMIFS($H73:$V73,$H$7:$V$7,X$7)</f>
        <v>0</v>
      </c>
      <c r="Y73" s="274">
        <f>VLOOKUP($A73,'Summary June 2026'!$A:$HC,207,FALSE)-SUMIFS($H73:$V73,$H$7:$V$7,Y$7)</f>
        <v>0</v>
      </c>
      <c r="Z73" s="274">
        <f>VLOOKUP($A73,'Summary June 2026'!$A:$HC,208,FALSE)-SUMIFS($H73:$V73,$H$7:$V$7,Z$7)</f>
        <v>0</v>
      </c>
      <c r="AA73" s="274">
        <f>VLOOKUP($A73,'Summary June 2026'!$A:$HC,209,FALSE)-SUMIFS($H73:$V73,$H$7:$V$7,AA$7)</f>
        <v>0</v>
      </c>
      <c r="AB73" s="274">
        <f>VLOOKUP($A73,'Summary June 2026'!$A:$HC,210,FALSE)-SUMIFS($H73:$V73,$H$7:$V$7,AB$7)</f>
        <v>0</v>
      </c>
      <c r="AC73" s="274">
        <f>VLOOKUP($A73,'Summary June 2026'!$A:$HC,211,FALSE)-SUMIFS($H73:$V73,$H$7:$V$7,AC$7)</f>
        <v>0</v>
      </c>
      <c r="AE73" s="146">
        <f>VLOOKUP($A73,'Summary June 2026'!$A:$HJ,213,FALSE)+VLOOKUP($A73,'Grants+ Other Funding'!$A:$CG,67,FALSE)</f>
        <v>532500</v>
      </c>
      <c r="AF73" s="146">
        <f>_xlfn.IFNA(VLOOKUP($A73,'Summary June 2026'!$A:$HJ,214,FALSE)+VLOOKUP($A73,'Grants+ Other Funding'!$A:$CG,68,FALSE),0)</f>
        <v>0</v>
      </c>
      <c r="AG73" s="146">
        <f>_xlfn.IFNA(VLOOKUP($A73,'Summary June 2026'!$A:$HJ,215,FALSE)+VLOOKUP($A73,'Grants+ Other Funding'!$A:$CG,69,FALSE),0)</f>
        <v>906246.91999999993</v>
      </c>
      <c r="AH73" s="146">
        <f>_xlfn.IFNA(VLOOKUP($A73,'Grants+ Other Funding'!$A:$CG,70,FALSE),0)</f>
        <v>0</v>
      </c>
      <c r="AI73" s="146">
        <f>_xlfn.IFNA(VLOOKUP($A73,'Grants+ Other Funding'!$A:$CG,71,FALSE),0)</f>
        <v>0</v>
      </c>
      <c r="AJ73" s="146">
        <f>_xlfn.IFNA(VLOOKUP($A73,'Grants+ Other Funding'!$A:$CG,72,FALSE),0)</f>
        <v>0</v>
      </c>
      <c r="AK73" s="146">
        <f>_xlfn.IFNA(VLOOKUP($A73,'Summary June 2026'!$A:$HJ,217,FALSE),0)</f>
        <v>0</v>
      </c>
      <c r="AL73" s="146">
        <f>_xlfn.IFNA(VLOOKUP($A73,'Grants+ Other Funding'!$A:$CG,74,FALSE),0)</f>
        <v>0</v>
      </c>
      <c r="AM73" s="146">
        <f>_xlfn.IFNA(VLOOKUP($A73,'Summary June 2026'!$A:$HJ,218,FALSE),0)</f>
        <v>0</v>
      </c>
      <c r="AN73" s="146">
        <f>_xlfn.IFNA(VLOOKUP($A73,'Summary June 2026'!$A:$HJ,216,FALSE),0)</f>
        <v>0</v>
      </c>
      <c r="AO73" s="146">
        <f>_xlfn.IFNA(VLOOKUP($A73,'Grants+ Other Funding'!$A:$CG,73,FALSE),0)</f>
        <v>0</v>
      </c>
      <c r="AP73" s="65">
        <f t="shared" si="2"/>
        <v>1438746.92</v>
      </c>
    </row>
    <row r="74" spans="1:42">
      <c r="A74" s="198">
        <v>2477</v>
      </c>
      <c r="B74" s="2">
        <v>132261</v>
      </c>
      <c r="C74" s="2" t="s">
        <v>171</v>
      </c>
      <c r="D74" s="2" t="s">
        <v>172</v>
      </c>
      <c r="E74" s="190" t="s">
        <v>39</v>
      </c>
      <c r="F74" s="208" t="str">
        <f>VLOOKUP(A74,'Summary June 2026'!A:F,6,FALSE)</f>
        <v>Chq Bk</v>
      </c>
      <c r="H74" s="273">
        <f>_xlfn.IFNA(VLOOKUP($A74,ISB!$A:$BY,67,FALSE),0)</f>
        <v>4255401.8629999999</v>
      </c>
      <c r="I74" s="218">
        <f>_xlfn.IFNA(VLOOKUP($A74,ISB!$A:$BY,72,FALSE),0)</f>
        <v>-20094.3</v>
      </c>
      <c r="J74" s="274">
        <f>-_xlfn.IFNA(VLOOKUP($A74,ISB!$A:$BY,76,FALSE),0)</f>
        <v>-46680.542999999998</v>
      </c>
      <c r="L74" s="273">
        <f>_xlfn.IFNA(VLOOKUP($A74,EY!$A:$DX,126,FALSE),0)</f>
        <v>0</v>
      </c>
      <c r="M74" s="273">
        <f>_xlfn.IFNA(VLOOKUP($A74,EY!$A:$DX,127,FALSE),0)</f>
        <v>0</v>
      </c>
      <c r="O74" s="273">
        <f>_xlfn.IFNA(VLOOKUP($A74,HN!$A:$AN,37,FALSE),0)</f>
        <v>0</v>
      </c>
      <c r="P74" s="273">
        <f>_xlfn.IFNA(VLOOKUP($A74,HN!$A:$AN,38,FALSE),0)</f>
        <v>0</v>
      </c>
      <c r="Q74" s="273">
        <f>_xlfn.IFNA(VLOOKUP($A74,HN!$A:$AN,39,FALSE),0)</f>
        <v>138300.66999999998</v>
      </c>
      <c r="S74" s="337">
        <f>_xlfn.IFNA(VLOOKUP(A74,'Post 16'!A:AR,44,FALSE),0)</f>
        <v>0</v>
      </c>
      <c r="U74" s="337"/>
      <c r="V74" s="337">
        <f>VLOOKUP(A74,'LA Deductions'!A:AN,40,FALSE)</f>
        <v>0</v>
      </c>
      <c r="X74" s="274">
        <f>VLOOKUP($A74,'Summary June 2026'!$A:$AAX,206,FALSE)-SUMIFS($H74:$V74,$H$7:$V$7,X$7)</f>
        <v>0</v>
      </c>
      <c r="Y74" s="274">
        <f>VLOOKUP($A74,'Summary June 2026'!$A:$HC,207,FALSE)-SUMIFS($H74:$V74,$H$7:$V$7,Y$7)</f>
        <v>0</v>
      </c>
      <c r="Z74" s="274">
        <f>VLOOKUP($A74,'Summary June 2026'!$A:$HC,208,FALSE)-SUMIFS($H74:$V74,$H$7:$V$7,Z$7)</f>
        <v>0</v>
      </c>
      <c r="AA74" s="274">
        <f>VLOOKUP($A74,'Summary June 2026'!$A:$HC,209,FALSE)-SUMIFS($H74:$V74,$H$7:$V$7,AA$7)</f>
        <v>0</v>
      </c>
      <c r="AB74" s="274">
        <f>VLOOKUP($A74,'Summary June 2026'!$A:$HC,210,FALSE)-SUMIFS($H74:$V74,$H$7:$V$7,AB$7)</f>
        <v>0</v>
      </c>
      <c r="AC74" s="274">
        <f>VLOOKUP($A74,'Summary June 2026'!$A:$HC,211,FALSE)-SUMIFS($H74:$V74,$H$7:$V$7,AC$7)</f>
        <v>0</v>
      </c>
      <c r="AE74" s="146">
        <f>VLOOKUP($A74,'Summary June 2026'!$A:$HJ,213,FALSE)+VLOOKUP($A74,'Grants+ Other Funding'!$A:$CG,67,FALSE)</f>
        <v>1063963.4157499999</v>
      </c>
      <c r="AF74" s="146">
        <f>_xlfn.IFNA(VLOOKUP($A74,'Summary June 2026'!$A:$HJ,214,FALSE)+VLOOKUP($A74,'Grants+ Other Funding'!$A:$CG,68,FALSE),0)</f>
        <v>-36.9</v>
      </c>
      <c r="AG74" s="146">
        <f>_xlfn.IFNA(VLOOKUP($A74,'Summary June 2026'!$A:$HJ,215,FALSE)+VLOOKUP($A74,'Grants+ Other Funding'!$A:$CG,69,FALSE),0)</f>
        <v>42369.686499999996</v>
      </c>
      <c r="AH74" s="146">
        <f>_xlfn.IFNA(VLOOKUP($A74,'Grants+ Other Funding'!$A:$CG,70,FALSE),0)</f>
        <v>0</v>
      </c>
      <c r="AI74" s="146">
        <f>_xlfn.IFNA(VLOOKUP($A74,'Grants+ Other Funding'!$A:$CG,71,FALSE),0)</f>
        <v>0</v>
      </c>
      <c r="AJ74" s="146">
        <f>_xlfn.IFNA(VLOOKUP($A74,'Grants+ Other Funding'!$A:$CG,72,FALSE),0)</f>
        <v>0</v>
      </c>
      <c r="AK74" s="146">
        <f>_xlfn.IFNA(VLOOKUP($A74,'Summary June 2026'!$A:$HJ,217,FALSE),0)</f>
        <v>-11670.135749999999</v>
      </c>
      <c r="AL74" s="146">
        <f>_xlfn.IFNA(VLOOKUP($A74,'Grants+ Other Funding'!$A:$CG,74,FALSE),0)</f>
        <v>0</v>
      </c>
      <c r="AM74" s="146">
        <f>_xlfn.IFNA(VLOOKUP($A74,'Summary June 2026'!$A:$HJ,218,FALSE),0)</f>
        <v>0</v>
      </c>
      <c r="AN74" s="146">
        <f>_xlfn.IFNA(VLOOKUP($A74,'Summary June 2026'!$A:$HJ,216,FALSE),0)</f>
        <v>-5023.5749999999998</v>
      </c>
      <c r="AO74" s="146">
        <f>_xlfn.IFNA(VLOOKUP($A74,'Grants+ Other Funding'!$A:$CG,73,FALSE),0)</f>
        <v>0</v>
      </c>
      <c r="AP74" s="65">
        <f t="shared" si="2"/>
        <v>1089602.4915000002</v>
      </c>
    </row>
    <row r="75" spans="1:42">
      <c r="A75" s="198">
        <v>3436</v>
      </c>
      <c r="B75" s="2">
        <v>136440</v>
      </c>
      <c r="C75" s="2" t="s">
        <v>173</v>
      </c>
      <c r="D75" s="2" t="s">
        <v>174</v>
      </c>
      <c r="E75" s="190" t="s">
        <v>39</v>
      </c>
      <c r="F75" s="208" t="str">
        <f>VLOOKUP(A75,'Summary June 2026'!A:F,6,FALSE)</f>
        <v>Chq Bk</v>
      </c>
      <c r="H75" s="273">
        <f>_xlfn.IFNA(VLOOKUP($A75,ISB!$A:$BY,67,FALSE),0)</f>
        <v>980710.44858604029</v>
      </c>
      <c r="I75" s="218">
        <f>_xlfn.IFNA(VLOOKUP($A75,ISB!$A:$BY,72,FALSE),0)</f>
        <v>-3486</v>
      </c>
      <c r="J75" s="274">
        <f>-_xlfn.IFNA(VLOOKUP($A75,ISB!$A:$BY,76,FALSE),0)</f>
        <v>-4134.5518000000002</v>
      </c>
      <c r="L75" s="273">
        <f>_xlfn.IFNA(VLOOKUP($A75,EY!$A:$DX,126,FALSE),0)</f>
        <v>0</v>
      </c>
      <c r="M75" s="273">
        <f>_xlfn.IFNA(VLOOKUP($A75,EY!$A:$DX,127,FALSE),0)</f>
        <v>0</v>
      </c>
      <c r="O75" s="273">
        <f>_xlfn.IFNA(VLOOKUP($A75,HN!$A:$AN,37,FALSE),0)</f>
        <v>0</v>
      </c>
      <c r="P75" s="273">
        <f>_xlfn.IFNA(VLOOKUP($A75,HN!$A:$AN,38,FALSE),0)</f>
        <v>0</v>
      </c>
      <c r="Q75" s="273">
        <f>_xlfn.IFNA(VLOOKUP($A75,HN!$A:$AN,39,FALSE),0)</f>
        <v>43318</v>
      </c>
      <c r="S75" s="337">
        <f>_xlfn.IFNA(VLOOKUP(A75,'Post 16'!A:AR,44,FALSE),0)</f>
        <v>0</v>
      </c>
      <c r="U75" s="337"/>
      <c r="V75" s="337">
        <f>VLOOKUP(A75,'LA Deductions'!A:AN,40,FALSE)</f>
        <v>0</v>
      </c>
      <c r="X75" s="274">
        <f>VLOOKUP($A75,'Summary June 2026'!$A:$AAX,206,FALSE)-SUMIFS($H75:$V75,$H$7:$V$7,X$7)</f>
        <v>0</v>
      </c>
      <c r="Y75" s="274">
        <f>VLOOKUP($A75,'Summary June 2026'!$A:$HC,207,FALSE)-SUMIFS($H75:$V75,$H$7:$V$7,Y$7)</f>
        <v>0</v>
      </c>
      <c r="Z75" s="274">
        <f>VLOOKUP($A75,'Summary June 2026'!$A:$HC,208,FALSE)-SUMIFS($H75:$V75,$H$7:$V$7,Z$7)</f>
        <v>0</v>
      </c>
      <c r="AA75" s="274">
        <f>VLOOKUP($A75,'Summary June 2026'!$A:$HC,209,FALSE)-SUMIFS($H75:$V75,$H$7:$V$7,AA$7)</f>
        <v>0</v>
      </c>
      <c r="AB75" s="274">
        <f>VLOOKUP($A75,'Summary June 2026'!$A:$HC,210,FALSE)-SUMIFS($H75:$V75,$H$7:$V$7,AB$7)</f>
        <v>0</v>
      </c>
      <c r="AC75" s="274">
        <f>VLOOKUP($A75,'Summary June 2026'!$A:$HC,211,FALSE)-SUMIFS($H75:$V75,$H$7:$V$7,AC$7)</f>
        <v>0</v>
      </c>
      <c r="AE75" s="146">
        <f>VLOOKUP($A75,'Summary June 2026'!$A:$HJ,213,FALSE)+VLOOKUP($A75,'Grants+ Other Funding'!$A:$CG,67,FALSE)</f>
        <v>245177.6121465101</v>
      </c>
      <c r="AF75" s="146">
        <f>_xlfn.IFNA(VLOOKUP($A75,'Summary June 2026'!$A:$HJ,214,FALSE)+VLOOKUP($A75,'Grants+ Other Funding'!$A:$CG,68,FALSE),0)</f>
        <v>-13.87</v>
      </c>
      <c r="AG75" s="146">
        <f>_xlfn.IFNA(VLOOKUP($A75,'Summary June 2026'!$A:$HJ,215,FALSE)+VLOOKUP($A75,'Grants+ Other Funding'!$A:$CG,69,FALSE),0)</f>
        <v>13718.650000000001</v>
      </c>
      <c r="AH75" s="146">
        <f>_xlfn.IFNA(VLOOKUP($A75,'Grants+ Other Funding'!$A:$CG,70,FALSE),0)</f>
        <v>0</v>
      </c>
      <c r="AI75" s="146">
        <f>_xlfn.IFNA(VLOOKUP($A75,'Grants+ Other Funding'!$A:$CG,71,FALSE),0)</f>
        <v>0</v>
      </c>
      <c r="AJ75" s="146">
        <f>_xlfn.IFNA(VLOOKUP($A75,'Grants+ Other Funding'!$A:$CG,72,FALSE),0)</f>
        <v>0</v>
      </c>
      <c r="AK75" s="146">
        <f>_xlfn.IFNA(VLOOKUP($A75,'Summary June 2026'!$A:$HJ,217,FALSE),0)</f>
        <v>-1033.63795</v>
      </c>
      <c r="AL75" s="146">
        <f>_xlfn.IFNA(VLOOKUP($A75,'Grants+ Other Funding'!$A:$CG,74,FALSE),0)</f>
        <v>0</v>
      </c>
      <c r="AM75" s="146">
        <f>_xlfn.IFNA(VLOOKUP($A75,'Summary June 2026'!$A:$HJ,218,FALSE),0)</f>
        <v>0</v>
      </c>
      <c r="AN75" s="146">
        <f>_xlfn.IFNA(VLOOKUP($A75,'Summary June 2026'!$A:$HJ,216,FALSE),0)</f>
        <v>-871.5</v>
      </c>
      <c r="AO75" s="146">
        <f>_xlfn.IFNA(VLOOKUP($A75,'Grants+ Other Funding'!$A:$CG,73,FALSE),0)</f>
        <v>0</v>
      </c>
      <c r="AP75" s="65">
        <f t="shared" si="2"/>
        <v>256977.2541965101</v>
      </c>
    </row>
    <row r="76" spans="1:42">
      <c r="A76" s="198">
        <v>2099</v>
      </c>
      <c r="B76" s="2">
        <v>103214</v>
      </c>
      <c r="C76" s="2" t="s">
        <v>175</v>
      </c>
      <c r="D76" s="2" t="s">
        <v>176</v>
      </c>
      <c r="E76" s="190" t="s">
        <v>39</v>
      </c>
      <c r="F76" s="208" t="str">
        <f>VLOOKUP(A76,'Summary June 2026'!A:F,6,FALSE)</f>
        <v>Chq Bk</v>
      </c>
      <c r="H76" s="273">
        <f>_xlfn.IFNA(VLOOKUP($A76,ISB!$A:$BY,67,FALSE),0)</f>
        <v>1468103.1397365001</v>
      </c>
      <c r="I76" s="218">
        <f>_xlfn.IFNA(VLOOKUP($A76,ISB!$A:$BY,72,FALSE),0)</f>
        <v>-5204.0999999999995</v>
      </c>
      <c r="J76" s="274">
        <f>-_xlfn.IFNA(VLOOKUP($A76,ISB!$A:$BY,76,FALSE),0)</f>
        <v>-20936.106400000001</v>
      </c>
      <c r="L76" s="273">
        <f>_xlfn.IFNA(VLOOKUP($A76,EY!$A:$DX,126,FALSE),0)</f>
        <v>37297.575152354577</v>
      </c>
      <c r="M76" s="273">
        <f>_xlfn.IFNA(VLOOKUP($A76,EY!$A:$DX,127,FALSE),0)</f>
        <v>0</v>
      </c>
      <c r="O76" s="273">
        <f>_xlfn.IFNA(VLOOKUP($A76,HN!$A:$AN,37,FALSE),0)</f>
        <v>72000</v>
      </c>
      <c r="P76" s="273">
        <f>_xlfn.IFNA(VLOOKUP($A76,HN!$A:$AN,38,FALSE),0)</f>
        <v>0</v>
      </c>
      <c r="Q76" s="273">
        <f>_xlfn.IFNA(VLOOKUP($A76,HN!$A:$AN,39,FALSE),0)</f>
        <v>143911.13999999998</v>
      </c>
      <c r="S76" s="337">
        <f>_xlfn.IFNA(VLOOKUP(A76,'Post 16'!A:AR,44,FALSE),0)</f>
        <v>0</v>
      </c>
      <c r="U76" s="337"/>
      <c r="V76" s="337">
        <f>VLOOKUP(A76,'LA Deductions'!A:AN,40,FALSE)</f>
        <v>-2800</v>
      </c>
      <c r="X76" s="274">
        <f>VLOOKUP($A76,'Summary June 2026'!$A:$AAX,206,FALSE)-SUMIFS($H76:$V76,$H$7:$V$7,X$7)</f>
        <v>0</v>
      </c>
      <c r="Y76" s="274">
        <f>VLOOKUP($A76,'Summary June 2026'!$A:$HC,207,FALSE)-SUMIFS($H76:$V76,$H$7:$V$7,Y$7)</f>
        <v>0</v>
      </c>
      <c r="Z76" s="274">
        <f>VLOOKUP($A76,'Summary June 2026'!$A:$HC,208,FALSE)-SUMIFS($H76:$V76,$H$7:$V$7,Z$7)</f>
        <v>0</v>
      </c>
      <c r="AA76" s="274">
        <f>VLOOKUP($A76,'Summary June 2026'!$A:$HC,209,FALSE)-SUMIFS($H76:$V76,$H$7:$V$7,AA$7)</f>
        <v>0</v>
      </c>
      <c r="AB76" s="274">
        <f>VLOOKUP($A76,'Summary June 2026'!$A:$HC,210,FALSE)-SUMIFS($H76:$V76,$H$7:$V$7,AB$7)</f>
        <v>0</v>
      </c>
      <c r="AC76" s="274">
        <f>VLOOKUP($A76,'Summary June 2026'!$A:$HC,211,FALSE)-SUMIFS($H76:$V76,$H$7:$V$7,AC$7)</f>
        <v>0</v>
      </c>
      <c r="AE76" s="146">
        <f>VLOOKUP($A76,'Summary June 2026'!$A:$HJ,213,FALSE)+VLOOKUP($A76,'Grants+ Other Funding'!$A:$CG,67,FALSE)</f>
        <v>410242.24008647964</v>
      </c>
      <c r="AF76" s="146">
        <f>_xlfn.IFNA(VLOOKUP($A76,'Summary June 2026'!$A:$HJ,214,FALSE)+VLOOKUP($A76,'Grants+ Other Funding'!$A:$CG,68,FALSE),0)</f>
        <v>-45.27</v>
      </c>
      <c r="AG76" s="146">
        <f>_xlfn.IFNA(VLOOKUP($A76,'Summary June 2026'!$A:$HJ,215,FALSE)+VLOOKUP($A76,'Grants+ Other Funding'!$A:$CG,69,FALSE),0)</f>
        <v>37795.816500000001</v>
      </c>
      <c r="AH76" s="146">
        <f>_xlfn.IFNA(VLOOKUP($A76,'Grants+ Other Funding'!$A:$CG,70,FALSE),0)</f>
        <v>0</v>
      </c>
      <c r="AI76" s="146">
        <f>_xlfn.IFNA(VLOOKUP($A76,'Grants+ Other Funding'!$A:$CG,71,FALSE),0)</f>
        <v>0</v>
      </c>
      <c r="AJ76" s="146">
        <f>_xlfn.IFNA(VLOOKUP($A76,'Grants+ Other Funding'!$A:$CG,72,FALSE),0)</f>
        <v>0</v>
      </c>
      <c r="AK76" s="146">
        <f>_xlfn.IFNA(VLOOKUP($A76,'Summary June 2026'!$A:$HJ,217,FALSE),0)</f>
        <v>-5234.0266000000001</v>
      </c>
      <c r="AL76" s="146">
        <f>_xlfn.IFNA(VLOOKUP($A76,'Grants+ Other Funding'!$A:$CG,74,FALSE),0)</f>
        <v>0</v>
      </c>
      <c r="AM76" s="146">
        <f>_xlfn.IFNA(VLOOKUP($A76,'Summary June 2026'!$A:$HJ,218,FALSE),0)</f>
        <v>0</v>
      </c>
      <c r="AN76" s="146">
        <f>_xlfn.IFNA(VLOOKUP($A76,'Summary June 2026'!$A:$HJ,216,FALSE),0)</f>
        <v>-1301.0249999999999</v>
      </c>
      <c r="AO76" s="146">
        <f>_xlfn.IFNA(VLOOKUP($A76,'Grants+ Other Funding'!$A:$CG,73,FALSE),0)</f>
        <v>0</v>
      </c>
      <c r="AP76" s="65">
        <f t="shared" si="2"/>
        <v>441457.73498647963</v>
      </c>
    </row>
    <row r="77" spans="1:42">
      <c r="A77" s="198">
        <v>1010</v>
      </c>
      <c r="B77" s="2">
        <v>103125</v>
      </c>
      <c r="C77" s="2" t="s">
        <v>177</v>
      </c>
      <c r="D77" s="2" t="s">
        <v>178</v>
      </c>
      <c r="E77" s="190" t="s">
        <v>36</v>
      </c>
      <c r="F77" s="208" t="str">
        <f>VLOOKUP(A77,'Summary June 2026'!A:F,6,FALSE)</f>
        <v>Chq Bk</v>
      </c>
      <c r="H77" s="273">
        <f>_xlfn.IFNA(VLOOKUP($A77,ISB!$A:$BY,67,FALSE),0)</f>
        <v>0</v>
      </c>
      <c r="I77" s="218">
        <f>_xlfn.IFNA(VLOOKUP($A77,ISB!$A:$BY,72,FALSE),0)</f>
        <v>0</v>
      </c>
      <c r="J77" s="274">
        <f>-_xlfn.IFNA(VLOOKUP($A77,ISB!$A:$BY,76,FALSE),0)</f>
        <v>0</v>
      </c>
      <c r="L77" s="273">
        <f>_xlfn.IFNA(VLOOKUP($A77,EY!$A:$DX,126,FALSE),0)</f>
        <v>757389.65276166401</v>
      </c>
      <c r="M77" s="273">
        <f>_xlfn.IFNA(VLOOKUP($A77,EY!$A:$DX,127,FALSE),0)</f>
        <v>11854.860941828254</v>
      </c>
      <c r="O77" s="273">
        <f>_xlfn.IFNA(VLOOKUP($A77,HN!$A:$AN,37,FALSE),0)</f>
        <v>0</v>
      </c>
      <c r="P77" s="273">
        <f>_xlfn.IFNA(VLOOKUP($A77,HN!$A:$AN,38,FALSE),0)</f>
        <v>0</v>
      </c>
      <c r="Q77" s="273">
        <f>_xlfn.IFNA(VLOOKUP($A77,HN!$A:$AN,39,FALSE),0)</f>
        <v>10632</v>
      </c>
      <c r="S77" s="337">
        <f>_xlfn.IFNA(VLOOKUP(A77,'Post 16'!A:AR,44,FALSE),0)</f>
        <v>0</v>
      </c>
      <c r="U77" s="337"/>
      <c r="V77" s="337">
        <f>VLOOKUP(A77,'LA Deductions'!A:AN,40,FALSE)</f>
        <v>0</v>
      </c>
      <c r="X77" s="274">
        <f>VLOOKUP($A77,'Summary June 2026'!$A:$AAX,206,FALSE)-SUMIFS($H77:$V77,$H$7:$V$7,X$7)</f>
        <v>0</v>
      </c>
      <c r="Y77" s="274">
        <f>VLOOKUP($A77,'Summary June 2026'!$A:$HC,207,FALSE)-SUMIFS($H77:$V77,$H$7:$V$7,Y$7)</f>
        <v>0</v>
      </c>
      <c r="Z77" s="274">
        <f>VLOOKUP($A77,'Summary June 2026'!$A:$HC,208,FALSE)-SUMIFS($H77:$V77,$H$7:$V$7,Z$7)</f>
        <v>0</v>
      </c>
      <c r="AA77" s="274">
        <f>VLOOKUP($A77,'Summary June 2026'!$A:$HC,209,FALSE)-SUMIFS($H77:$V77,$H$7:$V$7,AA$7)</f>
        <v>0</v>
      </c>
      <c r="AB77" s="274">
        <f>VLOOKUP($A77,'Summary June 2026'!$A:$HC,210,FALSE)-SUMIFS($H77:$V77,$H$7:$V$7,AB$7)</f>
        <v>0</v>
      </c>
      <c r="AC77" s="274">
        <f>VLOOKUP($A77,'Summary June 2026'!$A:$HC,211,FALSE)-SUMIFS($H77:$V77,$H$7:$V$7,AC$7)</f>
        <v>0</v>
      </c>
      <c r="AE77" s="146">
        <f>VLOOKUP($A77,'Summary June 2026'!$A:$HJ,213,FALSE)+VLOOKUP($A77,'Grants+ Other Funding'!$A:$CG,67,FALSE)</f>
        <v>580802.01528797986</v>
      </c>
      <c r="AF77" s="146">
        <f>_xlfn.IFNA(VLOOKUP($A77,'Summary June 2026'!$A:$HJ,214,FALSE)+VLOOKUP($A77,'Grants+ Other Funding'!$A:$CG,68,FALSE),0)</f>
        <v>0</v>
      </c>
      <c r="AG77" s="146">
        <f>_xlfn.IFNA(VLOOKUP($A77,'Summary June 2026'!$A:$HJ,215,FALSE)+VLOOKUP($A77,'Grants+ Other Funding'!$A:$CG,69,FALSE),0)</f>
        <v>17120.985941828254</v>
      </c>
      <c r="AH77" s="146">
        <f>_xlfn.IFNA(VLOOKUP($A77,'Grants+ Other Funding'!$A:$CG,70,FALSE),0)</f>
        <v>0</v>
      </c>
      <c r="AI77" s="146">
        <f>_xlfn.IFNA(VLOOKUP($A77,'Grants+ Other Funding'!$A:$CG,71,FALSE),0)</f>
        <v>0</v>
      </c>
      <c r="AJ77" s="146">
        <f>_xlfn.IFNA(VLOOKUP($A77,'Grants+ Other Funding'!$A:$CG,72,FALSE),0)</f>
        <v>0</v>
      </c>
      <c r="AK77" s="146">
        <f>_xlfn.IFNA(VLOOKUP($A77,'Summary June 2026'!$A:$HJ,217,FALSE),0)</f>
        <v>0</v>
      </c>
      <c r="AL77" s="146">
        <f>_xlfn.IFNA(VLOOKUP($A77,'Grants+ Other Funding'!$A:$CG,74,FALSE),0)</f>
        <v>0</v>
      </c>
      <c r="AM77" s="146">
        <f>_xlfn.IFNA(VLOOKUP($A77,'Summary June 2026'!$A:$HJ,218,FALSE),0)</f>
        <v>0</v>
      </c>
      <c r="AN77" s="146">
        <f>_xlfn.IFNA(VLOOKUP($A77,'Summary June 2026'!$A:$HJ,216,FALSE),0)</f>
        <v>0</v>
      </c>
      <c r="AO77" s="146">
        <f>_xlfn.IFNA(VLOOKUP($A77,'Grants+ Other Funding'!$A:$CG,73,FALSE),0)</f>
        <v>0</v>
      </c>
      <c r="AP77" s="65">
        <f t="shared" si="2"/>
        <v>597923.00122980808</v>
      </c>
    </row>
    <row r="78" spans="1:42">
      <c r="A78" s="198">
        <v>1021</v>
      </c>
      <c r="B78" s="2">
        <v>103134</v>
      </c>
      <c r="C78" s="2" t="s">
        <v>179</v>
      </c>
      <c r="D78" s="2" t="s">
        <v>180</v>
      </c>
      <c r="E78" s="190" t="s">
        <v>36</v>
      </c>
      <c r="F78" s="208" t="str">
        <f>VLOOKUP(A78,'Summary June 2026'!A:F,6,FALSE)</f>
        <v>Chq Bk</v>
      </c>
      <c r="H78" s="273">
        <f>_xlfn.IFNA(VLOOKUP($A78,ISB!$A:$BY,67,FALSE),0)</f>
        <v>0</v>
      </c>
      <c r="I78" s="218">
        <f>_xlfn.IFNA(VLOOKUP($A78,ISB!$A:$BY,72,FALSE),0)</f>
        <v>0</v>
      </c>
      <c r="J78" s="274">
        <f>-_xlfn.IFNA(VLOOKUP($A78,ISB!$A:$BY,76,FALSE),0)</f>
        <v>0</v>
      </c>
      <c r="L78" s="273">
        <f>_xlfn.IFNA(VLOOKUP($A78,EY!$A:$DX,126,FALSE),0)</f>
        <v>410647.7755266584</v>
      </c>
      <c r="M78" s="273">
        <f>_xlfn.IFNA(VLOOKUP($A78,EY!$A:$DX,127,FALSE),0)</f>
        <v>2656</v>
      </c>
      <c r="O78" s="273">
        <f>_xlfn.IFNA(VLOOKUP($A78,HN!$A:$AN,37,FALSE),0)</f>
        <v>0</v>
      </c>
      <c r="P78" s="273">
        <f>_xlfn.IFNA(VLOOKUP($A78,HN!$A:$AN,38,FALSE),0)</f>
        <v>0</v>
      </c>
      <c r="Q78" s="273">
        <f>_xlfn.IFNA(VLOOKUP($A78,HN!$A:$AN,39,FALSE),0)</f>
        <v>5316</v>
      </c>
      <c r="S78" s="337">
        <f>_xlfn.IFNA(VLOOKUP(A78,'Post 16'!A:AR,44,FALSE),0)</f>
        <v>0</v>
      </c>
      <c r="U78" s="337"/>
      <c r="V78" s="337">
        <f>VLOOKUP(A78,'LA Deductions'!A:AN,40,FALSE)</f>
        <v>0</v>
      </c>
      <c r="X78" s="274">
        <f>VLOOKUP($A78,'Summary June 2026'!$A:$AAX,206,FALSE)-SUMIFS($H78:$V78,$H$7:$V$7,X$7)</f>
        <v>0</v>
      </c>
      <c r="Y78" s="274">
        <f>VLOOKUP($A78,'Summary June 2026'!$A:$HC,207,FALSE)-SUMIFS($H78:$V78,$H$7:$V$7,Y$7)</f>
        <v>0</v>
      </c>
      <c r="Z78" s="274">
        <f>VLOOKUP($A78,'Summary June 2026'!$A:$HC,208,FALSE)-SUMIFS($H78:$V78,$H$7:$V$7,Z$7)</f>
        <v>0</v>
      </c>
      <c r="AA78" s="274">
        <f>VLOOKUP($A78,'Summary June 2026'!$A:$HC,209,FALSE)-SUMIFS($H78:$V78,$H$7:$V$7,AA$7)</f>
        <v>0</v>
      </c>
      <c r="AB78" s="274">
        <f>VLOOKUP($A78,'Summary June 2026'!$A:$HC,210,FALSE)-SUMIFS($H78:$V78,$H$7:$V$7,AB$7)</f>
        <v>0</v>
      </c>
      <c r="AC78" s="274">
        <f>VLOOKUP($A78,'Summary June 2026'!$A:$HC,211,FALSE)-SUMIFS($H78:$V78,$H$7:$V$7,AC$7)</f>
        <v>0</v>
      </c>
      <c r="AE78" s="146">
        <f>VLOOKUP($A78,'Summary June 2026'!$A:$HJ,213,FALSE)+VLOOKUP($A78,'Grants+ Other Funding'!$A:$CG,67,FALSE)</f>
        <v>314393.61173718469</v>
      </c>
      <c r="AF78" s="146">
        <f>_xlfn.IFNA(VLOOKUP($A78,'Summary June 2026'!$A:$HJ,214,FALSE)+VLOOKUP($A78,'Grants+ Other Funding'!$A:$CG,68,FALSE),0)</f>
        <v>-3.21</v>
      </c>
      <c r="AG78" s="146">
        <f>_xlfn.IFNA(VLOOKUP($A78,'Summary June 2026'!$A:$HJ,215,FALSE)+VLOOKUP($A78,'Grants+ Other Funding'!$A:$CG,69,FALSE),0)</f>
        <v>4292.4250000000002</v>
      </c>
      <c r="AH78" s="146">
        <f>_xlfn.IFNA(VLOOKUP($A78,'Grants+ Other Funding'!$A:$CG,70,FALSE),0)</f>
        <v>0</v>
      </c>
      <c r="AI78" s="146">
        <f>_xlfn.IFNA(VLOOKUP($A78,'Grants+ Other Funding'!$A:$CG,71,FALSE),0)</f>
        <v>0</v>
      </c>
      <c r="AJ78" s="146">
        <f>_xlfn.IFNA(VLOOKUP($A78,'Grants+ Other Funding'!$A:$CG,72,FALSE),0)</f>
        <v>0</v>
      </c>
      <c r="AK78" s="146">
        <f>_xlfn.IFNA(VLOOKUP($A78,'Summary June 2026'!$A:$HJ,217,FALSE),0)</f>
        <v>0</v>
      </c>
      <c r="AL78" s="146">
        <f>_xlfn.IFNA(VLOOKUP($A78,'Grants+ Other Funding'!$A:$CG,74,FALSE),0)</f>
        <v>0</v>
      </c>
      <c r="AM78" s="146">
        <f>_xlfn.IFNA(VLOOKUP($A78,'Summary June 2026'!$A:$HJ,218,FALSE),0)</f>
        <v>0</v>
      </c>
      <c r="AN78" s="146">
        <f>_xlfn.IFNA(VLOOKUP($A78,'Summary June 2026'!$A:$HJ,216,FALSE),0)</f>
        <v>0</v>
      </c>
      <c r="AO78" s="146">
        <f>_xlfn.IFNA(VLOOKUP($A78,'Grants+ Other Funding'!$A:$CG,73,FALSE),0)</f>
        <v>0</v>
      </c>
      <c r="AP78" s="65">
        <f t="shared" si="2"/>
        <v>318682.82673718466</v>
      </c>
    </row>
    <row r="79" spans="1:42">
      <c r="A79" s="198">
        <v>4201</v>
      </c>
      <c r="B79" s="2">
        <v>103503</v>
      </c>
      <c r="C79" s="2" t="s">
        <v>181</v>
      </c>
      <c r="D79" s="2" t="s">
        <v>182</v>
      </c>
      <c r="E79" s="190" t="s">
        <v>71</v>
      </c>
      <c r="F79" s="208" t="str">
        <f>VLOOKUP(A79,'Summary June 2026'!A:F,6,FALSE)</f>
        <v>Chq Bk</v>
      </c>
      <c r="H79" s="273">
        <f>_xlfn.IFNA(VLOOKUP($A79,ISB!$A:$BY,67,FALSE),0)</f>
        <v>10032993.510530381</v>
      </c>
      <c r="I79" s="218">
        <f>_xlfn.IFNA(VLOOKUP($A79,ISB!$A:$BY,72,FALSE),0)</f>
        <v>-23127</v>
      </c>
      <c r="J79" s="274">
        <f>-_xlfn.IFNA(VLOOKUP($A79,ISB!$A:$BY,76,FALSE),0)</f>
        <v>-148398.02249999999</v>
      </c>
      <c r="L79" s="273">
        <f>_xlfn.IFNA(VLOOKUP($A79,EY!$A:$DX,126,FALSE),0)</f>
        <v>0</v>
      </c>
      <c r="M79" s="273">
        <f>_xlfn.IFNA(VLOOKUP($A79,EY!$A:$DX,127,FALSE),0)</f>
        <v>0</v>
      </c>
      <c r="O79" s="273">
        <f>_xlfn.IFNA(VLOOKUP($A79,HN!$A:$AN,37,FALSE),0)</f>
        <v>0</v>
      </c>
      <c r="P79" s="273">
        <f>_xlfn.IFNA(VLOOKUP($A79,HN!$A:$AN,38,FALSE),0)</f>
        <v>0</v>
      </c>
      <c r="Q79" s="273">
        <f>_xlfn.IFNA(VLOOKUP($A79,HN!$A:$AN,39,FALSE),0)</f>
        <v>108698.09</v>
      </c>
      <c r="S79" s="337">
        <f>_xlfn.IFNA(VLOOKUP(A79,'Post 16'!A:AR,44,FALSE),0)</f>
        <v>0</v>
      </c>
      <c r="U79" s="337"/>
      <c r="V79" s="337">
        <f>VLOOKUP(A79,'LA Deductions'!A:AN,40,FALSE)</f>
        <v>-5370</v>
      </c>
      <c r="X79" s="274">
        <f>VLOOKUP($A79,'Summary June 2026'!$A:$AAX,206,FALSE)-SUMIFS($H79:$V79,$H$7:$V$7,X$7)</f>
        <v>0</v>
      </c>
      <c r="Y79" s="274">
        <f>VLOOKUP($A79,'Summary June 2026'!$A:$HC,207,FALSE)-SUMIFS($H79:$V79,$H$7:$V$7,Y$7)</f>
        <v>0</v>
      </c>
      <c r="Z79" s="274">
        <f>VLOOKUP($A79,'Summary June 2026'!$A:$HC,208,FALSE)-SUMIFS($H79:$V79,$H$7:$V$7,Z$7)</f>
        <v>0</v>
      </c>
      <c r="AA79" s="274">
        <f>VLOOKUP($A79,'Summary June 2026'!$A:$HC,209,FALSE)-SUMIFS($H79:$V79,$H$7:$V$7,AA$7)</f>
        <v>0</v>
      </c>
      <c r="AB79" s="274">
        <f>VLOOKUP($A79,'Summary June 2026'!$A:$HC,210,FALSE)-SUMIFS($H79:$V79,$H$7:$V$7,AB$7)</f>
        <v>0</v>
      </c>
      <c r="AC79" s="274">
        <f>VLOOKUP($A79,'Summary June 2026'!$A:$HC,211,FALSE)-SUMIFS($H79:$V79,$H$7:$V$7,AC$7)</f>
        <v>0</v>
      </c>
      <c r="AE79" s="146">
        <f>VLOOKUP($A79,'Summary June 2026'!$A:$HJ,213,FALSE)+VLOOKUP($A79,'Grants+ Other Funding'!$A:$CG,67,FALSE)</f>
        <v>2508248.3776325951</v>
      </c>
      <c r="AF79" s="146">
        <f>_xlfn.IFNA(VLOOKUP($A79,'Summary June 2026'!$A:$HJ,214,FALSE)+VLOOKUP($A79,'Grants+ Other Funding'!$A:$CG,68,FALSE),0)</f>
        <v>0</v>
      </c>
      <c r="AG79" s="146">
        <f>_xlfn.IFNA(VLOOKUP($A79,'Summary June 2026'!$A:$HJ,215,FALSE)+VLOOKUP($A79,'Grants+ Other Funding'!$A:$CG,69,FALSE),0)</f>
        <v>29893.965500000002</v>
      </c>
      <c r="AH79" s="146">
        <f>_xlfn.IFNA(VLOOKUP($A79,'Grants+ Other Funding'!$A:$CG,70,FALSE),0)</f>
        <v>0</v>
      </c>
      <c r="AI79" s="146">
        <f>_xlfn.IFNA(VLOOKUP($A79,'Grants+ Other Funding'!$A:$CG,71,FALSE),0)</f>
        <v>0</v>
      </c>
      <c r="AJ79" s="146">
        <f>_xlfn.IFNA(VLOOKUP($A79,'Grants+ Other Funding'!$A:$CG,72,FALSE),0)</f>
        <v>0</v>
      </c>
      <c r="AK79" s="146">
        <f>_xlfn.IFNA(VLOOKUP($A79,'Summary June 2026'!$A:$HJ,217,FALSE),0)</f>
        <v>-37099.505624999998</v>
      </c>
      <c r="AL79" s="146">
        <f>_xlfn.IFNA(VLOOKUP($A79,'Grants+ Other Funding'!$A:$CG,74,FALSE),0)</f>
        <v>0</v>
      </c>
      <c r="AM79" s="146">
        <f>_xlfn.IFNA(VLOOKUP($A79,'Summary June 2026'!$A:$HJ,218,FALSE),0)</f>
        <v>0</v>
      </c>
      <c r="AN79" s="146">
        <f>_xlfn.IFNA(VLOOKUP($A79,'Summary June 2026'!$A:$HJ,216,FALSE),0)</f>
        <v>-5781.75</v>
      </c>
      <c r="AO79" s="146">
        <f>_xlfn.IFNA(VLOOKUP($A79,'Grants+ Other Funding'!$A:$CG,73,FALSE),0)</f>
        <v>0</v>
      </c>
      <c r="AP79" s="65">
        <f t="shared" si="2"/>
        <v>2495261.0875075948</v>
      </c>
    </row>
    <row r="80" spans="1:42">
      <c r="A80" s="198">
        <v>4015</v>
      </c>
      <c r="B80" s="2">
        <v>103483</v>
      </c>
      <c r="C80" s="2" t="s">
        <v>183</v>
      </c>
      <c r="D80" s="2" t="s">
        <v>184</v>
      </c>
      <c r="E80" s="190" t="s">
        <v>71</v>
      </c>
      <c r="F80" s="208" t="str">
        <f>VLOOKUP(A80,'Summary June 2026'!A:F,6,FALSE)</f>
        <v>Chq Bk</v>
      </c>
      <c r="H80" s="273">
        <f>_xlfn.IFNA(VLOOKUP($A80,ISB!$A:$BY,67,FALSE),0)</f>
        <v>6328509.6110041514</v>
      </c>
      <c r="I80" s="218">
        <f>_xlfn.IFNA(VLOOKUP($A80,ISB!$A:$BY,72,FALSE),0)</f>
        <v>-14625</v>
      </c>
      <c r="J80" s="274">
        <f>-_xlfn.IFNA(VLOOKUP($A80,ISB!$A:$BY,76,FALSE),0)</f>
        <v>-94513.691999999995</v>
      </c>
      <c r="L80" s="273">
        <f>_xlfn.IFNA(VLOOKUP($A80,EY!$A:$DX,126,FALSE),0)</f>
        <v>0</v>
      </c>
      <c r="M80" s="273">
        <f>_xlfn.IFNA(VLOOKUP($A80,EY!$A:$DX,127,FALSE),0)</f>
        <v>0</v>
      </c>
      <c r="O80" s="273">
        <f>_xlfn.IFNA(VLOOKUP($A80,HN!$A:$AN,37,FALSE),0)</f>
        <v>0</v>
      </c>
      <c r="P80" s="273">
        <f>_xlfn.IFNA(VLOOKUP($A80,HN!$A:$AN,38,FALSE),0)</f>
        <v>0</v>
      </c>
      <c r="Q80" s="273">
        <f>_xlfn.IFNA(VLOOKUP($A80,HN!$A:$AN,39,FALSE),0)</f>
        <v>53093</v>
      </c>
      <c r="S80" s="337">
        <f>_xlfn.IFNA(VLOOKUP(A80,'Post 16'!A:AR,44,FALSE),0)</f>
        <v>0</v>
      </c>
      <c r="U80" s="337"/>
      <c r="V80" s="337">
        <f>VLOOKUP(A80,'LA Deductions'!A:AN,40,FALSE)</f>
        <v>0</v>
      </c>
      <c r="X80" s="274">
        <f>VLOOKUP($A80,'Summary June 2026'!$A:$AAX,206,FALSE)-SUMIFS($H80:$V80,$H$7:$V$7,X$7)</f>
        <v>0</v>
      </c>
      <c r="Y80" s="274">
        <f>VLOOKUP($A80,'Summary June 2026'!$A:$HC,207,FALSE)-SUMIFS($H80:$V80,$H$7:$V$7,Y$7)</f>
        <v>0</v>
      </c>
      <c r="Z80" s="274">
        <f>VLOOKUP($A80,'Summary June 2026'!$A:$HC,208,FALSE)-SUMIFS($H80:$V80,$H$7:$V$7,Z$7)</f>
        <v>0</v>
      </c>
      <c r="AA80" s="274">
        <f>VLOOKUP($A80,'Summary June 2026'!$A:$HC,209,FALSE)-SUMIFS($H80:$V80,$H$7:$V$7,AA$7)</f>
        <v>0</v>
      </c>
      <c r="AB80" s="274">
        <f>VLOOKUP($A80,'Summary June 2026'!$A:$HC,210,FALSE)-SUMIFS($H80:$V80,$H$7:$V$7,AB$7)</f>
        <v>0</v>
      </c>
      <c r="AC80" s="274">
        <f>VLOOKUP($A80,'Summary June 2026'!$A:$HC,211,FALSE)-SUMIFS($H80:$V80,$H$7:$V$7,AC$7)</f>
        <v>0</v>
      </c>
      <c r="AE80" s="146">
        <f>VLOOKUP($A80,'Summary June 2026'!$A:$HJ,213,FALSE)+VLOOKUP($A80,'Grants+ Other Funding'!$A:$CG,67,FALSE)</f>
        <v>1582127.4027510379</v>
      </c>
      <c r="AF80" s="146">
        <f>_xlfn.IFNA(VLOOKUP($A80,'Summary June 2026'!$A:$HJ,214,FALSE)+VLOOKUP($A80,'Grants+ Other Funding'!$A:$CG,68,FALSE),0)</f>
        <v>0</v>
      </c>
      <c r="AG80" s="146">
        <f>_xlfn.IFNA(VLOOKUP($A80,'Summary June 2026'!$A:$HJ,215,FALSE)+VLOOKUP($A80,'Grants+ Other Funding'!$A:$CG,69,FALSE),0)</f>
        <v>15700.7</v>
      </c>
      <c r="AH80" s="146">
        <f>_xlfn.IFNA(VLOOKUP($A80,'Grants+ Other Funding'!$A:$CG,70,FALSE),0)</f>
        <v>0</v>
      </c>
      <c r="AI80" s="146">
        <f>_xlfn.IFNA(VLOOKUP($A80,'Grants+ Other Funding'!$A:$CG,71,FALSE),0)</f>
        <v>0</v>
      </c>
      <c r="AJ80" s="146">
        <f>_xlfn.IFNA(VLOOKUP($A80,'Grants+ Other Funding'!$A:$CG,72,FALSE),0)</f>
        <v>0</v>
      </c>
      <c r="AK80" s="146">
        <f>_xlfn.IFNA(VLOOKUP($A80,'Summary June 2026'!$A:$HJ,217,FALSE),0)</f>
        <v>-23628.422999999999</v>
      </c>
      <c r="AL80" s="146">
        <f>_xlfn.IFNA(VLOOKUP($A80,'Grants+ Other Funding'!$A:$CG,74,FALSE),0)</f>
        <v>0</v>
      </c>
      <c r="AM80" s="146">
        <f>_xlfn.IFNA(VLOOKUP($A80,'Summary June 2026'!$A:$HJ,218,FALSE),0)</f>
        <v>0</v>
      </c>
      <c r="AN80" s="146">
        <f>_xlfn.IFNA(VLOOKUP($A80,'Summary June 2026'!$A:$HJ,216,FALSE),0)</f>
        <v>-3656.25</v>
      </c>
      <c r="AO80" s="146">
        <f>_xlfn.IFNA(VLOOKUP($A80,'Grants+ Other Funding'!$A:$CG,73,FALSE),0)</f>
        <v>0</v>
      </c>
      <c r="AP80" s="65">
        <f t="shared" si="2"/>
        <v>1570543.4297510379</v>
      </c>
    </row>
    <row r="81" spans="1:42">
      <c r="A81" s="198">
        <v>3411</v>
      </c>
      <c r="B81" s="2">
        <v>103479</v>
      </c>
      <c r="C81" s="2" t="s">
        <v>185</v>
      </c>
      <c r="D81" s="2" t="s">
        <v>186</v>
      </c>
      <c r="E81" s="190" t="s">
        <v>39</v>
      </c>
      <c r="F81" s="208" t="str">
        <f>VLOOKUP(A81,'Summary June 2026'!A:F,6,FALSE)</f>
        <v>Chq Bk</v>
      </c>
      <c r="H81" s="273">
        <f>_xlfn.IFNA(VLOOKUP($A81,ISB!$A:$BY,67,FALSE),0)</f>
        <v>1107941.4114344493</v>
      </c>
      <c r="I81" s="218">
        <f>_xlfn.IFNA(VLOOKUP($A81,ISB!$A:$BY,72,FALSE),0)</f>
        <v>-3685.2</v>
      </c>
      <c r="J81" s="274">
        <f>-_xlfn.IFNA(VLOOKUP($A81,ISB!$A:$BY,76,FALSE),0)</f>
        <v>-4266.2254999999996</v>
      </c>
      <c r="L81" s="273">
        <f>_xlfn.IFNA(VLOOKUP($A81,EY!$A:$DX,126,FALSE),0)</f>
        <v>136586.30255955679</v>
      </c>
      <c r="M81" s="273">
        <f>_xlfn.IFNA(VLOOKUP($A81,EY!$A:$DX,127,FALSE),0)</f>
        <v>0</v>
      </c>
      <c r="O81" s="273">
        <f>_xlfn.IFNA(VLOOKUP($A81,HN!$A:$AN,37,FALSE),0)</f>
        <v>0</v>
      </c>
      <c r="P81" s="273">
        <f>_xlfn.IFNA(VLOOKUP($A81,HN!$A:$AN,38,FALSE),0)</f>
        <v>0</v>
      </c>
      <c r="Q81" s="273">
        <f>_xlfn.IFNA(VLOOKUP($A81,HN!$A:$AN,39,FALSE),0)</f>
        <v>190747.25</v>
      </c>
      <c r="S81" s="337">
        <f>_xlfn.IFNA(VLOOKUP(A81,'Post 16'!A:AR,44,FALSE),0)</f>
        <v>0</v>
      </c>
      <c r="U81" s="337"/>
      <c r="V81" s="337">
        <f>VLOOKUP(A81,'LA Deductions'!A:AN,40,FALSE)</f>
        <v>0</v>
      </c>
      <c r="X81" s="274">
        <f>VLOOKUP($A81,'Summary June 2026'!$A:$AAX,206,FALSE)-SUMIFS($H81:$V81,$H$7:$V$7,X$7)</f>
        <v>0</v>
      </c>
      <c r="Y81" s="274">
        <f>VLOOKUP($A81,'Summary June 2026'!$A:$HC,207,FALSE)-SUMIFS($H81:$V81,$H$7:$V$7,Y$7)</f>
        <v>0</v>
      </c>
      <c r="Z81" s="274">
        <f>VLOOKUP($A81,'Summary June 2026'!$A:$HC,208,FALSE)-SUMIFS($H81:$V81,$H$7:$V$7,Z$7)</f>
        <v>0</v>
      </c>
      <c r="AA81" s="274">
        <f>VLOOKUP($A81,'Summary June 2026'!$A:$HC,209,FALSE)-SUMIFS($H81:$V81,$H$7:$V$7,AA$7)</f>
        <v>0</v>
      </c>
      <c r="AB81" s="274">
        <f>VLOOKUP($A81,'Summary June 2026'!$A:$HC,210,FALSE)-SUMIFS($H81:$V81,$H$7:$V$7,AB$7)</f>
        <v>0</v>
      </c>
      <c r="AC81" s="274">
        <f>VLOOKUP($A81,'Summary June 2026'!$A:$HC,211,FALSE)-SUMIFS($H81:$V81,$H$7:$V$7,AC$7)</f>
        <v>0</v>
      </c>
      <c r="AE81" s="146">
        <f>VLOOKUP($A81,'Summary June 2026'!$A:$HJ,213,FALSE)+VLOOKUP($A81,'Grants+ Other Funding'!$A:$CG,67,FALSE)</f>
        <v>359091.37583922176</v>
      </c>
      <c r="AF81" s="146">
        <f>_xlfn.IFNA(VLOOKUP($A81,'Summary June 2026'!$A:$HJ,214,FALSE)+VLOOKUP($A81,'Grants+ Other Funding'!$A:$CG,68,FALSE),0)</f>
        <v>0</v>
      </c>
      <c r="AG81" s="146">
        <f>_xlfn.IFNA(VLOOKUP($A81,'Summary June 2026'!$A:$HJ,215,FALSE)+VLOOKUP($A81,'Grants+ Other Funding'!$A:$CG,69,FALSE),0)</f>
        <v>56214.5</v>
      </c>
      <c r="AH81" s="146">
        <f>_xlfn.IFNA(VLOOKUP($A81,'Grants+ Other Funding'!$A:$CG,70,FALSE),0)</f>
        <v>0</v>
      </c>
      <c r="AI81" s="146">
        <f>_xlfn.IFNA(VLOOKUP($A81,'Grants+ Other Funding'!$A:$CG,71,FALSE),0)</f>
        <v>0</v>
      </c>
      <c r="AJ81" s="146">
        <f>_xlfn.IFNA(VLOOKUP($A81,'Grants+ Other Funding'!$A:$CG,72,FALSE),0)</f>
        <v>0</v>
      </c>
      <c r="AK81" s="146">
        <f>_xlfn.IFNA(VLOOKUP($A81,'Summary June 2026'!$A:$HJ,217,FALSE),0)</f>
        <v>-1066.5563749999999</v>
      </c>
      <c r="AL81" s="146">
        <f>_xlfn.IFNA(VLOOKUP($A81,'Grants+ Other Funding'!$A:$CG,74,FALSE),0)</f>
        <v>0</v>
      </c>
      <c r="AM81" s="146">
        <f>_xlfn.IFNA(VLOOKUP($A81,'Summary June 2026'!$A:$HJ,218,FALSE),0)</f>
        <v>0</v>
      </c>
      <c r="AN81" s="146">
        <f>_xlfn.IFNA(VLOOKUP($A81,'Summary June 2026'!$A:$HJ,216,FALSE),0)</f>
        <v>-921.3</v>
      </c>
      <c r="AO81" s="146">
        <f>_xlfn.IFNA(VLOOKUP($A81,'Grants+ Other Funding'!$A:$CG,73,FALSE),0)</f>
        <v>0</v>
      </c>
      <c r="AP81" s="65">
        <f t="shared" si="2"/>
        <v>413318.01946422178</v>
      </c>
    </row>
    <row r="82" spans="1:42">
      <c r="A82" s="198">
        <v>2474</v>
      </c>
      <c r="B82" s="2">
        <v>131672</v>
      </c>
      <c r="C82" s="2" t="s">
        <v>187</v>
      </c>
      <c r="D82" s="2" t="s">
        <v>188</v>
      </c>
      <c r="E82" s="190" t="s">
        <v>39</v>
      </c>
      <c r="F82" s="208" t="str">
        <f>VLOOKUP(A82,'Summary June 2026'!A:F,6,FALSE)</f>
        <v>Chq Bk</v>
      </c>
      <c r="H82" s="273">
        <f>_xlfn.IFNA(VLOOKUP($A82,ISB!$A:$BY,67,FALSE),0)</f>
        <v>2227300.0750637748</v>
      </c>
      <c r="I82" s="218">
        <f>_xlfn.IFNA(VLOOKUP($A82,ISB!$A:$BY,72,FALSE),0)</f>
        <v>-9960</v>
      </c>
      <c r="J82" s="274">
        <f>-_xlfn.IFNA(VLOOKUP($A82,ISB!$A:$BY,76,FALSE),0)</f>
        <v>-37171.5435</v>
      </c>
      <c r="L82" s="273">
        <f>_xlfn.IFNA(VLOOKUP($A82,EY!$A:$DX,126,FALSE),0)</f>
        <v>0</v>
      </c>
      <c r="M82" s="273">
        <f>_xlfn.IFNA(VLOOKUP($A82,EY!$A:$DX,127,FALSE),0)</f>
        <v>0</v>
      </c>
      <c r="O82" s="273">
        <f>_xlfn.IFNA(VLOOKUP($A82,HN!$A:$AN,37,FALSE),0)</f>
        <v>0</v>
      </c>
      <c r="P82" s="273">
        <f>_xlfn.IFNA(VLOOKUP($A82,HN!$A:$AN,38,FALSE),0)</f>
        <v>0</v>
      </c>
      <c r="Q82" s="273">
        <f>_xlfn.IFNA(VLOOKUP($A82,HN!$A:$AN,39,FALSE),0)</f>
        <v>25988</v>
      </c>
      <c r="S82" s="337">
        <f>_xlfn.IFNA(VLOOKUP(A82,'Post 16'!A:AR,44,FALSE),0)</f>
        <v>0</v>
      </c>
      <c r="U82" s="337"/>
      <c r="V82" s="337">
        <f>VLOOKUP(A82,'LA Deductions'!A:AN,40,FALSE)</f>
        <v>0</v>
      </c>
      <c r="X82" s="274">
        <f>VLOOKUP($A82,'Summary June 2026'!$A:$AAX,206,FALSE)-SUMIFS($H82:$V82,$H$7:$V$7,X$7)</f>
        <v>0</v>
      </c>
      <c r="Y82" s="274">
        <f>VLOOKUP($A82,'Summary June 2026'!$A:$HC,207,FALSE)-SUMIFS($H82:$V82,$H$7:$V$7,Y$7)</f>
        <v>0</v>
      </c>
      <c r="Z82" s="274">
        <f>VLOOKUP($A82,'Summary June 2026'!$A:$HC,208,FALSE)-SUMIFS($H82:$V82,$H$7:$V$7,Z$7)</f>
        <v>0</v>
      </c>
      <c r="AA82" s="274">
        <f>VLOOKUP($A82,'Summary June 2026'!$A:$HC,209,FALSE)-SUMIFS($H82:$V82,$H$7:$V$7,AA$7)</f>
        <v>0</v>
      </c>
      <c r="AB82" s="274">
        <f>VLOOKUP($A82,'Summary June 2026'!$A:$HC,210,FALSE)-SUMIFS($H82:$V82,$H$7:$V$7,AB$7)</f>
        <v>0</v>
      </c>
      <c r="AC82" s="274">
        <f>VLOOKUP($A82,'Summary June 2026'!$A:$HC,211,FALSE)-SUMIFS($H82:$V82,$H$7:$V$7,AC$7)</f>
        <v>0</v>
      </c>
      <c r="AE82" s="146">
        <f>VLOOKUP($A82,'Summary June 2026'!$A:$HJ,213,FALSE)+VLOOKUP($A82,'Grants+ Other Funding'!$A:$CG,67,FALSE)</f>
        <v>557559.91876594373</v>
      </c>
      <c r="AF82" s="146">
        <f>_xlfn.IFNA(VLOOKUP($A82,'Summary June 2026'!$A:$HJ,214,FALSE)+VLOOKUP($A82,'Grants+ Other Funding'!$A:$CG,68,FALSE),0)</f>
        <v>-64.39</v>
      </c>
      <c r="AG82" s="146">
        <f>_xlfn.IFNA(VLOOKUP($A82,'Summary June 2026'!$A:$HJ,215,FALSE)+VLOOKUP($A82,'Grants+ Other Funding'!$A:$CG,69,FALSE),0)</f>
        <v>9869.9622499999987</v>
      </c>
      <c r="AH82" s="146">
        <f>_xlfn.IFNA(VLOOKUP($A82,'Grants+ Other Funding'!$A:$CG,70,FALSE),0)</f>
        <v>0</v>
      </c>
      <c r="AI82" s="146">
        <f>_xlfn.IFNA(VLOOKUP($A82,'Grants+ Other Funding'!$A:$CG,71,FALSE),0)</f>
        <v>0</v>
      </c>
      <c r="AJ82" s="146">
        <f>_xlfn.IFNA(VLOOKUP($A82,'Grants+ Other Funding'!$A:$CG,72,FALSE),0)</f>
        <v>0</v>
      </c>
      <c r="AK82" s="146">
        <f>_xlfn.IFNA(VLOOKUP($A82,'Summary June 2026'!$A:$HJ,217,FALSE),0)</f>
        <v>-9292.8858749999999</v>
      </c>
      <c r="AL82" s="146">
        <f>_xlfn.IFNA(VLOOKUP($A82,'Grants+ Other Funding'!$A:$CG,74,FALSE),0)</f>
        <v>0</v>
      </c>
      <c r="AM82" s="146">
        <f>_xlfn.IFNA(VLOOKUP($A82,'Summary June 2026'!$A:$HJ,218,FALSE),0)</f>
        <v>0</v>
      </c>
      <c r="AN82" s="146">
        <f>_xlfn.IFNA(VLOOKUP($A82,'Summary June 2026'!$A:$HJ,216,FALSE),0)</f>
        <v>-2490</v>
      </c>
      <c r="AO82" s="146">
        <f>_xlfn.IFNA(VLOOKUP($A82,'Grants+ Other Funding'!$A:$CG,73,FALSE),0)</f>
        <v>0</v>
      </c>
      <c r="AP82" s="65">
        <f t="shared" si="2"/>
        <v>555582.60514094366</v>
      </c>
    </row>
    <row r="83" spans="1:42">
      <c r="A83" s="198">
        <v>4223</v>
      </c>
      <c r="B83" s="2">
        <v>103509</v>
      </c>
      <c r="C83" s="2" t="s">
        <v>189</v>
      </c>
      <c r="D83" s="2" t="s">
        <v>190</v>
      </c>
      <c r="E83" s="190" t="s">
        <v>71</v>
      </c>
      <c r="F83" s="208" t="str">
        <f>VLOOKUP(A83,'Summary June 2026'!A:F,6,FALSE)</f>
        <v>Chq Bk</v>
      </c>
      <c r="H83" s="273">
        <f>_xlfn.IFNA(VLOOKUP($A83,ISB!$A:$BY,67,FALSE),0)</f>
        <v>8731302.50025497</v>
      </c>
      <c r="I83" s="218">
        <f>_xlfn.IFNA(VLOOKUP($A83,ISB!$A:$BY,72,FALSE),0)</f>
        <v>-18642</v>
      </c>
      <c r="J83" s="274">
        <f>-_xlfn.IFNA(VLOOKUP($A83,ISB!$A:$BY,76,FALSE),0)</f>
        <v>-196863.6588</v>
      </c>
      <c r="L83" s="273">
        <f>_xlfn.IFNA(VLOOKUP($A83,EY!$A:$DX,126,FALSE),0)</f>
        <v>0</v>
      </c>
      <c r="M83" s="273">
        <f>_xlfn.IFNA(VLOOKUP($A83,EY!$A:$DX,127,FALSE),0)</f>
        <v>0</v>
      </c>
      <c r="O83" s="273">
        <f>_xlfn.IFNA(VLOOKUP($A83,HN!$A:$AN,37,FALSE),0)</f>
        <v>0</v>
      </c>
      <c r="P83" s="273">
        <f>_xlfn.IFNA(VLOOKUP($A83,HN!$A:$AN,38,FALSE),0)</f>
        <v>0</v>
      </c>
      <c r="Q83" s="273">
        <f>_xlfn.IFNA(VLOOKUP($A83,HN!$A:$AN,39,FALSE),0)</f>
        <v>155867.75</v>
      </c>
      <c r="S83" s="337">
        <f>_xlfn.IFNA(VLOOKUP(A83,'Post 16'!A:AR,44,FALSE),0)</f>
        <v>1279752.3333333333</v>
      </c>
      <c r="U83" s="337"/>
      <c r="V83" s="337">
        <f>VLOOKUP(A83,'LA Deductions'!A:AN,40,FALSE)</f>
        <v>-5220</v>
      </c>
      <c r="X83" s="274">
        <f>VLOOKUP($A83,'Summary June 2026'!$A:$AAX,206,FALSE)-SUMIFS($H83:$V83,$H$7:$V$7,X$7)</f>
        <v>0</v>
      </c>
      <c r="Y83" s="274">
        <f>VLOOKUP($A83,'Summary June 2026'!$A:$HC,207,FALSE)-SUMIFS($H83:$V83,$H$7:$V$7,Y$7)</f>
        <v>0</v>
      </c>
      <c r="Z83" s="274">
        <f>VLOOKUP($A83,'Summary June 2026'!$A:$HC,208,FALSE)-SUMIFS($H83:$V83,$H$7:$V$7,Z$7)</f>
        <v>0</v>
      </c>
      <c r="AA83" s="274">
        <f>VLOOKUP($A83,'Summary June 2026'!$A:$HC,209,FALSE)-SUMIFS($H83:$V83,$H$7:$V$7,AA$7)</f>
        <v>0</v>
      </c>
      <c r="AB83" s="274">
        <f>VLOOKUP($A83,'Summary June 2026'!$A:$HC,210,FALSE)-SUMIFS($H83:$V83,$H$7:$V$7,AB$7)</f>
        <v>0</v>
      </c>
      <c r="AC83" s="274">
        <f>VLOOKUP($A83,'Summary June 2026'!$A:$HC,211,FALSE)-SUMIFS($H83:$V83,$H$7:$V$7,AC$7)</f>
        <v>0</v>
      </c>
      <c r="AE83" s="146">
        <f>VLOOKUP($A83,'Summary June 2026'!$A:$HJ,213,FALSE)+VLOOKUP($A83,'Grants+ Other Funding'!$A:$CG,67,FALSE)</f>
        <v>2182825.6250637425</v>
      </c>
      <c r="AF83" s="146">
        <f>_xlfn.IFNA(VLOOKUP($A83,'Summary June 2026'!$A:$HJ,214,FALSE)+VLOOKUP($A83,'Grants+ Other Funding'!$A:$CG,68,FALSE),0)</f>
        <v>317868.25</v>
      </c>
      <c r="AG83" s="146">
        <f>_xlfn.IFNA(VLOOKUP($A83,'Summary June 2026'!$A:$HJ,215,FALSE)+VLOOKUP($A83,'Grants+ Other Funding'!$A:$CG,69,FALSE),0)</f>
        <v>41484.40625</v>
      </c>
      <c r="AH83" s="146">
        <f>_xlfn.IFNA(VLOOKUP($A83,'Grants+ Other Funding'!$A:$CG,70,FALSE),0)</f>
        <v>0</v>
      </c>
      <c r="AI83" s="146">
        <f>_xlfn.IFNA(VLOOKUP($A83,'Grants+ Other Funding'!$A:$CG,71,FALSE),0)</f>
        <v>0</v>
      </c>
      <c r="AJ83" s="146">
        <f>_xlfn.IFNA(VLOOKUP($A83,'Grants+ Other Funding'!$A:$CG,72,FALSE),0)</f>
        <v>0</v>
      </c>
      <c r="AK83" s="146">
        <f>_xlfn.IFNA(VLOOKUP($A83,'Summary June 2026'!$A:$HJ,217,FALSE),0)</f>
        <v>-49215.914699999994</v>
      </c>
      <c r="AL83" s="146">
        <f>_xlfn.IFNA(VLOOKUP($A83,'Grants+ Other Funding'!$A:$CG,74,FALSE),0)</f>
        <v>0</v>
      </c>
      <c r="AM83" s="146">
        <f>_xlfn.IFNA(VLOOKUP($A83,'Summary June 2026'!$A:$HJ,218,FALSE),0)</f>
        <v>0</v>
      </c>
      <c r="AN83" s="146">
        <f>_xlfn.IFNA(VLOOKUP($A83,'Summary June 2026'!$A:$HJ,216,FALSE),0)</f>
        <v>-4660.5</v>
      </c>
      <c r="AO83" s="146">
        <f>_xlfn.IFNA(VLOOKUP($A83,'Grants+ Other Funding'!$A:$CG,73,FALSE),0)</f>
        <v>0</v>
      </c>
      <c r="AP83" s="65">
        <f t="shared" si="2"/>
        <v>2488301.8666137424</v>
      </c>
    </row>
    <row r="84" spans="1:42">
      <c r="A84" s="198">
        <v>3317</v>
      </c>
      <c r="B84" s="2">
        <v>103421</v>
      </c>
      <c r="C84" s="2" t="s">
        <v>191</v>
      </c>
      <c r="D84" s="2" t="s">
        <v>192</v>
      </c>
      <c r="E84" s="190" t="s">
        <v>39</v>
      </c>
      <c r="F84" s="208" t="str">
        <f>VLOOKUP(A84,'Summary June 2026'!A:F,6,FALSE)</f>
        <v>Chq Bk</v>
      </c>
      <c r="H84" s="273">
        <f>_xlfn.IFNA(VLOOKUP($A84,ISB!$A:$BY,67,FALSE),0)</f>
        <v>1316861.8528631662</v>
      </c>
      <c r="I84" s="218">
        <f>_xlfn.IFNA(VLOOKUP($A84,ISB!$A:$BY,72,FALSE),0)</f>
        <v>-4631.3999999999996</v>
      </c>
      <c r="J84" s="274">
        <f>-_xlfn.IFNA(VLOOKUP($A84,ISB!$A:$BY,76,FALSE),0)</f>
        <v>-4582.2421999999997</v>
      </c>
      <c r="L84" s="273">
        <f>_xlfn.IFNA(VLOOKUP($A84,EY!$A:$DX,126,FALSE),0)</f>
        <v>62725.207379501393</v>
      </c>
      <c r="M84" s="273">
        <f>_xlfn.IFNA(VLOOKUP($A84,EY!$A:$DX,127,FALSE),0)</f>
        <v>0</v>
      </c>
      <c r="O84" s="273">
        <f>_xlfn.IFNA(VLOOKUP($A84,HN!$A:$AN,37,FALSE),0)</f>
        <v>0</v>
      </c>
      <c r="P84" s="273">
        <f>_xlfn.IFNA(VLOOKUP($A84,HN!$A:$AN,38,FALSE),0)</f>
        <v>0</v>
      </c>
      <c r="Q84" s="273">
        <f>_xlfn.IFNA(VLOOKUP($A84,HN!$A:$AN,39,FALSE),0)</f>
        <v>40948.5</v>
      </c>
      <c r="S84" s="337">
        <f>_xlfn.IFNA(VLOOKUP(A84,'Post 16'!A:AR,44,FALSE),0)</f>
        <v>0</v>
      </c>
      <c r="U84" s="337"/>
      <c r="V84" s="337">
        <f>VLOOKUP(A84,'LA Deductions'!A:AN,40,FALSE)</f>
        <v>0</v>
      </c>
      <c r="X84" s="274">
        <f>VLOOKUP($A84,'Summary June 2026'!$A:$AAX,206,FALSE)-SUMIFS($H84:$V84,$H$7:$V$7,X$7)</f>
        <v>0</v>
      </c>
      <c r="Y84" s="274">
        <f>VLOOKUP($A84,'Summary June 2026'!$A:$HC,207,FALSE)-SUMIFS($H84:$V84,$H$7:$V$7,Y$7)</f>
        <v>0</v>
      </c>
      <c r="Z84" s="274">
        <f>VLOOKUP($A84,'Summary June 2026'!$A:$HC,208,FALSE)-SUMIFS($H84:$V84,$H$7:$V$7,Z$7)</f>
        <v>0</v>
      </c>
      <c r="AA84" s="274">
        <f>VLOOKUP($A84,'Summary June 2026'!$A:$HC,209,FALSE)-SUMIFS($H84:$V84,$H$7:$V$7,AA$7)</f>
        <v>0</v>
      </c>
      <c r="AB84" s="274">
        <f>VLOOKUP($A84,'Summary June 2026'!$A:$HC,210,FALSE)-SUMIFS($H84:$V84,$H$7:$V$7,AB$7)</f>
        <v>0</v>
      </c>
      <c r="AC84" s="274">
        <f>VLOOKUP($A84,'Summary June 2026'!$A:$HC,211,FALSE)-SUMIFS($H84:$V84,$H$7:$V$7,AC$7)</f>
        <v>0</v>
      </c>
      <c r="AE84" s="146">
        <f>VLOOKUP($A84,'Summary June 2026'!$A:$HJ,213,FALSE)+VLOOKUP($A84,'Grants+ Other Funding'!$A:$CG,67,FALSE)</f>
        <v>364670.96059529297</v>
      </c>
      <c r="AF84" s="146">
        <f>_xlfn.IFNA(VLOOKUP($A84,'Summary June 2026'!$A:$HJ,214,FALSE)+VLOOKUP($A84,'Grants+ Other Funding'!$A:$CG,68,FALSE),0)</f>
        <v>-51.7</v>
      </c>
      <c r="AG84" s="146">
        <f>_xlfn.IFNA(VLOOKUP($A84,'Summary June 2026'!$A:$HJ,215,FALSE)+VLOOKUP($A84,'Grants+ Other Funding'!$A:$CG,69,FALSE),0)</f>
        <v>11983.612500000001</v>
      </c>
      <c r="AH84" s="146">
        <f>_xlfn.IFNA(VLOOKUP($A84,'Grants+ Other Funding'!$A:$CG,70,FALSE),0)</f>
        <v>0</v>
      </c>
      <c r="AI84" s="146">
        <f>_xlfn.IFNA(VLOOKUP($A84,'Grants+ Other Funding'!$A:$CG,71,FALSE),0)</f>
        <v>0</v>
      </c>
      <c r="AJ84" s="146">
        <f>_xlfn.IFNA(VLOOKUP($A84,'Grants+ Other Funding'!$A:$CG,72,FALSE),0)</f>
        <v>0</v>
      </c>
      <c r="AK84" s="146">
        <f>_xlfn.IFNA(VLOOKUP($A84,'Summary June 2026'!$A:$HJ,217,FALSE),0)</f>
        <v>-1145.5605499999999</v>
      </c>
      <c r="AL84" s="146">
        <f>_xlfn.IFNA(VLOOKUP($A84,'Grants+ Other Funding'!$A:$CG,74,FALSE),0)</f>
        <v>0</v>
      </c>
      <c r="AM84" s="146">
        <f>_xlfn.IFNA(VLOOKUP($A84,'Summary June 2026'!$A:$HJ,218,FALSE),0)</f>
        <v>0</v>
      </c>
      <c r="AN84" s="146">
        <f>_xlfn.IFNA(VLOOKUP($A84,'Summary June 2026'!$A:$HJ,216,FALSE),0)</f>
        <v>-1157.8499999999999</v>
      </c>
      <c r="AO84" s="146">
        <f>_xlfn.IFNA(VLOOKUP($A84,'Grants+ Other Funding'!$A:$CG,73,FALSE),0)</f>
        <v>0</v>
      </c>
      <c r="AP84" s="65">
        <f t="shared" si="2"/>
        <v>374299.46254529298</v>
      </c>
    </row>
    <row r="85" spans="1:42">
      <c r="A85" s="198">
        <v>1023</v>
      </c>
      <c r="B85" s="2">
        <v>103136</v>
      </c>
      <c r="C85" s="2" t="s">
        <v>193</v>
      </c>
      <c r="D85" s="2" t="s">
        <v>194</v>
      </c>
      <c r="E85" s="190" t="s">
        <v>36</v>
      </c>
      <c r="F85" s="208" t="str">
        <f>VLOOKUP(A85,'Summary June 2026'!A:F,6,FALSE)</f>
        <v>Chq Bk</v>
      </c>
      <c r="H85" s="273">
        <f>_xlfn.IFNA(VLOOKUP($A85,ISB!$A:$BY,67,FALSE),0)</f>
        <v>0</v>
      </c>
      <c r="I85" s="218">
        <f>_xlfn.IFNA(VLOOKUP($A85,ISB!$A:$BY,72,FALSE),0)</f>
        <v>0</v>
      </c>
      <c r="J85" s="274">
        <f>-_xlfn.IFNA(VLOOKUP($A85,ISB!$A:$BY,76,FALSE),0)</f>
        <v>0</v>
      </c>
      <c r="L85" s="273">
        <f>_xlfn.IFNA(VLOOKUP($A85,EY!$A:$DX,126,FALSE),0)</f>
        <v>525739.00361880555</v>
      </c>
      <c r="M85" s="273">
        <f>_xlfn.IFNA(VLOOKUP($A85,EY!$A:$DX,127,FALSE),0)</f>
        <v>6453.0216066481989</v>
      </c>
      <c r="O85" s="273">
        <f>_xlfn.IFNA(VLOOKUP($A85,HN!$A:$AN,37,FALSE),0)</f>
        <v>0</v>
      </c>
      <c r="P85" s="273">
        <f>_xlfn.IFNA(VLOOKUP($A85,HN!$A:$AN,38,FALSE),0)</f>
        <v>0</v>
      </c>
      <c r="Q85" s="273">
        <f>_xlfn.IFNA(VLOOKUP($A85,HN!$A:$AN,39,FALSE),0)</f>
        <v>13290</v>
      </c>
      <c r="S85" s="337">
        <f>_xlfn.IFNA(VLOOKUP(A85,'Post 16'!A:AR,44,FALSE),0)</f>
        <v>0</v>
      </c>
      <c r="U85" s="337"/>
      <c r="V85" s="337">
        <f>VLOOKUP(A85,'LA Deductions'!A:AN,40,FALSE)</f>
        <v>0</v>
      </c>
      <c r="X85" s="274">
        <f>VLOOKUP($A85,'Summary June 2026'!$A:$AAX,206,FALSE)-SUMIFS($H85:$V85,$H$7:$V$7,X$7)</f>
        <v>0</v>
      </c>
      <c r="Y85" s="274">
        <f>VLOOKUP($A85,'Summary June 2026'!$A:$HC,207,FALSE)-SUMIFS($H85:$V85,$H$7:$V$7,Y$7)</f>
        <v>0</v>
      </c>
      <c r="Z85" s="274">
        <f>VLOOKUP($A85,'Summary June 2026'!$A:$HC,208,FALSE)-SUMIFS($H85:$V85,$H$7:$V$7,Z$7)</f>
        <v>0</v>
      </c>
      <c r="AA85" s="274">
        <f>VLOOKUP($A85,'Summary June 2026'!$A:$HC,209,FALSE)-SUMIFS($H85:$V85,$H$7:$V$7,AA$7)</f>
        <v>0</v>
      </c>
      <c r="AB85" s="274">
        <f>VLOOKUP($A85,'Summary June 2026'!$A:$HC,210,FALSE)-SUMIFS($H85:$V85,$H$7:$V$7,AB$7)</f>
        <v>0</v>
      </c>
      <c r="AC85" s="274">
        <f>VLOOKUP($A85,'Summary June 2026'!$A:$HC,211,FALSE)-SUMIFS($H85:$V85,$H$7:$V$7,AC$7)</f>
        <v>0</v>
      </c>
      <c r="AE85" s="146">
        <f>VLOOKUP($A85,'Summary June 2026'!$A:$HJ,213,FALSE)+VLOOKUP($A85,'Grants+ Other Funding'!$A:$CG,67,FALSE)</f>
        <v>401483.39182933187</v>
      </c>
      <c r="AF85" s="146">
        <f>_xlfn.IFNA(VLOOKUP($A85,'Summary June 2026'!$A:$HJ,214,FALSE)+VLOOKUP($A85,'Grants+ Other Funding'!$A:$CG,68,FALSE),0)</f>
        <v>0</v>
      </c>
      <c r="AG85" s="146">
        <f>_xlfn.IFNA(VLOOKUP($A85,'Summary June 2026'!$A:$HJ,215,FALSE)+VLOOKUP($A85,'Grants+ Other Funding'!$A:$CG,69,FALSE),0)</f>
        <v>13744.296606648199</v>
      </c>
      <c r="AH85" s="146">
        <f>_xlfn.IFNA(VLOOKUP($A85,'Grants+ Other Funding'!$A:$CG,70,FALSE),0)</f>
        <v>0</v>
      </c>
      <c r="AI85" s="146">
        <f>_xlfn.IFNA(VLOOKUP($A85,'Grants+ Other Funding'!$A:$CG,71,FALSE),0)</f>
        <v>0</v>
      </c>
      <c r="AJ85" s="146">
        <f>_xlfn.IFNA(VLOOKUP($A85,'Grants+ Other Funding'!$A:$CG,72,FALSE),0)</f>
        <v>0</v>
      </c>
      <c r="AK85" s="146">
        <f>_xlfn.IFNA(VLOOKUP($A85,'Summary June 2026'!$A:$HJ,217,FALSE),0)</f>
        <v>0</v>
      </c>
      <c r="AL85" s="146">
        <f>_xlfn.IFNA(VLOOKUP($A85,'Grants+ Other Funding'!$A:$CG,74,FALSE),0)</f>
        <v>0</v>
      </c>
      <c r="AM85" s="146">
        <f>_xlfn.IFNA(VLOOKUP($A85,'Summary June 2026'!$A:$HJ,218,FALSE),0)</f>
        <v>0</v>
      </c>
      <c r="AN85" s="146">
        <f>_xlfn.IFNA(VLOOKUP($A85,'Summary June 2026'!$A:$HJ,216,FALSE),0)</f>
        <v>0</v>
      </c>
      <c r="AO85" s="146">
        <f>_xlfn.IFNA(VLOOKUP($A85,'Grants+ Other Funding'!$A:$CG,73,FALSE),0)</f>
        <v>0</v>
      </c>
      <c r="AP85" s="65">
        <f t="shared" si="2"/>
        <v>415227.68843598006</v>
      </c>
    </row>
    <row r="86" spans="1:42">
      <c r="A86" s="198">
        <v>2015</v>
      </c>
      <c r="B86" s="2">
        <v>134102</v>
      </c>
      <c r="C86" s="2" t="s">
        <v>195</v>
      </c>
      <c r="D86" s="2" t="s">
        <v>196</v>
      </c>
      <c r="E86" s="190" t="s">
        <v>39</v>
      </c>
      <c r="F86" s="208" t="str">
        <f>VLOOKUP(A86,'Summary June 2026'!A:F,6,FALSE)</f>
        <v>Chq Bk</v>
      </c>
      <c r="H86" s="273">
        <f>_xlfn.IFNA(VLOOKUP($A86,ISB!$A:$BY,67,FALSE),0)</f>
        <v>2569096.58172529</v>
      </c>
      <c r="I86" s="218">
        <f>_xlfn.IFNA(VLOOKUP($A86,ISB!$A:$BY,72,FALSE),0)</f>
        <v>-9661.1999999999989</v>
      </c>
      <c r="J86" s="274">
        <f>-_xlfn.IFNA(VLOOKUP($A86,ISB!$A:$BY,76,FALSE),0)</f>
        <v>-39764.906999999999</v>
      </c>
      <c r="L86" s="273">
        <f>_xlfn.IFNA(VLOOKUP($A86,EY!$A:$DX,126,FALSE),0)</f>
        <v>91930.560332409979</v>
      </c>
      <c r="M86" s="273">
        <f>_xlfn.IFNA(VLOOKUP($A86,EY!$A:$DX,127,FALSE),0)</f>
        <v>0</v>
      </c>
      <c r="O86" s="273">
        <f>_xlfn.IFNA(VLOOKUP($A86,HN!$A:$AN,37,FALSE),0)</f>
        <v>0</v>
      </c>
      <c r="P86" s="273">
        <f>_xlfn.IFNA(VLOOKUP($A86,HN!$A:$AN,38,FALSE),0)</f>
        <v>0</v>
      </c>
      <c r="Q86" s="273">
        <f>_xlfn.IFNA(VLOOKUP($A86,HN!$A:$AN,39,FALSE),0)</f>
        <v>56437.83</v>
      </c>
      <c r="S86" s="337">
        <f>_xlfn.IFNA(VLOOKUP(A86,'Post 16'!A:AR,44,FALSE),0)</f>
        <v>0</v>
      </c>
      <c r="U86" s="337"/>
      <c r="V86" s="337">
        <f>VLOOKUP(A86,'LA Deductions'!A:AN,40,FALSE)</f>
        <v>0</v>
      </c>
      <c r="X86" s="274">
        <f>VLOOKUP($A86,'Summary June 2026'!$A:$AAX,206,FALSE)-SUMIFS($H86:$V86,$H$7:$V$7,X$7)</f>
        <v>0</v>
      </c>
      <c r="Y86" s="274">
        <f>VLOOKUP($A86,'Summary June 2026'!$A:$HC,207,FALSE)-SUMIFS($H86:$V86,$H$7:$V$7,Y$7)</f>
        <v>0</v>
      </c>
      <c r="Z86" s="274">
        <f>VLOOKUP($A86,'Summary June 2026'!$A:$HC,208,FALSE)-SUMIFS($H86:$V86,$H$7:$V$7,Z$7)</f>
        <v>0</v>
      </c>
      <c r="AA86" s="274">
        <f>VLOOKUP($A86,'Summary June 2026'!$A:$HC,209,FALSE)-SUMIFS($H86:$V86,$H$7:$V$7,AA$7)</f>
        <v>0</v>
      </c>
      <c r="AB86" s="274">
        <f>VLOOKUP($A86,'Summary June 2026'!$A:$HC,210,FALSE)-SUMIFS($H86:$V86,$H$7:$V$7,AB$7)</f>
        <v>0</v>
      </c>
      <c r="AC86" s="274">
        <f>VLOOKUP($A86,'Summary June 2026'!$A:$HC,211,FALSE)-SUMIFS($H86:$V86,$H$7:$V$7,AC$7)</f>
        <v>0</v>
      </c>
      <c r="AE86" s="146">
        <f>VLOOKUP($A86,'Summary June 2026'!$A:$HJ,213,FALSE)+VLOOKUP($A86,'Grants+ Other Funding'!$A:$CG,67,FALSE)</f>
        <v>703125.34576373245</v>
      </c>
      <c r="AF86" s="146">
        <f>_xlfn.IFNA(VLOOKUP($A86,'Summary June 2026'!$A:$HJ,214,FALSE)+VLOOKUP($A86,'Grants+ Other Funding'!$A:$CG,68,FALSE),0)</f>
        <v>0</v>
      </c>
      <c r="AG86" s="146">
        <f>_xlfn.IFNA(VLOOKUP($A86,'Summary June 2026'!$A:$HJ,215,FALSE)+VLOOKUP($A86,'Grants+ Other Funding'!$A:$CG,69,FALSE),0)</f>
        <v>13295.90775</v>
      </c>
      <c r="AH86" s="146">
        <f>_xlfn.IFNA(VLOOKUP($A86,'Grants+ Other Funding'!$A:$CG,70,FALSE),0)</f>
        <v>0</v>
      </c>
      <c r="AI86" s="146">
        <f>_xlfn.IFNA(VLOOKUP($A86,'Grants+ Other Funding'!$A:$CG,71,FALSE),0)</f>
        <v>0</v>
      </c>
      <c r="AJ86" s="146">
        <f>_xlfn.IFNA(VLOOKUP($A86,'Grants+ Other Funding'!$A:$CG,72,FALSE),0)</f>
        <v>0</v>
      </c>
      <c r="AK86" s="146">
        <f>_xlfn.IFNA(VLOOKUP($A86,'Summary June 2026'!$A:$HJ,217,FALSE),0)</f>
        <v>-9941.2267499999998</v>
      </c>
      <c r="AL86" s="146">
        <f>_xlfn.IFNA(VLOOKUP($A86,'Grants+ Other Funding'!$A:$CG,74,FALSE),0)</f>
        <v>0</v>
      </c>
      <c r="AM86" s="146">
        <f>_xlfn.IFNA(VLOOKUP($A86,'Summary June 2026'!$A:$HJ,218,FALSE),0)</f>
        <v>0</v>
      </c>
      <c r="AN86" s="146">
        <f>_xlfn.IFNA(VLOOKUP($A86,'Summary June 2026'!$A:$HJ,216,FALSE),0)</f>
        <v>-2415.2999999999997</v>
      </c>
      <c r="AO86" s="146">
        <f>_xlfn.IFNA(VLOOKUP($A86,'Grants+ Other Funding'!$A:$CG,73,FALSE),0)</f>
        <v>0</v>
      </c>
      <c r="AP86" s="65">
        <f t="shared" si="2"/>
        <v>704064.72676373238</v>
      </c>
    </row>
    <row r="87" spans="1:42">
      <c r="A87" s="198">
        <v>3352</v>
      </c>
      <c r="B87" s="2">
        <v>103444</v>
      </c>
      <c r="C87" s="2" t="s">
        <v>197</v>
      </c>
      <c r="D87" s="2" t="s">
        <v>198</v>
      </c>
      <c r="E87" s="190" t="s">
        <v>39</v>
      </c>
      <c r="F87" s="208" t="str">
        <f>VLOOKUP(A87,'Summary June 2026'!A:F,6,FALSE)</f>
        <v>Chq Bk</v>
      </c>
      <c r="H87" s="273">
        <f>_xlfn.IFNA(VLOOKUP($A87,ISB!$A:$BY,67,FALSE),0)</f>
        <v>809305.94113475655</v>
      </c>
      <c r="I87" s="218">
        <f>_xlfn.IFNA(VLOOKUP($A87,ISB!$A:$BY,72,FALSE),0)</f>
        <v>-2963.1</v>
      </c>
      <c r="J87" s="274">
        <f>-_xlfn.IFNA(VLOOKUP($A87,ISB!$A:$BY,76,FALSE),0)</f>
        <v>-4529.5726999999997</v>
      </c>
      <c r="L87" s="273">
        <f>_xlfn.IFNA(VLOOKUP($A87,EY!$A:$DX,126,FALSE),0)</f>
        <v>-108.90099722991545</v>
      </c>
      <c r="M87" s="273">
        <f>_xlfn.IFNA(VLOOKUP($A87,EY!$A:$DX,127,FALSE),0)</f>
        <v>0</v>
      </c>
      <c r="O87" s="273">
        <f>_xlfn.IFNA(VLOOKUP($A87,HN!$A:$AN,37,FALSE),0)</f>
        <v>0</v>
      </c>
      <c r="P87" s="273">
        <f>_xlfn.IFNA(VLOOKUP($A87,HN!$A:$AN,38,FALSE),0)</f>
        <v>0</v>
      </c>
      <c r="Q87" s="273">
        <f>_xlfn.IFNA(VLOOKUP($A87,HN!$A:$AN,39,FALSE),0)</f>
        <v>25226.33</v>
      </c>
      <c r="S87" s="337">
        <f>_xlfn.IFNA(VLOOKUP(A87,'Post 16'!A:AR,44,FALSE),0)</f>
        <v>0</v>
      </c>
      <c r="U87" s="337"/>
      <c r="V87" s="337">
        <f>VLOOKUP(A87,'LA Deductions'!A:AN,40,FALSE)</f>
        <v>0</v>
      </c>
      <c r="X87" s="274">
        <f>VLOOKUP($A87,'Summary June 2026'!$A:$AAX,206,FALSE)-SUMIFS($H87:$V87,$H$7:$V$7,X$7)</f>
        <v>0</v>
      </c>
      <c r="Y87" s="274">
        <f>VLOOKUP($A87,'Summary June 2026'!$A:$HC,207,FALSE)-SUMIFS($H87:$V87,$H$7:$V$7,Y$7)</f>
        <v>0</v>
      </c>
      <c r="Z87" s="274">
        <f>VLOOKUP($A87,'Summary June 2026'!$A:$HC,208,FALSE)-SUMIFS($H87:$V87,$H$7:$V$7,Z$7)</f>
        <v>0</v>
      </c>
      <c r="AA87" s="274">
        <f>VLOOKUP($A87,'Summary June 2026'!$A:$HC,209,FALSE)-SUMIFS($H87:$V87,$H$7:$V$7,AA$7)</f>
        <v>0</v>
      </c>
      <c r="AB87" s="274">
        <f>VLOOKUP($A87,'Summary June 2026'!$A:$HC,210,FALSE)-SUMIFS($H87:$V87,$H$7:$V$7,AB$7)</f>
        <v>0</v>
      </c>
      <c r="AC87" s="274">
        <f>VLOOKUP($A87,'Summary June 2026'!$A:$HC,211,FALSE)-SUMIFS($H87:$V87,$H$7:$V$7,AC$7)</f>
        <v>0</v>
      </c>
      <c r="AE87" s="146">
        <f>VLOOKUP($A87,'Summary June 2026'!$A:$HJ,213,FALSE)+VLOOKUP($A87,'Grants+ Other Funding'!$A:$CG,67,FALSE)</f>
        <v>199253.58428645923</v>
      </c>
      <c r="AF87" s="146">
        <f>_xlfn.IFNA(VLOOKUP($A87,'Summary June 2026'!$A:$HJ,214,FALSE)+VLOOKUP($A87,'Grants+ Other Funding'!$A:$CG,68,FALSE),0)</f>
        <v>-2.21</v>
      </c>
      <c r="AG87" s="146">
        <f>_xlfn.IFNA(VLOOKUP($A87,'Summary June 2026'!$A:$HJ,215,FALSE)+VLOOKUP($A87,'Grants+ Other Funding'!$A:$CG,69,FALSE),0)</f>
        <v>13519.08275</v>
      </c>
      <c r="AH87" s="146">
        <f>_xlfn.IFNA(VLOOKUP($A87,'Grants+ Other Funding'!$A:$CG,70,FALSE),0)</f>
        <v>0</v>
      </c>
      <c r="AI87" s="146">
        <f>_xlfn.IFNA(VLOOKUP($A87,'Grants+ Other Funding'!$A:$CG,71,FALSE),0)</f>
        <v>0</v>
      </c>
      <c r="AJ87" s="146">
        <f>_xlfn.IFNA(VLOOKUP($A87,'Grants+ Other Funding'!$A:$CG,72,FALSE),0)</f>
        <v>0</v>
      </c>
      <c r="AK87" s="146">
        <f>_xlfn.IFNA(VLOOKUP($A87,'Summary June 2026'!$A:$HJ,217,FALSE),0)</f>
        <v>-1132.3931749999999</v>
      </c>
      <c r="AL87" s="146">
        <f>_xlfn.IFNA(VLOOKUP($A87,'Grants+ Other Funding'!$A:$CG,74,FALSE),0)</f>
        <v>0</v>
      </c>
      <c r="AM87" s="146">
        <f>_xlfn.IFNA(VLOOKUP($A87,'Summary June 2026'!$A:$HJ,218,FALSE),0)</f>
        <v>0</v>
      </c>
      <c r="AN87" s="146">
        <f>_xlfn.IFNA(VLOOKUP($A87,'Summary June 2026'!$A:$HJ,216,FALSE),0)</f>
        <v>-740.77499999999998</v>
      </c>
      <c r="AO87" s="146">
        <f>_xlfn.IFNA(VLOOKUP($A87,'Grants+ Other Funding'!$A:$CG,73,FALSE),0)</f>
        <v>0</v>
      </c>
      <c r="AP87" s="65">
        <f t="shared" si="2"/>
        <v>210897.28886145924</v>
      </c>
    </row>
    <row r="88" spans="1:42">
      <c r="A88" s="198">
        <v>2005</v>
      </c>
      <c r="B88" s="2">
        <v>134098</v>
      </c>
      <c r="C88" s="2" t="s">
        <v>199</v>
      </c>
      <c r="D88" s="2" t="s">
        <v>200</v>
      </c>
      <c r="E88" s="190" t="s">
        <v>39</v>
      </c>
      <c r="F88" s="208" t="str">
        <f>VLOOKUP(A88,'Summary June 2026'!A:F,6,FALSE)</f>
        <v>Chq Bk</v>
      </c>
      <c r="H88" s="273">
        <f>_xlfn.IFNA(VLOOKUP($A88,ISB!$A:$BY,67,FALSE),0)</f>
        <v>3281308.012664225</v>
      </c>
      <c r="I88" s="218">
        <f>_xlfn.IFNA(VLOOKUP($A88,ISB!$A:$BY,72,FALSE),0)</f>
        <v>-15388.199999999999</v>
      </c>
      <c r="J88" s="274">
        <f>-_xlfn.IFNA(VLOOKUP($A88,ISB!$A:$BY,76,FALSE),0)</f>
        <v>-68580.057000000001</v>
      </c>
      <c r="L88" s="273">
        <f>_xlfn.IFNA(VLOOKUP($A88,EY!$A:$DX,126,FALSE),0)</f>
        <v>60375.378898614967</v>
      </c>
      <c r="M88" s="273">
        <f>_xlfn.IFNA(VLOOKUP($A88,EY!$A:$DX,127,FALSE),0)</f>
        <v>0</v>
      </c>
      <c r="O88" s="273">
        <f>_xlfn.IFNA(VLOOKUP($A88,HN!$A:$AN,37,FALSE),0)</f>
        <v>-4000</v>
      </c>
      <c r="P88" s="273">
        <f>_xlfn.IFNA(VLOOKUP($A88,HN!$A:$AN,38,FALSE),0)</f>
        <v>0</v>
      </c>
      <c r="Q88" s="273">
        <f>_xlfn.IFNA(VLOOKUP($A88,HN!$A:$AN,39,FALSE),0)</f>
        <v>144918.44</v>
      </c>
      <c r="S88" s="337">
        <f>_xlfn.IFNA(VLOOKUP(A88,'Post 16'!A:AR,44,FALSE),0)</f>
        <v>0</v>
      </c>
      <c r="U88" s="337"/>
      <c r="V88" s="337">
        <f>VLOOKUP(A88,'LA Deductions'!A:AN,40,FALSE)</f>
        <v>0</v>
      </c>
      <c r="X88" s="274">
        <f>VLOOKUP($A88,'Summary June 2026'!$A:$AAX,206,FALSE)-SUMIFS($H88:$V88,$H$7:$V$7,X$7)</f>
        <v>0</v>
      </c>
      <c r="Y88" s="274">
        <f>VLOOKUP($A88,'Summary June 2026'!$A:$HC,207,FALSE)-SUMIFS($H88:$V88,$H$7:$V$7,Y$7)</f>
        <v>0</v>
      </c>
      <c r="Z88" s="274">
        <f>VLOOKUP($A88,'Summary June 2026'!$A:$HC,208,FALSE)-SUMIFS($H88:$V88,$H$7:$V$7,Z$7)</f>
        <v>0</v>
      </c>
      <c r="AA88" s="274">
        <f>VLOOKUP($A88,'Summary June 2026'!$A:$HC,209,FALSE)-SUMIFS($H88:$V88,$H$7:$V$7,AA$7)</f>
        <v>0</v>
      </c>
      <c r="AB88" s="274">
        <f>VLOOKUP($A88,'Summary June 2026'!$A:$HC,210,FALSE)-SUMIFS($H88:$V88,$H$7:$V$7,AB$7)</f>
        <v>0</v>
      </c>
      <c r="AC88" s="274">
        <f>VLOOKUP($A88,'Summary June 2026'!$A:$HC,211,FALSE)-SUMIFS($H88:$V88,$H$7:$V$7,AC$7)</f>
        <v>0</v>
      </c>
      <c r="AE88" s="146">
        <f>VLOOKUP($A88,'Summary June 2026'!$A:$HJ,213,FALSE)+VLOOKUP($A88,'Grants+ Other Funding'!$A:$CG,67,FALSE)</f>
        <v>855523.80406467128</v>
      </c>
      <c r="AF88" s="146">
        <f>_xlfn.IFNA(VLOOKUP($A88,'Summary June 2026'!$A:$HJ,214,FALSE)+VLOOKUP($A88,'Grants+ Other Funding'!$A:$CG,68,FALSE),0)</f>
        <v>-62</v>
      </c>
      <c r="AG88" s="146">
        <f>_xlfn.IFNA(VLOOKUP($A88,'Summary June 2026'!$A:$HJ,215,FALSE)+VLOOKUP($A88,'Grants+ Other Funding'!$A:$CG,69,FALSE),0)</f>
        <v>37190.484500000006</v>
      </c>
      <c r="AH88" s="146">
        <f>_xlfn.IFNA(VLOOKUP($A88,'Grants+ Other Funding'!$A:$CG,70,FALSE),0)</f>
        <v>0</v>
      </c>
      <c r="AI88" s="146">
        <f>_xlfn.IFNA(VLOOKUP($A88,'Grants+ Other Funding'!$A:$CG,71,FALSE),0)</f>
        <v>0</v>
      </c>
      <c r="AJ88" s="146">
        <f>_xlfn.IFNA(VLOOKUP($A88,'Grants+ Other Funding'!$A:$CG,72,FALSE),0)</f>
        <v>0</v>
      </c>
      <c r="AK88" s="146">
        <f>_xlfn.IFNA(VLOOKUP($A88,'Summary June 2026'!$A:$HJ,217,FALSE),0)</f>
        <v>-17145.01425</v>
      </c>
      <c r="AL88" s="146">
        <f>_xlfn.IFNA(VLOOKUP($A88,'Grants+ Other Funding'!$A:$CG,74,FALSE),0)</f>
        <v>0</v>
      </c>
      <c r="AM88" s="146">
        <f>_xlfn.IFNA(VLOOKUP($A88,'Summary June 2026'!$A:$HJ,218,FALSE),0)</f>
        <v>0</v>
      </c>
      <c r="AN88" s="146">
        <f>_xlfn.IFNA(VLOOKUP($A88,'Summary June 2026'!$A:$HJ,216,FALSE),0)</f>
        <v>-3847.0499999999997</v>
      </c>
      <c r="AO88" s="146">
        <f>_xlfn.IFNA(VLOOKUP($A88,'Grants+ Other Funding'!$A:$CG,73,FALSE),0)</f>
        <v>0</v>
      </c>
      <c r="AP88" s="65">
        <f t="shared" si="2"/>
        <v>871660.22431467124</v>
      </c>
    </row>
    <row r="89" spans="1:42">
      <c r="A89" s="198">
        <v>4063</v>
      </c>
      <c r="B89" s="2">
        <v>103486</v>
      </c>
      <c r="C89" s="2" t="s">
        <v>201</v>
      </c>
      <c r="D89" s="2" t="s">
        <v>202</v>
      </c>
      <c r="E89" s="190" t="s">
        <v>71</v>
      </c>
      <c r="F89" s="208" t="str">
        <f>VLOOKUP(A89,'Summary June 2026'!A:F,6,FALSE)</f>
        <v>Chq Bk</v>
      </c>
      <c r="H89" s="273">
        <f>_xlfn.IFNA(VLOOKUP($A89,ISB!$A:$BY,67,FALSE),0)</f>
        <v>6894052.4095026925</v>
      </c>
      <c r="I89" s="218">
        <f>_xlfn.IFNA(VLOOKUP($A89,ISB!$A:$BY,72,FALSE),0)</f>
        <v>-15502.5</v>
      </c>
      <c r="J89" s="274">
        <f>-_xlfn.IFNA(VLOOKUP($A89,ISB!$A:$BY,76,FALSE),0)</f>
        <v>-110650.17600000001</v>
      </c>
      <c r="L89" s="273">
        <f>_xlfn.IFNA(VLOOKUP($A89,EY!$A:$DX,126,FALSE),0)</f>
        <v>0</v>
      </c>
      <c r="M89" s="273">
        <f>_xlfn.IFNA(VLOOKUP($A89,EY!$A:$DX,127,FALSE),0)</f>
        <v>0</v>
      </c>
      <c r="O89" s="273">
        <f>_xlfn.IFNA(VLOOKUP($A89,HN!$A:$AN,37,FALSE),0)</f>
        <v>0</v>
      </c>
      <c r="P89" s="273">
        <f>_xlfn.IFNA(VLOOKUP($A89,HN!$A:$AN,38,FALSE),0)</f>
        <v>0</v>
      </c>
      <c r="Q89" s="273">
        <f>_xlfn.IFNA(VLOOKUP($A89,HN!$A:$AN,39,FALSE),0)</f>
        <v>173057.84</v>
      </c>
      <c r="S89" s="337">
        <f>_xlfn.IFNA(VLOOKUP(A89,'Post 16'!A:AR,44,FALSE),0)</f>
        <v>0</v>
      </c>
      <c r="U89" s="337"/>
      <c r="V89" s="337">
        <f>VLOOKUP(A89,'LA Deductions'!A:AN,40,FALSE)</f>
        <v>0</v>
      </c>
      <c r="X89" s="274">
        <f>VLOOKUP($A89,'Summary June 2026'!$A:$AAX,206,FALSE)-SUMIFS($H89:$V89,$H$7:$V$7,X$7)</f>
        <v>0</v>
      </c>
      <c r="Y89" s="274">
        <f>VLOOKUP($A89,'Summary June 2026'!$A:$HC,207,FALSE)-SUMIFS($H89:$V89,$H$7:$V$7,Y$7)</f>
        <v>0</v>
      </c>
      <c r="Z89" s="274">
        <f>VLOOKUP($A89,'Summary June 2026'!$A:$HC,208,FALSE)-SUMIFS($H89:$V89,$H$7:$V$7,Z$7)</f>
        <v>0</v>
      </c>
      <c r="AA89" s="274">
        <f>VLOOKUP($A89,'Summary June 2026'!$A:$HC,209,FALSE)-SUMIFS($H89:$V89,$H$7:$V$7,AA$7)</f>
        <v>0</v>
      </c>
      <c r="AB89" s="274">
        <f>VLOOKUP($A89,'Summary June 2026'!$A:$HC,210,FALSE)-SUMIFS($H89:$V89,$H$7:$V$7,AB$7)</f>
        <v>0</v>
      </c>
      <c r="AC89" s="274">
        <f>VLOOKUP($A89,'Summary June 2026'!$A:$HC,211,FALSE)-SUMIFS($H89:$V89,$H$7:$V$7,AC$7)</f>
        <v>0</v>
      </c>
      <c r="AE89" s="146">
        <f>VLOOKUP($A89,'Summary June 2026'!$A:$HJ,213,FALSE)+VLOOKUP($A89,'Grants+ Other Funding'!$A:$CG,67,FALSE)</f>
        <v>1723513.1023756731</v>
      </c>
      <c r="AF89" s="146">
        <f>_xlfn.IFNA(VLOOKUP($A89,'Summary June 2026'!$A:$HJ,214,FALSE)+VLOOKUP($A89,'Grants+ Other Funding'!$A:$CG,68,FALSE),0)</f>
        <v>0</v>
      </c>
      <c r="AG89" s="146">
        <f>_xlfn.IFNA(VLOOKUP($A89,'Summary June 2026'!$A:$HJ,215,FALSE)+VLOOKUP($A89,'Grants+ Other Funding'!$A:$CG,69,FALSE),0)</f>
        <v>52828.715749999996</v>
      </c>
      <c r="AH89" s="146">
        <f>_xlfn.IFNA(VLOOKUP($A89,'Grants+ Other Funding'!$A:$CG,70,FALSE),0)</f>
        <v>0</v>
      </c>
      <c r="AI89" s="146">
        <f>_xlfn.IFNA(VLOOKUP($A89,'Grants+ Other Funding'!$A:$CG,71,FALSE),0)</f>
        <v>0</v>
      </c>
      <c r="AJ89" s="146">
        <f>_xlfn.IFNA(VLOOKUP($A89,'Grants+ Other Funding'!$A:$CG,72,FALSE),0)</f>
        <v>0</v>
      </c>
      <c r="AK89" s="146">
        <f>_xlfn.IFNA(VLOOKUP($A89,'Summary June 2026'!$A:$HJ,217,FALSE),0)</f>
        <v>-27662.544000000002</v>
      </c>
      <c r="AL89" s="146">
        <f>_xlfn.IFNA(VLOOKUP($A89,'Grants+ Other Funding'!$A:$CG,74,FALSE),0)</f>
        <v>0</v>
      </c>
      <c r="AM89" s="146">
        <f>_xlfn.IFNA(VLOOKUP($A89,'Summary June 2026'!$A:$HJ,218,FALSE),0)</f>
        <v>0</v>
      </c>
      <c r="AN89" s="146">
        <f>_xlfn.IFNA(VLOOKUP($A89,'Summary June 2026'!$A:$HJ,216,FALSE),0)</f>
        <v>-3875.625</v>
      </c>
      <c r="AO89" s="146">
        <f>_xlfn.IFNA(VLOOKUP($A89,'Grants+ Other Funding'!$A:$CG,73,FALSE),0)</f>
        <v>0</v>
      </c>
      <c r="AP89" s="65">
        <f t="shared" si="2"/>
        <v>1744803.6491256731</v>
      </c>
    </row>
    <row r="90" spans="1:42">
      <c r="A90" s="198">
        <v>1016</v>
      </c>
      <c r="B90" s="2">
        <v>103129</v>
      </c>
      <c r="C90" s="2" t="s">
        <v>203</v>
      </c>
      <c r="D90" s="2" t="s">
        <v>204</v>
      </c>
      <c r="E90" s="190" t="s">
        <v>36</v>
      </c>
      <c r="F90" s="208" t="str">
        <f>VLOOKUP(A90,'Summary June 2026'!A:F,6,FALSE)</f>
        <v>Chq Bk</v>
      </c>
      <c r="H90" s="273">
        <f>_xlfn.IFNA(VLOOKUP($A90,ISB!$A:$BY,67,FALSE),0)</f>
        <v>0</v>
      </c>
      <c r="I90" s="218">
        <f>_xlfn.IFNA(VLOOKUP($A90,ISB!$A:$BY,72,FALSE),0)</f>
        <v>0</v>
      </c>
      <c r="J90" s="274">
        <f>-_xlfn.IFNA(VLOOKUP($A90,ISB!$A:$BY,76,FALSE),0)</f>
        <v>0</v>
      </c>
      <c r="L90" s="273">
        <f>_xlfn.IFNA(VLOOKUP($A90,EY!$A:$DX,126,FALSE),0)</f>
        <v>509221.7710791197</v>
      </c>
      <c r="M90" s="273">
        <f>_xlfn.IFNA(VLOOKUP($A90,EY!$A:$DX,127,FALSE),0)</f>
        <v>0</v>
      </c>
      <c r="O90" s="273">
        <f>_xlfn.IFNA(VLOOKUP($A90,HN!$A:$AN,37,FALSE),0)</f>
        <v>0</v>
      </c>
      <c r="P90" s="273">
        <f>_xlfn.IFNA(VLOOKUP($A90,HN!$A:$AN,38,FALSE),0)</f>
        <v>0</v>
      </c>
      <c r="Q90" s="273">
        <f>_xlfn.IFNA(VLOOKUP($A90,HN!$A:$AN,39,FALSE),0)</f>
        <v>13290</v>
      </c>
      <c r="S90" s="337">
        <f>_xlfn.IFNA(VLOOKUP(A90,'Post 16'!A:AR,44,FALSE),0)</f>
        <v>0</v>
      </c>
      <c r="U90" s="337"/>
      <c r="V90" s="337">
        <f>VLOOKUP(A90,'LA Deductions'!A:AN,40,FALSE)</f>
        <v>0</v>
      </c>
      <c r="X90" s="274">
        <f>VLOOKUP($A90,'Summary June 2026'!$A:$AAX,206,FALSE)-SUMIFS($H90:$V90,$H$7:$V$7,X$7)</f>
        <v>0</v>
      </c>
      <c r="Y90" s="274">
        <f>VLOOKUP($A90,'Summary June 2026'!$A:$HC,207,FALSE)-SUMIFS($H90:$V90,$H$7:$V$7,Y$7)</f>
        <v>0</v>
      </c>
      <c r="Z90" s="274">
        <f>VLOOKUP($A90,'Summary June 2026'!$A:$HC,208,FALSE)-SUMIFS($H90:$V90,$H$7:$V$7,Z$7)</f>
        <v>0</v>
      </c>
      <c r="AA90" s="274">
        <f>VLOOKUP($A90,'Summary June 2026'!$A:$HC,209,FALSE)-SUMIFS($H90:$V90,$H$7:$V$7,AA$7)</f>
        <v>0</v>
      </c>
      <c r="AB90" s="274">
        <f>VLOOKUP($A90,'Summary June 2026'!$A:$HC,210,FALSE)-SUMIFS($H90:$V90,$H$7:$V$7,AB$7)</f>
        <v>0</v>
      </c>
      <c r="AC90" s="274">
        <f>VLOOKUP($A90,'Summary June 2026'!$A:$HC,211,FALSE)-SUMIFS($H90:$V90,$H$7:$V$7,AC$7)</f>
        <v>0</v>
      </c>
      <c r="AE90" s="146">
        <f>VLOOKUP($A90,'Summary June 2026'!$A:$HJ,213,FALSE)+VLOOKUP($A90,'Grants+ Other Funding'!$A:$CG,67,FALSE)</f>
        <v>393228.20928964595</v>
      </c>
      <c r="AF90" s="146">
        <f>_xlfn.IFNA(VLOOKUP($A90,'Summary June 2026'!$A:$HJ,214,FALSE)+VLOOKUP($A90,'Grants+ Other Funding'!$A:$CG,68,FALSE),0)</f>
        <v>-2.61</v>
      </c>
      <c r="AG90" s="146">
        <f>_xlfn.IFNA(VLOOKUP($A90,'Summary June 2026'!$A:$HJ,215,FALSE)+VLOOKUP($A90,'Grants+ Other Funding'!$A:$CG,69,FALSE),0)</f>
        <v>8666.4</v>
      </c>
      <c r="AH90" s="146">
        <f>_xlfn.IFNA(VLOOKUP($A90,'Grants+ Other Funding'!$A:$CG,70,FALSE),0)</f>
        <v>0</v>
      </c>
      <c r="AI90" s="146">
        <f>_xlfn.IFNA(VLOOKUP($A90,'Grants+ Other Funding'!$A:$CG,71,FALSE),0)</f>
        <v>0</v>
      </c>
      <c r="AJ90" s="146">
        <f>_xlfn.IFNA(VLOOKUP($A90,'Grants+ Other Funding'!$A:$CG,72,FALSE),0)</f>
        <v>0</v>
      </c>
      <c r="AK90" s="146">
        <f>_xlfn.IFNA(VLOOKUP($A90,'Summary June 2026'!$A:$HJ,217,FALSE),0)</f>
        <v>0</v>
      </c>
      <c r="AL90" s="146">
        <f>_xlfn.IFNA(VLOOKUP($A90,'Grants+ Other Funding'!$A:$CG,74,FALSE),0)</f>
        <v>0</v>
      </c>
      <c r="AM90" s="146">
        <f>_xlfn.IFNA(VLOOKUP($A90,'Summary June 2026'!$A:$HJ,218,FALSE),0)</f>
        <v>0</v>
      </c>
      <c r="AN90" s="146">
        <f>_xlfn.IFNA(VLOOKUP($A90,'Summary June 2026'!$A:$HJ,216,FALSE),0)</f>
        <v>0</v>
      </c>
      <c r="AO90" s="146">
        <f>_xlfn.IFNA(VLOOKUP($A90,'Grants+ Other Funding'!$A:$CG,73,FALSE),0)</f>
        <v>0</v>
      </c>
      <c r="AP90" s="65">
        <f t="shared" si="2"/>
        <v>401891.99928964599</v>
      </c>
    </row>
    <row r="91" spans="1:42">
      <c r="A91" s="198">
        <v>2115</v>
      </c>
      <c r="B91" s="2">
        <v>103221</v>
      </c>
      <c r="C91" s="2" t="s">
        <v>205</v>
      </c>
      <c r="D91" s="2" t="s">
        <v>206</v>
      </c>
      <c r="E91" s="190" t="s">
        <v>39</v>
      </c>
      <c r="F91" s="208" t="str">
        <f>VLOOKUP(A91,'Summary June 2026'!A:F,6,FALSE)</f>
        <v>Chq Bk</v>
      </c>
      <c r="H91" s="273">
        <f>_xlfn.IFNA(VLOOKUP($A91,ISB!$A:$BY,67,FALSE),0)</f>
        <v>1722034.4428507653</v>
      </c>
      <c r="I91" s="218">
        <f>_xlfn.IFNA(VLOOKUP($A91,ISB!$A:$BY,72,FALSE),0)</f>
        <v>-6424.2</v>
      </c>
      <c r="J91" s="274">
        <f>-_xlfn.IFNA(VLOOKUP($A91,ISB!$A:$BY,76,FALSE),0)</f>
        <v>-57342.148500000003</v>
      </c>
      <c r="L91" s="273">
        <f>_xlfn.IFNA(VLOOKUP($A91,EY!$A:$DX,126,FALSE),0)</f>
        <v>81555.372631578968</v>
      </c>
      <c r="M91" s="273">
        <f>_xlfn.IFNA(VLOOKUP($A91,EY!$A:$DX,127,FALSE),0)</f>
        <v>0</v>
      </c>
      <c r="O91" s="273">
        <f>_xlfn.IFNA(VLOOKUP($A91,HN!$A:$AN,37,FALSE),0)</f>
        <v>0</v>
      </c>
      <c r="P91" s="273">
        <f>_xlfn.IFNA(VLOOKUP($A91,HN!$A:$AN,38,FALSE),0)</f>
        <v>0</v>
      </c>
      <c r="Q91" s="273">
        <f>_xlfn.IFNA(VLOOKUP($A91,HN!$A:$AN,39,FALSE),0)</f>
        <v>171432</v>
      </c>
      <c r="S91" s="337">
        <f>_xlfn.IFNA(VLOOKUP(A91,'Post 16'!A:AR,44,FALSE),0)</f>
        <v>0</v>
      </c>
      <c r="U91" s="337"/>
      <c r="V91" s="337">
        <f>VLOOKUP(A91,'LA Deductions'!A:AN,40,FALSE)</f>
        <v>0</v>
      </c>
      <c r="X91" s="274">
        <f>VLOOKUP($A91,'Summary June 2026'!$A:$AAX,206,FALSE)-SUMIFS($H91:$V91,$H$7:$V$7,X$7)</f>
        <v>0</v>
      </c>
      <c r="Y91" s="274">
        <f>VLOOKUP($A91,'Summary June 2026'!$A:$HC,207,FALSE)-SUMIFS($H91:$V91,$H$7:$V$7,Y$7)</f>
        <v>0</v>
      </c>
      <c r="Z91" s="274">
        <f>VLOOKUP($A91,'Summary June 2026'!$A:$HC,208,FALSE)-SUMIFS($H91:$V91,$H$7:$V$7,Z$7)</f>
        <v>0</v>
      </c>
      <c r="AA91" s="274">
        <f>VLOOKUP($A91,'Summary June 2026'!$A:$HC,209,FALSE)-SUMIFS($H91:$V91,$H$7:$V$7,AA$7)</f>
        <v>0</v>
      </c>
      <c r="AB91" s="274">
        <f>VLOOKUP($A91,'Summary June 2026'!$A:$HC,210,FALSE)-SUMIFS($H91:$V91,$H$7:$V$7,AB$7)</f>
        <v>0</v>
      </c>
      <c r="AC91" s="274">
        <f>VLOOKUP($A91,'Summary June 2026'!$A:$HC,211,FALSE)-SUMIFS($H91:$V91,$H$7:$V$7,AC$7)</f>
        <v>0</v>
      </c>
      <c r="AE91" s="146">
        <f>VLOOKUP($A91,'Summary June 2026'!$A:$HJ,213,FALSE)+VLOOKUP($A91,'Grants+ Other Funding'!$A:$CG,67,FALSE)</f>
        <v>483204.49334427022</v>
      </c>
      <c r="AF91" s="146">
        <f>_xlfn.IFNA(VLOOKUP($A91,'Summary June 2026'!$A:$HJ,214,FALSE)+VLOOKUP($A91,'Grants+ Other Funding'!$A:$CG,68,FALSE),0)</f>
        <v>-2.63</v>
      </c>
      <c r="AG91" s="146">
        <f>_xlfn.IFNA(VLOOKUP($A91,'Summary June 2026'!$A:$HJ,215,FALSE)+VLOOKUP($A91,'Grants+ Other Funding'!$A:$CG,69,FALSE),0)</f>
        <v>45337.07475</v>
      </c>
      <c r="AH91" s="146">
        <f>_xlfn.IFNA(VLOOKUP($A91,'Grants+ Other Funding'!$A:$CG,70,FALSE),0)</f>
        <v>0</v>
      </c>
      <c r="AI91" s="146">
        <f>_xlfn.IFNA(VLOOKUP($A91,'Grants+ Other Funding'!$A:$CG,71,FALSE),0)</f>
        <v>0</v>
      </c>
      <c r="AJ91" s="146">
        <f>_xlfn.IFNA(VLOOKUP($A91,'Grants+ Other Funding'!$A:$CG,72,FALSE),0)</f>
        <v>0</v>
      </c>
      <c r="AK91" s="146">
        <f>_xlfn.IFNA(VLOOKUP($A91,'Summary June 2026'!$A:$HJ,217,FALSE),0)</f>
        <v>-14335.537125000001</v>
      </c>
      <c r="AL91" s="146">
        <f>_xlfn.IFNA(VLOOKUP($A91,'Grants+ Other Funding'!$A:$CG,74,FALSE),0)</f>
        <v>0</v>
      </c>
      <c r="AM91" s="146">
        <f>_xlfn.IFNA(VLOOKUP($A91,'Summary June 2026'!$A:$HJ,218,FALSE),0)</f>
        <v>0</v>
      </c>
      <c r="AN91" s="146">
        <f>_xlfn.IFNA(VLOOKUP($A91,'Summary June 2026'!$A:$HJ,216,FALSE),0)</f>
        <v>-1606.0500000000002</v>
      </c>
      <c r="AO91" s="146">
        <f>_xlfn.IFNA(VLOOKUP($A91,'Grants+ Other Funding'!$A:$CG,73,FALSE),0)</f>
        <v>0</v>
      </c>
      <c r="AP91" s="65">
        <f t="shared" si="2"/>
        <v>512597.35096927022</v>
      </c>
    </row>
    <row r="92" spans="1:42">
      <c r="A92" s="198">
        <v>2441</v>
      </c>
      <c r="B92" s="2">
        <v>103368</v>
      </c>
      <c r="C92" s="2" t="s">
        <v>207</v>
      </c>
      <c r="D92" s="2" t="s">
        <v>208</v>
      </c>
      <c r="E92" s="190" t="s">
        <v>39</v>
      </c>
      <c r="F92" s="208" t="str">
        <f>VLOOKUP(A92,'Summary June 2026'!A:F,6,FALSE)</f>
        <v>Chq Bk</v>
      </c>
      <c r="H92" s="273">
        <f>_xlfn.IFNA(VLOOKUP($A92,ISB!$A:$BY,67,FALSE),0)</f>
        <v>2076564.7781705465</v>
      </c>
      <c r="I92" s="218">
        <f>_xlfn.IFNA(VLOOKUP($A92,ISB!$A:$BY,72,FALSE),0)</f>
        <v>-7669.2</v>
      </c>
      <c r="J92" s="274">
        <f>-_xlfn.IFNA(VLOOKUP($A92,ISB!$A:$BY,76,FALSE),0)</f>
        <v>-6281.7026999999998</v>
      </c>
      <c r="L92" s="273">
        <f>_xlfn.IFNA(VLOOKUP($A92,EY!$A:$DX,126,FALSE),0)</f>
        <v>45167.863878116339</v>
      </c>
      <c r="M92" s="273">
        <f>_xlfn.IFNA(VLOOKUP($A92,EY!$A:$DX,127,FALSE),0)</f>
        <v>0</v>
      </c>
      <c r="O92" s="273">
        <f>_xlfn.IFNA(VLOOKUP($A92,HN!$A:$AN,37,FALSE),0)</f>
        <v>0</v>
      </c>
      <c r="P92" s="273">
        <f>_xlfn.IFNA(VLOOKUP($A92,HN!$A:$AN,38,FALSE),0)</f>
        <v>0</v>
      </c>
      <c r="Q92" s="273">
        <f>_xlfn.IFNA(VLOOKUP($A92,HN!$A:$AN,39,FALSE),0)</f>
        <v>80950.17</v>
      </c>
      <c r="S92" s="337">
        <f>_xlfn.IFNA(VLOOKUP(A92,'Post 16'!A:AR,44,FALSE),0)</f>
        <v>0</v>
      </c>
      <c r="U92" s="337"/>
      <c r="V92" s="337">
        <f>VLOOKUP(A92,'LA Deductions'!A:AN,40,FALSE)</f>
        <v>0</v>
      </c>
      <c r="X92" s="274">
        <f>VLOOKUP($A92,'Summary June 2026'!$A:$AAX,206,FALSE)-SUMIFS($H92:$V92,$H$7:$V$7,X$7)</f>
        <v>0</v>
      </c>
      <c r="Y92" s="274">
        <f>VLOOKUP($A92,'Summary June 2026'!$A:$HC,207,FALSE)-SUMIFS($H92:$V92,$H$7:$V$7,Y$7)</f>
        <v>0</v>
      </c>
      <c r="Z92" s="274">
        <f>VLOOKUP($A92,'Summary June 2026'!$A:$HC,208,FALSE)-SUMIFS($H92:$V92,$H$7:$V$7,Z$7)</f>
        <v>0</v>
      </c>
      <c r="AA92" s="274">
        <f>VLOOKUP($A92,'Summary June 2026'!$A:$HC,209,FALSE)-SUMIFS($H92:$V92,$H$7:$V$7,AA$7)</f>
        <v>0</v>
      </c>
      <c r="AB92" s="274">
        <f>VLOOKUP($A92,'Summary June 2026'!$A:$HC,210,FALSE)-SUMIFS($H92:$V92,$H$7:$V$7,AB$7)</f>
        <v>0</v>
      </c>
      <c r="AC92" s="274">
        <f>VLOOKUP($A92,'Summary June 2026'!$A:$HC,211,FALSE)-SUMIFS($H92:$V92,$H$7:$V$7,AC$7)</f>
        <v>0</v>
      </c>
      <c r="AE92" s="146">
        <f>VLOOKUP($A92,'Summary June 2026'!$A:$HJ,213,FALSE)+VLOOKUP($A92,'Grants+ Other Funding'!$A:$CG,67,FALSE)</f>
        <v>544334.65842075297</v>
      </c>
      <c r="AF92" s="146">
        <f>_xlfn.IFNA(VLOOKUP($A92,'Summary June 2026'!$A:$HJ,214,FALSE)+VLOOKUP($A92,'Grants+ Other Funding'!$A:$CG,68,FALSE),0)</f>
        <v>-18.59</v>
      </c>
      <c r="AG92" s="146">
        <f>_xlfn.IFNA(VLOOKUP($A92,'Summary June 2026'!$A:$HJ,215,FALSE)+VLOOKUP($A92,'Grants+ Other Funding'!$A:$CG,69,FALSE),0)</f>
        <v>24108.985499999999</v>
      </c>
      <c r="AH92" s="146">
        <f>_xlfn.IFNA(VLOOKUP($A92,'Grants+ Other Funding'!$A:$CG,70,FALSE),0)</f>
        <v>0</v>
      </c>
      <c r="AI92" s="146">
        <f>_xlfn.IFNA(VLOOKUP($A92,'Grants+ Other Funding'!$A:$CG,71,FALSE),0)</f>
        <v>0</v>
      </c>
      <c r="AJ92" s="146">
        <f>_xlfn.IFNA(VLOOKUP($A92,'Grants+ Other Funding'!$A:$CG,72,FALSE),0)</f>
        <v>0</v>
      </c>
      <c r="AK92" s="146">
        <f>_xlfn.IFNA(VLOOKUP($A92,'Summary June 2026'!$A:$HJ,217,FALSE),0)</f>
        <v>-1570.425675</v>
      </c>
      <c r="AL92" s="146">
        <f>_xlfn.IFNA(VLOOKUP($A92,'Grants+ Other Funding'!$A:$CG,74,FALSE),0)</f>
        <v>0</v>
      </c>
      <c r="AM92" s="146">
        <f>_xlfn.IFNA(VLOOKUP($A92,'Summary June 2026'!$A:$HJ,218,FALSE),0)</f>
        <v>0</v>
      </c>
      <c r="AN92" s="146">
        <f>_xlfn.IFNA(VLOOKUP($A92,'Summary June 2026'!$A:$HJ,216,FALSE),0)</f>
        <v>-1917.3000000000002</v>
      </c>
      <c r="AO92" s="146">
        <f>_xlfn.IFNA(VLOOKUP($A92,'Grants+ Other Funding'!$A:$CG,73,FALSE),0)</f>
        <v>0</v>
      </c>
      <c r="AP92" s="65">
        <f t="shared" si="2"/>
        <v>564937.32824575296</v>
      </c>
    </row>
    <row r="93" spans="1:42">
      <c r="A93" s="198">
        <v>2321</v>
      </c>
      <c r="B93" s="2">
        <v>103339</v>
      </c>
      <c r="C93" s="2" t="s">
        <v>209</v>
      </c>
      <c r="D93" s="2" t="s">
        <v>210</v>
      </c>
      <c r="E93" s="190" t="s">
        <v>39</v>
      </c>
      <c r="F93" s="208" t="str">
        <f>VLOOKUP(A93,'Summary June 2026'!A:F,6,FALSE)</f>
        <v>Chq Bk</v>
      </c>
      <c r="H93" s="273">
        <f>_xlfn.IFNA(VLOOKUP($A93,ISB!$A:$BY,67,FALSE),0)</f>
        <v>1247236.0135251079</v>
      </c>
      <c r="I93" s="218">
        <f>_xlfn.IFNA(VLOOKUP($A93,ISB!$A:$BY,72,FALSE),0)</f>
        <v>-4257.8999999999996</v>
      </c>
      <c r="J93" s="274">
        <f>-_xlfn.IFNA(VLOOKUP($A93,ISB!$A:$BY,76,FALSE),0)</f>
        <v>-15800.834999999999</v>
      </c>
      <c r="L93" s="273">
        <f>_xlfn.IFNA(VLOOKUP($A93,EY!$A:$DX,126,FALSE),0)</f>
        <v>0</v>
      </c>
      <c r="M93" s="273">
        <f>_xlfn.IFNA(VLOOKUP($A93,EY!$A:$DX,127,FALSE),0)</f>
        <v>0</v>
      </c>
      <c r="O93" s="273">
        <f>_xlfn.IFNA(VLOOKUP($A93,HN!$A:$AN,37,FALSE),0)</f>
        <v>0</v>
      </c>
      <c r="P93" s="273">
        <f>_xlfn.IFNA(VLOOKUP($A93,HN!$A:$AN,38,FALSE),0)</f>
        <v>0</v>
      </c>
      <c r="Q93" s="273">
        <f>_xlfn.IFNA(VLOOKUP($A93,HN!$A:$AN,39,FALSE),0)</f>
        <v>129544.5</v>
      </c>
      <c r="S93" s="337">
        <f>_xlfn.IFNA(VLOOKUP(A93,'Post 16'!A:AR,44,FALSE),0)</f>
        <v>0</v>
      </c>
      <c r="U93" s="337"/>
      <c r="V93" s="337">
        <f>VLOOKUP(A93,'LA Deductions'!A:AN,40,FALSE)</f>
        <v>0</v>
      </c>
      <c r="X93" s="274">
        <f>VLOOKUP($A93,'Summary June 2026'!$A:$AAX,206,FALSE)-SUMIFS($H93:$V93,$H$7:$V$7,X$7)</f>
        <v>0</v>
      </c>
      <c r="Y93" s="274">
        <f>VLOOKUP($A93,'Summary June 2026'!$A:$HC,207,FALSE)-SUMIFS($H93:$V93,$H$7:$V$7,Y$7)</f>
        <v>0</v>
      </c>
      <c r="Z93" s="274">
        <f>VLOOKUP($A93,'Summary June 2026'!$A:$HC,208,FALSE)-SUMIFS($H93:$V93,$H$7:$V$7,Z$7)</f>
        <v>0</v>
      </c>
      <c r="AA93" s="274">
        <f>VLOOKUP($A93,'Summary June 2026'!$A:$HC,209,FALSE)-SUMIFS($H93:$V93,$H$7:$V$7,AA$7)</f>
        <v>0</v>
      </c>
      <c r="AB93" s="274">
        <f>VLOOKUP($A93,'Summary June 2026'!$A:$HC,210,FALSE)-SUMIFS($H93:$V93,$H$7:$V$7,AB$7)</f>
        <v>0</v>
      </c>
      <c r="AC93" s="274">
        <f>VLOOKUP($A93,'Summary June 2026'!$A:$HC,211,FALSE)-SUMIFS($H93:$V93,$H$7:$V$7,AC$7)</f>
        <v>0</v>
      </c>
      <c r="AE93" s="146">
        <f>VLOOKUP($A93,'Summary June 2026'!$A:$HJ,213,FALSE)+VLOOKUP($A93,'Grants+ Other Funding'!$A:$CG,67,FALSE)</f>
        <v>313757.70338127698</v>
      </c>
      <c r="AF93" s="146">
        <f>_xlfn.IFNA(VLOOKUP($A93,'Summary June 2026'!$A:$HJ,214,FALSE)+VLOOKUP($A93,'Grants+ Other Funding'!$A:$CG,68,FALSE),0)</f>
        <v>-8.2799999999999994</v>
      </c>
      <c r="AG93" s="146">
        <f>_xlfn.IFNA(VLOOKUP($A93,'Summary June 2026'!$A:$HJ,215,FALSE)+VLOOKUP($A93,'Grants+ Other Funding'!$A:$CG,69,FALSE),0)</f>
        <v>35009.143500000006</v>
      </c>
      <c r="AH93" s="146">
        <f>_xlfn.IFNA(VLOOKUP($A93,'Grants+ Other Funding'!$A:$CG,70,FALSE),0)</f>
        <v>0</v>
      </c>
      <c r="AI93" s="146">
        <f>_xlfn.IFNA(VLOOKUP($A93,'Grants+ Other Funding'!$A:$CG,71,FALSE),0)</f>
        <v>0</v>
      </c>
      <c r="AJ93" s="146">
        <f>_xlfn.IFNA(VLOOKUP($A93,'Grants+ Other Funding'!$A:$CG,72,FALSE),0)</f>
        <v>0</v>
      </c>
      <c r="AK93" s="146">
        <f>_xlfn.IFNA(VLOOKUP($A93,'Summary June 2026'!$A:$HJ,217,FALSE),0)</f>
        <v>-3950.2087499999998</v>
      </c>
      <c r="AL93" s="146">
        <f>_xlfn.IFNA(VLOOKUP($A93,'Grants+ Other Funding'!$A:$CG,74,FALSE),0)</f>
        <v>0</v>
      </c>
      <c r="AM93" s="146">
        <f>_xlfn.IFNA(VLOOKUP($A93,'Summary June 2026'!$A:$HJ,218,FALSE),0)</f>
        <v>0</v>
      </c>
      <c r="AN93" s="146">
        <f>_xlfn.IFNA(VLOOKUP($A93,'Summary June 2026'!$A:$HJ,216,FALSE),0)</f>
        <v>-1064.4749999999999</v>
      </c>
      <c r="AO93" s="146">
        <f>_xlfn.IFNA(VLOOKUP($A93,'Grants+ Other Funding'!$A:$CG,73,FALSE),0)</f>
        <v>0</v>
      </c>
      <c r="AP93" s="65">
        <f t="shared" si="2"/>
        <v>343743.88313127699</v>
      </c>
    </row>
    <row r="94" spans="1:42">
      <c r="A94" s="198">
        <v>2189</v>
      </c>
      <c r="B94" s="2">
        <v>103265</v>
      </c>
      <c r="C94" s="2" t="s">
        <v>211</v>
      </c>
      <c r="D94" s="2" t="s">
        <v>212</v>
      </c>
      <c r="E94" s="190" t="s">
        <v>39</v>
      </c>
      <c r="F94" s="208" t="str">
        <f>VLOOKUP(A94,'Summary June 2026'!A:F,6,FALSE)</f>
        <v>Chq Bk</v>
      </c>
      <c r="H94" s="273">
        <f>_xlfn.IFNA(VLOOKUP($A94,ISB!$A:$BY,67,FALSE),0)</f>
        <v>1525171.2326038715</v>
      </c>
      <c r="I94" s="218">
        <f>_xlfn.IFNA(VLOOKUP($A94,ISB!$A:$BY,72,FALSE),0)</f>
        <v>-5179.2</v>
      </c>
      <c r="J94" s="274">
        <f>-_xlfn.IFNA(VLOOKUP($A94,ISB!$A:$BY,76,FALSE),0)</f>
        <v>-33713.7255</v>
      </c>
      <c r="L94" s="273">
        <f>_xlfn.IFNA(VLOOKUP($A94,EY!$A:$DX,126,FALSE),0)</f>
        <v>61767.051263157897</v>
      </c>
      <c r="M94" s="273">
        <f>_xlfn.IFNA(VLOOKUP($A94,EY!$A:$DX,127,FALSE),0)</f>
        <v>0</v>
      </c>
      <c r="O94" s="273">
        <f>_xlfn.IFNA(VLOOKUP($A94,HN!$A:$AN,37,FALSE),0)</f>
        <v>0</v>
      </c>
      <c r="P94" s="273">
        <f>_xlfn.IFNA(VLOOKUP($A94,HN!$A:$AN,38,FALSE),0)</f>
        <v>0</v>
      </c>
      <c r="Q94" s="273">
        <f>_xlfn.IFNA(VLOOKUP($A94,HN!$A:$AN,39,FALSE),0)</f>
        <v>25967.919999999998</v>
      </c>
      <c r="S94" s="337">
        <f>_xlfn.IFNA(VLOOKUP(A94,'Post 16'!A:AR,44,FALSE),0)</f>
        <v>0</v>
      </c>
      <c r="U94" s="337"/>
      <c r="V94" s="337">
        <f>VLOOKUP(A94,'LA Deductions'!A:AN,40,FALSE)</f>
        <v>0</v>
      </c>
      <c r="X94" s="274">
        <f>VLOOKUP($A94,'Summary June 2026'!$A:$AAX,206,FALSE)-SUMIFS($H94:$V94,$H$7:$V$7,X$7)</f>
        <v>0</v>
      </c>
      <c r="Y94" s="274">
        <f>VLOOKUP($A94,'Summary June 2026'!$A:$HC,207,FALSE)-SUMIFS($H94:$V94,$H$7:$V$7,Y$7)</f>
        <v>0</v>
      </c>
      <c r="Z94" s="274">
        <f>VLOOKUP($A94,'Summary June 2026'!$A:$HC,208,FALSE)-SUMIFS($H94:$V94,$H$7:$V$7,Z$7)</f>
        <v>0</v>
      </c>
      <c r="AA94" s="274">
        <f>VLOOKUP($A94,'Summary June 2026'!$A:$HC,209,FALSE)-SUMIFS($H94:$V94,$H$7:$V$7,AA$7)</f>
        <v>0</v>
      </c>
      <c r="AB94" s="274">
        <f>VLOOKUP($A94,'Summary June 2026'!$A:$HC,210,FALSE)-SUMIFS($H94:$V94,$H$7:$V$7,AB$7)</f>
        <v>0</v>
      </c>
      <c r="AC94" s="274">
        <f>VLOOKUP($A94,'Summary June 2026'!$A:$HC,211,FALSE)-SUMIFS($H94:$V94,$H$7:$V$7,AC$7)</f>
        <v>0</v>
      </c>
      <c r="AE94" s="146">
        <f>VLOOKUP($A94,'Summary June 2026'!$A:$HJ,213,FALSE)+VLOOKUP($A94,'Grants+ Other Funding'!$A:$CG,67,FALSE)</f>
        <v>423584.61141412577</v>
      </c>
      <c r="AF94" s="146">
        <f>_xlfn.IFNA(VLOOKUP($A94,'Summary June 2026'!$A:$HJ,214,FALSE)+VLOOKUP($A94,'Grants+ Other Funding'!$A:$CG,68,FALSE),0)</f>
        <v>-18.64</v>
      </c>
      <c r="AG94" s="146">
        <f>_xlfn.IFNA(VLOOKUP($A94,'Summary June 2026'!$A:$HJ,215,FALSE)+VLOOKUP($A94,'Grants+ Other Funding'!$A:$CG,69,FALSE),0)</f>
        <v>8335.7612499999996</v>
      </c>
      <c r="AH94" s="146">
        <f>_xlfn.IFNA(VLOOKUP($A94,'Grants+ Other Funding'!$A:$CG,70,FALSE),0)</f>
        <v>0</v>
      </c>
      <c r="AI94" s="146">
        <f>_xlfn.IFNA(VLOOKUP($A94,'Grants+ Other Funding'!$A:$CG,71,FALSE),0)</f>
        <v>0</v>
      </c>
      <c r="AJ94" s="146">
        <f>_xlfn.IFNA(VLOOKUP($A94,'Grants+ Other Funding'!$A:$CG,72,FALSE),0)</f>
        <v>0</v>
      </c>
      <c r="AK94" s="146">
        <f>_xlfn.IFNA(VLOOKUP($A94,'Summary June 2026'!$A:$HJ,217,FALSE),0)</f>
        <v>-8428.4313750000001</v>
      </c>
      <c r="AL94" s="146">
        <f>_xlfn.IFNA(VLOOKUP($A94,'Grants+ Other Funding'!$A:$CG,74,FALSE),0)</f>
        <v>0</v>
      </c>
      <c r="AM94" s="146">
        <f>_xlfn.IFNA(VLOOKUP($A94,'Summary June 2026'!$A:$HJ,218,FALSE),0)</f>
        <v>0</v>
      </c>
      <c r="AN94" s="146">
        <f>_xlfn.IFNA(VLOOKUP($A94,'Summary June 2026'!$A:$HJ,216,FALSE),0)</f>
        <v>-1294.8</v>
      </c>
      <c r="AO94" s="146">
        <f>_xlfn.IFNA(VLOOKUP($A94,'Grants+ Other Funding'!$A:$CG,73,FALSE),0)</f>
        <v>0</v>
      </c>
      <c r="AP94" s="65">
        <f t="shared" si="2"/>
        <v>422178.50128912576</v>
      </c>
    </row>
    <row r="95" spans="1:42">
      <c r="A95" s="198">
        <v>7060</v>
      </c>
      <c r="B95" s="2">
        <v>103630</v>
      </c>
      <c r="C95" s="2" t="s">
        <v>213</v>
      </c>
      <c r="D95" s="2" t="s">
        <v>214</v>
      </c>
      <c r="E95" s="190" t="s">
        <v>56</v>
      </c>
      <c r="F95" s="208" t="str">
        <f>VLOOKUP(A95,'Summary June 2026'!A:F,6,FALSE)</f>
        <v>Chq Bk</v>
      </c>
      <c r="H95" s="273">
        <f>_xlfn.IFNA(VLOOKUP($A95,ISB!$A:$BY,67,FALSE),0)</f>
        <v>0</v>
      </c>
      <c r="I95" s="218">
        <f>_xlfn.IFNA(VLOOKUP($A95,ISB!$A:$BY,72,FALSE),0)</f>
        <v>0</v>
      </c>
      <c r="J95" s="274">
        <f>-_xlfn.IFNA(VLOOKUP($A95,ISB!$A:$BY,76,FALSE),0)</f>
        <v>0</v>
      </c>
      <c r="L95" s="273">
        <f>_xlfn.IFNA(VLOOKUP($A95,EY!$A:$DX,126,FALSE),0)</f>
        <v>0</v>
      </c>
      <c r="M95" s="273">
        <f>_xlfn.IFNA(VLOOKUP($A95,EY!$A:$DX,127,FALSE),0)</f>
        <v>0</v>
      </c>
      <c r="O95" s="273">
        <f>_xlfn.IFNA(VLOOKUP($A95,HN!$A:$AN,37,FALSE),0)</f>
        <v>1250000</v>
      </c>
      <c r="P95" s="273">
        <f>_xlfn.IFNA(VLOOKUP($A95,HN!$A:$AN,38,FALSE),0)</f>
        <v>0</v>
      </c>
      <c r="Q95" s="273">
        <f>_xlfn.IFNA(VLOOKUP($A95,HN!$A:$AN,39,FALSE),0)</f>
        <v>2331413.38</v>
      </c>
      <c r="S95" s="337">
        <f>_xlfn.IFNA(VLOOKUP(A95,'Post 16'!A:AR,44,FALSE),0)</f>
        <v>0</v>
      </c>
      <c r="U95" s="337"/>
      <c r="V95" s="337">
        <f>VLOOKUP(A95,'LA Deductions'!A:AN,40,FALSE)</f>
        <v>0</v>
      </c>
      <c r="X95" s="274">
        <f>VLOOKUP($A95,'Summary June 2026'!$A:$AAX,206,FALSE)-SUMIFS($H95:$V95,$H$7:$V$7,X$7)</f>
        <v>0</v>
      </c>
      <c r="Y95" s="274">
        <f>VLOOKUP($A95,'Summary June 2026'!$A:$HC,207,FALSE)-SUMIFS($H95:$V95,$H$7:$V$7,Y$7)</f>
        <v>0</v>
      </c>
      <c r="Z95" s="274">
        <f>VLOOKUP($A95,'Summary June 2026'!$A:$HC,208,FALSE)-SUMIFS($H95:$V95,$H$7:$V$7,Z$7)</f>
        <v>0</v>
      </c>
      <c r="AA95" s="274">
        <f>VLOOKUP($A95,'Summary June 2026'!$A:$HC,209,FALSE)-SUMIFS($H95:$V95,$H$7:$V$7,AA$7)</f>
        <v>0</v>
      </c>
      <c r="AB95" s="274">
        <f>VLOOKUP($A95,'Summary June 2026'!$A:$HC,210,FALSE)-SUMIFS($H95:$V95,$H$7:$V$7,AB$7)</f>
        <v>0</v>
      </c>
      <c r="AC95" s="274">
        <f>VLOOKUP($A95,'Summary June 2026'!$A:$HC,211,FALSE)-SUMIFS($H95:$V95,$H$7:$V$7,AC$7)</f>
        <v>0</v>
      </c>
      <c r="AE95" s="146">
        <f>VLOOKUP($A95,'Summary June 2026'!$A:$HJ,213,FALSE)+VLOOKUP($A95,'Grants+ Other Funding'!$A:$CG,67,FALSE)</f>
        <v>314816.95</v>
      </c>
      <c r="AF95" s="146">
        <f>_xlfn.IFNA(VLOOKUP($A95,'Summary June 2026'!$A:$HJ,214,FALSE)+VLOOKUP($A95,'Grants+ Other Funding'!$A:$CG,68,FALSE),0)</f>
        <v>-56.99</v>
      </c>
      <c r="AG95" s="146">
        <f>_xlfn.IFNA(VLOOKUP($A95,'Summary June 2026'!$A:$HJ,215,FALSE)+VLOOKUP($A95,'Grants+ Other Funding'!$A:$CG,69,FALSE),0)</f>
        <v>582853.34499999997</v>
      </c>
      <c r="AH95" s="146">
        <f>_xlfn.IFNA(VLOOKUP($A95,'Grants+ Other Funding'!$A:$CG,70,FALSE),0)</f>
        <v>0</v>
      </c>
      <c r="AI95" s="146">
        <f>_xlfn.IFNA(VLOOKUP($A95,'Grants+ Other Funding'!$A:$CG,71,FALSE),0)</f>
        <v>0</v>
      </c>
      <c r="AJ95" s="146">
        <f>_xlfn.IFNA(VLOOKUP($A95,'Grants+ Other Funding'!$A:$CG,72,FALSE),0)</f>
        <v>0</v>
      </c>
      <c r="AK95" s="146">
        <f>_xlfn.IFNA(VLOOKUP($A95,'Summary June 2026'!$A:$HJ,217,FALSE),0)</f>
        <v>0</v>
      </c>
      <c r="AL95" s="146">
        <f>_xlfn.IFNA(VLOOKUP($A95,'Grants+ Other Funding'!$A:$CG,74,FALSE),0)</f>
        <v>0</v>
      </c>
      <c r="AM95" s="146">
        <f>_xlfn.IFNA(VLOOKUP($A95,'Summary June 2026'!$A:$HJ,218,FALSE),0)</f>
        <v>0</v>
      </c>
      <c r="AN95" s="146">
        <f>_xlfn.IFNA(VLOOKUP($A95,'Summary June 2026'!$A:$HJ,216,FALSE),0)</f>
        <v>0</v>
      </c>
      <c r="AO95" s="146">
        <f>_xlfn.IFNA(VLOOKUP($A95,'Grants+ Other Funding'!$A:$CG,73,FALSE),0)</f>
        <v>0</v>
      </c>
      <c r="AP95" s="65">
        <f t="shared" si="2"/>
        <v>897613.30499999993</v>
      </c>
    </row>
    <row r="96" spans="1:42">
      <c r="A96" s="198">
        <v>1024</v>
      </c>
      <c r="B96" s="2">
        <v>103137</v>
      </c>
      <c r="C96" s="2" t="s">
        <v>215</v>
      </c>
      <c r="D96" s="2" t="s">
        <v>216</v>
      </c>
      <c r="E96" s="190" t="s">
        <v>36</v>
      </c>
      <c r="F96" s="208" t="str">
        <f>VLOOKUP(A96,'Summary June 2026'!A:F,6,FALSE)</f>
        <v>Chq Bk</v>
      </c>
      <c r="H96" s="273">
        <f>_xlfn.IFNA(VLOOKUP($A96,ISB!$A:$BY,67,FALSE),0)</f>
        <v>0</v>
      </c>
      <c r="I96" s="218">
        <f>_xlfn.IFNA(VLOOKUP($A96,ISB!$A:$BY,72,FALSE),0)</f>
        <v>0</v>
      </c>
      <c r="J96" s="274">
        <f>-_xlfn.IFNA(VLOOKUP($A96,ISB!$A:$BY,76,FALSE),0)</f>
        <v>0</v>
      </c>
      <c r="L96" s="273">
        <f>_xlfn.IFNA(VLOOKUP($A96,EY!$A:$DX,126,FALSE),0)</f>
        <v>468745.90072001866</v>
      </c>
      <c r="M96" s="273">
        <f>_xlfn.IFNA(VLOOKUP($A96,EY!$A:$DX,127,FALSE),0)</f>
        <v>780</v>
      </c>
      <c r="O96" s="273">
        <f>_xlfn.IFNA(VLOOKUP($A96,HN!$A:$AN,37,FALSE),0)</f>
        <v>0</v>
      </c>
      <c r="P96" s="273">
        <f>_xlfn.IFNA(VLOOKUP($A96,HN!$A:$AN,38,FALSE),0)</f>
        <v>0</v>
      </c>
      <c r="Q96" s="273">
        <f>_xlfn.IFNA(VLOOKUP($A96,HN!$A:$AN,39,FALSE),0)</f>
        <v>0</v>
      </c>
      <c r="S96" s="337">
        <f>_xlfn.IFNA(VLOOKUP(A96,'Post 16'!A:AR,44,FALSE),0)</f>
        <v>0</v>
      </c>
      <c r="U96" s="337"/>
      <c r="V96" s="337">
        <f>VLOOKUP(A96,'LA Deductions'!A:AN,40,FALSE)</f>
        <v>0</v>
      </c>
      <c r="X96" s="274">
        <f>VLOOKUP($A96,'Summary June 2026'!$A:$AAX,206,FALSE)-SUMIFS($H96:$V96,$H$7:$V$7,X$7)</f>
        <v>0</v>
      </c>
      <c r="Y96" s="274">
        <f>VLOOKUP($A96,'Summary June 2026'!$A:$HC,207,FALSE)-SUMIFS($H96:$V96,$H$7:$V$7,Y$7)</f>
        <v>0</v>
      </c>
      <c r="Z96" s="274">
        <f>VLOOKUP($A96,'Summary June 2026'!$A:$HC,208,FALSE)-SUMIFS($H96:$V96,$H$7:$V$7,Z$7)</f>
        <v>0</v>
      </c>
      <c r="AA96" s="274">
        <f>VLOOKUP($A96,'Summary June 2026'!$A:$HC,209,FALSE)-SUMIFS($H96:$V96,$H$7:$V$7,AA$7)</f>
        <v>0</v>
      </c>
      <c r="AB96" s="274">
        <f>VLOOKUP($A96,'Summary June 2026'!$A:$HC,210,FALSE)-SUMIFS($H96:$V96,$H$7:$V$7,AB$7)</f>
        <v>0</v>
      </c>
      <c r="AC96" s="274">
        <f>VLOOKUP($A96,'Summary June 2026'!$A:$HC,211,FALSE)-SUMIFS($H96:$V96,$H$7:$V$7,AC$7)</f>
        <v>0</v>
      </c>
      <c r="AE96" s="146">
        <f>VLOOKUP($A96,'Summary June 2026'!$A:$HJ,213,FALSE)+VLOOKUP($A96,'Grants+ Other Funding'!$A:$CG,67,FALSE)</f>
        <v>357569.91672001861</v>
      </c>
      <c r="AF96" s="146">
        <f>_xlfn.IFNA(VLOOKUP($A96,'Summary June 2026'!$A:$HJ,214,FALSE)+VLOOKUP($A96,'Grants+ Other Funding'!$A:$CG,68,FALSE),0)</f>
        <v>0</v>
      </c>
      <c r="AG96" s="146">
        <f>_xlfn.IFNA(VLOOKUP($A96,'Summary June 2026'!$A:$HJ,215,FALSE)+VLOOKUP($A96,'Grants+ Other Funding'!$A:$CG,69,FALSE),0)</f>
        <v>780</v>
      </c>
      <c r="AH96" s="146">
        <f>_xlfn.IFNA(VLOOKUP($A96,'Grants+ Other Funding'!$A:$CG,70,FALSE),0)</f>
        <v>0</v>
      </c>
      <c r="AI96" s="146">
        <f>_xlfn.IFNA(VLOOKUP($A96,'Grants+ Other Funding'!$A:$CG,71,FALSE),0)</f>
        <v>0</v>
      </c>
      <c r="AJ96" s="146">
        <f>_xlfn.IFNA(VLOOKUP($A96,'Grants+ Other Funding'!$A:$CG,72,FALSE),0)</f>
        <v>0</v>
      </c>
      <c r="AK96" s="146">
        <f>_xlfn.IFNA(VLOOKUP($A96,'Summary June 2026'!$A:$HJ,217,FALSE),0)</f>
        <v>0</v>
      </c>
      <c r="AL96" s="146">
        <f>_xlfn.IFNA(VLOOKUP($A96,'Grants+ Other Funding'!$A:$CG,74,FALSE),0)</f>
        <v>0</v>
      </c>
      <c r="AM96" s="146">
        <f>_xlfn.IFNA(VLOOKUP($A96,'Summary June 2026'!$A:$HJ,218,FALSE),0)</f>
        <v>0</v>
      </c>
      <c r="AN96" s="146">
        <f>_xlfn.IFNA(VLOOKUP($A96,'Summary June 2026'!$A:$HJ,216,FALSE),0)</f>
        <v>0</v>
      </c>
      <c r="AO96" s="146">
        <f>_xlfn.IFNA(VLOOKUP($A96,'Grants+ Other Funding'!$A:$CG,73,FALSE),0)</f>
        <v>0</v>
      </c>
      <c r="AP96" s="65">
        <f t="shared" si="2"/>
        <v>358349.91672001861</v>
      </c>
    </row>
    <row r="97" spans="1:42">
      <c r="A97" s="198">
        <v>7062</v>
      </c>
      <c r="B97" s="2">
        <v>103632</v>
      </c>
      <c r="C97" s="2" t="s">
        <v>217</v>
      </c>
      <c r="D97" s="2" t="s">
        <v>218</v>
      </c>
      <c r="E97" s="190" t="s">
        <v>56</v>
      </c>
      <c r="F97" s="208" t="str">
        <f>VLOOKUP(A97,'Summary June 2026'!A:F,6,FALSE)</f>
        <v>Chq Bk</v>
      </c>
      <c r="H97" s="273">
        <f>_xlfn.IFNA(VLOOKUP($A97,ISB!$A:$BY,67,FALSE),0)</f>
        <v>0</v>
      </c>
      <c r="I97" s="218">
        <f>_xlfn.IFNA(VLOOKUP($A97,ISB!$A:$BY,72,FALSE),0)</f>
        <v>0</v>
      </c>
      <c r="J97" s="274">
        <f>-_xlfn.IFNA(VLOOKUP($A97,ISB!$A:$BY,76,FALSE),0)</f>
        <v>0</v>
      </c>
      <c r="L97" s="273">
        <f>_xlfn.IFNA(VLOOKUP($A97,EY!$A:$DX,126,FALSE),0)</f>
        <v>0</v>
      </c>
      <c r="M97" s="273">
        <f>_xlfn.IFNA(VLOOKUP($A97,EY!$A:$DX,127,FALSE),0)</f>
        <v>0</v>
      </c>
      <c r="O97" s="273">
        <f>_xlfn.IFNA(VLOOKUP($A97,HN!$A:$AN,37,FALSE),0)</f>
        <v>1525000</v>
      </c>
      <c r="P97" s="273">
        <f>_xlfn.IFNA(VLOOKUP($A97,HN!$A:$AN,38,FALSE),0)</f>
        <v>0</v>
      </c>
      <c r="Q97" s="273">
        <f>_xlfn.IFNA(VLOOKUP($A97,HN!$A:$AN,39,FALSE),0)</f>
        <v>3518904.42</v>
      </c>
      <c r="S97" s="337">
        <f>_xlfn.IFNA(VLOOKUP(A97,'Post 16'!A:AR,44,FALSE),0)</f>
        <v>0</v>
      </c>
      <c r="U97" s="337"/>
      <c r="V97" s="337">
        <f>VLOOKUP(A97,'LA Deductions'!A:AN,40,FALSE)</f>
        <v>0</v>
      </c>
      <c r="X97" s="274">
        <f>VLOOKUP($A97,'Summary June 2026'!$A:$AAX,206,FALSE)-SUMIFS($H97:$V97,$H$7:$V$7,X$7)</f>
        <v>0</v>
      </c>
      <c r="Y97" s="274">
        <f>VLOOKUP($A97,'Summary June 2026'!$A:$HC,207,FALSE)-SUMIFS($H97:$V97,$H$7:$V$7,Y$7)</f>
        <v>0</v>
      </c>
      <c r="Z97" s="274">
        <f>VLOOKUP($A97,'Summary June 2026'!$A:$HC,208,FALSE)-SUMIFS($H97:$V97,$H$7:$V$7,Z$7)</f>
        <v>0</v>
      </c>
      <c r="AA97" s="274">
        <f>VLOOKUP($A97,'Summary June 2026'!$A:$HC,209,FALSE)-SUMIFS($H97:$V97,$H$7:$V$7,AA$7)</f>
        <v>0</v>
      </c>
      <c r="AB97" s="274">
        <f>VLOOKUP($A97,'Summary June 2026'!$A:$HC,210,FALSE)-SUMIFS($H97:$V97,$H$7:$V$7,AB$7)</f>
        <v>0</v>
      </c>
      <c r="AC97" s="274">
        <f>VLOOKUP($A97,'Summary June 2026'!$A:$HC,211,FALSE)-SUMIFS($H97:$V97,$H$7:$V$7,AC$7)</f>
        <v>0</v>
      </c>
      <c r="AE97" s="146">
        <f>VLOOKUP($A97,'Summary June 2026'!$A:$HJ,213,FALSE)+VLOOKUP($A97,'Grants+ Other Funding'!$A:$CG,67,FALSE)</f>
        <v>387458.05</v>
      </c>
      <c r="AF97" s="146">
        <f>_xlfn.IFNA(VLOOKUP($A97,'Summary June 2026'!$A:$HJ,214,FALSE)+VLOOKUP($A97,'Grants+ Other Funding'!$A:$CG,68,FALSE),0)</f>
        <v>-55.07</v>
      </c>
      <c r="AG97" s="146">
        <f>_xlfn.IFNA(VLOOKUP($A97,'Summary June 2026'!$A:$HJ,215,FALSE)+VLOOKUP($A97,'Grants+ Other Funding'!$A:$CG,69,FALSE),0)</f>
        <v>879726.10499999998</v>
      </c>
      <c r="AH97" s="146">
        <f>_xlfn.IFNA(VLOOKUP($A97,'Grants+ Other Funding'!$A:$CG,70,FALSE),0)</f>
        <v>0</v>
      </c>
      <c r="AI97" s="146">
        <f>_xlfn.IFNA(VLOOKUP($A97,'Grants+ Other Funding'!$A:$CG,71,FALSE),0)</f>
        <v>0</v>
      </c>
      <c r="AJ97" s="146">
        <f>_xlfn.IFNA(VLOOKUP($A97,'Grants+ Other Funding'!$A:$CG,72,FALSE),0)</f>
        <v>0</v>
      </c>
      <c r="AK97" s="146">
        <f>_xlfn.IFNA(VLOOKUP($A97,'Summary June 2026'!$A:$HJ,217,FALSE),0)</f>
        <v>0</v>
      </c>
      <c r="AL97" s="146">
        <f>_xlfn.IFNA(VLOOKUP($A97,'Grants+ Other Funding'!$A:$CG,74,FALSE),0)</f>
        <v>0</v>
      </c>
      <c r="AM97" s="146">
        <f>_xlfn.IFNA(VLOOKUP($A97,'Summary June 2026'!$A:$HJ,218,FALSE),0)</f>
        <v>0</v>
      </c>
      <c r="AN97" s="146">
        <f>_xlfn.IFNA(VLOOKUP($A97,'Summary June 2026'!$A:$HJ,216,FALSE),0)</f>
        <v>0</v>
      </c>
      <c r="AO97" s="146">
        <f>_xlfn.IFNA(VLOOKUP($A97,'Grants+ Other Funding'!$A:$CG,73,FALSE),0)</f>
        <v>0</v>
      </c>
      <c r="AP97" s="65">
        <f t="shared" si="2"/>
        <v>1267129.085</v>
      </c>
    </row>
    <row r="98" spans="1:42">
      <c r="A98" s="198">
        <v>2462</v>
      </c>
      <c r="B98" s="2">
        <v>103388</v>
      </c>
      <c r="C98" s="2" t="s">
        <v>219</v>
      </c>
      <c r="D98" s="2" t="s">
        <v>220</v>
      </c>
      <c r="E98" s="190" t="s">
        <v>39</v>
      </c>
      <c r="F98" s="208" t="str">
        <f>VLOOKUP(A98,'Summary June 2026'!A:F,6,FALSE)</f>
        <v>Chq Bk</v>
      </c>
      <c r="H98" s="273">
        <f>_xlfn.IFNA(VLOOKUP($A98,ISB!$A:$BY,67,FALSE),0)</f>
        <v>2185759.6950000003</v>
      </c>
      <c r="I98" s="218">
        <f>_xlfn.IFNA(VLOOKUP($A98,ISB!$A:$BY,72,FALSE),0)</f>
        <v>-10458</v>
      </c>
      <c r="J98" s="274">
        <f>-_xlfn.IFNA(VLOOKUP($A98,ISB!$A:$BY,76,FALSE),0)</f>
        <v>-37459.695</v>
      </c>
      <c r="L98" s="273">
        <f>_xlfn.IFNA(VLOOKUP($A98,EY!$A:$DX,126,FALSE),0)</f>
        <v>0</v>
      </c>
      <c r="M98" s="273">
        <f>_xlfn.IFNA(VLOOKUP($A98,EY!$A:$DX,127,FALSE),0)</f>
        <v>0</v>
      </c>
      <c r="O98" s="273">
        <f>_xlfn.IFNA(VLOOKUP($A98,HN!$A:$AN,37,FALSE),0)</f>
        <v>0</v>
      </c>
      <c r="P98" s="273">
        <f>_xlfn.IFNA(VLOOKUP($A98,HN!$A:$AN,38,FALSE),0)</f>
        <v>0</v>
      </c>
      <c r="Q98" s="273">
        <f>_xlfn.IFNA(VLOOKUP($A98,HN!$A:$AN,39,FALSE),0)</f>
        <v>32117.5</v>
      </c>
      <c r="S98" s="337">
        <f>_xlfn.IFNA(VLOOKUP(A98,'Post 16'!A:AR,44,FALSE),0)</f>
        <v>0</v>
      </c>
      <c r="U98" s="337"/>
      <c r="V98" s="337">
        <f>VLOOKUP(A98,'LA Deductions'!A:AN,40,FALSE)</f>
        <v>0</v>
      </c>
      <c r="X98" s="274">
        <f>VLOOKUP($A98,'Summary June 2026'!$A:$AAX,206,FALSE)-SUMIFS($H98:$V98,$H$7:$V$7,X$7)</f>
        <v>0</v>
      </c>
      <c r="Y98" s="274">
        <f>VLOOKUP($A98,'Summary June 2026'!$A:$HC,207,FALSE)-SUMIFS($H98:$V98,$H$7:$V$7,Y$7)</f>
        <v>0</v>
      </c>
      <c r="Z98" s="274">
        <f>VLOOKUP($A98,'Summary June 2026'!$A:$HC,208,FALSE)-SUMIFS($H98:$V98,$H$7:$V$7,Z$7)</f>
        <v>0</v>
      </c>
      <c r="AA98" s="274">
        <f>VLOOKUP($A98,'Summary June 2026'!$A:$HC,209,FALSE)-SUMIFS($H98:$V98,$H$7:$V$7,AA$7)</f>
        <v>0</v>
      </c>
      <c r="AB98" s="274">
        <f>VLOOKUP($A98,'Summary June 2026'!$A:$HC,210,FALSE)-SUMIFS($H98:$V98,$H$7:$V$7,AB$7)</f>
        <v>0</v>
      </c>
      <c r="AC98" s="274">
        <f>VLOOKUP($A98,'Summary June 2026'!$A:$HC,211,FALSE)-SUMIFS($H98:$V98,$H$7:$V$7,AC$7)</f>
        <v>0</v>
      </c>
      <c r="AE98" s="146">
        <f>VLOOKUP($A98,'Summary June 2026'!$A:$HJ,213,FALSE)+VLOOKUP($A98,'Grants+ Other Funding'!$A:$CG,67,FALSE)</f>
        <v>546439.92375000007</v>
      </c>
      <c r="AF98" s="146">
        <f>_xlfn.IFNA(VLOOKUP($A98,'Summary June 2026'!$A:$HJ,214,FALSE)+VLOOKUP($A98,'Grants+ Other Funding'!$A:$CG,68,FALSE),0)</f>
        <v>0</v>
      </c>
      <c r="AG98" s="146">
        <f>_xlfn.IFNA(VLOOKUP($A98,'Summary June 2026'!$A:$HJ,215,FALSE)+VLOOKUP($A98,'Grants+ Other Funding'!$A:$CG,69,FALSE),0)</f>
        <v>8733.2125000000015</v>
      </c>
      <c r="AH98" s="146">
        <f>_xlfn.IFNA(VLOOKUP($A98,'Grants+ Other Funding'!$A:$CG,70,FALSE),0)</f>
        <v>0</v>
      </c>
      <c r="AI98" s="146">
        <f>_xlfn.IFNA(VLOOKUP($A98,'Grants+ Other Funding'!$A:$CG,71,FALSE),0)</f>
        <v>0</v>
      </c>
      <c r="AJ98" s="146">
        <f>_xlfn.IFNA(VLOOKUP($A98,'Grants+ Other Funding'!$A:$CG,72,FALSE),0)</f>
        <v>0</v>
      </c>
      <c r="AK98" s="146">
        <f>_xlfn.IFNA(VLOOKUP($A98,'Summary June 2026'!$A:$HJ,217,FALSE),0)</f>
        <v>-9364.9237499999999</v>
      </c>
      <c r="AL98" s="146">
        <f>_xlfn.IFNA(VLOOKUP($A98,'Grants+ Other Funding'!$A:$CG,74,FALSE),0)</f>
        <v>0</v>
      </c>
      <c r="AM98" s="146">
        <f>_xlfn.IFNA(VLOOKUP($A98,'Summary June 2026'!$A:$HJ,218,FALSE),0)</f>
        <v>0</v>
      </c>
      <c r="AN98" s="146">
        <f>_xlfn.IFNA(VLOOKUP($A98,'Summary June 2026'!$A:$HJ,216,FALSE),0)</f>
        <v>-2614.5</v>
      </c>
      <c r="AO98" s="146">
        <f>_xlfn.IFNA(VLOOKUP($A98,'Grants+ Other Funding'!$A:$CG,73,FALSE),0)</f>
        <v>0</v>
      </c>
      <c r="AP98" s="65">
        <f t="shared" si="2"/>
        <v>543193.71250000014</v>
      </c>
    </row>
    <row r="99" spans="1:42">
      <c r="A99" s="198">
        <v>7012</v>
      </c>
      <c r="B99" s="2">
        <v>103603</v>
      </c>
      <c r="C99" s="2" t="s">
        <v>221</v>
      </c>
      <c r="D99" s="2" t="s">
        <v>222</v>
      </c>
      <c r="E99" s="190" t="s">
        <v>56</v>
      </c>
      <c r="F99" s="208" t="str">
        <f>VLOOKUP(A99,'Summary June 2026'!A:F,6,FALSE)</f>
        <v>Chq Bk</v>
      </c>
      <c r="H99" s="273">
        <f>_xlfn.IFNA(VLOOKUP($A99,ISB!$A:$BY,67,FALSE),0)</f>
        <v>0</v>
      </c>
      <c r="I99" s="218">
        <f>_xlfn.IFNA(VLOOKUP($A99,ISB!$A:$BY,72,FALSE),0)</f>
        <v>0</v>
      </c>
      <c r="J99" s="274">
        <f>-_xlfn.IFNA(VLOOKUP($A99,ISB!$A:$BY,76,FALSE),0)</f>
        <v>0</v>
      </c>
      <c r="L99" s="273">
        <f>_xlfn.IFNA(VLOOKUP($A99,EY!$A:$DX,126,FALSE),0)</f>
        <v>0</v>
      </c>
      <c r="M99" s="273">
        <f>_xlfn.IFNA(VLOOKUP($A99,EY!$A:$DX,127,FALSE),0)</f>
        <v>0</v>
      </c>
      <c r="O99" s="273">
        <f>_xlfn.IFNA(VLOOKUP($A99,HN!$A:$AN,37,FALSE),0)</f>
        <v>650000</v>
      </c>
      <c r="P99" s="273">
        <f>_xlfn.IFNA(VLOOKUP($A99,HN!$A:$AN,38,FALSE),0)</f>
        <v>0</v>
      </c>
      <c r="Q99" s="273">
        <f>_xlfn.IFNA(VLOOKUP($A99,HN!$A:$AN,39,FALSE),0)</f>
        <v>864524.26</v>
      </c>
      <c r="S99" s="337">
        <f>_xlfn.IFNA(VLOOKUP(A99,'Post 16'!A:AR,44,FALSE),0)</f>
        <v>0</v>
      </c>
      <c r="U99" s="337"/>
      <c r="V99" s="337">
        <f>VLOOKUP(A99,'LA Deductions'!A:AN,40,FALSE)</f>
        <v>0</v>
      </c>
      <c r="X99" s="274">
        <f>VLOOKUP($A99,'Summary June 2026'!$A:$AAX,206,FALSE)-SUMIFS($H99:$V99,$H$7:$V$7,X$7)</f>
        <v>0</v>
      </c>
      <c r="Y99" s="274">
        <f>VLOOKUP($A99,'Summary June 2026'!$A:$HC,207,FALSE)-SUMIFS($H99:$V99,$H$7:$V$7,Y$7)</f>
        <v>0</v>
      </c>
      <c r="Z99" s="274">
        <f>VLOOKUP($A99,'Summary June 2026'!$A:$HC,208,FALSE)-SUMIFS($H99:$V99,$H$7:$V$7,Z$7)</f>
        <v>0</v>
      </c>
      <c r="AA99" s="274">
        <f>VLOOKUP($A99,'Summary June 2026'!$A:$HC,209,FALSE)-SUMIFS($H99:$V99,$H$7:$V$7,AA$7)</f>
        <v>0</v>
      </c>
      <c r="AB99" s="274">
        <f>VLOOKUP($A99,'Summary June 2026'!$A:$HC,210,FALSE)-SUMIFS($H99:$V99,$H$7:$V$7,AB$7)</f>
        <v>0</v>
      </c>
      <c r="AC99" s="274">
        <f>VLOOKUP($A99,'Summary June 2026'!$A:$HC,211,FALSE)-SUMIFS($H99:$V99,$H$7:$V$7,AC$7)</f>
        <v>0</v>
      </c>
      <c r="AE99" s="146">
        <f>VLOOKUP($A99,'Summary June 2026'!$A:$HJ,213,FALSE)+VLOOKUP($A99,'Grants+ Other Funding'!$A:$CG,67,FALSE)</f>
        <v>162500</v>
      </c>
      <c r="AF99" s="146">
        <f>_xlfn.IFNA(VLOOKUP($A99,'Summary June 2026'!$A:$HJ,214,FALSE)+VLOOKUP($A99,'Grants+ Other Funding'!$A:$CG,68,FALSE),0)</f>
        <v>-40.130000000000003</v>
      </c>
      <c r="AG99" s="146">
        <f>_xlfn.IFNA(VLOOKUP($A99,'Summary June 2026'!$A:$HJ,215,FALSE)+VLOOKUP($A99,'Grants+ Other Funding'!$A:$CG,69,FALSE),0)</f>
        <v>216131.065</v>
      </c>
      <c r="AH99" s="146">
        <f>_xlfn.IFNA(VLOOKUP($A99,'Grants+ Other Funding'!$A:$CG,70,FALSE),0)</f>
        <v>0</v>
      </c>
      <c r="AI99" s="146">
        <f>_xlfn.IFNA(VLOOKUP($A99,'Grants+ Other Funding'!$A:$CG,71,FALSE),0)</f>
        <v>0</v>
      </c>
      <c r="AJ99" s="146">
        <f>_xlfn.IFNA(VLOOKUP($A99,'Grants+ Other Funding'!$A:$CG,72,FALSE),0)</f>
        <v>0</v>
      </c>
      <c r="AK99" s="146">
        <f>_xlfn.IFNA(VLOOKUP($A99,'Summary June 2026'!$A:$HJ,217,FALSE),0)</f>
        <v>0</v>
      </c>
      <c r="AL99" s="146">
        <f>_xlfn.IFNA(VLOOKUP($A99,'Grants+ Other Funding'!$A:$CG,74,FALSE),0)</f>
        <v>0</v>
      </c>
      <c r="AM99" s="146">
        <f>_xlfn.IFNA(VLOOKUP($A99,'Summary June 2026'!$A:$HJ,218,FALSE),0)</f>
        <v>0</v>
      </c>
      <c r="AN99" s="146">
        <f>_xlfn.IFNA(VLOOKUP($A99,'Summary June 2026'!$A:$HJ,216,FALSE),0)</f>
        <v>0</v>
      </c>
      <c r="AO99" s="146">
        <f>_xlfn.IFNA(VLOOKUP($A99,'Grants+ Other Funding'!$A:$CG,73,FALSE),0)</f>
        <v>0</v>
      </c>
      <c r="AP99" s="65">
        <f t="shared" si="2"/>
        <v>378590.935</v>
      </c>
    </row>
    <row r="100" spans="1:42">
      <c r="A100" s="198">
        <v>2127</v>
      </c>
      <c r="B100" s="2">
        <v>103227</v>
      </c>
      <c r="C100" s="2" t="s">
        <v>223</v>
      </c>
      <c r="D100" s="2" t="s">
        <v>224</v>
      </c>
      <c r="E100" s="190" t="s">
        <v>39</v>
      </c>
      <c r="F100" s="208" t="str">
        <f>VLOOKUP(A100,'Summary June 2026'!A:F,6,FALSE)</f>
        <v>Chq Bk</v>
      </c>
      <c r="H100" s="273">
        <f>_xlfn.IFNA(VLOOKUP($A100,ISB!$A:$BY,67,FALSE),0)</f>
        <v>2807082.1772610145</v>
      </c>
      <c r="I100" s="218">
        <f>_xlfn.IFNA(VLOOKUP($A100,ISB!$A:$BY,72,FALSE),0)</f>
        <v>-10308.599999999999</v>
      </c>
      <c r="J100" s="274">
        <f>-_xlfn.IFNA(VLOOKUP($A100,ISB!$A:$BY,76,FALSE),0)</f>
        <v>-77224.601999999999</v>
      </c>
      <c r="L100" s="273">
        <f>_xlfn.IFNA(VLOOKUP($A100,EY!$A:$DX,126,FALSE),0)</f>
        <v>111526.38904155126</v>
      </c>
      <c r="M100" s="273">
        <f>_xlfn.IFNA(VLOOKUP($A100,EY!$A:$DX,127,FALSE),0)</f>
        <v>705.1678670360111</v>
      </c>
      <c r="O100" s="273">
        <f>_xlfn.IFNA(VLOOKUP($A100,HN!$A:$AN,37,FALSE),0)</f>
        <v>0</v>
      </c>
      <c r="P100" s="273">
        <f>_xlfn.IFNA(VLOOKUP($A100,HN!$A:$AN,38,FALSE),0)</f>
        <v>0</v>
      </c>
      <c r="Q100" s="273">
        <f>_xlfn.IFNA(VLOOKUP($A100,HN!$A:$AN,39,FALSE),0)</f>
        <v>205217.25</v>
      </c>
      <c r="S100" s="337">
        <f>_xlfn.IFNA(VLOOKUP(A100,'Post 16'!A:AR,44,FALSE),0)</f>
        <v>0</v>
      </c>
      <c r="U100" s="337"/>
      <c r="V100" s="337">
        <f>VLOOKUP(A100,'LA Deductions'!A:AN,40,FALSE)</f>
        <v>0</v>
      </c>
      <c r="X100" s="274">
        <f>VLOOKUP($A100,'Summary June 2026'!$A:$AAX,206,FALSE)-SUMIFS($H100:$V100,$H$7:$V$7,X$7)</f>
        <v>0</v>
      </c>
      <c r="Y100" s="274">
        <f>VLOOKUP($A100,'Summary June 2026'!$A:$HC,207,FALSE)-SUMIFS($H100:$V100,$H$7:$V$7,Y$7)</f>
        <v>0</v>
      </c>
      <c r="Z100" s="274">
        <f>VLOOKUP($A100,'Summary June 2026'!$A:$HC,208,FALSE)-SUMIFS($H100:$V100,$H$7:$V$7,Z$7)</f>
        <v>0</v>
      </c>
      <c r="AA100" s="274">
        <f>VLOOKUP($A100,'Summary June 2026'!$A:$HC,209,FALSE)-SUMIFS($H100:$V100,$H$7:$V$7,AA$7)</f>
        <v>0</v>
      </c>
      <c r="AB100" s="274">
        <f>VLOOKUP($A100,'Summary June 2026'!$A:$HC,210,FALSE)-SUMIFS($H100:$V100,$H$7:$V$7,AB$7)</f>
        <v>0</v>
      </c>
      <c r="AC100" s="274">
        <f>VLOOKUP($A100,'Summary June 2026'!$A:$HC,211,FALSE)-SUMIFS($H100:$V100,$H$7:$V$7,AC$7)</f>
        <v>0</v>
      </c>
      <c r="AE100" s="146">
        <f>VLOOKUP($A100,'Summary June 2026'!$A:$HJ,213,FALSE)+VLOOKUP($A100,'Grants+ Other Funding'!$A:$CG,67,FALSE)</f>
        <v>769261.41756733123</v>
      </c>
      <c r="AF100" s="146">
        <f>_xlfn.IFNA(VLOOKUP($A100,'Summary June 2026'!$A:$HJ,214,FALSE)+VLOOKUP($A100,'Grants+ Other Funding'!$A:$CG,68,FALSE),0)</f>
        <v>0</v>
      </c>
      <c r="AG100" s="146">
        <f>_xlfn.IFNA(VLOOKUP($A100,'Summary June 2026'!$A:$HJ,215,FALSE)+VLOOKUP($A100,'Grants+ Other Funding'!$A:$CG,69,FALSE),0)</f>
        <v>68982.636617036012</v>
      </c>
      <c r="AH100" s="146">
        <f>_xlfn.IFNA(VLOOKUP($A100,'Grants+ Other Funding'!$A:$CG,70,FALSE),0)</f>
        <v>0</v>
      </c>
      <c r="AI100" s="146">
        <f>_xlfn.IFNA(VLOOKUP($A100,'Grants+ Other Funding'!$A:$CG,71,FALSE),0)</f>
        <v>0</v>
      </c>
      <c r="AJ100" s="146">
        <f>_xlfn.IFNA(VLOOKUP($A100,'Grants+ Other Funding'!$A:$CG,72,FALSE),0)</f>
        <v>0</v>
      </c>
      <c r="AK100" s="146">
        <f>_xlfn.IFNA(VLOOKUP($A100,'Summary June 2026'!$A:$HJ,217,FALSE),0)</f>
        <v>-19306.1505</v>
      </c>
      <c r="AL100" s="146">
        <f>_xlfn.IFNA(VLOOKUP($A100,'Grants+ Other Funding'!$A:$CG,74,FALSE),0)</f>
        <v>0</v>
      </c>
      <c r="AM100" s="146">
        <f>_xlfn.IFNA(VLOOKUP($A100,'Summary June 2026'!$A:$HJ,218,FALSE),0)</f>
        <v>0</v>
      </c>
      <c r="AN100" s="146">
        <f>_xlfn.IFNA(VLOOKUP($A100,'Summary June 2026'!$A:$HJ,216,FALSE),0)</f>
        <v>-2577.1499999999996</v>
      </c>
      <c r="AO100" s="146">
        <f>_xlfn.IFNA(VLOOKUP($A100,'Grants+ Other Funding'!$A:$CG,73,FALSE),0)</f>
        <v>0</v>
      </c>
      <c r="AP100" s="65">
        <f t="shared" si="2"/>
        <v>816360.75368436717</v>
      </c>
    </row>
    <row r="101" spans="1:42">
      <c r="A101" s="198">
        <v>2129</v>
      </c>
      <c r="B101" s="2">
        <v>103229</v>
      </c>
      <c r="C101" s="2" t="s">
        <v>225</v>
      </c>
      <c r="D101" s="2" t="s">
        <v>226</v>
      </c>
      <c r="E101" s="190" t="s">
        <v>39</v>
      </c>
      <c r="F101" s="208" t="str">
        <f>VLOOKUP(A101,'Summary June 2026'!A:F,6,FALSE)</f>
        <v>Chq Bk</v>
      </c>
      <c r="H101" s="273">
        <f>_xlfn.IFNA(VLOOKUP($A101,ISB!$A:$BY,67,FALSE),0)</f>
        <v>1407558.7699442217</v>
      </c>
      <c r="I101" s="218">
        <f>_xlfn.IFNA(VLOOKUP($A101,ISB!$A:$BY,72,FALSE),0)</f>
        <v>-5901.2999999999993</v>
      </c>
      <c r="J101" s="274">
        <f>-_xlfn.IFNA(VLOOKUP($A101,ISB!$A:$BY,76,FALSE),0)</f>
        <v>-18527.719300000001</v>
      </c>
      <c r="L101" s="273">
        <f>_xlfn.IFNA(VLOOKUP($A101,EY!$A:$DX,126,FALSE),0)</f>
        <v>0</v>
      </c>
      <c r="M101" s="273">
        <f>_xlfn.IFNA(VLOOKUP($A101,EY!$A:$DX,127,FALSE),0)</f>
        <v>0</v>
      </c>
      <c r="O101" s="273">
        <f>_xlfn.IFNA(VLOOKUP($A101,HN!$A:$AN,37,FALSE),0)</f>
        <v>76000</v>
      </c>
      <c r="P101" s="273">
        <f>_xlfn.IFNA(VLOOKUP($A101,HN!$A:$AN,38,FALSE),0)</f>
        <v>0</v>
      </c>
      <c r="Q101" s="273">
        <f>_xlfn.IFNA(VLOOKUP($A101,HN!$A:$AN,39,FALSE),0)</f>
        <v>139128.64000000001</v>
      </c>
      <c r="S101" s="337">
        <f>_xlfn.IFNA(VLOOKUP(A101,'Post 16'!A:AR,44,FALSE),0)</f>
        <v>0</v>
      </c>
      <c r="U101" s="337"/>
      <c r="V101" s="337">
        <f>VLOOKUP(A101,'LA Deductions'!A:AN,40,FALSE)</f>
        <v>0</v>
      </c>
      <c r="X101" s="274">
        <f>VLOOKUP($A101,'Summary June 2026'!$A:$AAX,206,FALSE)-SUMIFS($H101:$V101,$H$7:$V$7,X$7)</f>
        <v>0</v>
      </c>
      <c r="Y101" s="274">
        <f>VLOOKUP($A101,'Summary June 2026'!$A:$HC,207,FALSE)-SUMIFS($H101:$V101,$H$7:$V$7,Y$7)</f>
        <v>0</v>
      </c>
      <c r="Z101" s="274">
        <f>VLOOKUP($A101,'Summary June 2026'!$A:$HC,208,FALSE)-SUMIFS($H101:$V101,$H$7:$V$7,Z$7)</f>
        <v>0</v>
      </c>
      <c r="AA101" s="274">
        <f>VLOOKUP($A101,'Summary June 2026'!$A:$HC,209,FALSE)-SUMIFS($H101:$V101,$H$7:$V$7,AA$7)</f>
        <v>0</v>
      </c>
      <c r="AB101" s="274">
        <f>VLOOKUP($A101,'Summary June 2026'!$A:$HC,210,FALSE)-SUMIFS($H101:$V101,$H$7:$V$7,AB$7)</f>
        <v>0</v>
      </c>
      <c r="AC101" s="274">
        <f>VLOOKUP($A101,'Summary June 2026'!$A:$HC,211,FALSE)-SUMIFS($H101:$V101,$H$7:$V$7,AC$7)</f>
        <v>0</v>
      </c>
      <c r="AE101" s="146">
        <f>VLOOKUP($A101,'Summary June 2026'!$A:$HJ,213,FALSE)+VLOOKUP($A101,'Grants+ Other Funding'!$A:$CG,67,FALSE)</f>
        <v>370889.69248605537</v>
      </c>
      <c r="AF101" s="146">
        <f>_xlfn.IFNA(VLOOKUP($A101,'Summary June 2026'!$A:$HJ,214,FALSE)+VLOOKUP($A101,'Grants+ Other Funding'!$A:$CG,68,FALSE),0)</f>
        <v>0</v>
      </c>
      <c r="AG101" s="146">
        <f>_xlfn.IFNA(VLOOKUP($A101,'Summary June 2026'!$A:$HJ,215,FALSE)+VLOOKUP($A101,'Grants+ Other Funding'!$A:$CG,69,FALSE),0)</f>
        <v>37289.353000000003</v>
      </c>
      <c r="AH101" s="146">
        <f>_xlfn.IFNA(VLOOKUP($A101,'Grants+ Other Funding'!$A:$CG,70,FALSE),0)</f>
        <v>0</v>
      </c>
      <c r="AI101" s="146">
        <f>_xlfn.IFNA(VLOOKUP($A101,'Grants+ Other Funding'!$A:$CG,71,FALSE),0)</f>
        <v>0</v>
      </c>
      <c r="AJ101" s="146">
        <f>_xlfn.IFNA(VLOOKUP($A101,'Grants+ Other Funding'!$A:$CG,72,FALSE),0)</f>
        <v>0</v>
      </c>
      <c r="AK101" s="146">
        <f>_xlfn.IFNA(VLOOKUP($A101,'Summary June 2026'!$A:$HJ,217,FALSE),0)</f>
        <v>-4631.9298250000002</v>
      </c>
      <c r="AL101" s="146">
        <f>_xlfn.IFNA(VLOOKUP($A101,'Grants+ Other Funding'!$A:$CG,74,FALSE),0)</f>
        <v>0</v>
      </c>
      <c r="AM101" s="146">
        <f>_xlfn.IFNA(VLOOKUP($A101,'Summary June 2026'!$A:$HJ,218,FALSE),0)</f>
        <v>0</v>
      </c>
      <c r="AN101" s="146">
        <f>_xlfn.IFNA(VLOOKUP($A101,'Summary June 2026'!$A:$HJ,216,FALSE),0)</f>
        <v>-1475.3249999999998</v>
      </c>
      <c r="AO101" s="146">
        <f>_xlfn.IFNA(VLOOKUP($A101,'Grants+ Other Funding'!$A:$CG,73,FALSE),0)</f>
        <v>0</v>
      </c>
      <c r="AP101" s="65">
        <f t="shared" si="2"/>
        <v>402071.79066105536</v>
      </c>
    </row>
    <row r="102" spans="1:42">
      <c r="A102" s="198">
        <v>2128</v>
      </c>
      <c r="B102" s="2">
        <v>103228</v>
      </c>
      <c r="C102" s="2" t="s">
        <v>227</v>
      </c>
      <c r="D102" s="2" t="s">
        <v>228</v>
      </c>
      <c r="E102" s="190" t="s">
        <v>39</v>
      </c>
      <c r="F102" s="208" t="str">
        <f>VLOOKUP(A102,'Summary June 2026'!A:F,6,FALSE)</f>
        <v>Chq Bk</v>
      </c>
      <c r="H102" s="273">
        <f>_xlfn.IFNA(VLOOKUP($A102,ISB!$A:$BY,67,FALSE),0)</f>
        <v>2112113.2321747425</v>
      </c>
      <c r="I102" s="218">
        <f>_xlfn.IFNA(VLOOKUP($A102,ISB!$A:$BY,72,FALSE),0)</f>
        <v>-9138.2999999999993</v>
      </c>
      <c r="J102" s="274">
        <f>-_xlfn.IFNA(VLOOKUP($A102,ISB!$A:$BY,76,FALSE),0)</f>
        <v>-20071.683499999999</v>
      </c>
      <c r="L102" s="273">
        <f>_xlfn.IFNA(VLOOKUP($A102,EY!$A:$DX,126,FALSE),0)</f>
        <v>0</v>
      </c>
      <c r="M102" s="273">
        <f>_xlfn.IFNA(VLOOKUP($A102,EY!$A:$DX,127,FALSE),0)</f>
        <v>0</v>
      </c>
      <c r="O102" s="273">
        <f>_xlfn.IFNA(VLOOKUP($A102,HN!$A:$AN,37,FALSE),0)</f>
        <v>62000</v>
      </c>
      <c r="P102" s="273">
        <f>_xlfn.IFNA(VLOOKUP($A102,HN!$A:$AN,38,FALSE),0)</f>
        <v>0</v>
      </c>
      <c r="Q102" s="273">
        <f>_xlfn.IFNA(VLOOKUP($A102,HN!$A:$AN,39,FALSE),0)</f>
        <v>136635.38</v>
      </c>
      <c r="S102" s="337">
        <f>_xlfn.IFNA(VLOOKUP(A102,'Post 16'!A:AR,44,FALSE),0)</f>
        <v>0</v>
      </c>
      <c r="U102" s="337"/>
      <c r="V102" s="337">
        <f>VLOOKUP(A102,'LA Deductions'!A:AN,40,FALSE)</f>
        <v>0</v>
      </c>
      <c r="X102" s="274">
        <f>VLOOKUP($A102,'Summary June 2026'!$A:$AAX,206,FALSE)-SUMIFS($H102:$V102,$H$7:$V$7,X$7)</f>
        <v>0</v>
      </c>
      <c r="Y102" s="274">
        <f>VLOOKUP($A102,'Summary June 2026'!$A:$HC,207,FALSE)-SUMIFS($H102:$V102,$H$7:$V$7,Y$7)</f>
        <v>0</v>
      </c>
      <c r="Z102" s="274">
        <f>VLOOKUP($A102,'Summary June 2026'!$A:$HC,208,FALSE)-SUMIFS($H102:$V102,$H$7:$V$7,Z$7)</f>
        <v>0</v>
      </c>
      <c r="AA102" s="274">
        <f>VLOOKUP($A102,'Summary June 2026'!$A:$HC,209,FALSE)-SUMIFS($H102:$V102,$H$7:$V$7,AA$7)</f>
        <v>0</v>
      </c>
      <c r="AB102" s="274">
        <f>VLOOKUP($A102,'Summary June 2026'!$A:$HC,210,FALSE)-SUMIFS($H102:$V102,$H$7:$V$7,AB$7)</f>
        <v>0</v>
      </c>
      <c r="AC102" s="274">
        <f>VLOOKUP($A102,'Summary June 2026'!$A:$HC,211,FALSE)-SUMIFS($H102:$V102,$H$7:$V$7,AC$7)</f>
        <v>0</v>
      </c>
      <c r="AE102" s="146">
        <f>VLOOKUP($A102,'Summary June 2026'!$A:$HJ,213,FALSE)+VLOOKUP($A102,'Grants+ Other Funding'!$A:$CG,67,FALSE)</f>
        <v>543528.30804368563</v>
      </c>
      <c r="AF102" s="146">
        <f>_xlfn.IFNA(VLOOKUP($A102,'Summary June 2026'!$A:$HJ,214,FALSE)+VLOOKUP($A102,'Grants+ Other Funding'!$A:$CG,68,FALSE),0)</f>
        <v>0</v>
      </c>
      <c r="AG102" s="146">
        <f>_xlfn.IFNA(VLOOKUP($A102,'Summary June 2026'!$A:$HJ,215,FALSE)+VLOOKUP($A102,'Grants+ Other Funding'!$A:$CG,69,FALSE),0)</f>
        <v>37206.851750000002</v>
      </c>
      <c r="AH102" s="146">
        <f>_xlfn.IFNA(VLOOKUP($A102,'Grants+ Other Funding'!$A:$CG,70,FALSE),0)</f>
        <v>0</v>
      </c>
      <c r="AI102" s="146">
        <f>_xlfn.IFNA(VLOOKUP($A102,'Grants+ Other Funding'!$A:$CG,71,FALSE),0)</f>
        <v>0</v>
      </c>
      <c r="AJ102" s="146">
        <f>_xlfn.IFNA(VLOOKUP($A102,'Grants+ Other Funding'!$A:$CG,72,FALSE),0)</f>
        <v>0</v>
      </c>
      <c r="AK102" s="146">
        <f>_xlfn.IFNA(VLOOKUP($A102,'Summary June 2026'!$A:$HJ,217,FALSE),0)</f>
        <v>-5017.9208749999998</v>
      </c>
      <c r="AL102" s="146">
        <f>_xlfn.IFNA(VLOOKUP($A102,'Grants+ Other Funding'!$A:$CG,74,FALSE),0)</f>
        <v>0</v>
      </c>
      <c r="AM102" s="146">
        <f>_xlfn.IFNA(VLOOKUP($A102,'Summary June 2026'!$A:$HJ,218,FALSE),0)</f>
        <v>0</v>
      </c>
      <c r="AN102" s="146">
        <f>_xlfn.IFNA(VLOOKUP($A102,'Summary June 2026'!$A:$HJ,216,FALSE),0)</f>
        <v>-2284.5749999999998</v>
      </c>
      <c r="AO102" s="146">
        <f>_xlfn.IFNA(VLOOKUP($A102,'Grants+ Other Funding'!$A:$CG,73,FALSE),0)</f>
        <v>0</v>
      </c>
      <c r="AP102" s="65">
        <f t="shared" si="2"/>
        <v>573432.66391868575</v>
      </c>
    </row>
    <row r="103" spans="1:42">
      <c r="A103" s="198">
        <v>2420</v>
      </c>
      <c r="B103" s="2">
        <v>103353</v>
      </c>
      <c r="C103" s="2" t="s">
        <v>229</v>
      </c>
      <c r="D103" s="2" t="s">
        <v>230</v>
      </c>
      <c r="E103" s="190" t="s">
        <v>39</v>
      </c>
      <c r="F103" s="208" t="str">
        <f>VLOOKUP(A103,'Summary June 2026'!A:F,6,FALSE)</f>
        <v>Chq Bk</v>
      </c>
      <c r="H103" s="273">
        <f>_xlfn.IFNA(VLOOKUP($A103,ISB!$A:$BY,67,FALSE),0)</f>
        <v>2194016.7496000002</v>
      </c>
      <c r="I103" s="218">
        <f>_xlfn.IFNA(VLOOKUP($A103,ISB!$A:$BY,72,FALSE),0)</f>
        <v>-10482.9</v>
      </c>
      <c r="J103" s="274">
        <f>-_xlfn.IFNA(VLOOKUP($A103,ISB!$A:$BY,76,FALSE),0)</f>
        <v>-40601.749600000003</v>
      </c>
      <c r="L103" s="273">
        <f>_xlfn.IFNA(VLOOKUP($A103,EY!$A:$DX,126,FALSE),0)</f>
        <v>0</v>
      </c>
      <c r="M103" s="273">
        <f>_xlfn.IFNA(VLOOKUP($A103,EY!$A:$DX,127,FALSE),0)</f>
        <v>0</v>
      </c>
      <c r="O103" s="273">
        <f>_xlfn.IFNA(VLOOKUP($A103,HN!$A:$AN,37,FALSE),0)</f>
        <v>0</v>
      </c>
      <c r="P103" s="273">
        <f>_xlfn.IFNA(VLOOKUP($A103,HN!$A:$AN,38,FALSE),0)</f>
        <v>0</v>
      </c>
      <c r="Q103" s="273">
        <f>_xlfn.IFNA(VLOOKUP($A103,HN!$A:$AN,39,FALSE),0)</f>
        <v>56753.67</v>
      </c>
      <c r="S103" s="337">
        <f>_xlfn.IFNA(VLOOKUP(A103,'Post 16'!A:AR,44,FALSE),0)</f>
        <v>0</v>
      </c>
      <c r="U103" s="337"/>
      <c r="V103" s="337">
        <f>VLOOKUP(A103,'LA Deductions'!A:AN,40,FALSE)</f>
        <v>0</v>
      </c>
      <c r="X103" s="274">
        <f>VLOOKUP($A103,'Summary June 2026'!$A:$AAX,206,FALSE)-SUMIFS($H103:$V103,$H$7:$V$7,X$7)</f>
        <v>0</v>
      </c>
      <c r="Y103" s="274">
        <f>VLOOKUP($A103,'Summary June 2026'!$A:$HC,207,FALSE)-SUMIFS($H103:$V103,$H$7:$V$7,Y$7)</f>
        <v>0</v>
      </c>
      <c r="Z103" s="274">
        <f>VLOOKUP($A103,'Summary June 2026'!$A:$HC,208,FALSE)-SUMIFS($H103:$V103,$H$7:$V$7,Z$7)</f>
        <v>0</v>
      </c>
      <c r="AA103" s="274">
        <f>VLOOKUP($A103,'Summary June 2026'!$A:$HC,209,FALSE)-SUMIFS($H103:$V103,$H$7:$V$7,AA$7)</f>
        <v>0</v>
      </c>
      <c r="AB103" s="274">
        <f>VLOOKUP($A103,'Summary June 2026'!$A:$HC,210,FALSE)-SUMIFS($H103:$V103,$H$7:$V$7,AB$7)</f>
        <v>0</v>
      </c>
      <c r="AC103" s="274">
        <f>VLOOKUP($A103,'Summary June 2026'!$A:$HC,211,FALSE)-SUMIFS($H103:$V103,$H$7:$V$7,AC$7)</f>
        <v>0</v>
      </c>
      <c r="AE103" s="146">
        <f>VLOOKUP($A103,'Summary June 2026'!$A:$HJ,213,FALSE)+VLOOKUP($A103,'Grants+ Other Funding'!$A:$CG,67,FALSE)</f>
        <v>550241.4874000001</v>
      </c>
      <c r="AF103" s="146">
        <f>_xlfn.IFNA(VLOOKUP($A103,'Summary June 2026'!$A:$HJ,214,FALSE)+VLOOKUP($A103,'Grants+ Other Funding'!$A:$CG,68,FALSE),0)</f>
        <v>-4.5999999999999996</v>
      </c>
      <c r="AG103" s="146">
        <f>_xlfn.IFNA(VLOOKUP($A103,'Summary June 2026'!$A:$HJ,215,FALSE)+VLOOKUP($A103,'Grants+ Other Funding'!$A:$CG,69,FALSE),0)</f>
        <v>21606.954750000001</v>
      </c>
      <c r="AH103" s="146">
        <f>_xlfn.IFNA(VLOOKUP($A103,'Grants+ Other Funding'!$A:$CG,70,FALSE),0)</f>
        <v>0</v>
      </c>
      <c r="AI103" s="146">
        <f>_xlfn.IFNA(VLOOKUP($A103,'Grants+ Other Funding'!$A:$CG,71,FALSE),0)</f>
        <v>0</v>
      </c>
      <c r="AJ103" s="146">
        <f>_xlfn.IFNA(VLOOKUP($A103,'Grants+ Other Funding'!$A:$CG,72,FALSE),0)</f>
        <v>0</v>
      </c>
      <c r="AK103" s="146">
        <f>_xlfn.IFNA(VLOOKUP($A103,'Summary June 2026'!$A:$HJ,217,FALSE),0)</f>
        <v>-10150.437400000001</v>
      </c>
      <c r="AL103" s="146">
        <f>_xlfn.IFNA(VLOOKUP($A103,'Grants+ Other Funding'!$A:$CG,74,FALSE),0)</f>
        <v>0</v>
      </c>
      <c r="AM103" s="146">
        <f>_xlfn.IFNA(VLOOKUP($A103,'Summary June 2026'!$A:$HJ,218,FALSE),0)</f>
        <v>0</v>
      </c>
      <c r="AN103" s="146">
        <f>_xlfn.IFNA(VLOOKUP($A103,'Summary June 2026'!$A:$HJ,216,FALSE),0)</f>
        <v>-2620.7249999999999</v>
      </c>
      <c r="AO103" s="146">
        <f>_xlfn.IFNA(VLOOKUP($A103,'Grants+ Other Funding'!$A:$CG,73,FALSE),0)</f>
        <v>0</v>
      </c>
      <c r="AP103" s="65">
        <f t="shared" si="2"/>
        <v>559072.67975000013</v>
      </c>
    </row>
    <row r="104" spans="1:42">
      <c r="A104" s="198">
        <v>2004</v>
      </c>
      <c r="B104" s="2">
        <v>134094</v>
      </c>
      <c r="C104" s="2" t="s">
        <v>231</v>
      </c>
      <c r="D104" s="2" t="s">
        <v>232</v>
      </c>
      <c r="E104" s="190" t="s">
        <v>39</v>
      </c>
      <c r="F104" s="208" t="str">
        <f>VLOOKUP(A104,'Summary June 2026'!A:F,6,FALSE)</f>
        <v>Chq Bk</v>
      </c>
      <c r="H104" s="273">
        <f>_xlfn.IFNA(VLOOKUP($A104,ISB!$A:$BY,67,FALSE),0)</f>
        <v>1805019.294883321</v>
      </c>
      <c r="I104" s="218">
        <f>_xlfn.IFNA(VLOOKUP($A104,ISB!$A:$BY,72,FALSE),0)</f>
        <v>-7295.7</v>
      </c>
      <c r="J104" s="274">
        <f>-_xlfn.IFNA(VLOOKUP($A104,ISB!$A:$BY,76,FALSE),0)</f>
        <v>-29679.604500000001</v>
      </c>
      <c r="L104" s="273">
        <f>_xlfn.IFNA(VLOOKUP($A104,EY!$A:$DX,126,FALSE),0)</f>
        <v>-12429.776842105264</v>
      </c>
      <c r="M104" s="273">
        <f>_xlfn.IFNA(VLOOKUP($A104,EY!$A:$DX,127,FALSE),0)</f>
        <v>0</v>
      </c>
      <c r="O104" s="273">
        <f>_xlfn.IFNA(VLOOKUP($A104,HN!$A:$AN,37,FALSE),0)</f>
        <v>0</v>
      </c>
      <c r="P104" s="273">
        <f>_xlfn.IFNA(VLOOKUP($A104,HN!$A:$AN,38,FALSE),0)</f>
        <v>0</v>
      </c>
      <c r="Q104" s="273">
        <f>_xlfn.IFNA(VLOOKUP($A104,HN!$A:$AN,39,FALSE),0)</f>
        <v>59177.83</v>
      </c>
      <c r="S104" s="337">
        <f>_xlfn.IFNA(VLOOKUP(A104,'Post 16'!A:AR,44,FALSE),0)</f>
        <v>0</v>
      </c>
      <c r="U104" s="337"/>
      <c r="V104" s="337">
        <f>VLOOKUP(A104,'LA Deductions'!A:AN,40,FALSE)</f>
        <v>0</v>
      </c>
      <c r="X104" s="274">
        <f>VLOOKUP($A104,'Summary June 2026'!$A:$AAX,206,FALSE)-SUMIFS($H104:$V104,$H$7:$V$7,X$7)</f>
        <v>0</v>
      </c>
      <c r="Y104" s="274">
        <f>VLOOKUP($A104,'Summary June 2026'!$A:$HC,207,FALSE)-SUMIFS($H104:$V104,$H$7:$V$7,Y$7)</f>
        <v>0</v>
      </c>
      <c r="Z104" s="274">
        <f>VLOOKUP($A104,'Summary June 2026'!$A:$HC,208,FALSE)-SUMIFS($H104:$V104,$H$7:$V$7,Z$7)</f>
        <v>0</v>
      </c>
      <c r="AA104" s="274">
        <f>VLOOKUP($A104,'Summary June 2026'!$A:$HC,209,FALSE)-SUMIFS($H104:$V104,$H$7:$V$7,AA$7)</f>
        <v>0</v>
      </c>
      <c r="AB104" s="274">
        <f>VLOOKUP($A104,'Summary June 2026'!$A:$HC,210,FALSE)-SUMIFS($H104:$V104,$H$7:$V$7,AB$7)</f>
        <v>0</v>
      </c>
      <c r="AC104" s="274">
        <f>VLOOKUP($A104,'Summary June 2026'!$A:$HC,211,FALSE)-SUMIFS($H104:$V104,$H$7:$V$7,AC$7)</f>
        <v>0</v>
      </c>
      <c r="AE104" s="146">
        <f>VLOOKUP($A104,'Summary June 2026'!$A:$HJ,213,FALSE)+VLOOKUP($A104,'Grants+ Other Funding'!$A:$CG,67,FALSE)</f>
        <v>439707.53687872499</v>
      </c>
      <c r="AF104" s="146">
        <f>_xlfn.IFNA(VLOOKUP($A104,'Summary June 2026'!$A:$HJ,214,FALSE)+VLOOKUP($A104,'Grants+ Other Funding'!$A:$CG,68,FALSE),0)</f>
        <v>-64.25</v>
      </c>
      <c r="AG104" s="146">
        <f>_xlfn.IFNA(VLOOKUP($A104,'Summary June 2026'!$A:$HJ,215,FALSE)+VLOOKUP($A104,'Grants+ Other Funding'!$A:$CG,69,FALSE),0)</f>
        <v>14253.607750000001</v>
      </c>
      <c r="AH104" s="146">
        <f>_xlfn.IFNA(VLOOKUP($A104,'Grants+ Other Funding'!$A:$CG,70,FALSE),0)</f>
        <v>0</v>
      </c>
      <c r="AI104" s="146">
        <f>_xlfn.IFNA(VLOOKUP($A104,'Grants+ Other Funding'!$A:$CG,71,FALSE),0)</f>
        <v>0</v>
      </c>
      <c r="AJ104" s="146">
        <f>_xlfn.IFNA(VLOOKUP($A104,'Grants+ Other Funding'!$A:$CG,72,FALSE),0)</f>
        <v>0</v>
      </c>
      <c r="AK104" s="146">
        <f>_xlfn.IFNA(VLOOKUP($A104,'Summary June 2026'!$A:$HJ,217,FALSE),0)</f>
        <v>-7419.9011250000003</v>
      </c>
      <c r="AL104" s="146">
        <f>_xlfn.IFNA(VLOOKUP($A104,'Grants+ Other Funding'!$A:$CG,74,FALSE),0)</f>
        <v>0</v>
      </c>
      <c r="AM104" s="146">
        <f>_xlfn.IFNA(VLOOKUP($A104,'Summary June 2026'!$A:$HJ,218,FALSE),0)</f>
        <v>0</v>
      </c>
      <c r="AN104" s="146">
        <f>_xlfn.IFNA(VLOOKUP($A104,'Summary June 2026'!$A:$HJ,216,FALSE),0)</f>
        <v>-1823.9250000000002</v>
      </c>
      <c r="AO104" s="146">
        <f>_xlfn.IFNA(VLOOKUP($A104,'Grants+ Other Funding'!$A:$CG,73,FALSE),0)</f>
        <v>0</v>
      </c>
      <c r="AP104" s="65">
        <f t="shared" ref="AP104:AP135" si="3">SUM(AE104:AO104)</f>
        <v>444653.06850372505</v>
      </c>
    </row>
    <row r="105" spans="1:42">
      <c r="A105" s="198">
        <v>1012</v>
      </c>
      <c r="B105" s="2">
        <v>103126</v>
      </c>
      <c r="C105" s="2" t="s">
        <v>233</v>
      </c>
      <c r="D105" s="2" t="s">
        <v>234</v>
      </c>
      <c r="E105" s="190" t="s">
        <v>36</v>
      </c>
      <c r="F105" s="208" t="str">
        <f>VLOOKUP(A105,'Summary June 2026'!A:F,6,FALSE)</f>
        <v>Chq Bk</v>
      </c>
      <c r="H105" s="273">
        <f>_xlfn.IFNA(VLOOKUP($A105,ISB!$A:$BY,67,FALSE),0)</f>
        <v>0</v>
      </c>
      <c r="I105" s="218">
        <f>_xlfn.IFNA(VLOOKUP($A105,ISB!$A:$BY,72,FALSE),0)</f>
        <v>0</v>
      </c>
      <c r="J105" s="274">
        <f>-_xlfn.IFNA(VLOOKUP($A105,ISB!$A:$BY,76,FALSE),0)</f>
        <v>0</v>
      </c>
      <c r="L105" s="273">
        <f>_xlfn.IFNA(VLOOKUP($A105,EY!$A:$DX,126,FALSE),0)</f>
        <v>566203.17443090118</v>
      </c>
      <c r="M105" s="273">
        <f>_xlfn.IFNA(VLOOKUP($A105,EY!$A:$DX,127,FALSE),0)</f>
        <v>4705.0072022160666</v>
      </c>
      <c r="O105" s="273">
        <f>_xlfn.IFNA(VLOOKUP($A105,HN!$A:$AN,37,FALSE),0)</f>
        <v>0</v>
      </c>
      <c r="P105" s="273">
        <f>_xlfn.IFNA(VLOOKUP($A105,HN!$A:$AN,38,FALSE),0)</f>
        <v>0</v>
      </c>
      <c r="Q105" s="273">
        <f>_xlfn.IFNA(VLOOKUP($A105,HN!$A:$AN,39,FALSE),0)</f>
        <v>0</v>
      </c>
      <c r="S105" s="337">
        <f>_xlfn.IFNA(VLOOKUP(A105,'Post 16'!A:AR,44,FALSE),0)</f>
        <v>0</v>
      </c>
      <c r="U105" s="337"/>
      <c r="V105" s="337">
        <f>VLOOKUP(A105,'LA Deductions'!A:AN,40,FALSE)</f>
        <v>0</v>
      </c>
      <c r="X105" s="274">
        <f>VLOOKUP($A105,'Summary June 2026'!$A:$AAX,206,FALSE)-SUMIFS($H105:$V105,$H$7:$V$7,X$7)</f>
        <v>0</v>
      </c>
      <c r="Y105" s="274">
        <f>VLOOKUP($A105,'Summary June 2026'!$A:$HC,207,FALSE)-SUMIFS($H105:$V105,$H$7:$V$7,Y$7)</f>
        <v>0</v>
      </c>
      <c r="Z105" s="274">
        <f>VLOOKUP($A105,'Summary June 2026'!$A:$HC,208,FALSE)-SUMIFS($H105:$V105,$H$7:$V$7,Z$7)</f>
        <v>0</v>
      </c>
      <c r="AA105" s="274">
        <f>VLOOKUP($A105,'Summary June 2026'!$A:$HC,209,FALSE)-SUMIFS($H105:$V105,$H$7:$V$7,AA$7)</f>
        <v>0</v>
      </c>
      <c r="AB105" s="274">
        <f>VLOOKUP($A105,'Summary June 2026'!$A:$HC,210,FALSE)-SUMIFS($H105:$V105,$H$7:$V$7,AB$7)</f>
        <v>0</v>
      </c>
      <c r="AC105" s="274">
        <f>VLOOKUP($A105,'Summary June 2026'!$A:$HC,211,FALSE)-SUMIFS($H105:$V105,$H$7:$V$7,AC$7)</f>
        <v>0</v>
      </c>
      <c r="AE105" s="146">
        <f>VLOOKUP($A105,'Summary June 2026'!$A:$HJ,213,FALSE)+VLOOKUP($A105,'Grants+ Other Funding'!$A:$CG,67,FALSE)</f>
        <v>456535.54443090124</v>
      </c>
      <c r="AF105" s="146">
        <f>_xlfn.IFNA(VLOOKUP($A105,'Summary June 2026'!$A:$HJ,214,FALSE)+VLOOKUP($A105,'Grants+ Other Funding'!$A:$CG,68,FALSE),0)</f>
        <v>-38.25</v>
      </c>
      <c r="AG105" s="146">
        <f>_xlfn.IFNA(VLOOKUP($A105,'Summary June 2026'!$A:$HJ,215,FALSE)+VLOOKUP($A105,'Grants+ Other Funding'!$A:$CG,69,FALSE),0)</f>
        <v>4705.0072022160666</v>
      </c>
      <c r="AH105" s="146">
        <f>_xlfn.IFNA(VLOOKUP($A105,'Grants+ Other Funding'!$A:$CG,70,FALSE),0)</f>
        <v>0</v>
      </c>
      <c r="AI105" s="146">
        <f>_xlfn.IFNA(VLOOKUP($A105,'Grants+ Other Funding'!$A:$CG,71,FALSE),0)</f>
        <v>0</v>
      </c>
      <c r="AJ105" s="146">
        <f>_xlfn.IFNA(VLOOKUP($A105,'Grants+ Other Funding'!$A:$CG,72,FALSE),0)</f>
        <v>0</v>
      </c>
      <c r="AK105" s="146">
        <f>_xlfn.IFNA(VLOOKUP($A105,'Summary June 2026'!$A:$HJ,217,FALSE),0)</f>
        <v>0</v>
      </c>
      <c r="AL105" s="146">
        <f>_xlfn.IFNA(VLOOKUP($A105,'Grants+ Other Funding'!$A:$CG,74,FALSE),0)</f>
        <v>0</v>
      </c>
      <c r="AM105" s="146">
        <f>_xlfn.IFNA(VLOOKUP($A105,'Summary June 2026'!$A:$HJ,218,FALSE),0)</f>
        <v>0</v>
      </c>
      <c r="AN105" s="146">
        <f>_xlfn.IFNA(VLOOKUP($A105,'Summary June 2026'!$A:$HJ,216,FALSE),0)</f>
        <v>0</v>
      </c>
      <c r="AO105" s="146">
        <f>_xlfn.IFNA(VLOOKUP($A105,'Grants+ Other Funding'!$A:$CG,73,FALSE),0)</f>
        <v>0</v>
      </c>
      <c r="AP105" s="65">
        <f t="shared" si="3"/>
        <v>461202.30163311731</v>
      </c>
    </row>
    <row r="106" spans="1:42">
      <c r="A106" s="198">
        <v>2133</v>
      </c>
      <c r="B106" s="2">
        <v>103233</v>
      </c>
      <c r="C106" s="2" t="s">
        <v>235</v>
      </c>
      <c r="D106" s="2" t="s">
        <v>236</v>
      </c>
      <c r="E106" s="190" t="s">
        <v>39</v>
      </c>
      <c r="F106" s="208" t="str">
        <f>VLOOKUP(A106,'Summary June 2026'!A:F,6,FALSE)</f>
        <v>Chq Bk</v>
      </c>
      <c r="H106" s="273">
        <f>_xlfn.IFNA(VLOOKUP($A106,ISB!$A:$BY,67,FALSE),0)</f>
        <v>2876657.9895669483</v>
      </c>
      <c r="I106" s="218">
        <f>_xlfn.IFNA(VLOOKUP($A106,ISB!$A:$BY,72,FALSE),0)</f>
        <v>-10408.199999999999</v>
      </c>
      <c r="J106" s="274">
        <f>-_xlfn.IFNA(VLOOKUP($A106,ISB!$A:$BY,76,FALSE),0)</f>
        <v>-59935.512000000002</v>
      </c>
      <c r="L106" s="273">
        <f>_xlfn.IFNA(VLOOKUP($A106,EY!$A:$DX,126,FALSE),0)</f>
        <v>0</v>
      </c>
      <c r="M106" s="273">
        <f>_xlfn.IFNA(VLOOKUP($A106,EY!$A:$DX,127,FALSE),0)</f>
        <v>0</v>
      </c>
      <c r="O106" s="273">
        <f>_xlfn.IFNA(VLOOKUP($A106,HN!$A:$AN,37,FALSE),0)</f>
        <v>0</v>
      </c>
      <c r="P106" s="273">
        <f>_xlfn.IFNA(VLOOKUP($A106,HN!$A:$AN,38,FALSE),0)</f>
        <v>0</v>
      </c>
      <c r="Q106" s="273">
        <f>_xlfn.IFNA(VLOOKUP($A106,HN!$A:$AN,39,FALSE),0)</f>
        <v>64914</v>
      </c>
      <c r="S106" s="337">
        <f>_xlfn.IFNA(VLOOKUP(A106,'Post 16'!A:AR,44,FALSE),0)</f>
        <v>0</v>
      </c>
      <c r="U106" s="337"/>
      <c r="V106" s="337">
        <f>VLOOKUP(A106,'LA Deductions'!A:AN,40,FALSE)</f>
        <v>0</v>
      </c>
      <c r="X106" s="274">
        <f>VLOOKUP($A106,'Summary June 2026'!$A:$AAX,206,FALSE)-SUMIFS($H106:$V106,$H$7:$V$7,X$7)</f>
        <v>0</v>
      </c>
      <c r="Y106" s="274">
        <f>VLOOKUP($A106,'Summary June 2026'!$A:$HC,207,FALSE)-SUMIFS($H106:$V106,$H$7:$V$7,Y$7)</f>
        <v>0</v>
      </c>
      <c r="Z106" s="274">
        <f>VLOOKUP($A106,'Summary June 2026'!$A:$HC,208,FALSE)-SUMIFS($H106:$V106,$H$7:$V$7,Z$7)</f>
        <v>0</v>
      </c>
      <c r="AA106" s="274">
        <f>VLOOKUP($A106,'Summary June 2026'!$A:$HC,209,FALSE)-SUMIFS($H106:$V106,$H$7:$V$7,AA$7)</f>
        <v>0</v>
      </c>
      <c r="AB106" s="274">
        <f>VLOOKUP($A106,'Summary June 2026'!$A:$HC,210,FALSE)-SUMIFS($H106:$V106,$H$7:$V$7,AB$7)</f>
        <v>0</v>
      </c>
      <c r="AC106" s="274">
        <f>VLOOKUP($A106,'Summary June 2026'!$A:$HC,211,FALSE)-SUMIFS($H106:$V106,$H$7:$V$7,AC$7)</f>
        <v>0</v>
      </c>
      <c r="AE106" s="146">
        <f>VLOOKUP($A106,'Summary June 2026'!$A:$HJ,213,FALSE)+VLOOKUP($A106,'Grants+ Other Funding'!$A:$CG,67,FALSE)</f>
        <v>719164.49739173707</v>
      </c>
      <c r="AF106" s="146">
        <f>_xlfn.IFNA(VLOOKUP($A106,'Summary June 2026'!$A:$HJ,214,FALSE)+VLOOKUP($A106,'Grants+ Other Funding'!$A:$CG,68,FALSE),0)</f>
        <v>0</v>
      </c>
      <c r="AG106" s="146">
        <f>_xlfn.IFNA(VLOOKUP($A106,'Summary June 2026'!$A:$HJ,215,FALSE)+VLOOKUP($A106,'Grants+ Other Funding'!$A:$CG,69,FALSE),0)</f>
        <v>25212.224999999999</v>
      </c>
      <c r="AH106" s="146">
        <f>_xlfn.IFNA(VLOOKUP($A106,'Grants+ Other Funding'!$A:$CG,70,FALSE),0)</f>
        <v>0</v>
      </c>
      <c r="AI106" s="146">
        <f>_xlfn.IFNA(VLOOKUP($A106,'Grants+ Other Funding'!$A:$CG,71,FALSE),0)</f>
        <v>0</v>
      </c>
      <c r="AJ106" s="146">
        <f>_xlfn.IFNA(VLOOKUP($A106,'Grants+ Other Funding'!$A:$CG,72,FALSE),0)</f>
        <v>0</v>
      </c>
      <c r="AK106" s="146">
        <f>_xlfn.IFNA(VLOOKUP($A106,'Summary June 2026'!$A:$HJ,217,FALSE),0)</f>
        <v>-14983.878000000001</v>
      </c>
      <c r="AL106" s="146">
        <f>_xlfn.IFNA(VLOOKUP($A106,'Grants+ Other Funding'!$A:$CG,74,FALSE),0)</f>
        <v>0</v>
      </c>
      <c r="AM106" s="146">
        <f>_xlfn.IFNA(VLOOKUP($A106,'Summary June 2026'!$A:$HJ,218,FALSE),0)</f>
        <v>0</v>
      </c>
      <c r="AN106" s="146">
        <f>_xlfn.IFNA(VLOOKUP($A106,'Summary June 2026'!$A:$HJ,216,FALSE),0)</f>
        <v>-2602.0499999999997</v>
      </c>
      <c r="AO106" s="146">
        <f>_xlfn.IFNA(VLOOKUP($A106,'Grants+ Other Funding'!$A:$CG,73,FALSE),0)</f>
        <v>0</v>
      </c>
      <c r="AP106" s="65">
        <f t="shared" si="3"/>
        <v>726790.79439173697</v>
      </c>
    </row>
    <row r="107" spans="1:42">
      <c r="A107" s="198">
        <v>2406</v>
      </c>
      <c r="B107" s="2">
        <v>103345</v>
      </c>
      <c r="C107" s="2" t="s">
        <v>237</v>
      </c>
      <c r="D107" s="2" t="s">
        <v>238</v>
      </c>
      <c r="E107" s="190" t="s">
        <v>39</v>
      </c>
      <c r="F107" s="208" t="str">
        <f>VLOOKUP(A107,'Summary June 2026'!A:F,6,FALSE)</f>
        <v>Chq Bk</v>
      </c>
      <c r="H107" s="273">
        <f>_xlfn.IFNA(VLOOKUP($A107,ISB!$A:$BY,67,FALSE),0)</f>
        <v>1295256.8871569305</v>
      </c>
      <c r="I107" s="218">
        <f>_xlfn.IFNA(VLOOKUP($A107,ISB!$A:$BY,72,FALSE),0)</f>
        <v>-4980</v>
      </c>
      <c r="J107" s="274">
        <f>-_xlfn.IFNA(VLOOKUP($A107,ISB!$A:$BY,76,FALSE),0)</f>
        <v>-13562.383400000001</v>
      </c>
      <c r="L107" s="273">
        <f>_xlfn.IFNA(VLOOKUP($A107,EY!$A:$DX,126,FALSE),0)</f>
        <v>0</v>
      </c>
      <c r="M107" s="273">
        <f>_xlfn.IFNA(VLOOKUP($A107,EY!$A:$DX,127,FALSE),0)</f>
        <v>0</v>
      </c>
      <c r="O107" s="273">
        <f>_xlfn.IFNA(VLOOKUP($A107,HN!$A:$AN,37,FALSE),0)</f>
        <v>0</v>
      </c>
      <c r="P107" s="273">
        <f>_xlfn.IFNA(VLOOKUP($A107,HN!$A:$AN,38,FALSE),0)</f>
        <v>0</v>
      </c>
      <c r="Q107" s="273">
        <f>_xlfn.IFNA(VLOOKUP($A107,HN!$A:$AN,39,FALSE),0)</f>
        <v>32117.5</v>
      </c>
      <c r="S107" s="337">
        <f>_xlfn.IFNA(VLOOKUP(A107,'Post 16'!A:AR,44,FALSE),0)</f>
        <v>0</v>
      </c>
      <c r="U107" s="337"/>
      <c r="V107" s="337">
        <f>VLOOKUP(A107,'LA Deductions'!A:AN,40,FALSE)</f>
        <v>0</v>
      </c>
      <c r="X107" s="274">
        <f>VLOOKUP($A107,'Summary June 2026'!$A:$AAX,206,FALSE)-SUMIFS($H107:$V107,$H$7:$V$7,X$7)</f>
        <v>0</v>
      </c>
      <c r="Y107" s="274">
        <f>VLOOKUP($A107,'Summary June 2026'!$A:$HC,207,FALSE)-SUMIFS($H107:$V107,$H$7:$V$7,Y$7)</f>
        <v>0</v>
      </c>
      <c r="Z107" s="274">
        <f>VLOOKUP($A107,'Summary June 2026'!$A:$HC,208,FALSE)-SUMIFS($H107:$V107,$H$7:$V$7,Z$7)</f>
        <v>0</v>
      </c>
      <c r="AA107" s="274">
        <f>VLOOKUP($A107,'Summary June 2026'!$A:$HC,209,FALSE)-SUMIFS($H107:$V107,$H$7:$V$7,AA$7)</f>
        <v>0</v>
      </c>
      <c r="AB107" s="274">
        <f>VLOOKUP($A107,'Summary June 2026'!$A:$HC,210,FALSE)-SUMIFS($H107:$V107,$H$7:$V$7,AB$7)</f>
        <v>0</v>
      </c>
      <c r="AC107" s="274">
        <f>VLOOKUP($A107,'Summary June 2026'!$A:$HC,211,FALSE)-SUMIFS($H107:$V107,$H$7:$V$7,AC$7)</f>
        <v>0</v>
      </c>
      <c r="AE107" s="146">
        <f>VLOOKUP($A107,'Summary June 2026'!$A:$HJ,213,FALSE)+VLOOKUP($A107,'Grants+ Other Funding'!$A:$CG,67,FALSE)</f>
        <v>324943.20178923261</v>
      </c>
      <c r="AF107" s="146">
        <f>_xlfn.IFNA(VLOOKUP($A107,'Summary June 2026'!$A:$HJ,214,FALSE)+VLOOKUP($A107,'Grants+ Other Funding'!$A:$CG,68,FALSE),0)</f>
        <v>-42.9</v>
      </c>
      <c r="AG107" s="146">
        <f>_xlfn.IFNA(VLOOKUP($A107,'Summary June 2026'!$A:$HJ,215,FALSE)+VLOOKUP($A107,'Grants+ Other Funding'!$A:$CG,69,FALSE),0)</f>
        <v>11950.21225</v>
      </c>
      <c r="AH107" s="146">
        <f>_xlfn.IFNA(VLOOKUP($A107,'Grants+ Other Funding'!$A:$CG,70,FALSE),0)</f>
        <v>0</v>
      </c>
      <c r="AI107" s="146">
        <f>_xlfn.IFNA(VLOOKUP($A107,'Grants+ Other Funding'!$A:$CG,71,FALSE),0)</f>
        <v>0</v>
      </c>
      <c r="AJ107" s="146">
        <f>_xlfn.IFNA(VLOOKUP($A107,'Grants+ Other Funding'!$A:$CG,72,FALSE),0)</f>
        <v>0</v>
      </c>
      <c r="AK107" s="146">
        <f>_xlfn.IFNA(VLOOKUP($A107,'Summary June 2026'!$A:$HJ,217,FALSE),0)</f>
        <v>-3390.5958500000006</v>
      </c>
      <c r="AL107" s="146">
        <f>_xlfn.IFNA(VLOOKUP($A107,'Grants+ Other Funding'!$A:$CG,74,FALSE),0)</f>
        <v>0</v>
      </c>
      <c r="AM107" s="146">
        <f>_xlfn.IFNA(VLOOKUP($A107,'Summary June 2026'!$A:$HJ,218,FALSE),0)</f>
        <v>0</v>
      </c>
      <c r="AN107" s="146">
        <f>_xlfn.IFNA(VLOOKUP($A107,'Summary June 2026'!$A:$HJ,216,FALSE),0)</f>
        <v>-1245</v>
      </c>
      <c r="AO107" s="146">
        <f>_xlfn.IFNA(VLOOKUP($A107,'Grants+ Other Funding'!$A:$CG,73,FALSE),0)</f>
        <v>0</v>
      </c>
      <c r="AP107" s="65">
        <f t="shared" si="3"/>
        <v>332214.91818923259</v>
      </c>
    </row>
    <row r="108" spans="1:42">
      <c r="A108" s="198">
        <v>2416</v>
      </c>
      <c r="B108" s="2">
        <v>103351</v>
      </c>
      <c r="C108" s="2" t="s">
        <v>239</v>
      </c>
      <c r="D108" s="2" t="s">
        <v>240</v>
      </c>
      <c r="E108" s="190" t="s">
        <v>39</v>
      </c>
      <c r="F108" s="208" t="str">
        <f>VLOOKUP(A108,'Summary June 2026'!A:F,6,FALSE)</f>
        <v>Chq Bk</v>
      </c>
      <c r="H108" s="273">
        <f>_xlfn.IFNA(VLOOKUP($A108,ISB!$A:$BY,67,FALSE),0)</f>
        <v>2233019.0279999999</v>
      </c>
      <c r="I108" s="218">
        <f>_xlfn.IFNA(VLOOKUP($A108,ISB!$A:$BY,72,FALSE),0)</f>
        <v>-10657.199999999999</v>
      </c>
      <c r="J108" s="274">
        <f>-_xlfn.IFNA(VLOOKUP($A108,ISB!$A:$BY,76,FALSE),0)</f>
        <v>-43799.027999999998</v>
      </c>
      <c r="L108" s="273">
        <f>_xlfn.IFNA(VLOOKUP($A108,EY!$A:$DX,126,FALSE),0)</f>
        <v>0</v>
      </c>
      <c r="M108" s="273">
        <f>_xlfn.IFNA(VLOOKUP($A108,EY!$A:$DX,127,FALSE),0)</f>
        <v>0</v>
      </c>
      <c r="O108" s="273">
        <f>_xlfn.IFNA(VLOOKUP($A108,HN!$A:$AN,37,FALSE),0)</f>
        <v>0</v>
      </c>
      <c r="P108" s="273">
        <f>_xlfn.IFNA(VLOOKUP($A108,HN!$A:$AN,38,FALSE),0)</f>
        <v>0</v>
      </c>
      <c r="Q108" s="273">
        <f>_xlfn.IFNA(VLOOKUP($A108,HN!$A:$AN,39,FALSE),0)</f>
        <v>40948.5</v>
      </c>
      <c r="S108" s="337">
        <f>_xlfn.IFNA(VLOOKUP(A108,'Post 16'!A:AR,44,FALSE),0)</f>
        <v>0</v>
      </c>
      <c r="U108" s="337"/>
      <c r="V108" s="337">
        <f>VLOOKUP(A108,'LA Deductions'!A:AN,40,FALSE)</f>
        <v>0</v>
      </c>
      <c r="X108" s="274">
        <f>VLOOKUP($A108,'Summary June 2026'!$A:$AAX,206,FALSE)-SUMIFS($H108:$V108,$H$7:$V$7,X$7)</f>
        <v>0</v>
      </c>
      <c r="Y108" s="274">
        <f>VLOOKUP($A108,'Summary June 2026'!$A:$HC,207,FALSE)-SUMIFS($H108:$V108,$H$7:$V$7,Y$7)</f>
        <v>0</v>
      </c>
      <c r="Z108" s="274">
        <f>VLOOKUP($A108,'Summary June 2026'!$A:$HC,208,FALSE)-SUMIFS($H108:$V108,$H$7:$V$7,Z$7)</f>
        <v>0</v>
      </c>
      <c r="AA108" s="274">
        <f>VLOOKUP($A108,'Summary June 2026'!$A:$HC,209,FALSE)-SUMIFS($H108:$V108,$H$7:$V$7,AA$7)</f>
        <v>0</v>
      </c>
      <c r="AB108" s="274">
        <f>VLOOKUP($A108,'Summary June 2026'!$A:$HC,210,FALSE)-SUMIFS($H108:$V108,$H$7:$V$7,AB$7)</f>
        <v>0</v>
      </c>
      <c r="AC108" s="274">
        <f>VLOOKUP($A108,'Summary June 2026'!$A:$HC,211,FALSE)-SUMIFS($H108:$V108,$H$7:$V$7,AC$7)</f>
        <v>0</v>
      </c>
      <c r="AE108" s="146">
        <f>VLOOKUP($A108,'Summary June 2026'!$A:$HJ,213,FALSE)+VLOOKUP($A108,'Grants+ Other Funding'!$A:$CG,67,FALSE)</f>
        <v>558254.75699999998</v>
      </c>
      <c r="AF108" s="146">
        <f>_xlfn.IFNA(VLOOKUP($A108,'Summary June 2026'!$A:$HJ,214,FALSE)+VLOOKUP($A108,'Grants+ Other Funding'!$A:$CG,68,FALSE),0)</f>
        <v>0</v>
      </c>
      <c r="AG108" s="146">
        <f>_xlfn.IFNA(VLOOKUP($A108,'Summary June 2026'!$A:$HJ,215,FALSE)+VLOOKUP($A108,'Grants+ Other Funding'!$A:$CG,69,FALSE),0)</f>
        <v>15574.0815</v>
      </c>
      <c r="AH108" s="146">
        <f>_xlfn.IFNA(VLOOKUP($A108,'Grants+ Other Funding'!$A:$CG,70,FALSE),0)</f>
        <v>0</v>
      </c>
      <c r="AI108" s="146">
        <f>_xlfn.IFNA(VLOOKUP($A108,'Grants+ Other Funding'!$A:$CG,71,FALSE),0)</f>
        <v>0</v>
      </c>
      <c r="AJ108" s="146">
        <f>_xlfn.IFNA(VLOOKUP($A108,'Grants+ Other Funding'!$A:$CG,72,FALSE),0)</f>
        <v>0</v>
      </c>
      <c r="AK108" s="146">
        <f>_xlfn.IFNA(VLOOKUP($A108,'Summary June 2026'!$A:$HJ,217,FALSE),0)</f>
        <v>-10949.757</v>
      </c>
      <c r="AL108" s="146">
        <f>_xlfn.IFNA(VLOOKUP($A108,'Grants+ Other Funding'!$A:$CG,74,FALSE),0)</f>
        <v>0</v>
      </c>
      <c r="AM108" s="146">
        <f>_xlfn.IFNA(VLOOKUP($A108,'Summary June 2026'!$A:$HJ,218,FALSE),0)</f>
        <v>0</v>
      </c>
      <c r="AN108" s="146">
        <f>_xlfn.IFNA(VLOOKUP($A108,'Summary June 2026'!$A:$HJ,216,FALSE),0)</f>
        <v>-2664.2999999999997</v>
      </c>
      <c r="AO108" s="146">
        <f>_xlfn.IFNA(VLOOKUP($A108,'Grants+ Other Funding'!$A:$CG,73,FALSE),0)</f>
        <v>0</v>
      </c>
      <c r="AP108" s="65">
        <f t="shared" si="3"/>
        <v>560214.78149999992</v>
      </c>
    </row>
    <row r="109" spans="1:42">
      <c r="A109" s="198">
        <v>3003</v>
      </c>
      <c r="B109" s="2">
        <v>103398</v>
      </c>
      <c r="C109" s="2" t="s">
        <v>241</v>
      </c>
      <c r="D109" s="2" t="s">
        <v>242</v>
      </c>
      <c r="E109" s="190" t="s">
        <v>39</v>
      </c>
      <c r="F109" s="208" t="str">
        <f>VLOOKUP(A109,'Summary June 2026'!A:F,6,FALSE)</f>
        <v>Chq Bk</v>
      </c>
      <c r="H109" s="273">
        <f>_xlfn.IFNA(VLOOKUP($A109,ISB!$A:$BY,67,FALSE),0)</f>
        <v>1167651.197459213</v>
      </c>
      <c r="I109" s="218">
        <f>_xlfn.IFNA(VLOOKUP($A109,ISB!$A:$BY,72,FALSE),0)</f>
        <v>-5253.9</v>
      </c>
      <c r="J109" s="274">
        <f>-_xlfn.IFNA(VLOOKUP($A109,ISB!$A:$BY,76,FALSE),0)</f>
        <v>-23832.926100000001</v>
      </c>
      <c r="L109" s="273">
        <f>_xlfn.IFNA(VLOOKUP($A109,EY!$A:$DX,126,FALSE),0)</f>
        <v>0</v>
      </c>
      <c r="M109" s="273">
        <f>_xlfn.IFNA(VLOOKUP($A109,EY!$A:$DX,127,FALSE),0)</f>
        <v>0</v>
      </c>
      <c r="O109" s="273">
        <f>_xlfn.IFNA(VLOOKUP($A109,HN!$A:$AN,37,FALSE),0)</f>
        <v>0</v>
      </c>
      <c r="P109" s="273">
        <f>_xlfn.IFNA(VLOOKUP($A109,HN!$A:$AN,38,FALSE),0)</f>
        <v>0</v>
      </c>
      <c r="Q109" s="273">
        <f>_xlfn.IFNA(VLOOKUP($A109,HN!$A:$AN,39,FALSE),0)</f>
        <v>39139</v>
      </c>
      <c r="S109" s="337">
        <f>_xlfn.IFNA(VLOOKUP(A109,'Post 16'!A:AR,44,FALSE),0)</f>
        <v>0</v>
      </c>
      <c r="U109" s="337"/>
      <c r="V109" s="337">
        <f>VLOOKUP(A109,'LA Deductions'!A:AN,40,FALSE)</f>
        <v>0</v>
      </c>
      <c r="X109" s="274">
        <f>VLOOKUP($A109,'Summary June 2026'!$A:$AAX,206,FALSE)-SUMIFS($H109:$V109,$H$7:$V$7,X$7)</f>
        <v>0</v>
      </c>
      <c r="Y109" s="274">
        <f>VLOOKUP($A109,'Summary June 2026'!$A:$HC,207,FALSE)-SUMIFS($H109:$V109,$H$7:$V$7,Y$7)</f>
        <v>0</v>
      </c>
      <c r="Z109" s="274">
        <f>VLOOKUP($A109,'Summary June 2026'!$A:$HC,208,FALSE)-SUMIFS($H109:$V109,$H$7:$V$7,Z$7)</f>
        <v>0</v>
      </c>
      <c r="AA109" s="274">
        <f>VLOOKUP($A109,'Summary June 2026'!$A:$HC,209,FALSE)-SUMIFS($H109:$V109,$H$7:$V$7,AA$7)</f>
        <v>0</v>
      </c>
      <c r="AB109" s="274">
        <f>VLOOKUP($A109,'Summary June 2026'!$A:$HC,210,FALSE)-SUMIFS($H109:$V109,$H$7:$V$7,AB$7)</f>
        <v>0</v>
      </c>
      <c r="AC109" s="274">
        <f>VLOOKUP($A109,'Summary June 2026'!$A:$HC,211,FALSE)-SUMIFS($H109:$V109,$H$7:$V$7,AC$7)</f>
        <v>0</v>
      </c>
      <c r="AE109" s="146">
        <f>VLOOKUP($A109,'Summary June 2026'!$A:$HJ,213,FALSE)+VLOOKUP($A109,'Grants+ Other Funding'!$A:$CG,67,FALSE)</f>
        <v>292379.53936480323</v>
      </c>
      <c r="AF109" s="146">
        <f>_xlfn.IFNA(VLOOKUP($A109,'Summary June 2026'!$A:$HJ,214,FALSE)+VLOOKUP($A109,'Grants+ Other Funding'!$A:$CG,68,FALSE),0)</f>
        <v>-5.08</v>
      </c>
      <c r="AG109" s="146">
        <f>_xlfn.IFNA(VLOOKUP($A109,'Summary June 2026'!$A:$HJ,215,FALSE)+VLOOKUP($A109,'Grants+ Other Funding'!$A:$CG,69,FALSE),0)</f>
        <v>17393.875</v>
      </c>
      <c r="AH109" s="146">
        <f>_xlfn.IFNA(VLOOKUP($A109,'Grants+ Other Funding'!$A:$CG,70,FALSE),0)</f>
        <v>0</v>
      </c>
      <c r="AI109" s="146">
        <f>_xlfn.IFNA(VLOOKUP($A109,'Grants+ Other Funding'!$A:$CG,71,FALSE),0)</f>
        <v>0</v>
      </c>
      <c r="AJ109" s="146">
        <f>_xlfn.IFNA(VLOOKUP($A109,'Grants+ Other Funding'!$A:$CG,72,FALSE),0)</f>
        <v>0</v>
      </c>
      <c r="AK109" s="146">
        <f>_xlfn.IFNA(VLOOKUP($A109,'Summary June 2026'!$A:$HJ,217,FALSE),0)</f>
        <v>-5958.2315250000001</v>
      </c>
      <c r="AL109" s="146">
        <f>_xlfn.IFNA(VLOOKUP($A109,'Grants+ Other Funding'!$A:$CG,74,FALSE),0)</f>
        <v>0</v>
      </c>
      <c r="AM109" s="146">
        <f>_xlfn.IFNA(VLOOKUP($A109,'Summary June 2026'!$A:$HJ,218,FALSE),0)</f>
        <v>0</v>
      </c>
      <c r="AN109" s="146">
        <f>_xlfn.IFNA(VLOOKUP($A109,'Summary June 2026'!$A:$HJ,216,FALSE),0)</f>
        <v>-1313.4749999999999</v>
      </c>
      <c r="AO109" s="146">
        <f>_xlfn.IFNA(VLOOKUP($A109,'Grants+ Other Funding'!$A:$CG,73,FALSE),0)</f>
        <v>0</v>
      </c>
      <c r="AP109" s="65">
        <f t="shared" si="3"/>
        <v>302496.62783980323</v>
      </c>
    </row>
    <row r="110" spans="1:42">
      <c r="A110" s="198">
        <v>4245</v>
      </c>
      <c r="B110" s="2">
        <v>103519</v>
      </c>
      <c r="C110" s="2" t="s">
        <v>243</v>
      </c>
      <c r="D110" s="2" t="s">
        <v>244</v>
      </c>
      <c r="E110" s="190" t="s">
        <v>71</v>
      </c>
      <c r="F110" s="208" t="str">
        <f>VLOOKUP(A110,'Summary June 2026'!A:F,6,FALSE)</f>
        <v>Chq Bk</v>
      </c>
      <c r="H110" s="273">
        <f>_xlfn.IFNA(VLOOKUP($A110,ISB!$A:$BY,67,FALSE),0)</f>
        <v>10788283.859151887</v>
      </c>
      <c r="I110" s="218">
        <f>_xlfn.IFNA(VLOOKUP($A110,ISB!$A:$BY,72,FALSE),0)</f>
        <v>-23848.5</v>
      </c>
      <c r="J110" s="274">
        <f>-_xlfn.IFNA(VLOOKUP($A110,ISB!$A:$BY,76,FALSE),0)</f>
        <v>-57630.3</v>
      </c>
      <c r="L110" s="273">
        <f>_xlfn.IFNA(VLOOKUP($A110,EY!$A:$DX,126,FALSE),0)</f>
        <v>0</v>
      </c>
      <c r="M110" s="273">
        <f>_xlfn.IFNA(VLOOKUP($A110,EY!$A:$DX,127,FALSE),0)</f>
        <v>0</v>
      </c>
      <c r="O110" s="273">
        <f>_xlfn.IFNA(VLOOKUP($A110,HN!$A:$AN,37,FALSE),0)</f>
        <v>0</v>
      </c>
      <c r="P110" s="273">
        <f>_xlfn.IFNA(VLOOKUP($A110,HN!$A:$AN,38,FALSE),0)</f>
        <v>0</v>
      </c>
      <c r="Q110" s="273">
        <f>_xlfn.IFNA(VLOOKUP($A110,HN!$A:$AN,39,FALSE),0)</f>
        <v>124303.84</v>
      </c>
      <c r="S110" s="337">
        <f>_xlfn.IFNA(VLOOKUP(A110,'Post 16'!A:AR,44,FALSE),0)</f>
        <v>1423571</v>
      </c>
      <c r="U110" s="337"/>
      <c r="V110" s="337">
        <f>VLOOKUP(A110,'LA Deductions'!A:AN,40,FALSE)</f>
        <v>-22750</v>
      </c>
      <c r="X110" s="274">
        <f>VLOOKUP($A110,'Summary June 2026'!$A:$AAX,206,FALSE)-SUMIFS($H110:$V110,$H$7:$V$7,X$7)</f>
        <v>0</v>
      </c>
      <c r="Y110" s="274">
        <f>VLOOKUP($A110,'Summary June 2026'!$A:$HC,207,FALSE)-SUMIFS($H110:$V110,$H$7:$V$7,Y$7)</f>
        <v>0</v>
      </c>
      <c r="Z110" s="274">
        <f>VLOOKUP($A110,'Summary June 2026'!$A:$HC,208,FALSE)-SUMIFS($H110:$V110,$H$7:$V$7,Z$7)</f>
        <v>0</v>
      </c>
      <c r="AA110" s="274">
        <f>VLOOKUP($A110,'Summary June 2026'!$A:$HC,209,FALSE)-SUMIFS($H110:$V110,$H$7:$V$7,AA$7)</f>
        <v>0</v>
      </c>
      <c r="AB110" s="274">
        <f>VLOOKUP($A110,'Summary June 2026'!$A:$HC,210,FALSE)-SUMIFS($H110:$V110,$H$7:$V$7,AB$7)</f>
        <v>0</v>
      </c>
      <c r="AC110" s="274">
        <f>VLOOKUP($A110,'Summary June 2026'!$A:$HC,211,FALSE)-SUMIFS($H110:$V110,$H$7:$V$7,AC$7)</f>
        <v>0</v>
      </c>
      <c r="AE110" s="146">
        <f>VLOOKUP($A110,'Summary June 2026'!$A:$HJ,213,FALSE)+VLOOKUP($A110,'Grants+ Other Funding'!$A:$CG,67,FALSE)</f>
        <v>2697070.9647879717</v>
      </c>
      <c r="AF110" s="146">
        <f>_xlfn.IFNA(VLOOKUP($A110,'Summary June 2026'!$A:$HJ,214,FALSE)+VLOOKUP($A110,'Grants+ Other Funding'!$A:$CG,68,FALSE),0)</f>
        <v>351756.75</v>
      </c>
      <c r="AG110" s="146">
        <f>_xlfn.IFNA(VLOOKUP($A110,'Summary June 2026'!$A:$HJ,215,FALSE)+VLOOKUP($A110,'Grants+ Other Funding'!$A:$CG,69,FALSE),0)</f>
        <v>36708.809500000003</v>
      </c>
      <c r="AH110" s="146">
        <f>_xlfn.IFNA(VLOOKUP($A110,'Grants+ Other Funding'!$A:$CG,70,FALSE),0)</f>
        <v>0</v>
      </c>
      <c r="AI110" s="146">
        <f>_xlfn.IFNA(VLOOKUP($A110,'Grants+ Other Funding'!$A:$CG,71,FALSE),0)</f>
        <v>0</v>
      </c>
      <c r="AJ110" s="146">
        <f>_xlfn.IFNA(VLOOKUP($A110,'Grants+ Other Funding'!$A:$CG,72,FALSE),0)</f>
        <v>0</v>
      </c>
      <c r="AK110" s="146">
        <f>_xlfn.IFNA(VLOOKUP($A110,'Summary June 2026'!$A:$HJ,217,FALSE),0)</f>
        <v>-14407.575000000001</v>
      </c>
      <c r="AL110" s="146">
        <f>_xlfn.IFNA(VLOOKUP($A110,'Grants+ Other Funding'!$A:$CG,74,FALSE),0)</f>
        <v>0</v>
      </c>
      <c r="AM110" s="146">
        <f>_xlfn.IFNA(VLOOKUP($A110,'Summary June 2026'!$A:$HJ,218,FALSE),0)</f>
        <v>0</v>
      </c>
      <c r="AN110" s="146">
        <f>_xlfn.IFNA(VLOOKUP($A110,'Summary June 2026'!$A:$HJ,216,FALSE),0)</f>
        <v>-5962.125</v>
      </c>
      <c r="AO110" s="146">
        <f>_xlfn.IFNA(VLOOKUP($A110,'Grants+ Other Funding'!$A:$CG,73,FALSE),0)</f>
        <v>0</v>
      </c>
      <c r="AP110" s="65">
        <f t="shared" si="3"/>
        <v>3065166.8242879715</v>
      </c>
    </row>
    <row r="111" spans="1:42">
      <c r="A111" s="198">
        <v>2457</v>
      </c>
      <c r="B111" s="2">
        <v>103384</v>
      </c>
      <c r="C111" s="2" t="s">
        <v>245</v>
      </c>
      <c r="D111" s="2" t="s">
        <v>246</v>
      </c>
      <c r="E111" s="190" t="s">
        <v>39</v>
      </c>
      <c r="F111" s="208" t="str">
        <f>VLOOKUP(A111,'Summary June 2026'!A:F,6,FALSE)</f>
        <v>Chq Bk</v>
      </c>
      <c r="H111" s="273">
        <f>_xlfn.IFNA(VLOOKUP($A111,ISB!$A:$BY,67,FALSE),0)</f>
        <v>2590519.9828334325</v>
      </c>
      <c r="I111" s="218">
        <f>_xlfn.IFNA(VLOOKUP($A111,ISB!$A:$BY,72,FALSE),0)</f>
        <v>-10059.599999999999</v>
      </c>
      <c r="J111" s="274">
        <f>-_xlfn.IFNA(VLOOKUP($A111,ISB!$A:$BY,76,FALSE),0)</f>
        <v>-10603.975200000001</v>
      </c>
      <c r="L111" s="273">
        <f>_xlfn.IFNA(VLOOKUP($A111,EY!$A:$DX,126,FALSE),0)</f>
        <v>56498.794448753477</v>
      </c>
      <c r="M111" s="273">
        <f>_xlfn.IFNA(VLOOKUP($A111,EY!$A:$DX,127,FALSE),0)</f>
        <v>0</v>
      </c>
      <c r="O111" s="273">
        <f>_xlfn.IFNA(VLOOKUP($A111,HN!$A:$AN,37,FALSE),0)</f>
        <v>0</v>
      </c>
      <c r="P111" s="273">
        <f>_xlfn.IFNA(VLOOKUP($A111,HN!$A:$AN,38,FALSE),0)</f>
        <v>0</v>
      </c>
      <c r="Q111" s="273">
        <f>_xlfn.IFNA(VLOOKUP($A111,HN!$A:$AN,39,FALSE),0)</f>
        <v>172510.51</v>
      </c>
      <c r="S111" s="337">
        <f>_xlfn.IFNA(VLOOKUP(A111,'Post 16'!A:AR,44,FALSE),0)</f>
        <v>0</v>
      </c>
      <c r="U111" s="337"/>
      <c r="V111" s="337">
        <f>VLOOKUP(A111,'LA Deductions'!A:AN,40,FALSE)</f>
        <v>0</v>
      </c>
      <c r="X111" s="274">
        <f>VLOOKUP($A111,'Summary June 2026'!$A:$AAX,206,FALSE)-SUMIFS($H111:$V111,$H$7:$V$7,X$7)</f>
        <v>0</v>
      </c>
      <c r="Y111" s="274">
        <f>VLOOKUP($A111,'Summary June 2026'!$A:$HC,207,FALSE)-SUMIFS($H111:$V111,$H$7:$V$7,Y$7)</f>
        <v>0</v>
      </c>
      <c r="Z111" s="274">
        <f>VLOOKUP($A111,'Summary June 2026'!$A:$HC,208,FALSE)-SUMIFS($H111:$V111,$H$7:$V$7,Z$7)</f>
        <v>0</v>
      </c>
      <c r="AA111" s="274">
        <f>VLOOKUP($A111,'Summary June 2026'!$A:$HC,209,FALSE)-SUMIFS($H111:$V111,$H$7:$V$7,AA$7)</f>
        <v>0</v>
      </c>
      <c r="AB111" s="274">
        <f>VLOOKUP($A111,'Summary June 2026'!$A:$HC,210,FALSE)-SUMIFS($H111:$V111,$H$7:$V$7,AB$7)</f>
        <v>0</v>
      </c>
      <c r="AC111" s="274">
        <f>VLOOKUP($A111,'Summary June 2026'!$A:$HC,211,FALSE)-SUMIFS($H111:$V111,$H$7:$V$7,AC$7)</f>
        <v>0</v>
      </c>
      <c r="AE111" s="146">
        <f>VLOOKUP($A111,'Summary June 2026'!$A:$HJ,213,FALSE)+VLOOKUP($A111,'Grants+ Other Funding'!$A:$CG,67,FALSE)</f>
        <v>677802.73415711173</v>
      </c>
      <c r="AF111" s="146">
        <f>_xlfn.IFNA(VLOOKUP($A111,'Summary June 2026'!$A:$HJ,214,FALSE)+VLOOKUP($A111,'Grants+ Other Funding'!$A:$CG,68,FALSE),0)</f>
        <v>-2.39</v>
      </c>
      <c r="AG111" s="146">
        <f>_xlfn.IFNA(VLOOKUP($A111,'Summary June 2026'!$A:$HJ,215,FALSE)+VLOOKUP($A111,'Grants+ Other Funding'!$A:$CG,69,FALSE),0)</f>
        <v>52251.120250000007</v>
      </c>
      <c r="AH111" s="146">
        <f>_xlfn.IFNA(VLOOKUP($A111,'Grants+ Other Funding'!$A:$CG,70,FALSE),0)</f>
        <v>0</v>
      </c>
      <c r="AI111" s="146">
        <f>_xlfn.IFNA(VLOOKUP($A111,'Grants+ Other Funding'!$A:$CG,71,FALSE),0)</f>
        <v>0</v>
      </c>
      <c r="AJ111" s="146">
        <f>_xlfn.IFNA(VLOOKUP($A111,'Grants+ Other Funding'!$A:$CG,72,FALSE),0)</f>
        <v>0</v>
      </c>
      <c r="AK111" s="146">
        <f>_xlfn.IFNA(VLOOKUP($A111,'Summary June 2026'!$A:$HJ,217,FALSE),0)</f>
        <v>-2650.9938000000002</v>
      </c>
      <c r="AL111" s="146">
        <f>_xlfn.IFNA(VLOOKUP($A111,'Grants+ Other Funding'!$A:$CG,74,FALSE),0)</f>
        <v>0</v>
      </c>
      <c r="AM111" s="146">
        <f>_xlfn.IFNA(VLOOKUP($A111,'Summary June 2026'!$A:$HJ,218,FALSE),0)</f>
        <v>0</v>
      </c>
      <c r="AN111" s="146">
        <f>_xlfn.IFNA(VLOOKUP($A111,'Summary June 2026'!$A:$HJ,216,FALSE),0)</f>
        <v>-2514.8999999999996</v>
      </c>
      <c r="AO111" s="146">
        <f>_xlfn.IFNA(VLOOKUP($A111,'Grants+ Other Funding'!$A:$CG,73,FALSE),0)</f>
        <v>0</v>
      </c>
      <c r="AP111" s="65">
        <f t="shared" si="3"/>
        <v>724885.57060711167</v>
      </c>
    </row>
    <row r="112" spans="1:42">
      <c r="A112" s="198">
        <v>2142</v>
      </c>
      <c r="B112" s="2">
        <v>103237</v>
      </c>
      <c r="C112" s="2" t="s">
        <v>247</v>
      </c>
      <c r="D112" s="2" t="s">
        <v>248</v>
      </c>
      <c r="E112" s="190" t="s">
        <v>39</v>
      </c>
      <c r="F112" s="208" t="str">
        <f>VLOOKUP(A112,'Summary June 2026'!A:F,6,FALSE)</f>
        <v>Chq Bk</v>
      </c>
      <c r="H112" s="273">
        <f>_xlfn.IFNA(VLOOKUP($A112,ISB!$A:$BY,67,FALSE),0)</f>
        <v>2767228.0699387682</v>
      </c>
      <c r="I112" s="218">
        <f>_xlfn.IFNA(VLOOKUP($A112,ISB!$A:$BY,72,FALSE),0)</f>
        <v>-10458</v>
      </c>
      <c r="J112" s="274">
        <f>-_xlfn.IFNA(VLOOKUP($A112,ISB!$A:$BY,76,FALSE),0)</f>
        <v>-29216.989399999999</v>
      </c>
      <c r="L112" s="273">
        <f>_xlfn.IFNA(VLOOKUP($A112,EY!$A:$DX,126,FALSE),0)</f>
        <v>62673.315950138509</v>
      </c>
      <c r="M112" s="273">
        <f>_xlfn.IFNA(VLOOKUP($A112,EY!$A:$DX,127,FALSE),0)</f>
        <v>0</v>
      </c>
      <c r="O112" s="273">
        <f>_xlfn.IFNA(VLOOKUP($A112,HN!$A:$AN,37,FALSE),0)</f>
        <v>0</v>
      </c>
      <c r="P112" s="273">
        <f>_xlfn.IFNA(VLOOKUP($A112,HN!$A:$AN,38,FALSE),0)</f>
        <v>0</v>
      </c>
      <c r="Q112" s="273">
        <f>_xlfn.IFNA(VLOOKUP($A112,HN!$A:$AN,39,FALSE),0)</f>
        <v>153119.75</v>
      </c>
      <c r="S112" s="337">
        <f>_xlfn.IFNA(VLOOKUP(A112,'Post 16'!A:AR,44,FALSE),0)</f>
        <v>0</v>
      </c>
      <c r="U112" s="337"/>
      <c r="V112" s="337">
        <f>VLOOKUP(A112,'LA Deductions'!A:AN,40,FALSE)</f>
        <v>0</v>
      </c>
      <c r="X112" s="274">
        <f>VLOOKUP($A112,'Summary June 2026'!$A:$AAX,206,FALSE)-SUMIFS($H112:$V112,$H$7:$V$7,X$7)</f>
        <v>0</v>
      </c>
      <c r="Y112" s="274">
        <f>VLOOKUP($A112,'Summary June 2026'!$A:$HC,207,FALSE)-SUMIFS($H112:$V112,$H$7:$V$7,Y$7)</f>
        <v>0</v>
      </c>
      <c r="Z112" s="274">
        <f>VLOOKUP($A112,'Summary June 2026'!$A:$HC,208,FALSE)-SUMIFS($H112:$V112,$H$7:$V$7,Z$7)</f>
        <v>0</v>
      </c>
      <c r="AA112" s="274">
        <f>VLOOKUP($A112,'Summary June 2026'!$A:$HC,209,FALSE)-SUMIFS($H112:$V112,$H$7:$V$7,AA$7)</f>
        <v>0</v>
      </c>
      <c r="AB112" s="274">
        <f>VLOOKUP($A112,'Summary June 2026'!$A:$HC,210,FALSE)-SUMIFS($H112:$V112,$H$7:$V$7,AB$7)</f>
        <v>0</v>
      </c>
      <c r="AC112" s="274">
        <f>VLOOKUP($A112,'Summary June 2026'!$A:$HC,211,FALSE)-SUMIFS($H112:$V112,$H$7:$V$7,AC$7)</f>
        <v>0</v>
      </c>
      <c r="AE112" s="146">
        <f>VLOOKUP($A112,'Summary June 2026'!$A:$HJ,213,FALSE)+VLOOKUP($A112,'Grants+ Other Funding'!$A:$CG,67,FALSE)</f>
        <v>729183.94343483064</v>
      </c>
      <c r="AF112" s="146">
        <f>_xlfn.IFNA(VLOOKUP($A112,'Summary June 2026'!$A:$HJ,214,FALSE)+VLOOKUP($A112,'Grants+ Other Funding'!$A:$CG,68,FALSE),0)</f>
        <v>-28.79</v>
      </c>
      <c r="AG112" s="146">
        <f>_xlfn.IFNA(VLOOKUP($A112,'Summary June 2026'!$A:$HJ,215,FALSE)+VLOOKUP($A112,'Grants+ Other Funding'!$A:$CG,69,FALSE),0)</f>
        <v>53744.506249999999</v>
      </c>
      <c r="AH112" s="146">
        <f>_xlfn.IFNA(VLOOKUP($A112,'Grants+ Other Funding'!$A:$CG,70,FALSE),0)</f>
        <v>0</v>
      </c>
      <c r="AI112" s="146">
        <f>_xlfn.IFNA(VLOOKUP($A112,'Grants+ Other Funding'!$A:$CG,71,FALSE),0)</f>
        <v>0</v>
      </c>
      <c r="AJ112" s="146">
        <f>_xlfn.IFNA(VLOOKUP($A112,'Grants+ Other Funding'!$A:$CG,72,FALSE),0)</f>
        <v>0</v>
      </c>
      <c r="AK112" s="146">
        <f>_xlfn.IFNA(VLOOKUP($A112,'Summary June 2026'!$A:$HJ,217,FALSE),0)</f>
        <v>-7304.2473499999996</v>
      </c>
      <c r="AL112" s="146">
        <f>_xlfn.IFNA(VLOOKUP($A112,'Grants+ Other Funding'!$A:$CG,74,FALSE),0)</f>
        <v>0</v>
      </c>
      <c r="AM112" s="146">
        <f>_xlfn.IFNA(VLOOKUP($A112,'Summary June 2026'!$A:$HJ,218,FALSE),0)</f>
        <v>0</v>
      </c>
      <c r="AN112" s="146">
        <f>_xlfn.IFNA(VLOOKUP($A112,'Summary June 2026'!$A:$HJ,216,FALSE),0)</f>
        <v>-2614.5</v>
      </c>
      <c r="AO112" s="146">
        <f>_xlfn.IFNA(VLOOKUP($A112,'Grants+ Other Funding'!$A:$CG,73,FALSE),0)</f>
        <v>0</v>
      </c>
      <c r="AP112" s="65">
        <f t="shared" si="3"/>
        <v>772980.91233483062</v>
      </c>
    </row>
    <row r="113" spans="1:42">
      <c r="A113" s="198">
        <v>2469</v>
      </c>
      <c r="B113" s="2">
        <v>103395</v>
      </c>
      <c r="C113" s="2" t="s">
        <v>249</v>
      </c>
      <c r="D113" s="2" t="s">
        <v>250</v>
      </c>
      <c r="E113" s="190" t="s">
        <v>39</v>
      </c>
      <c r="F113" s="208" t="str">
        <f>VLOOKUP(A113,'Summary June 2026'!A:F,6,FALSE)</f>
        <v>Chq Bk</v>
      </c>
      <c r="H113" s="273">
        <f>_xlfn.IFNA(VLOOKUP($A113,ISB!$A:$BY,67,FALSE),0)</f>
        <v>1884944.9834681868</v>
      </c>
      <c r="I113" s="218">
        <f>_xlfn.IFNA(VLOOKUP($A113,ISB!$A:$BY,72,FALSE),0)</f>
        <v>-7544.7</v>
      </c>
      <c r="J113" s="274">
        <f>-_xlfn.IFNA(VLOOKUP($A113,ISB!$A:$BY,76,FALSE),0)</f>
        <v>-8644.5450000000001</v>
      </c>
      <c r="L113" s="273">
        <f>_xlfn.IFNA(VLOOKUP($A113,EY!$A:$DX,126,FALSE),0)</f>
        <v>0</v>
      </c>
      <c r="M113" s="273">
        <f>_xlfn.IFNA(VLOOKUP($A113,EY!$A:$DX,127,FALSE),0)</f>
        <v>0</v>
      </c>
      <c r="O113" s="273">
        <f>_xlfn.IFNA(VLOOKUP($A113,HN!$A:$AN,37,FALSE),0)</f>
        <v>0</v>
      </c>
      <c r="P113" s="273">
        <f>_xlfn.IFNA(VLOOKUP($A113,HN!$A:$AN,38,FALSE),0)</f>
        <v>0</v>
      </c>
      <c r="Q113" s="273">
        <f>_xlfn.IFNA(VLOOKUP($A113,HN!$A:$AN,39,FALSE),0)</f>
        <v>93842.25</v>
      </c>
      <c r="S113" s="337">
        <f>_xlfn.IFNA(VLOOKUP(A113,'Post 16'!A:AR,44,FALSE),0)</f>
        <v>0</v>
      </c>
      <c r="U113" s="337"/>
      <c r="V113" s="337">
        <f>VLOOKUP(A113,'LA Deductions'!A:AN,40,FALSE)</f>
        <v>0</v>
      </c>
      <c r="X113" s="274">
        <f>VLOOKUP($A113,'Summary June 2026'!$A:$AAX,206,FALSE)-SUMIFS($H113:$V113,$H$7:$V$7,X$7)</f>
        <v>0</v>
      </c>
      <c r="Y113" s="274">
        <f>VLOOKUP($A113,'Summary June 2026'!$A:$HC,207,FALSE)-SUMIFS($H113:$V113,$H$7:$V$7,Y$7)</f>
        <v>0</v>
      </c>
      <c r="Z113" s="274">
        <f>VLOOKUP($A113,'Summary June 2026'!$A:$HC,208,FALSE)-SUMIFS($H113:$V113,$H$7:$V$7,Z$7)</f>
        <v>0</v>
      </c>
      <c r="AA113" s="274">
        <f>VLOOKUP($A113,'Summary June 2026'!$A:$HC,209,FALSE)-SUMIFS($H113:$V113,$H$7:$V$7,AA$7)</f>
        <v>0</v>
      </c>
      <c r="AB113" s="274">
        <f>VLOOKUP($A113,'Summary June 2026'!$A:$HC,210,FALSE)-SUMIFS($H113:$V113,$H$7:$V$7,AB$7)</f>
        <v>0</v>
      </c>
      <c r="AC113" s="274">
        <f>VLOOKUP($A113,'Summary June 2026'!$A:$HC,211,FALSE)-SUMIFS($H113:$V113,$H$7:$V$7,AC$7)</f>
        <v>0</v>
      </c>
      <c r="AE113" s="146">
        <f>VLOOKUP($A113,'Summary June 2026'!$A:$HJ,213,FALSE)+VLOOKUP($A113,'Grants+ Other Funding'!$A:$CG,67,FALSE)</f>
        <v>471236.24586704676</v>
      </c>
      <c r="AF113" s="146">
        <f>_xlfn.IFNA(VLOOKUP($A113,'Summary June 2026'!$A:$HJ,214,FALSE)+VLOOKUP($A113,'Grants+ Other Funding'!$A:$CG,68,FALSE),0)</f>
        <v>0</v>
      </c>
      <c r="AG113" s="146">
        <f>_xlfn.IFNA(VLOOKUP($A113,'Summary June 2026'!$A:$HJ,215,FALSE)+VLOOKUP($A113,'Grants+ Other Funding'!$A:$CG,69,FALSE),0)</f>
        <v>33072.924749999998</v>
      </c>
      <c r="AH113" s="146">
        <f>_xlfn.IFNA(VLOOKUP($A113,'Grants+ Other Funding'!$A:$CG,70,FALSE),0)</f>
        <v>0</v>
      </c>
      <c r="AI113" s="146">
        <f>_xlfn.IFNA(VLOOKUP($A113,'Grants+ Other Funding'!$A:$CG,71,FALSE),0)</f>
        <v>0</v>
      </c>
      <c r="AJ113" s="146">
        <f>_xlfn.IFNA(VLOOKUP($A113,'Grants+ Other Funding'!$A:$CG,72,FALSE),0)</f>
        <v>0</v>
      </c>
      <c r="AK113" s="146">
        <f>_xlfn.IFNA(VLOOKUP($A113,'Summary June 2026'!$A:$HJ,217,FALSE),0)</f>
        <v>-2161.13625</v>
      </c>
      <c r="AL113" s="146">
        <f>_xlfn.IFNA(VLOOKUP($A113,'Grants+ Other Funding'!$A:$CG,74,FALSE),0)</f>
        <v>0</v>
      </c>
      <c r="AM113" s="146">
        <f>_xlfn.IFNA(VLOOKUP($A113,'Summary June 2026'!$A:$HJ,218,FALSE),0)</f>
        <v>0</v>
      </c>
      <c r="AN113" s="146">
        <f>_xlfn.IFNA(VLOOKUP($A113,'Summary June 2026'!$A:$HJ,216,FALSE),0)</f>
        <v>-1886.1750000000002</v>
      </c>
      <c r="AO113" s="146">
        <f>_xlfn.IFNA(VLOOKUP($A113,'Grants+ Other Funding'!$A:$CG,73,FALSE),0)</f>
        <v>0</v>
      </c>
      <c r="AP113" s="65">
        <f t="shared" si="3"/>
        <v>500261.8593670468</v>
      </c>
    </row>
    <row r="114" spans="1:42">
      <c r="A114" s="198">
        <v>1028</v>
      </c>
      <c r="B114" s="2">
        <v>103141</v>
      </c>
      <c r="C114" s="2" t="s">
        <v>251</v>
      </c>
      <c r="D114" s="2" t="s">
        <v>252</v>
      </c>
      <c r="E114" s="190" t="s">
        <v>36</v>
      </c>
      <c r="F114" s="208" t="str">
        <f>VLOOKUP(A114,'Summary June 2026'!A:F,6,FALSE)</f>
        <v>Chq Bk</v>
      </c>
      <c r="H114" s="273">
        <f>_xlfn.IFNA(VLOOKUP($A114,ISB!$A:$BY,67,FALSE),0)</f>
        <v>0</v>
      </c>
      <c r="I114" s="218">
        <f>_xlfn.IFNA(VLOOKUP($A114,ISB!$A:$BY,72,FALSE),0)</f>
        <v>0</v>
      </c>
      <c r="J114" s="274">
        <f>-_xlfn.IFNA(VLOOKUP($A114,ISB!$A:$BY,76,FALSE),0)</f>
        <v>0</v>
      </c>
      <c r="L114" s="273">
        <f>_xlfn.IFNA(VLOOKUP($A114,EY!$A:$DX,126,FALSE),0)</f>
        <v>511571.8903609101</v>
      </c>
      <c r="M114" s="273">
        <f>_xlfn.IFNA(VLOOKUP($A114,EY!$A:$DX,127,FALSE),0)</f>
        <v>7600.5108033240995</v>
      </c>
      <c r="O114" s="273">
        <f>_xlfn.IFNA(VLOOKUP($A114,HN!$A:$AN,37,FALSE),0)</f>
        <v>0</v>
      </c>
      <c r="P114" s="273">
        <f>_xlfn.IFNA(VLOOKUP($A114,HN!$A:$AN,38,FALSE),0)</f>
        <v>0</v>
      </c>
      <c r="Q114" s="273">
        <f>_xlfn.IFNA(VLOOKUP($A114,HN!$A:$AN,39,FALSE),0)</f>
        <v>21197</v>
      </c>
      <c r="S114" s="337">
        <f>_xlfn.IFNA(VLOOKUP(A114,'Post 16'!A:AR,44,FALSE),0)</f>
        <v>0</v>
      </c>
      <c r="U114" s="337"/>
      <c r="V114" s="337">
        <f>VLOOKUP(A114,'LA Deductions'!A:AN,40,FALSE)</f>
        <v>0</v>
      </c>
      <c r="X114" s="274">
        <f>VLOOKUP($A114,'Summary June 2026'!$A:$AAX,206,FALSE)-SUMIFS($H114:$V114,$H$7:$V$7,X$7)</f>
        <v>0</v>
      </c>
      <c r="Y114" s="274">
        <f>VLOOKUP($A114,'Summary June 2026'!$A:$HC,207,FALSE)-SUMIFS($H114:$V114,$H$7:$V$7,Y$7)</f>
        <v>0</v>
      </c>
      <c r="Z114" s="274">
        <f>VLOOKUP($A114,'Summary June 2026'!$A:$HC,208,FALSE)-SUMIFS($H114:$V114,$H$7:$V$7,Z$7)</f>
        <v>0</v>
      </c>
      <c r="AA114" s="274">
        <f>VLOOKUP($A114,'Summary June 2026'!$A:$HC,209,FALSE)-SUMIFS($H114:$V114,$H$7:$V$7,AA$7)</f>
        <v>0</v>
      </c>
      <c r="AB114" s="274">
        <f>VLOOKUP($A114,'Summary June 2026'!$A:$HC,210,FALSE)-SUMIFS($H114:$V114,$H$7:$V$7,AB$7)</f>
        <v>0</v>
      </c>
      <c r="AC114" s="274">
        <f>VLOOKUP($A114,'Summary June 2026'!$A:$HC,211,FALSE)-SUMIFS($H114:$V114,$H$7:$V$7,AC$7)</f>
        <v>0</v>
      </c>
      <c r="AE114" s="146">
        <f>VLOOKUP($A114,'Summary June 2026'!$A:$HJ,213,FALSE)+VLOOKUP($A114,'Grants+ Other Funding'!$A:$CG,67,FALSE)</f>
        <v>389670.37036091008</v>
      </c>
      <c r="AF114" s="146">
        <f>_xlfn.IFNA(VLOOKUP($A114,'Summary June 2026'!$A:$HJ,214,FALSE)+VLOOKUP($A114,'Grants+ Other Funding'!$A:$CG,68,FALSE),0)</f>
        <v>0</v>
      </c>
      <c r="AG114" s="146">
        <f>_xlfn.IFNA(VLOOKUP($A114,'Summary June 2026'!$A:$HJ,215,FALSE)+VLOOKUP($A114,'Grants+ Other Funding'!$A:$CG,69,FALSE),0)</f>
        <v>13423.4858033241</v>
      </c>
      <c r="AH114" s="146">
        <f>_xlfn.IFNA(VLOOKUP($A114,'Grants+ Other Funding'!$A:$CG,70,FALSE),0)</f>
        <v>0</v>
      </c>
      <c r="AI114" s="146">
        <f>_xlfn.IFNA(VLOOKUP($A114,'Grants+ Other Funding'!$A:$CG,71,FALSE),0)</f>
        <v>0</v>
      </c>
      <c r="AJ114" s="146">
        <f>_xlfn.IFNA(VLOOKUP($A114,'Grants+ Other Funding'!$A:$CG,72,FALSE),0)</f>
        <v>0</v>
      </c>
      <c r="AK114" s="146">
        <f>_xlfn.IFNA(VLOOKUP($A114,'Summary June 2026'!$A:$HJ,217,FALSE),0)</f>
        <v>0</v>
      </c>
      <c r="AL114" s="146">
        <f>_xlfn.IFNA(VLOOKUP($A114,'Grants+ Other Funding'!$A:$CG,74,FALSE),0)</f>
        <v>0</v>
      </c>
      <c r="AM114" s="146">
        <f>_xlfn.IFNA(VLOOKUP($A114,'Summary June 2026'!$A:$HJ,218,FALSE),0)</f>
        <v>0</v>
      </c>
      <c r="AN114" s="146">
        <f>_xlfn.IFNA(VLOOKUP($A114,'Summary June 2026'!$A:$HJ,216,FALSE),0)</f>
        <v>0</v>
      </c>
      <c r="AO114" s="146">
        <f>_xlfn.IFNA(VLOOKUP($A114,'Grants+ Other Funding'!$A:$CG,73,FALSE),0)</f>
        <v>0</v>
      </c>
      <c r="AP114" s="65">
        <f t="shared" si="3"/>
        <v>403093.85616423417</v>
      </c>
    </row>
    <row r="115" spans="1:42">
      <c r="A115" s="198">
        <v>1049</v>
      </c>
      <c r="B115" s="2">
        <v>103145</v>
      </c>
      <c r="C115" s="2" t="s">
        <v>253</v>
      </c>
      <c r="D115" s="2" t="s">
        <v>254</v>
      </c>
      <c r="E115" s="190" t="s">
        <v>36</v>
      </c>
      <c r="F115" s="208" t="str">
        <f>VLOOKUP(A115,'Summary June 2026'!A:F,6,FALSE)</f>
        <v>Chq Bk</v>
      </c>
      <c r="H115" s="273">
        <f>_xlfn.IFNA(VLOOKUP($A115,ISB!$A:$BY,67,FALSE),0)</f>
        <v>0</v>
      </c>
      <c r="I115" s="218">
        <f>_xlfn.IFNA(VLOOKUP($A115,ISB!$A:$BY,72,FALSE),0)</f>
        <v>0</v>
      </c>
      <c r="J115" s="274">
        <f>-_xlfn.IFNA(VLOOKUP($A115,ISB!$A:$BY,76,FALSE),0)</f>
        <v>0</v>
      </c>
      <c r="L115" s="273">
        <f>_xlfn.IFNA(VLOOKUP($A115,EY!$A:$DX,126,FALSE),0)</f>
        <v>635051.77248473221</v>
      </c>
      <c r="M115" s="273">
        <f>_xlfn.IFNA(VLOOKUP($A115,EY!$A:$DX,127,FALSE),0)</f>
        <v>7465.8537396121883</v>
      </c>
      <c r="O115" s="273">
        <f>_xlfn.IFNA(VLOOKUP($A115,HN!$A:$AN,37,FALSE),0)</f>
        <v>0</v>
      </c>
      <c r="P115" s="273">
        <f>_xlfn.IFNA(VLOOKUP($A115,HN!$A:$AN,38,FALSE),0)</f>
        <v>0</v>
      </c>
      <c r="Q115" s="273">
        <f>_xlfn.IFNA(VLOOKUP($A115,HN!$A:$AN,39,FALSE),0)</f>
        <v>10875.83</v>
      </c>
      <c r="S115" s="337">
        <f>_xlfn.IFNA(VLOOKUP(A115,'Post 16'!A:AR,44,FALSE),0)</f>
        <v>0</v>
      </c>
      <c r="U115" s="337"/>
      <c r="V115" s="337">
        <f>VLOOKUP(A115,'LA Deductions'!A:AN,40,FALSE)</f>
        <v>0</v>
      </c>
      <c r="X115" s="274">
        <f>VLOOKUP($A115,'Summary June 2026'!$A:$AAX,206,FALSE)-SUMIFS($H115:$V115,$H$7:$V$7,X$7)</f>
        <v>0</v>
      </c>
      <c r="Y115" s="274">
        <f>VLOOKUP($A115,'Summary June 2026'!$A:$HC,207,FALSE)-SUMIFS($H115:$V115,$H$7:$V$7,Y$7)</f>
        <v>0</v>
      </c>
      <c r="Z115" s="274">
        <f>VLOOKUP($A115,'Summary June 2026'!$A:$HC,208,FALSE)-SUMIFS($H115:$V115,$H$7:$V$7,Z$7)</f>
        <v>0</v>
      </c>
      <c r="AA115" s="274">
        <f>VLOOKUP($A115,'Summary June 2026'!$A:$HC,209,FALSE)-SUMIFS($H115:$V115,$H$7:$V$7,AA$7)</f>
        <v>0</v>
      </c>
      <c r="AB115" s="274">
        <f>VLOOKUP($A115,'Summary June 2026'!$A:$HC,210,FALSE)-SUMIFS($H115:$V115,$H$7:$V$7,AB$7)</f>
        <v>0</v>
      </c>
      <c r="AC115" s="274">
        <f>VLOOKUP($A115,'Summary June 2026'!$A:$HC,211,FALSE)-SUMIFS($H115:$V115,$H$7:$V$7,AC$7)</f>
        <v>0</v>
      </c>
      <c r="AE115" s="146">
        <f>VLOOKUP($A115,'Summary June 2026'!$A:$HJ,213,FALSE)+VLOOKUP($A115,'Grants+ Other Funding'!$A:$CG,67,FALSE)</f>
        <v>481445.85711631115</v>
      </c>
      <c r="AF115" s="146">
        <f>_xlfn.IFNA(VLOOKUP($A115,'Summary June 2026'!$A:$HJ,214,FALSE)+VLOOKUP($A115,'Grants+ Other Funding'!$A:$CG,68,FALSE),0)</f>
        <v>0</v>
      </c>
      <c r="AG115" s="146">
        <f>_xlfn.IFNA(VLOOKUP($A115,'Summary June 2026'!$A:$HJ,215,FALSE)+VLOOKUP($A115,'Grants+ Other Funding'!$A:$CG,69,FALSE),0)</f>
        <v>10961.223989612188</v>
      </c>
      <c r="AH115" s="146">
        <f>_xlfn.IFNA(VLOOKUP($A115,'Grants+ Other Funding'!$A:$CG,70,FALSE),0)</f>
        <v>0</v>
      </c>
      <c r="AI115" s="146">
        <f>_xlfn.IFNA(VLOOKUP($A115,'Grants+ Other Funding'!$A:$CG,71,FALSE),0)</f>
        <v>0</v>
      </c>
      <c r="AJ115" s="146">
        <f>_xlfn.IFNA(VLOOKUP($A115,'Grants+ Other Funding'!$A:$CG,72,FALSE),0)</f>
        <v>0</v>
      </c>
      <c r="AK115" s="146">
        <f>_xlfn.IFNA(VLOOKUP($A115,'Summary June 2026'!$A:$HJ,217,FALSE),0)</f>
        <v>0</v>
      </c>
      <c r="AL115" s="146">
        <f>_xlfn.IFNA(VLOOKUP($A115,'Grants+ Other Funding'!$A:$CG,74,FALSE),0)</f>
        <v>0</v>
      </c>
      <c r="AM115" s="146">
        <f>_xlfn.IFNA(VLOOKUP($A115,'Summary June 2026'!$A:$HJ,218,FALSE),0)</f>
        <v>0</v>
      </c>
      <c r="AN115" s="146">
        <f>_xlfn.IFNA(VLOOKUP($A115,'Summary June 2026'!$A:$HJ,216,FALSE),0)</f>
        <v>0</v>
      </c>
      <c r="AO115" s="146">
        <f>_xlfn.IFNA(VLOOKUP($A115,'Grants+ Other Funding'!$A:$CG,73,FALSE),0)</f>
        <v>0</v>
      </c>
      <c r="AP115" s="65">
        <f t="shared" si="3"/>
        <v>492407.08110592334</v>
      </c>
    </row>
    <row r="116" spans="1:42">
      <c r="A116" s="198">
        <v>3351</v>
      </c>
      <c r="B116" s="2">
        <v>103443</v>
      </c>
      <c r="C116" s="2" t="s">
        <v>255</v>
      </c>
      <c r="D116" s="2" t="s">
        <v>256</v>
      </c>
      <c r="E116" s="190" t="s">
        <v>39</v>
      </c>
      <c r="F116" s="208" t="str">
        <f>VLOOKUP(A116,'Summary June 2026'!A:F,6,FALSE)</f>
        <v>Chq Bk</v>
      </c>
      <c r="H116" s="273">
        <f>_xlfn.IFNA(VLOOKUP($A116,ISB!$A:$BY,67,FALSE),0)</f>
        <v>1328220.780809846</v>
      </c>
      <c r="I116" s="218">
        <f>_xlfn.IFNA(VLOOKUP($A116,ISB!$A:$BY,72,FALSE),0)</f>
        <v>-5129.3999999999996</v>
      </c>
      <c r="J116" s="274">
        <f>-_xlfn.IFNA(VLOOKUP($A116,ISB!$A:$BY,76,FALSE),0)</f>
        <v>-4266.2254999999996</v>
      </c>
      <c r="L116" s="273">
        <f>_xlfn.IFNA(VLOOKUP($A116,EY!$A:$DX,126,FALSE),0)</f>
        <v>73712.042709141271</v>
      </c>
      <c r="M116" s="273">
        <f>_xlfn.IFNA(VLOOKUP($A116,EY!$A:$DX,127,FALSE),0)</f>
        <v>0</v>
      </c>
      <c r="O116" s="273">
        <f>_xlfn.IFNA(VLOOKUP($A116,HN!$A:$AN,37,FALSE),0)</f>
        <v>0</v>
      </c>
      <c r="P116" s="273">
        <f>_xlfn.IFNA(VLOOKUP($A116,HN!$A:$AN,38,FALSE),0)</f>
        <v>0</v>
      </c>
      <c r="Q116" s="273">
        <f>_xlfn.IFNA(VLOOKUP($A116,HN!$A:$AN,39,FALSE),0)</f>
        <v>43566.25</v>
      </c>
      <c r="S116" s="337">
        <f>_xlfn.IFNA(VLOOKUP(A116,'Post 16'!A:AR,44,FALSE),0)</f>
        <v>0</v>
      </c>
      <c r="U116" s="337"/>
      <c r="V116" s="337">
        <f>VLOOKUP(A116,'LA Deductions'!A:AN,40,FALSE)</f>
        <v>0</v>
      </c>
      <c r="X116" s="274">
        <f>VLOOKUP($A116,'Summary June 2026'!$A:$AAX,206,FALSE)-SUMIFS($H116:$V116,$H$7:$V$7,X$7)</f>
        <v>0</v>
      </c>
      <c r="Y116" s="274">
        <f>VLOOKUP($A116,'Summary June 2026'!$A:$HC,207,FALSE)-SUMIFS($H116:$V116,$H$7:$V$7,Y$7)</f>
        <v>0</v>
      </c>
      <c r="Z116" s="274">
        <f>VLOOKUP($A116,'Summary June 2026'!$A:$HC,208,FALSE)-SUMIFS($H116:$V116,$H$7:$V$7,Z$7)</f>
        <v>0</v>
      </c>
      <c r="AA116" s="274">
        <f>VLOOKUP($A116,'Summary June 2026'!$A:$HC,209,FALSE)-SUMIFS($H116:$V116,$H$7:$V$7,AA$7)</f>
        <v>0</v>
      </c>
      <c r="AB116" s="274">
        <f>VLOOKUP($A116,'Summary June 2026'!$A:$HC,210,FALSE)-SUMIFS($H116:$V116,$H$7:$V$7,AB$7)</f>
        <v>0</v>
      </c>
      <c r="AC116" s="274">
        <f>VLOOKUP($A116,'Summary June 2026'!$A:$HC,211,FALSE)-SUMIFS($H116:$V116,$H$7:$V$7,AC$7)</f>
        <v>0</v>
      </c>
      <c r="AE116" s="146">
        <f>VLOOKUP($A116,'Summary June 2026'!$A:$HJ,213,FALSE)+VLOOKUP($A116,'Grants+ Other Funding'!$A:$CG,67,FALSE)</f>
        <v>372696.38664844492</v>
      </c>
      <c r="AF116" s="146">
        <f>_xlfn.IFNA(VLOOKUP($A116,'Summary June 2026'!$A:$HJ,214,FALSE)+VLOOKUP($A116,'Grants+ Other Funding'!$A:$CG,68,FALSE),0)</f>
        <v>-27.5</v>
      </c>
      <c r="AG116" s="146">
        <f>_xlfn.IFNA(VLOOKUP($A116,'Summary June 2026'!$A:$HJ,215,FALSE)+VLOOKUP($A116,'Grants+ Other Funding'!$A:$CG,69,FALSE),0)</f>
        <v>14027.2315</v>
      </c>
      <c r="AH116" s="146">
        <f>_xlfn.IFNA(VLOOKUP($A116,'Grants+ Other Funding'!$A:$CG,70,FALSE),0)</f>
        <v>0</v>
      </c>
      <c r="AI116" s="146">
        <f>_xlfn.IFNA(VLOOKUP($A116,'Grants+ Other Funding'!$A:$CG,71,FALSE),0)</f>
        <v>0</v>
      </c>
      <c r="AJ116" s="146">
        <f>_xlfn.IFNA(VLOOKUP($A116,'Grants+ Other Funding'!$A:$CG,72,FALSE),0)</f>
        <v>0</v>
      </c>
      <c r="AK116" s="146">
        <f>_xlfn.IFNA(VLOOKUP($A116,'Summary June 2026'!$A:$HJ,217,FALSE),0)</f>
        <v>-1066.5563749999999</v>
      </c>
      <c r="AL116" s="146">
        <f>_xlfn.IFNA(VLOOKUP($A116,'Grants+ Other Funding'!$A:$CG,74,FALSE),0)</f>
        <v>0</v>
      </c>
      <c r="AM116" s="146">
        <f>_xlfn.IFNA(VLOOKUP($A116,'Summary June 2026'!$A:$HJ,218,FALSE),0)</f>
        <v>0</v>
      </c>
      <c r="AN116" s="146">
        <f>_xlfn.IFNA(VLOOKUP($A116,'Summary June 2026'!$A:$HJ,216,FALSE),0)</f>
        <v>-1282.3499999999999</v>
      </c>
      <c r="AO116" s="146">
        <f>_xlfn.IFNA(VLOOKUP($A116,'Grants+ Other Funding'!$A:$CG,73,FALSE),0)</f>
        <v>0</v>
      </c>
      <c r="AP116" s="65">
        <f t="shared" si="3"/>
        <v>384347.21177344496</v>
      </c>
    </row>
    <row r="117" spans="1:42">
      <c r="A117" s="198">
        <v>3328</v>
      </c>
      <c r="B117" s="2">
        <v>103430</v>
      </c>
      <c r="C117" s="2" t="s">
        <v>257</v>
      </c>
      <c r="D117" s="2" t="s">
        <v>258</v>
      </c>
      <c r="E117" s="190" t="s">
        <v>39</v>
      </c>
      <c r="F117" s="208" t="str">
        <f>VLOOKUP(A117,'Summary June 2026'!A:F,6,FALSE)</f>
        <v>Chq Bk</v>
      </c>
      <c r="H117" s="273">
        <f>_xlfn.IFNA(VLOOKUP($A117,ISB!$A:$BY,67,FALSE),0)</f>
        <v>1214797.594193914</v>
      </c>
      <c r="I117" s="218">
        <f>_xlfn.IFNA(VLOOKUP($A117,ISB!$A:$BY,72,FALSE),0)</f>
        <v>-5179.2</v>
      </c>
      <c r="J117" s="274">
        <f>-_xlfn.IFNA(VLOOKUP($A117,ISB!$A:$BY,76,FALSE),0)</f>
        <v>-4081.8824</v>
      </c>
      <c r="L117" s="273">
        <f>_xlfn.IFNA(VLOOKUP($A117,EY!$A:$DX,126,FALSE),0)</f>
        <v>15865.422509695291</v>
      </c>
      <c r="M117" s="273">
        <f>_xlfn.IFNA(VLOOKUP($A117,EY!$A:$DX,127,FALSE),0)</f>
        <v>0</v>
      </c>
      <c r="O117" s="273">
        <f>_xlfn.IFNA(VLOOKUP($A117,HN!$A:$AN,37,FALSE),0)</f>
        <v>0</v>
      </c>
      <c r="P117" s="273">
        <f>_xlfn.IFNA(VLOOKUP($A117,HN!$A:$AN,38,FALSE),0)</f>
        <v>0</v>
      </c>
      <c r="Q117" s="273">
        <f>_xlfn.IFNA(VLOOKUP($A117,HN!$A:$AN,39,FALSE),0)</f>
        <v>45678.09</v>
      </c>
      <c r="S117" s="337">
        <f>_xlfn.IFNA(VLOOKUP(A117,'Post 16'!A:AR,44,FALSE),0)</f>
        <v>0</v>
      </c>
      <c r="U117" s="337"/>
      <c r="V117" s="337">
        <f>VLOOKUP(A117,'LA Deductions'!A:AN,40,FALSE)</f>
        <v>0</v>
      </c>
      <c r="X117" s="274">
        <f>VLOOKUP($A117,'Summary June 2026'!$A:$AAX,206,FALSE)-SUMIFS($H117:$V117,$H$7:$V$7,X$7)</f>
        <v>0</v>
      </c>
      <c r="Y117" s="274">
        <f>VLOOKUP($A117,'Summary June 2026'!$A:$HC,207,FALSE)-SUMIFS($H117:$V117,$H$7:$V$7,Y$7)</f>
        <v>0</v>
      </c>
      <c r="Z117" s="274">
        <f>VLOOKUP($A117,'Summary June 2026'!$A:$HC,208,FALSE)-SUMIFS($H117:$V117,$H$7:$V$7,Z$7)</f>
        <v>0</v>
      </c>
      <c r="AA117" s="274">
        <f>VLOOKUP($A117,'Summary June 2026'!$A:$HC,209,FALSE)-SUMIFS($H117:$V117,$H$7:$V$7,AA$7)</f>
        <v>0</v>
      </c>
      <c r="AB117" s="274">
        <f>VLOOKUP($A117,'Summary June 2026'!$A:$HC,210,FALSE)-SUMIFS($H117:$V117,$H$7:$V$7,AB$7)</f>
        <v>0</v>
      </c>
      <c r="AC117" s="274">
        <f>VLOOKUP($A117,'Summary June 2026'!$A:$HC,211,FALSE)-SUMIFS($H117:$V117,$H$7:$V$7,AC$7)</f>
        <v>0</v>
      </c>
      <c r="AE117" s="146">
        <f>VLOOKUP($A117,'Summary June 2026'!$A:$HJ,213,FALSE)+VLOOKUP($A117,'Grants+ Other Funding'!$A:$CG,67,FALSE)</f>
        <v>310846.15505817375</v>
      </c>
      <c r="AF117" s="146">
        <f>_xlfn.IFNA(VLOOKUP($A117,'Summary June 2026'!$A:$HJ,214,FALSE)+VLOOKUP($A117,'Grants+ Other Funding'!$A:$CG,68,FALSE),0)</f>
        <v>-8.1999999999999993</v>
      </c>
      <c r="AG117" s="146">
        <f>_xlfn.IFNA(VLOOKUP($A117,'Summary June 2026'!$A:$HJ,215,FALSE)+VLOOKUP($A117,'Grants+ Other Funding'!$A:$CG,69,FALSE),0)</f>
        <v>18696.23475</v>
      </c>
      <c r="AH117" s="146">
        <f>_xlfn.IFNA(VLOOKUP($A117,'Grants+ Other Funding'!$A:$CG,70,FALSE),0)</f>
        <v>0</v>
      </c>
      <c r="AI117" s="146">
        <f>_xlfn.IFNA(VLOOKUP($A117,'Grants+ Other Funding'!$A:$CG,71,FALSE),0)</f>
        <v>0</v>
      </c>
      <c r="AJ117" s="146">
        <f>_xlfn.IFNA(VLOOKUP($A117,'Grants+ Other Funding'!$A:$CG,72,FALSE),0)</f>
        <v>0</v>
      </c>
      <c r="AK117" s="146">
        <f>_xlfn.IFNA(VLOOKUP($A117,'Summary June 2026'!$A:$HJ,217,FALSE),0)</f>
        <v>-1020.4705999999999</v>
      </c>
      <c r="AL117" s="146">
        <f>_xlfn.IFNA(VLOOKUP($A117,'Grants+ Other Funding'!$A:$CG,74,FALSE),0)</f>
        <v>0</v>
      </c>
      <c r="AM117" s="146">
        <f>_xlfn.IFNA(VLOOKUP($A117,'Summary June 2026'!$A:$HJ,218,FALSE),0)</f>
        <v>0</v>
      </c>
      <c r="AN117" s="146">
        <f>_xlfn.IFNA(VLOOKUP($A117,'Summary June 2026'!$A:$HJ,216,FALSE),0)</f>
        <v>-1294.8</v>
      </c>
      <c r="AO117" s="146">
        <f>_xlfn.IFNA(VLOOKUP($A117,'Grants+ Other Funding'!$A:$CG,73,FALSE),0)</f>
        <v>0</v>
      </c>
      <c r="AP117" s="65">
        <f t="shared" si="3"/>
        <v>327218.91920817376</v>
      </c>
    </row>
    <row r="118" spans="1:42">
      <c r="A118" s="198">
        <v>2150</v>
      </c>
      <c r="B118" s="2">
        <v>103241</v>
      </c>
      <c r="C118" s="2" t="s">
        <v>259</v>
      </c>
      <c r="D118" s="2" t="s">
        <v>260</v>
      </c>
      <c r="E118" s="190" t="s">
        <v>39</v>
      </c>
      <c r="F118" s="208" t="str">
        <f>VLOOKUP(A118,'Summary June 2026'!A:F,6,FALSE)</f>
        <v>Chq Bk</v>
      </c>
      <c r="H118" s="273">
        <f>_xlfn.IFNA(VLOOKUP($A118,ISB!$A:$BY,67,FALSE),0)</f>
        <v>1473503.1122375494</v>
      </c>
      <c r="I118" s="218">
        <f>_xlfn.IFNA(VLOOKUP($A118,ISB!$A:$BY,72,FALSE),0)</f>
        <v>-5552.7</v>
      </c>
      <c r="J118" s="274">
        <f>-_xlfn.IFNA(VLOOKUP($A118,ISB!$A:$BY,76,FALSE),0)</f>
        <v>-36595.2405</v>
      </c>
      <c r="L118" s="273">
        <f>_xlfn.IFNA(VLOOKUP($A118,EY!$A:$DX,126,FALSE),0)</f>
        <v>-17139.805429362881</v>
      </c>
      <c r="M118" s="273">
        <f>_xlfn.IFNA(VLOOKUP($A118,EY!$A:$DX,127,FALSE),0)</f>
        <v>0</v>
      </c>
      <c r="O118" s="273">
        <f>_xlfn.IFNA(VLOOKUP($A118,HN!$A:$AN,37,FALSE),0)</f>
        <v>0</v>
      </c>
      <c r="P118" s="273">
        <f>_xlfn.IFNA(VLOOKUP($A118,HN!$A:$AN,38,FALSE),0)</f>
        <v>0</v>
      </c>
      <c r="Q118" s="273">
        <f>_xlfn.IFNA(VLOOKUP($A118,HN!$A:$AN,39,FALSE),0)</f>
        <v>72754.83</v>
      </c>
      <c r="S118" s="337">
        <f>_xlfn.IFNA(VLOOKUP(A118,'Post 16'!A:AR,44,FALSE),0)</f>
        <v>0</v>
      </c>
      <c r="U118" s="337"/>
      <c r="V118" s="337">
        <f>VLOOKUP(A118,'LA Deductions'!A:AN,40,FALSE)</f>
        <v>0</v>
      </c>
      <c r="X118" s="274">
        <f>VLOOKUP($A118,'Summary June 2026'!$A:$AAX,206,FALSE)-SUMIFS($H118:$V118,$H$7:$V$7,X$7)</f>
        <v>0</v>
      </c>
      <c r="Y118" s="274">
        <f>VLOOKUP($A118,'Summary June 2026'!$A:$HC,207,FALSE)-SUMIFS($H118:$V118,$H$7:$V$7,Y$7)</f>
        <v>0</v>
      </c>
      <c r="Z118" s="274">
        <f>VLOOKUP($A118,'Summary June 2026'!$A:$HC,208,FALSE)-SUMIFS($H118:$V118,$H$7:$V$7,Z$7)</f>
        <v>0</v>
      </c>
      <c r="AA118" s="274">
        <f>VLOOKUP($A118,'Summary June 2026'!$A:$HC,209,FALSE)-SUMIFS($H118:$V118,$H$7:$V$7,AA$7)</f>
        <v>0</v>
      </c>
      <c r="AB118" s="274">
        <f>VLOOKUP($A118,'Summary June 2026'!$A:$HC,210,FALSE)-SUMIFS($H118:$V118,$H$7:$V$7,AB$7)</f>
        <v>0</v>
      </c>
      <c r="AC118" s="274">
        <f>VLOOKUP($A118,'Summary June 2026'!$A:$HC,211,FALSE)-SUMIFS($H118:$V118,$H$7:$V$7,AC$7)</f>
        <v>0</v>
      </c>
      <c r="AE118" s="146">
        <f>VLOOKUP($A118,'Summary June 2026'!$A:$HJ,213,FALSE)+VLOOKUP($A118,'Grants+ Other Funding'!$A:$CG,67,FALSE)</f>
        <v>351235.97263002448</v>
      </c>
      <c r="AF118" s="146">
        <f>_xlfn.IFNA(VLOOKUP($A118,'Summary June 2026'!$A:$HJ,214,FALSE)+VLOOKUP($A118,'Grants+ Other Funding'!$A:$CG,68,FALSE),0)</f>
        <v>-27.23</v>
      </c>
      <c r="AG118" s="146">
        <f>_xlfn.IFNA(VLOOKUP($A118,'Summary June 2026'!$A:$HJ,215,FALSE)+VLOOKUP($A118,'Grants+ Other Funding'!$A:$CG,69,FALSE),0)</f>
        <v>22242.0075</v>
      </c>
      <c r="AH118" s="146">
        <f>_xlfn.IFNA(VLOOKUP($A118,'Grants+ Other Funding'!$A:$CG,70,FALSE),0)</f>
        <v>0</v>
      </c>
      <c r="AI118" s="146">
        <f>_xlfn.IFNA(VLOOKUP($A118,'Grants+ Other Funding'!$A:$CG,71,FALSE),0)</f>
        <v>0</v>
      </c>
      <c r="AJ118" s="146">
        <f>_xlfn.IFNA(VLOOKUP($A118,'Grants+ Other Funding'!$A:$CG,72,FALSE),0)</f>
        <v>0</v>
      </c>
      <c r="AK118" s="146">
        <f>_xlfn.IFNA(VLOOKUP($A118,'Summary June 2026'!$A:$HJ,217,FALSE),0)</f>
        <v>-9148.810125</v>
      </c>
      <c r="AL118" s="146">
        <f>_xlfn.IFNA(VLOOKUP($A118,'Grants+ Other Funding'!$A:$CG,74,FALSE),0)</f>
        <v>0</v>
      </c>
      <c r="AM118" s="146">
        <f>_xlfn.IFNA(VLOOKUP($A118,'Summary June 2026'!$A:$HJ,218,FALSE),0)</f>
        <v>0</v>
      </c>
      <c r="AN118" s="146">
        <f>_xlfn.IFNA(VLOOKUP($A118,'Summary June 2026'!$A:$HJ,216,FALSE),0)</f>
        <v>-1388.175</v>
      </c>
      <c r="AO118" s="146">
        <f>_xlfn.IFNA(VLOOKUP($A118,'Grants+ Other Funding'!$A:$CG,73,FALSE),0)</f>
        <v>0</v>
      </c>
      <c r="AP118" s="65">
        <f t="shared" si="3"/>
        <v>362913.7650050245</v>
      </c>
    </row>
    <row r="119" spans="1:42">
      <c r="A119" s="198">
        <v>2425</v>
      </c>
      <c r="B119" s="2">
        <v>103356</v>
      </c>
      <c r="C119" s="2" t="s">
        <v>261</v>
      </c>
      <c r="D119" s="2" t="s">
        <v>262</v>
      </c>
      <c r="E119" s="190" t="s">
        <v>39</v>
      </c>
      <c r="F119" s="208" t="str">
        <f>VLOOKUP(A119,'Summary June 2026'!A:F,6,FALSE)</f>
        <v>Chq Bk</v>
      </c>
      <c r="H119" s="273">
        <f>_xlfn.IFNA(VLOOKUP($A119,ISB!$A:$BY,67,FALSE),0)</f>
        <v>1145364.9881404089</v>
      </c>
      <c r="I119" s="218">
        <f>_xlfn.IFNA(VLOOKUP($A119,ISB!$A:$BY,72,FALSE),0)</f>
        <v>-5054.7</v>
      </c>
      <c r="J119" s="274">
        <f>-_xlfn.IFNA(VLOOKUP($A119,ISB!$A:$BY,76,FALSE),0)</f>
        <v>-16854.223999999998</v>
      </c>
      <c r="L119" s="273">
        <f>_xlfn.IFNA(VLOOKUP($A119,EY!$A:$DX,126,FALSE),0)</f>
        <v>0</v>
      </c>
      <c r="M119" s="273">
        <f>_xlfn.IFNA(VLOOKUP($A119,EY!$A:$DX,127,FALSE),0)</f>
        <v>0</v>
      </c>
      <c r="O119" s="273">
        <f>_xlfn.IFNA(VLOOKUP($A119,HN!$A:$AN,37,FALSE),0)</f>
        <v>0</v>
      </c>
      <c r="P119" s="273">
        <f>_xlfn.IFNA(VLOOKUP($A119,HN!$A:$AN,38,FALSE),0)</f>
        <v>0</v>
      </c>
      <c r="Q119" s="273">
        <f>_xlfn.IFNA(VLOOKUP($A119,HN!$A:$AN,39,FALSE),0)</f>
        <v>47252</v>
      </c>
      <c r="S119" s="337">
        <f>_xlfn.IFNA(VLOOKUP(A119,'Post 16'!A:AR,44,FALSE),0)</f>
        <v>0</v>
      </c>
      <c r="U119" s="337"/>
      <c r="V119" s="337">
        <f>VLOOKUP(A119,'LA Deductions'!A:AN,40,FALSE)</f>
        <v>0</v>
      </c>
      <c r="X119" s="274">
        <f>VLOOKUP($A119,'Summary June 2026'!$A:$AAX,206,FALSE)-SUMIFS($H119:$V119,$H$7:$V$7,X$7)</f>
        <v>0</v>
      </c>
      <c r="Y119" s="274">
        <f>VLOOKUP($A119,'Summary June 2026'!$A:$HC,207,FALSE)-SUMIFS($H119:$V119,$H$7:$V$7,Y$7)</f>
        <v>0</v>
      </c>
      <c r="Z119" s="274">
        <f>VLOOKUP($A119,'Summary June 2026'!$A:$HC,208,FALSE)-SUMIFS($H119:$V119,$H$7:$V$7,Z$7)</f>
        <v>0</v>
      </c>
      <c r="AA119" s="274">
        <f>VLOOKUP($A119,'Summary June 2026'!$A:$HC,209,FALSE)-SUMIFS($H119:$V119,$H$7:$V$7,AA$7)</f>
        <v>0</v>
      </c>
      <c r="AB119" s="274">
        <f>VLOOKUP($A119,'Summary June 2026'!$A:$HC,210,FALSE)-SUMIFS($H119:$V119,$H$7:$V$7,AB$7)</f>
        <v>0</v>
      </c>
      <c r="AC119" s="274">
        <f>VLOOKUP($A119,'Summary June 2026'!$A:$HC,211,FALSE)-SUMIFS($H119:$V119,$H$7:$V$7,AC$7)</f>
        <v>0</v>
      </c>
      <c r="AE119" s="146">
        <f>VLOOKUP($A119,'Summary June 2026'!$A:$HJ,213,FALSE)+VLOOKUP($A119,'Grants+ Other Funding'!$A:$CG,67,FALSE)</f>
        <v>286341.24703510222</v>
      </c>
      <c r="AF119" s="146">
        <f>_xlfn.IFNA(VLOOKUP($A119,'Summary June 2026'!$A:$HJ,214,FALSE)+VLOOKUP($A119,'Grants+ Other Funding'!$A:$CG,68,FALSE),0)</f>
        <v>-42.69</v>
      </c>
      <c r="AG119" s="146">
        <f>_xlfn.IFNA(VLOOKUP($A119,'Summary June 2026'!$A:$HJ,215,FALSE)+VLOOKUP($A119,'Grants+ Other Funding'!$A:$CG,69,FALSE),0)</f>
        <v>13086.725000000002</v>
      </c>
      <c r="AH119" s="146">
        <f>_xlfn.IFNA(VLOOKUP($A119,'Grants+ Other Funding'!$A:$CG,70,FALSE),0)</f>
        <v>0</v>
      </c>
      <c r="AI119" s="146">
        <f>_xlfn.IFNA(VLOOKUP($A119,'Grants+ Other Funding'!$A:$CG,71,FALSE),0)</f>
        <v>0</v>
      </c>
      <c r="AJ119" s="146">
        <f>_xlfn.IFNA(VLOOKUP($A119,'Grants+ Other Funding'!$A:$CG,72,FALSE),0)</f>
        <v>0</v>
      </c>
      <c r="AK119" s="146">
        <f>_xlfn.IFNA(VLOOKUP($A119,'Summary June 2026'!$A:$HJ,217,FALSE),0)</f>
        <v>-4213.5559999999996</v>
      </c>
      <c r="AL119" s="146">
        <f>_xlfn.IFNA(VLOOKUP($A119,'Grants+ Other Funding'!$A:$CG,74,FALSE),0)</f>
        <v>0</v>
      </c>
      <c r="AM119" s="146">
        <f>_xlfn.IFNA(VLOOKUP($A119,'Summary June 2026'!$A:$HJ,218,FALSE),0)</f>
        <v>0</v>
      </c>
      <c r="AN119" s="146">
        <f>_xlfn.IFNA(VLOOKUP($A119,'Summary June 2026'!$A:$HJ,216,FALSE),0)</f>
        <v>-1263.675</v>
      </c>
      <c r="AO119" s="146">
        <f>_xlfn.IFNA(VLOOKUP($A119,'Grants+ Other Funding'!$A:$CG,73,FALSE),0)</f>
        <v>0</v>
      </c>
      <c r="AP119" s="65">
        <f t="shared" si="3"/>
        <v>293908.05103510222</v>
      </c>
    </row>
    <row r="120" spans="1:42">
      <c r="A120" s="198">
        <v>1008</v>
      </c>
      <c r="B120" s="2">
        <v>103123</v>
      </c>
      <c r="C120" s="2" t="s">
        <v>263</v>
      </c>
      <c r="D120" s="2" t="s">
        <v>264</v>
      </c>
      <c r="E120" s="190" t="s">
        <v>36</v>
      </c>
      <c r="F120" s="208" t="str">
        <f>VLOOKUP(A120,'Summary June 2026'!A:F,6,FALSE)</f>
        <v>Chq Bk</v>
      </c>
      <c r="H120" s="273">
        <f>_xlfn.IFNA(VLOOKUP($A120,ISB!$A:$BY,67,FALSE),0)</f>
        <v>0</v>
      </c>
      <c r="I120" s="218">
        <f>_xlfn.IFNA(VLOOKUP($A120,ISB!$A:$BY,72,FALSE),0)</f>
        <v>0</v>
      </c>
      <c r="J120" s="274">
        <f>-_xlfn.IFNA(VLOOKUP($A120,ISB!$A:$BY,76,FALSE),0)</f>
        <v>0</v>
      </c>
      <c r="L120" s="273">
        <f>_xlfn.IFNA(VLOOKUP($A120,EY!$A:$DX,126,FALSE),0)</f>
        <v>388351.76908240543</v>
      </c>
      <c r="M120" s="273">
        <f>_xlfn.IFNA(VLOOKUP($A120,EY!$A:$DX,127,FALSE),0)</f>
        <v>705.1678670360111</v>
      </c>
      <c r="O120" s="273">
        <f>_xlfn.IFNA(VLOOKUP($A120,HN!$A:$AN,37,FALSE),0)</f>
        <v>0</v>
      </c>
      <c r="P120" s="273">
        <f>_xlfn.IFNA(VLOOKUP($A120,HN!$A:$AN,38,FALSE),0)</f>
        <v>0</v>
      </c>
      <c r="Q120" s="273">
        <f>_xlfn.IFNA(VLOOKUP($A120,HN!$A:$AN,39,FALSE),0)</f>
        <v>0</v>
      </c>
      <c r="S120" s="337">
        <f>_xlfn.IFNA(VLOOKUP(A120,'Post 16'!A:AR,44,FALSE),0)</f>
        <v>0</v>
      </c>
      <c r="U120" s="337"/>
      <c r="V120" s="337">
        <f>VLOOKUP(A120,'LA Deductions'!A:AN,40,FALSE)</f>
        <v>0</v>
      </c>
      <c r="X120" s="274">
        <f>VLOOKUP($A120,'Summary June 2026'!$A:$AAX,206,FALSE)-SUMIFS($H120:$V120,$H$7:$V$7,X$7)</f>
        <v>0</v>
      </c>
      <c r="Y120" s="274">
        <f>VLOOKUP($A120,'Summary June 2026'!$A:$HC,207,FALSE)-SUMIFS($H120:$V120,$H$7:$V$7,Y$7)</f>
        <v>0</v>
      </c>
      <c r="Z120" s="274">
        <f>VLOOKUP($A120,'Summary June 2026'!$A:$HC,208,FALSE)-SUMIFS($H120:$V120,$H$7:$V$7,Z$7)</f>
        <v>0</v>
      </c>
      <c r="AA120" s="274">
        <f>VLOOKUP($A120,'Summary June 2026'!$A:$HC,209,FALSE)-SUMIFS($H120:$V120,$H$7:$V$7,AA$7)</f>
        <v>0</v>
      </c>
      <c r="AB120" s="274">
        <f>VLOOKUP($A120,'Summary June 2026'!$A:$HC,210,FALSE)-SUMIFS($H120:$V120,$H$7:$V$7,AB$7)</f>
        <v>0</v>
      </c>
      <c r="AC120" s="274">
        <f>VLOOKUP($A120,'Summary June 2026'!$A:$HC,211,FALSE)-SUMIFS($H120:$V120,$H$7:$V$7,AC$7)</f>
        <v>0</v>
      </c>
      <c r="AE120" s="146">
        <f>VLOOKUP($A120,'Summary June 2026'!$A:$HJ,213,FALSE)+VLOOKUP($A120,'Grants+ Other Funding'!$A:$CG,67,FALSE)</f>
        <v>307616.05518766859</v>
      </c>
      <c r="AF120" s="146">
        <f>_xlfn.IFNA(VLOOKUP($A120,'Summary June 2026'!$A:$HJ,214,FALSE)+VLOOKUP($A120,'Grants+ Other Funding'!$A:$CG,68,FALSE),0)</f>
        <v>-25.85</v>
      </c>
      <c r="AG120" s="146">
        <f>_xlfn.IFNA(VLOOKUP($A120,'Summary June 2026'!$A:$HJ,215,FALSE)+VLOOKUP($A120,'Grants+ Other Funding'!$A:$CG,69,FALSE),0)</f>
        <v>705.1678670360111</v>
      </c>
      <c r="AH120" s="146">
        <f>_xlfn.IFNA(VLOOKUP($A120,'Grants+ Other Funding'!$A:$CG,70,FALSE),0)</f>
        <v>0</v>
      </c>
      <c r="AI120" s="146">
        <f>_xlfn.IFNA(VLOOKUP($A120,'Grants+ Other Funding'!$A:$CG,71,FALSE),0)</f>
        <v>0</v>
      </c>
      <c r="AJ120" s="146">
        <f>_xlfn.IFNA(VLOOKUP($A120,'Grants+ Other Funding'!$A:$CG,72,FALSE),0)</f>
        <v>0</v>
      </c>
      <c r="AK120" s="146">
        <f>_xlfn.IFNA(VLOOKUP($A120,'Summary June 2026'!$A:$HJ,217,FALSE),0)</f>
        <v>0</v>
      </c>
      <c r="AL120" s="146">
        <f>_xlfn.IFNA(VLOOKUP($A120,'Grants+ Other Funding'!$A:$CG,74,FALSE),0)</f>
        <v>0</v>
      </c>
      <c r="AM120" s="146">
        <f>_xlfn.IFNA(VLOOKUP($A120,'Summary June 2026'!$A:$HJ,218,FALSE),0)</f>
        <v>0</v>
      </c>
      <c r="AN120" s="146">
        <f>_xlfn.IFNA(VLOOKUP($A120,'Summary June 2026'!$A:$HJ,216,FALSE),0)</f>
        <v>0</v>
      </c>
      <c r="AO120" s="146">
        <f>_xlfn.IFNA(VLOOKUP($A120,'Grants+ Other Funding'!$A:$CG,73,FALSE),0)</f>
        <v>0</v>
      </c>
      <c r="AP120" s="65">
        <f t="shared" si="3"/>
        <v>308295.37305470463</v>
      </c>
    </row>
    <row r="121" spans="1:42">
      <c r="A121" s="198">
        <v>7034</v>
      </c>
      <c r="B121" s="2">
        <v>103614</v>
      </c>
      <c r="C121" s="2" t="s">
        <v>265</v>
      </c>
      <c r="D121" s="2" t="s">
        <v>266</v>
      </c>
      <c r="E121" s="190" t="s">
        <v>56</v>
      </c>
      <c r="F121" s="208" t="str">
        <f>VLOOKUP(A121,'Summary June 2026'!A:F,6,FALSE)</f>
        <v>Chq Bk</v>
      </c>
      <c r="H121" s="273">
        <f>_xlfn.IFNA(VLOOKUP($A121,ISB!$A:$BY,67,FALSE),0)</f>
        <v>0</v>
      </c>
      <c r="I121" s="218">
        <f>_xlfn.IFNA(VLOOKUP($A121,ISB!$A:$BY,72,FALSE),0)</f>
        <v>0</v>
      </c>
      <c r="J121" s="274">
        <f>-_xlfn.IFNA(VLOOKUP($A121,ISB!$A:$BY,76,FALSE),0)</f>
        <v>0</v>
      </c>
      <c r="L121" s="273">
        <f>_xlfn.IFNA(VLOOKUP($A121,EY!$A:$DX,126,FALSE),0)</f>
        <v>0</v>
      </c>
      <c r="M121" s="273">
        <f>_xlfn.IFNA(VLOOKUP($A121,EY!$A:$DX,127,FALSE),0)</f>
        <v>0</v>
      </c>
      <c r="O121" s="273">
        <f>_xlfn.IFNA(VLOOKUP($A121,HN!$A:$AN,37,FALSE),0)</f>
        <v>690000</v>
      </c>
      <c r="P121" s="273">
        <f>_xlfn.IFNA(VLOOKUP($A121,HN!$A:$AN,38,FALSE),0)</f>
        <v>210000</v>
      </c>
      <c r="Q121" s="273">
        <f>_xlfn.IFNA(VLOOKUP($A121,HN!$A:$AN,39,FALSE),0)</f>
        <v>1574504.1400000001</v>
      </c>
      <c r="S121" s="337">
        <f>_xlfn.IFNA(VLOOKUP(A121,'Post 16'!A:AR,44,FALSE),0)</f>
        <v>0</v>
      </c>
      <c r="U121" s="337"/>
      <c r="V121" s="337">
        <f>VLOOKUP(A121,'LA Deductions'!A:AN,40,FALSE)</f>
        <v>0</v>
      </c>
      <c r="X121" s="274">
        <f>VLOOKUP($A121,'Summary June 2026'!$A:$AAX,206,FALSE)-SUMIFS($H121:$V121,$H$7:$V$7,X$7)</f>
        <v>0</v>
      </c>
      <c r="Y121" s="274">
        <f>VLOOKUP($A121,'Summary June 2026'!$A:$HC,207,FALSE)-SUMIFS($H121:$V121,$H$7:$V$7,Y$7)</f>
        <v>0</v>
      </c>
      <c r="Z121" s="274">
        <f>VLOOKUP($A121,'Summary June 2026'!$A:$HC,208,FALSE)-SUMIFS($H121:$V121,$H$7:$V$7,Z$7)</f>
        <v>0</v>
      </c>
      <c r="AA121" s="274">
        <f>VLOOKUP($A121,'Summary June 2026'!$A:$HC,209,FALSE)-SUMIFS($H121:$V121,$H$7:$V$7,AA$7)</f>
        <v>0</v>
      </c>
      <c r="AB121" s="274">
        <f>VLOOKUP($A121,'Summary June 2026'!$A:$HC,210,FALSE)-SUMIFS($H121:$V121,$H$7:$V$7,AB$7)</f>
        <v>0</v>
      </c>
      <c r="AC121" s="274">
        <f>VLOOKUP($A121,'Summary June 2026'!$A:$HC,211,FALSE)-SUMIFS($H121:$V121,$H$7:$V$7,AC$7)</f>
        <v>0</v>
      </c>
      <c r="AE121" s="146">
        <f>VLOOKUP($A121,'Summary June 2026'!$A:$HJ,213,FALSE)+VLOOKUP($A121,'Grants+ Other Funding'!$A:$CG,67,FALSE)</f>
        <v>174105.37</v>
      </c>
      <c r="AF121" s="146">
        <f>_xlfn.IFNA(VLOOKUP($A121,'Summary June 2026'!$A:$HJ,214,FALSE)+VLOOKUP($A121,'Grants+ Other Funding'!$A:$CG,68,FALSE),0)</f>
        <v>52462.49</v>
      </c>
      <c r="AG121" s="146">
        <f>_xlfn.IFNA(VLOOKUP($A121,'Summary June 2026'!$A:$HJ,215,FALSE)+VLOOKUP($A121,'Grants+ Other Funding'!$A:$CG,69,FALSE),0)</f>
        <v>393626.03500000003</v>
      </c>
      <c r="AH121" s="146">
        <f>_xlfn.IFNA(VLOOKUP($A121,'Grants+ Other Funding'!$A:$CG,70,FALSE),0)</f>
        <v>0</v>
      </c>
      <c r="AI121" s="146">
        <f>_xlfn.IFNA(VLOOKUP($A121,'Grants+ Other Funding'!$A:$CG,71,FALSE),0)</f>
        <v>0</v>
      </c>
      <c r="AJ121" s="146">
        <f>_xlfn.IFNA(VLOOKUP($A121,'Grants+ Other Funding'!$A:$CG,72,FALSE),0)</f>
        <v>0</v>
      </c>
      <c r="AK121" s="146">
        <f>_xlfn.IFNA(VLOOKUP($A121,'Summary June 2026'!$A:$HJ,217,FALSE),0)</f>
        <v>0</v>
      </c>
      <c r="AL121" s="146">
        <f>_xlfn.IFNA(VLOOKUP($A121,'Grants+ Other Funding'!$A:$CG,74,FALSE),0)</f>
        <v>0</v>
      </c>
      <c r="AM121" s="146">
        <f>_xlfn.IFNA(VLOOKUP($A121,'Summary June 2026'!$A:$HJ,218,FALSE),0)</f>
        <v>0</v>
      </c>
      <c r="AN121" s="146">
        <f>_xlfn.IFNA(VLOOKUP($A121,'Summary June 2026'!$A:$HJ,216,FALSE),0)</f>
        <v>0</v>
      </c>
      <c r="AO121" s="146">
        <f>_xlfn.IFNA(VLOOKUP($A121,'Grants+ Other Funding'!$A:$CG,73,FALSE),0)</f>
        <v>0</v>
      </c>
      <c r="AP121" s="65">
        <f t="shared" si="3"/>
        <v>620193.89500000002</v>
      </c>
    </row>
    <row r="122" spans="1:42">
      <c r="A122" s="198">
        <v>4173</v>
      </c>
      <c r="B122" s="2">
        <v>103497</v>
      </c>
      <c r="C122" s="2" t="s">
        <v>267</v>
      </c>
      <c r="D122" s="2" t="s">
        <v>268</v>
      </c>
      <c r="E122" s="190" t="s">
        <v>71</v>
      </c>
      <c r="F122" s="208" t="str">
        <f>VLOOKUP(A122,'Summary June 2026'!A:F,6,FALSE)</f>
        <v>Chq Bk</v>
      </c>
      <c r="H122" s="273">
        <f>_xlfn.IFNA(VLOOKUP($A122,ISB!$A:$BY,67,FALSE),0)</f>
        <v>7066510.5123640643</v>
      </c>
      <c r="I122" s="218">
        <f>_xlfn.IFNA(VLOOKUP($A122,ISB!$A:$BY,72,FALSE),0)</f>
        <v>-17842.5</v>
      </c>
      <c r="J122" s="274">
        <f>-_xlfn.IFNA(VLOOKUP($A122,ISB!$A:$BY,76,FALSE),0)</f>
        <v>-24089.465400000001</v>
      </c>
      <c r="L122" s="273">
        <f>_xlfn.IFNA(VLOOKUP($A122,EY!$A:$DX,126,FALSE),0)</f>
        <v>0</v>
      </c>
      <c r="M122" s="273">
        <f>_xlfn.IFNA(VLOOKUP($A122,EY!$A:$DX,127,FALSE),0)</f>
        <v>0</v>
      </c>
      <c r="O122" s="273">
        <f>_xlfn.IFNA(VLOOKUP($A122,HN!$A:$AN,37,FALSE),0)</f>
        <v>0</v>
      </c>
      <c r="P122" s="273">
        <f>_xlfn.IFNA(VLOOKUP($A122,HN!$A:$AN,38,FALSE),0)</f>
        <v>0</v>
      </c>
      <c r="Q122" s="273">
        <f>_xlfn.IFNA(VLOOKUP($A122,HN!$A:$AN,39,FALSE),0)</f>
        <v>238031.67</v>
      </c>
      <c r="S122" s="337">
        <f>_xlfn.IFNA(VLOOKUP(A122,'Post 16'!A:AR,44,FALSE),0)</f>
        <v>0</v>
      </c>
      <c r="U122" s="337"/>
      <c r="V122" s="337">
        <f>VLOOKUP(A122,'LA Deductions'!A:AN,40,FALSE)</f>
        <v>0</v>
      </c>
      <c r="X122" s="274">
        <f>VLOOKUP($A122,'Summary June 2026'!$A:$AAX,206,FALSE)-SUMIFS($H122:$V122,$H$7:$V$7,X$7)</f>
        <v>0</v>
      </c>
      <c r="Y122" s="274">
        <f>VLOOKUP($A122,'Summary June 2026'!$A:$HC,207,FALSE)-SUMIFS($H122:$V122,$H$7:$V$7,Y$7)</f>
        <v>0</v>
      </c>
      <c r="Z122" s="274">
        <f>VLOOKUP($A122,'Summary June 2026'!$A:$HC,208,FALSE)-SUMIFS($H122:$V122,$H$7:$V$7,Z$7)</f>
        <v>0</v>
      </c>
      <c r="AA122" s="274">
        <f>VLOOKUP($A122,'Summary June 2026'!$A:$HC,209,FALSE)-SUMIFS($H122:$V122,$H$7:$V$7,AA$7)</f>
        <v>0</v>
      </c>
      <c r="AB122" s="274">
        <f>VLOOKUP($A122,'Summary June 2026'!$A:$HC,210,FALSE)-SUMIFS($H122:$V122,$H$7:$V$7,AB$7)</f>
        <v>0</v>
      </c>
      <c r="AC122" s="274">
        <f>VLOOKUP($A122,'Summary June 2026'!$A:$HC,211,FALSE)-SUMIFS($H122:$V122,$H$7:$V$7,AC$7)</f>
        <v>0</v>
      </c>
      <c r="AE122" s="146">
        <f>VLOOKUP($A122,'Summary June 2026'!$A:$HJ,213,FALSE)+VLOOKUP($A122,'Grants+ Other Funding'!$A:$CG,67,FALSE)</f>
        <v>1766627.6280910161</v>
      </c>
      <c r="AF122" s="146">
        <f>_xlfn.IFNA(VLOOKUP($A122,'Summary June 2026'!$A:$HJ,214,FALSE)+VLOOKUP($A122,'Grants+ Other Funding'!$A:$CG,68,FALSE),0)</f>
        <v>0</v>
      </c>
      <c r="AG122" s="146">
        <f>_xlfn.IFNA(VLOOKUP($A122,'Summary June 2026'!$A:$HJ,215,FALSE)+VLOOKUP($A122,'Grants+ Other Funding'!$A:$CG,69,FALSE),0)</f>
        <v>71838.579750000004</v>
      </c>
      <c r="AH122" s="146">
        <f>_xlfn.IFNA(VLOOKUP($A122,'Grants+ Other Funding'!$A:$CG,70,FALSE),0)</f>
        <v>0</v>
      </c>
      <c r="AI122" s="146">
        <f>_xlfn.IFNA(VLOOKUP($A122,'Grants+ Other Funding'!$A:$CG,71,FALSE),0)</f>
        <v>0</v>
      </c>
      <c r="AJ122" s="146">
        <f>_xlfn.IFNA(VLOOKUP($A122,'Grants+ Other Funding'!$A:$CG,72,FALSE),0)</f>
        <v>0</v>
      </c>
      <c r="AK122" s="146">
        <f>_xlfn.IFNA(VLOOKUP($A122,'Summary June 2026'!$A:$HJ,217,FALSE),0)</f>
        <v>-6022.3663500000002</v>
      </c>
      <c r="AL122" s="146">
        <f>_xlfn.IFNA(VLOOKUP($A122,'Grants+ Other Funding'!$A:$CG,74,FALSE),0)</f>
        <v>0</v>
      </c>
      <c r="AM122" s="146">
        <f>_xlfn.IFNA(VLOOKUP($A122,'Summary June 2026'!$A:$HJ,218,FALSE),0)</f>
        <v>0</v>
      </c>
      <c r="AN122" s="146">
        <f>_xlfn.IFNA(VLOOKUP($A122,'Summary June 2026'!$A:$HJ,216,FALSE),0)</f>
        <v>-4460.625</v>
      </c>
      <c r="AO122" s="146">
        <f>_xlfn.IFNA(VLOOKUP($A122,'Grants+ Other Funding'!$A:$CG,73,FALSE),0)</f>
        <v>0</v>
      </c>
      <c r="AP122" s="65">
        <f t="shared" si="3"/>
        <v>1827983.2164910161</v>
      </c>
    </row>
    <row r="123" spans="1:42">
      <c r="A123" s="198">
        <v>2157</v>
      </c>
      <c r="B123" s="2">
        <v>103246</v>
      </c>
      <c r="C123" s="2" t="s">
        <v>269</v>
      </c>
      <c r="D123" s="2" t="s">
        <v>270</v>
      </c>
      <c r="E123" s="190" t="s">
        <v>39</v>
      </c>
      <c r="F123" s="208" t="str">
        <f>VLOOKUP(A123,'Summary June 2026'!A:F,6,FALSE)</f>
        <v>Chq Bk</v>
      </c>
      <c r="H123" s="273">
        <f>_xlfn.IFNA(VLOOKUP($A123,ISB!$A:$BY,67,FALSE),0)</f>
        <v>2047081.3519216992</v>
      </c>
      <c r="I123" s="218">
        <f>_xlfn.IFNA(VLOOKUP($A123,ISB!$A:$BY,72,FALSE),0)</f>
        <v>-9163.1999999999989</v>
      </c>
      <c r="J123" s="274">
        <f>-_xlfn.IFNA(VLOOKUP($A123,ISB!$A:$BY,76,FALSE),0)</f>
        <v>-41493.815999999999</v>
      </c>
      <c r="L123" s="273">
        <f>_xlfn.IFNA(VLOOKUP($A123,EY!$A:$DX,126,FALSE),0)</f>
        <v>61931.77313019392</v>
      </c>
      <c r="M123" s="273">
        <f>_xlfn.IFNA(VLOOKUP($A123,EY!$A:$DX,127,FALSE),0)</f>
        <v>0</v>
      </c>
      <c r="O123" s="273">
        <f>_xlfn.IFNA(VLOOKUP($A123,HN!$A:$AN,37,FALSE),0)</f>
        <v>0</v>
      </c>
      <c r="P123" s="273">
        <f>_xlfn.IFNA(VLOOKUP($A123,HN!$A:$AN,38,FALSE),0)</f>
        <v>0</v>
      </c>
      <c r="Q123" s="273">
        <f>_xlfn.IFNA(VLOOKUP($A123,HN!$A:$AN,39,FALSE),0)</f>
        <v>20072.830000000002</v>
      </c>
      <c r="S123" s="337">
        <f>_xlfn.IFNA(VLOOKUP(A123,'Post 16'!A:AR,44,FALSE),0)</f>
        <v>0</v>
      </c>
      <c r="U123" s="337"/>
      <c r="V123" s="337">
        <f>VLOOKUP(A123,'LA Deductions'!A:AN,40,FALSE)</f>
        <v>0</v>
      </c>
      <c r="X123" s="274">
        <f>VLOOKUP($A123,'Summary June 2026'!$A:$AAX,206,FALSE)-SUMIFS($H123:$V123,$H$7:$V$7,X$7)</f>
        <v>0</v>
      </c>
      <c r="Y123" s="274">
        <f>VLOOKUP($A123,'Summary June 2026'!$A:$HC,207,FALSE)-SUMIFS($H123:$V123,$H$7:$V$7,Y$7)</f>
        <v>0</v>
      </c>
      <c r="Z123" s="274">
        <f>VLOOKUP($A123,'Summary June 2026'!$A:$HC,208,FALSE)-SUMIFS($H123:$V123,$H$7:$V$7,Z$7)</f>
        <v>0</v>
      </c>
      <c r="AA123" s="274">
        <f>VLOOKUP($A123,'Summary June 2026'!$A:$HC,209,FALSE)-SUMIFS($H123:$V123,$H$7:$V$7,AA$7)</f>
        <v>0</v>
      </c>
      <c r="AB123" s="274">
        <f>VLOOKUP($A123,'Summary June 2026'!$A:$HC,210,FALSE)-SUMIFS($H123:$V123,$H$7:$V$7,AB$7)</f>
        <v>0</v>
      </c>
      <c r="AC123" s="274">
        <f>VLOOKUP($A123,'Summary June 2026'!$A:$HC,211,FALSE)-SUMIFS($H123:$V123,$H$7:$V$7,AC$7)</f>
        <v>0</v>
      </c>
      <c r="AE123" s="146">
        <f>VLOOKUP($A123,'Summary June 2026'!$A:$HJ,213,FALSE)+VLOOKUP($A123,'Grants+ Other Funding'!$A:$CG,67,FALSE)</f>
        <v>541921.79111061874</v>
      </c>
      <c r="AF123" s="146">
        <f>_xlfn.IFNA(VLOOKUP($A123,'Summary June 2026'!$A:$HJ,214,FALSE)+VLOOKUP($A123,'Grants+ Other Funding'!$A:$CG,68,FALSE),0)</f>
        <v>-80.099999999999994</v>
      </c>
      <c r="AG123" s="146">
        <f>_xlfn.IFNA(VLOOKUP($A123,'Summary June 2026'!$A:$HJ,215,FALSE)+VLOOKUP($A123,'Grants+ Other Funding'!$A:$CG,69,FALSE),0)</f>
        <v>7584.1450000000004</v>
      </c>
      <c r="AH123" s="146">
        <f>_xlfn.IFNA(VLOOKUP($A123,'Grants+ Other Funding'!$A:$CG,70,FALSE),0)</f>
        <v>0</v>
      </c>
      <c r="AI123" s="146">
        <f>_xlfn.IFNA(VLOOKUP($A123,'Grants+ Other Funding'!$A:$CG,71,FALSE),0)</f>
        <v>0</v>
      </c>
      <c r="AJ123" s="146">
        <f>_xlfn.IFNA(VLOOKUP($A123,'Grants+ Other Funding'!$A:$CG,72,FALSE),0)</f>
        <v>0</v>
      </c>
      <c r="AK123" s="146">
        <f>_xlfn.IFNA(VLOOKUP($A123,'Summary June 2026'!$A:$HJ,217,FALSE),0)</f>
        <v>-10373.454</v>
      </c>
      <c r="AL123" s="146">
        <f>_xlfn.IFNA(VLOOKUP($A123,'Grants+ Other Funding'!$A:$CG,74,FALSE),0)</f>
        <v>0</v>
      </c>
      <c r="AM123" s="146">
        <f>_xlfn.IFNA(VLOOKUP($A123,'Summary June 2026'!$A:$HJ,218,FALSE),0)</f>
        <v>0</v>
      </c>
      <c r="AN123" s="146">
        <f>_xlfn.IFNA(VLOOKUP($A123,'Summary June 2026'!$A:$HJ,216,FALSE),0)</f>
        <v>-2290.7999999999997</v>
      </c>
      <c r="AO123" s="146">
        <f>_xlfn.IFNA(VLOOKUP($A123,'Grants+ Other Funding'!$A:$CG,73,FALSE),0)</f>
        <v>0</v>
      </c>
      <c r="AP123" s="65">
        <f t="shared" si="3"/>
        <v>536761.58211061871</v>
      </c>
    </row>
    <row r="124" spans="1:42">
      <c r="A124" s="198">
        <v>2159</v>
      </c>
      <c r="B124" s="2">
        <v>103247</v>
      </c>
      <c r="C124" s="2" t="s">
        <v>271</v>
      </c>
      <c r="D124" s="2" t="s">
        <v>272</v>
      </c>
      <c r="E124" s="190" t="s">
        <v>39</v>
      </c>
      <c r="F124" s="208" t="str">
        <f>VLOOKUP(A124,'Summary June 2026'!A:F,6,FALSE)</f>
        <v>Chq Bk</v>
      </c>
      <c r="H124" s="273">
        <f>_xlfn.IFNA(VLOOKUP($A124,ISB!$A:$BY,67,FALSE),0)</f>
        <v>1407870.681886483</v>
      </c>
      <c r="I124" s="218">
        <f>_xlfn.IFNA(VLOOKUP($A124,ISB!$A:$BY,72,FALSE),0)</f>
        <v>-5054.7</v>
      </c>
      <c r="J124" s="274">
        <f>-_xlfn.IFNA(VLOOKUP($A124,ISB!$A:$BY,76,FALSE),0)</f>
        <v>-20014.391</v>
      </c>
      <c r="L124" s="273">
        <f>_xlfn.IFNA(VLOOKUP($A124,EY!$A:$DX,126,FALSE),0)</f>
        <v>0</v>
      </c>
      <c r="M124" s="273">
        <f>_xlfn.IFNA(VLOOKUP($A124,EY!$A:$DX,127,FALSE),0)</f>
        <v>0</v>
      </c>
      <c r="O124" s="273">
        <f>_xlfn.IFNA(VLOOKUP($A124,HN!$A:$AN,37,FALSE),0)</f>
        <v>0</v>
      </c>
      <c r="P124" s="273">
        <f>_xlfn.IFNA(VLOOKUP($A124,HN!$A:$AN,38,FALSE),0)</f>
        <v>0</v>
      </c>
      <c r="Q124" s="273">
        <f>_xlfn.IFNA(VLOOKUP($A124,HN!$A:$AN,39,FALSE),0)</f>
        <v>39921.839999999997</v>
      </c>
      <c r="S124" s="337">
        <f>_xlfn.IFNA(VLOOKUP(A124,'Post 16'!A:AR,44,FALSE),0)</f>
        <v>0</v>
      </c>
      <c r="U124" s="337"/>
      <c r="V124" s="337">
        <f>VLOOKUP(A124,'LA Deductions'!A:AN,40,FALSE)</f>
        <v>0</v>
      </c>
      <c r="X124" s="274">
        <f>VLOOKUP($A124,'Summary June 2026'!$A:$AAX,206,FALSE)-SUMIFS($H124:$V124,$H$7:$V$7,X$7)</f>
        <v>0</v>
      </c>
      <c r="Y124" s="274">
        <f>VLOOKUP($A124,'Summary June 2026'!$A:$HC,207,FALSE)-SUMIFS($H124:$V124,$H$7:$V$7,Y$7)</f>
        <v>0</v>
      </c>
      <c r="Z124" s="274">
        <f>VLOOKUP($A124,'Summary June 2026'!$A:$HC,208,FALSE)-SUMIFS($H124:$V124,$H$7:$V$7,Z$7)</f>
        <v>0</v>
      </c>
      <c r="AA124" s="274">
        <f>VLOOKUP($A124,'Summary June 2026'!$A:$HC,209,FALSE)-SUMIFS($H124:$V124,$H$7:$V$7,AA$7)</f>
        <v>0</v>
      </c>
      <c r="AB124" s="274">
        <f>VLOOKUP($A124,'Summary June 2026'!$A:$HC,210,FALSE)-SUMIFS($H124:$V124,$H$7:$V$7,AB$7)</f>
        <v>0</v>
      </c>
      <c r="AC124" s="274">
        <f>VLOOKUP($A124,'Summary June 2026'!$A:$HC,211,FALSE)-SUMIFS($H124:$V124,$H$7:$V$7,AC$7)</f>
        <v>0</v>
      </c>
      <c r="AE124" s="146">
        <f>VLOOKUP($A124,'Summary June 2026'!$A:$HJ,213,FALSE)+VLOOKUP($A124,'Grants+ Other Funding'!$A:$CG,67,FALSE)</f>
        <v>352506.65047162073</v>
      </c>
      <c r="AF124" s="146">
        <f>_xlfn.IFNA(VLOOKUP($A124,'Summary June 2026'!$A:$HJ,214,FALSE)+VLOOKUP($A124,'Grants+ Other Funding'!$A:$CG,68,FALSE),0)</f>
        <v>-2.16</v>
      </c>
      <c r="AG124" s="146">
        <f>_xlfn.IFNA(VLOOKUP($A124,'Summary June 2026'!$A:$HJ,215,FALSE)+VLOOKUP($A124,'Grants+ Other Funding'!$A:$CG,69,FALSE),0)</f>
        <v>15522.834749999998</v>
      </c>
      <c r="AH124" s="146">
        <f>_xlfn.IFNA(VLOOKUP($A124,'Grants+ Other Funding'!$A:$CG,70,FALSE),0)</f>
        <v>0</v>
      </c>
      <c r="AI124" s="146">
        <f>_xlfn.IFNA(VLOOKUP($A124,'Grants+ Other Funding'!$A:$CG,71,FALSE),0)</f>
        <v>0</v>
      </c>
      <c r="AJ124" s="146">
        <f>_xlfn.IFNA(VLOOKUP($A124,'Grants+ Other Funding'!$A:$CG,72,FALSE),0)</f>
        <v>0</v>
      </c>
      <c r="AK124" s="146">
        <f>_xlfn.IFNA(VLOOKUP($A124,'Summary June 2026'!$A:$HJ,217,FALSE),0)</f>
        <v>-5003.5977499999999</v>
      </c>
      <c r="AL124" s="146">
        <f>_xlfn.IFNA(VLOOKUP($A124,'Grants+ Other Funding'!$A:$CG,74,FALSE),0)</f>
        <v>0</v>
      </c>
      <c r="AM124" s="146">
        <f>_xlfn.IFNA(VLOOKUP($A124,'Summary June 2026'!$A:$HJ,218,FALSE),0)</f>
        <v>0</v>
      </c>
      <c r="AN124" s="146">
        <f>_xlfn.IFNA(VLOOKUP($A124,'Summary June 2026'!$A:$HJ,216,FALSE),0)</f>
        <v>-1263.675</v>
      </c>
      <c r="AO124" s="146">
        <f>_xlfn.IFNA(VLOOKUP($A124,'Grants+ Other Funding'!$A:$CG,73,FALSE),0)</f>
        <v>0</v>
      </c>
      <c r="AP124" s="65">
        <f t="shared" si="3"/>
        <v>361760.05247162073</v>
      </c>
    </row>
    <row r="125" spans="1:42">
      <c r="A125" s="198">
        <v>2161</v>
      </c>
      <c r="B125" s="2">
        <v>103249</v>
      </c>
      <c r="C125" s="2" t="s">
        <v>273</v>
      </c>
      <c r="D125" s="2" t="s">
        <v>274</v>
      </c>
      <c r="E125" s="190" t="s">
        <v>39</v>
      </c>
      <c r="F125" s="208" t="str">
        <f>VLOOKUP(A125,'Summary June 2026'!A:F,6,FALSE)</f>
        <v>Chq Bk</v>
      </c>
      <c r="H125" s="273">
        <f>_xlfn.IFNA(VLOOKUP($A125,ISB!$A:$BY,67,FALSE),0)</f>
        <v>1374253.5997192394</v>
      </c>
      <c r="I125" s="218">
        <f>_xlfn.IFNA(VLOOKUP($A125,ISB!$A:$BY,72,FALSE),0)</f>
        <v>-5403.2999999999993</v>
      </c>
      <c r="J125" s="274">
        <f>-_xlfn.IFNA(VLOOKUP($A125,ISB!$A:$BY,76,FALSE),0)</f>
        <v>-14978.241599999999</v>
      </c>
      <c r="L125" s="273">
        <f>_xlfn.IFNA(VLOOKUP($A125,EY!$A:$DX,126,FALSE),0)</f>
        <v>113870.61568421056</v>
      </c>
      <c r="M125" s="273">
        <f>_xlfn.IFNA(VLOOKUP($A125,EY!$A:$DX,127,FALSE),0)</f>
        <v>0</v>
      </c>
      <c r="O125" s="273">
        <f>_xlfn.IFNA(VLOOKUP($A125,HN!$A:$AN,37,FALSE),0)</f>
        <v>0</v>
      </c>
      <c r="P125" s="273">
        <f>_xlfn.IFNA(VLOOKUP($A125,HN!$A:$AN,38,FALSE),0)</f>
        <v>0</v>
      </c>
      <c r="Q125" s="273">
        <f>_xlfn.IFNA(VLOOKUP($A125,HN!$A:$AN,39,FALSE),0)</f>
        <v>92928.42</v>
      </c>
      <c r="S125" s="337">
        <f>_xlfn.IFNA(VLOOKUP(A125,'Post 16'!A:AR,44,FALSE),0)</f>
        <v>0</v>
      </c>
      <c r="U125" s="337"/>
      <c r="V125" s="337">
        <f>VLOOKUP(A125,'LA Deductions'!A:AN,40,FALSE)</f>
        <v>0</v>
      </c>
      <c r="X125" s="274">
        <f>VLOOKUP($A125,'Summary June 2026'!$A:$AAX,206,FALSE)-SUMIFS($H125:$V125,$H$7:$V$7,X$7)</f>
        <v>0</v>
      </c>
      <c r="Y125" s="274">
        <f>VLOOKUP($A125,'Summary June 2026'!$A:$HC,207,FALSE)-SUMIFS($H125:$V125,$H$7:$V$7,Y$7)</f>
        <v>0</v>
      </c>
      <c r="Z125" s="274">
        <f>VLOOKUP($A125,'Summary June 2026'!$A:$HC,208,FALSE)-SUMIFS($H125:$V125,$H$7:$V$7,Z$7)</f>
        <v>0</v>
      </c>
      <c r="AA125" s="274">
        <f>VLOOKUP($A125,'Summary June 2026'!$A:$HC,209,FALSE)-SUMIFS($H125:$V125,$H$7:$V$7,AA$7)</f>
        <v>0</v>
      </c>
      <c r="AB125" s="274">
        <f>VLOOKUP($A125,'Summary June 2026'!$A:$HC,210,FALSE)-SUMIFS($H125:$V125,$H$7:$V$7,AB$7)</f>
        <v>0</v>
      </c>
      <c r="AC125" s="274">
        <f>VLOOKUP($A125,'Summary June 2026'!$A:$HC,211,FALSE)-SUMIFS($H125:$V125,$H$7:$V$7,AC$7)</f>
        <v>0</v>
      </c>
      <c r="AE125" s="146">
        <f>VLOOKUP($A125,'Summary June 2026'!$A:$HJ,213,FALSE)+VLOOKUP($A125,'Grants+ Other Funding'!$A:$CG,67,FALSE)</f>
        <v>410838.13361402036</v>
      </c>
      <c r="AF125" s="146">
        <f>_xlfn.IFNA(VLOOKUP($A125,'Summary June 2026'!$A:$HJ,214,FALSE)+VLOOKUP($A125,'Grants+ Other Funding'!$A:$CG,68,FALSE),0)</f>
        <v>-20.97</v>
      </c>
      <c r="AG125" s="146">
        <f>_xlfn.IFNA(VLOOKUP($A125,'Summary June 2026'!$A:$HJ,215,FALSE)+VLOOKUP($A125,'Grants+ Other Funding'!$A:$CG,69,FALSE),0)</f>
        <v>27133.898250000002</v>
      </c>
      <c r="AH125" s="146">
        <f>_xlfn.IFNA(VLOOKUP($A125,'Grants+ Other Funding'!$A:$CG,70,FALSE),0)</f>
        <v>0</v>
      </c>
      <c r="AI125" s="146">
        <f>_xlfn.IFNA(VLOOKUP($A125,'Grants+ Other Funding'!$A:$CG,71,FALSE),0)</f>
        <v>0</v>
      </c>
      <c r="AJ125" s="146">
        <f>_xlfn.IFNA(VLOOKUP($A125,'Grants+ Other Funding'!$A:$CG,72,FALSE),0)</f>
        <v>0</v>
      </c>
      <c r="AK125" s="146">
        <f>_xlfn.IFNA(VLOOKUP($A125,'Summary June 2026'!$A:$HJ,217,FALSE),0)</f>
        <v>-3744.5603999999998</v>
      </c>
      <c r="AL125" s="146">
        <f>_xlfn.IFNA(VLOOKUP($A125,'Grants+ Other Funding'!$A:$CG,74,FALSE),0)</f>
        <v>0</v>
      </c>
      <c r="AM125" s="146">
        <f>_xlfn.IFNA(VLOOKUP($A125,'Summary June 2026'!$A:$HJ,218,FALSE),0)</f>
        <v>0</v>
      </c>
      <c r="AN125" s="146">
        <f>_xlfn.IFNA(VLOOKUP($A125,'Summary June 2026'!$A:$HJ,216,FALSE),0)</f>
        <v>-1350.8249999999998</v>
      </c>
      <c r="AO125" s="146">
        <f>_xlfn.IFNA(VLOOKUP($A125,'Grants+ Other Funding'!$A:$CG,73,FALSE),0)</f>
        <v>0</v>
      </c>
      <c r="AP125" s="65">
        <f t="shared" si="3"/>
        <v>432855.67646402039</v>
      </c>
    </row>
    <row r="126" spans="1:42">
      <c r="A126" s="198">
        <v>2160</v>
      </c>
      <c r="B126" s="2">
        <v>103248</v>
      </c>
      <c r="C126" s="2" t="s">
        <v>275</v>
      </c>
      <c r="D126" s="2" t="s">
        <v>276</v>
      </c>
      <c r="E126" s="190" t="s">
        <v>39</v>
      </c>
      <c r="F126" s="208" t="str">
        <f>VLOOKUP(A126,'Summary June 2026'!A:F,6,FALSE)</f>
        <v>Chq Bk</v>
      </c>
      <c r="H126" s="273">
        <f>_xlfn.IFNA(VLOOKUP($A126,ISB!$A:$BY,67,FALSE),0)</f>
        <v>2019297.8752641992</v>
      </c>
      <c r="I126" s="218">
        <f>_xlfn.IFNA(VLOOKUP($A126,ISB!$A:$BY,72,FALSE),0)</f>
        <v>-8142.2999999999993</v>
      </c>
      <c r="J126" s="274">
        <f>-_xlfn.IFNA(VLOOKUP($A126,ISB!$A:$BY,76,FALSE),0)</f>
        <v>-13024.4478</v>
      </c>
      <c r="L126" s="273">
        <f>_xlfn.IFNA(VLOOKUP($A126,EY!$A:$DX,126,FALSE),0)</f>
        <v>0</v>
      </c>
      <c r="M126" s="273">
        <f>_xlfn.IFNA(VLOOKUP($A126,EY!$A:$DX,127,FALSE),0)</f>
        <v>0</v>
      </c>
      <c r="O126" s="273">
        <f>_xlfn.IFNA(VLOOKUP($A126,HN!$A:$AN,37,FALSE),0)</f>
        <v>0</v>
      </c>
      <c r="P126" s="273">
        <f>_xlfn.IFNA(VLOOKUP($A126,HN!$A:$AN,38,FALSE),0)</f>
        <v>0</v>
      </c>
      <c r="Q126" s="273">
        <f>_xlfn.IFNA(VLOOKUP($A126,HN!$A:$AN,39,FALSE),0)</f>
        <v>32117.5</v>
      </c>
      <c r="S126" s="337">
        <f>_xlfn.IFNA(VLOOKUP(A126,'Post 16'!A:AR,44,FALSE),0)</f>
        <v>0</v>
      </c>
      <c r="U126" s="337"/>
      <c r="V126" s="337">
        <f>VLOOKUP(A126,'LA Deductions'!A:AN,40,FALSE)</f>
        <v>0</v>
      </c>
      <c r="X126" s="274">
        <f>VLOOKUP($A126,'Summary June 2026'!$A:$AAX,206,FALSE)-SUMIFS($H126:$V126,$H$7:$V$7,X$7)</f>
        <v>0</v>
      </c>
      <c r="Y126" s="274">
        <f>VLOOKUP($A126,'Summary June 2026'!$A:$HC,207,FALSE)-SUMIFS($H126:$V126,$H$7:$V$7,Y$7)</f>
        <v>0</v>
      </c>
      <c r="Z126" s="274">
        <f>VLOOKUP($A126,'Summary June 2026'!$A:$HC,208,FALSE)-SUMIFS($H126:$V126,$H$7:$V$7,Z$7)</f>
        <v>0</v>
      </c>
      <c r="AA126" s="274">
        <f>VLOOKUP($A126,'Summary June 2026'!$A:$HC,209,FALSE)-SUMIFS($H126:$V126,$H$7:$V$7,AA$7)</f>
        <v>0</v>
      </c>
      <c r="AB126" s="274">
        <f>VLOOKUP($A126,'Summary June 2026'!$A:$HC,210,FALSE)-SUMIFS($H126:$V126,$H$7:$V$7,AB$7)</f>
        <v>0</v>
      </c>
      <c r="AC126" s="274">
        <f>VLOOKUP($A126,'Summary June 2026'!$A:$HC,211,FALSE)-SUMIFS($H126:$V126,$H$7:$V$7,AC$7)</f>
        <v>0</v>
      </c>
      <c r="AE126" s="146">
        <f>VLOOKUP($A126,'Summary June 2026'!$A:$HJ,213,FALSE)+VLOOKUP($A126,'Grants+ Other Funding'!$A:$CG,67,FALSE)</f>
        <v>506657.23881604982</v>
      </c>
      <c r="AF126" s="146">
        <f>_xlfn.IFNA(VLOOKUP($A126,'Summary June 2026'!$A:$HJ,214,FALSE)+VLOOKUP($A126,'Grants+ Other Funding'!$A:$CG,68,FALSE),0)</f>
        <v>-21.31</v>
      </c>
      <c r="AG126" s="146">
        <f>_xlfn.IFNA(VLOOKUP($A126,'Summary June 2026'!$A:$HJ,215,FALSE)+VLOOKUP($A126,'Grants+ Other Funding'!$A:$CG,69,FALSE),0)</f>
        <v>11177.6245</v>
      </c>
      <c r="AH126" s="146">
        <f>_xlfn.IFNA(VLOOKUP($A126,'Grants+ Other Funding'!$A:$CG,70,FALSE),0)</f>
        <v>0</v>
      </c>
      <c r="AI126" s="146">
        <f>_xlfn.IFNA(VLOOKUP($A126,'Grants+ Other Funding'!$A:$CG,71,FALSE),0)</f>
        <v>0</v>
      </c>
      <c r="AJ126" s="146">
        <f>_xlfn.IFNA(VLOOKUP($A126,'Grants+ Other Funding'!$A:$CG,72,FALSE),0)</f>
        <v>0</v>
      </c>
      <c r="AK126" s="146">
        <f>_xlfn.IFNA(VLOOKUP($A126,'Summary June 2026'!$A:$HJ,217,FALSE),0)</f>
        <v>-3256.1119500000004</v>
      </c>
      <c r="AL126" s="146">
        <f>_xlfn.IFNA(VLOOKUP($A126,'Grants+ Other Funding'!$A:$CG,74,FALSE),0)</f>
        <v>0</v>
      </c>
      <c r="AM126" s="146">
        <f>_xlfn.IFNA(VLOOKUP($A126,'Summary June 2026'!$A:$HJ,218,FALSE),0)</f>
        <v>0</v>
      </c>
      <c r="AN126" s="146">
        <f>_xlfn.IFNA(VLOOKUP($A126,'Summary June 2026'!$A:$HJ,216,FALSE),0)</f>
        <v>-2035.5749999999998</v>
      </c>
      <c r="AO126" s="146">
        <f>_xlfn.IFNA(VLOOKUP($A126,'Grants+ Other Funding'!$A:$CG,73,FALSE),0)</f>
        <v>0</v>
      </c>
      <c r="AP126" s="65">
        <f t="shared" si="3"/>
        <v>512521.8663660498</v>
      </c>
    </row>
    <row r="127" spans="1:42">
      <c r="A127" s="198">
        <v>2063</v>
      </c>
      <c r="B127" s="2">
        <v>103193</v>
      </c>
      <c r="C127" s="2" t="s">
        <v>277</v>
      </c>
      <c r="D127" s="2" t="s">
        <v>278</v>
      </c>
      <c r="E127" s="190" t="s">
        <v>39</v>
      </c>
      <c r="F127" s="208" t="str">
        <f>VLOOKUP(A127,'Summary June 2026'!A:F,6,FALSE)</f>
        <v>Chq Bk</v>
      </c>
      <c r="H127" s="273">
        <f>_xlfn.IFNA(VLOOKUP($A127,ISB!$A:$BY,67,FALSE),0)</f>
        <v>2603222.3271205276</v>
      </c>
      <c r="I127" s="218">
        <f>_xlfn.IFNA(VLOOKUP($A127,ISB!$A:$BY,72,FALSE),0)</f>
        <v>-9163.1999999999989</v>
      </c>
      <c r="J127" s="274">
        <f>-_xlfn.IFNA(VLOOKUP($A127,ISB!$A:$BY,76,FALSE),0)</f>
        <v>-65698.542000000001</v>
      </c>
      <c r="L127" s="273">
        <f>_xlfn.IFNA(VLOOKUP($A127,EY!$A:$DX,126,FALSE),0)</f>
        <v>51294.545263157903</v>
      </c>
      <c r="M127" s="273">
        <f>_xlfn.IFNA(VLOOKUP($A127,EY!$A:$DX,127,FALSE),0)</f>
        <v>0</v>
      </c>
      <c r="O127" s="273">
        <f>_xlfn.IFNA(VLOOKUP($A127,HN!$A:$AN,37,FALSE),0)</f>
        <v>0</v>
      </c>
      <c r="P127" s="273">
        <f>_xlfn.IFNA(VLOOKUP($A127,HN!$A:$AN,38,FALSE),0)</f>
        <v>0</v>
      </c>
      <c r="Q127" s="273">
        <f>_xlfn.IFNA(VLOOKUP($A127,HN!$A:$AN,39,FALSE),0)</f>
        <v>43496</v>
      </c>
      <c r="S127" s="337">
        <f>_xlfn.IFNA(VLOOKUP(A127,'Post 16'!A:AR,44,FALSE),0)</f>
        <v>0</v>
      </c>
      <c r="U127" s="337"/>
      <c r="V127" s="337">
        <f>VLOOKUP(A127,'LA Deductions'!A:AN,40,FALSE)</f>
        <v>0</v>
      </c>
      <c r="X127" s="274">
        <f>VLOOKUP($A127,'Summary June 2026'!$A:$AAX,206,FALSE)-SUMIFS($H127:$V127,$H$7:$V$7,X$7)</f>
        <v>0</v>
      </c>
      <c r="Y127" s="274">
        <f>VLOOKUP($A127,'Summary June 2026'!$A:$HC,207,FALSE)-SUMIFS($H127:$V127,$H$7:$V$7,Y$7)</f>
        <v>0</v>
      </c>
      <c r="Z127" s="274">
        <f>VLOOKUP($A127,'Summary June 2026'!$A:$HC,208,FALSE)-SUMIFS($H127:$V127,$H$7:$V$7,Z$7)</f>
        <v>0</v>
      </c>
      <c r="AA127" s="274">
        <f>VLOOKUP($A127,'Summary June 2026'!$A:$HC,209,FALSE)-SUMIFS($H127:$V127,$H$7:$V$7,AA$7)</f>
        <v>0</v>
      </c>
      <c r="AB127" s="274">
        <f>VLOOKUP($A127,'Summary June 2026'!$A:$HC,210,FALSE)-SUMIFS($H127:$V127,$H$7:$V$7,AB$7)</f>
        <v>0</v>
      </c>
      <c r="AC127" s="274">
        <f>VLOOKUP($A127,'Summary June 2026'!$A:$HC,211,FALSE)-SUMIFS($H127:$V127,$H$7:$V$7,AC$7)</f>
        <v>0</v>
      </c>
      <c r="AE127" s="146">
        <f>VLOOKUP($A127,'Summary June 2026'!$A:$HJ,213,FALSE)+VLOOKUP($A127,'Grants+ Other Funding'!$A:$CG,67,FALSE)</f>
        <v>678999.51704328984</v>
      </c>
      <c r="AF127" s="146">
        <f>_xlfn.IFNA(VLOOKUP($A127,'Summary June 2026'!$A:$HJ,214,FALSE)+VLOOKUP($A127,'Grants+ Other Funding'!$A:$CG,68,FALSE),0)</f>
        <v>-16.5</v>
      </c>
      <c r="AG127" s="146">
        <f>_xlfn.IFNA(VLOOKUP($A127,'Summary June 2026'!$A:$HJ,215,FALSE)+VLOOKUP($A127,'Grants+ Other Funding'!$A:$CG,69,FALSE),0)</f>
        <v>17718.912499999999</v>
      </c>
      <c r="AH127" s="146">
        <f>_xlfn.IFNA(VLOOKUP($A127,'Grants+ Other Funding'!$A:$CG,70,FALSE),0)</f>
        <v>0</v>
      </c>
      <c r="AI127" s="146">
        <f>_xlfn.IFNA(VLOOKUP($A127,'Grants+ Other Funding'!$A:$CG,71,FALSE),0)</f>
        <v>0</v>
      </c>
      <c r="AJ127" s="146">
        <f>_xlfn.IFNA(VLOOKUP($A127,'Grants+ Other Funding'!$A:$CG,72,FALSE),0)</f>
        <v>0</v>
      </c>
      <c r="AK127" s="146">
        <f>_xlfn.IFNA(VLOOKUP($A127,'Summary June 2026'!$A:$HJ,217,FALSE),0)</f>
        <v>-16424.6355</v>
      </c>
      <c r="AL127" s="146">
        <f>_xlfn.IFNA(VLOOKUP($A127,'Grants+ Other Funding'!$A:$CG,74,FALSE),0)</f>
        <v>0</v>
      </c>
      <c r="AM127" s="146">
        <f>_xlfn.IFNA(VLOOKUP($A127,'Summary June 2026'!$A:$HJ,218,FALSE),0)</f>
        <v>0</v>
      </c>
      <c r="AN127" s="146">
        <f>_xlfn.IFNA(VLOOKUP($A127,'Summary June 2026'!$A:$HJ,216,FALSE),0)</f>
        <v>-2290.7999999999997</v>
      </c>
      <c r="AO127" s="146">
        <f>_xlfn.IFNA(VLOOKUP($A127,'Grants+ Other Funding'!$A:$CG,73,FALSE),0)</f>
        <v>0</v>
      </c>
      <c r="AP127" s="65">
        <f t="shared" si="3"/>
        <v>677986.4940432898</v>
      </c>
    </row>
    <row r="128" spans="1:42">
      <c r="A128" s="198">
        <v>1018</v>
      </c>
      <c r="B128" s="2">
        <v>103131</v>
      </c>
      <c r="C128" s="2" t="s">
        <v>279</v>
      </c>
      <c r="D128" s="2" t="s">
        <v>280</v>
      </c>
      <c r="E128" s="190" t="s">
        <v>36</v>
      </c>
      <c r="F128" s="208" t="str">
        <f>VLOOKUP(A128,'Summary June 2026'!A:F,6,FALSE)</f>
        <v>Chq Bk</v>
      </c>
      <c r="H128" s="273">
        <f>_xlfn.IFNA(VLOOKUP($A128,ISB!$A:$BY,67,FALSE),0)</f>
        <v>0</v>
      </c>
      <c r="I128" s="218">
        <f>_xlfn.IFNA(VLOOKUP($A128,ISB!$A:$BY,72,FALSE),0)</f>
        <v>0</v>
      </c>
      <c r="J128" s="274">
        <f>-_xlfn.IFNA(VLOOKUP($A128,ISB!$A:$BY,76,FALSE),0)</f>
        <v>0</v>
      </c>
      <c r="L128" s="273">
        <f>_xlfn.IFNA(VLOOKUP($A128,EY!$A:$DX,126,FALSE),0)</f>
        <v>768012.86135977332</v>
      </c>
      <c r="M128" s="273">
        <f>_xlfn.IFNA(VLOOKUP($A128,EY!$A:$DX,127,FALSE),0)</f>
        <v>15289.196675900277</v>
      </c>
      <c r="O128" s="273">
        <f>_xlfn.IFNA(VLOOKUP($A128,HN!$A:$AN,37,FALSE),0)</f>
        <v>0</v>
      </c>
      <c r="P128" s="273">
        <f>_xlfn.IFNA(VLOOKUP($A128,HN!$A:$AN,38,FALSE),0)</f>
        <v>0</v>
      </c>
      <c r="Q128" s="273">
        <f>_xlfn.IFNA(VLOOKUP($A128,HN!$A:$AN,39,FALSE),0)</f>
        <v>0</v>
      </c>
      <c r="S128" s="337">
        <f>_xlfn.IFNA(VLOOKUP(A128,'Post 16'!A:AR,44,FALSE),0)</f>
        <v>0</v>
      </c>
      <c r="U128" s="337"/>
      <c r="V128" s="337">
        <f>VLOOKUP(A128,'LA Deductions'!A:AN,40,FALSE)</f>
        <v>0</v>
      </c>
      <c r="X128" s="274">
        <f>VLOOKUP($A128,'Summary June 2026'!$A:$AAX,206,FALSE)-SUMIFS($H128:$V128,$H$7:$V$7,X$7)</f>
        <v>0</v>
      </c>
      <c r="Y128" s="274">
        <f>VLOOKUP($A128,'Summary June 2026'!$A:$HC,207,FALSE)-SUMIFS($H128:$V128,$H$7:$V$7,Y$7)</f>
        <v>0</v>
      </c>
      <c r="Z128" s="274">
        <f>VLOOKUP($A128,'Summary June 2026'!$A:$HC,208,FALSE)-SUMIFS($H128:$V128,$H$7:$V$7,Z$7)</f>
        <v>0</v>
      </c>
      <c r="AA128" s="274">
        <f>VLOOKUP($A128,'Summary June 2026'!$A:$HC,209,FALSE)-SUMIFS($H128:$V128,$H$7:$V$7,AA$7)</f>
        <v>0</v>
      </c>
      <c r="AB128" s="274">
        <f>VLOOKUP($A128,'Summary June 2026'!$A:$HC,210,FALSE)-SUMIFS($H128:$V128,$H$7:$V$7,AB$7)</f>
        <v>0</v>
      </c>
      <c r="AC128" s="274">
        <f>VLOOKUP($A128,'Summary June 2026'!$A:$HC,211,FALSE)-SUMIFS($H128:$V128,$H$7:$V$7,AC$7)</f>
        <v>0</v>
      </c>
      <c r="AE128" s="146">
        <f>VLOOKUP($A128,'Summary June 2026'!$A:$HJ,213,FALSE)+VLOOKUP($A128,'Grants+ Other Funding'!$A:$CG,67,FALSE)</f>
        <v>581851.18641240487</v>
      </c>
      <c r="AF128" s="146">
        <f>_xlfn.IFNA(VLOOKUP($A128,'Summary June 2026'!$A:$HJ,214,FALSE)+VLOOKUP($A128,'Grants+ Other Funding'!$A:$CG,68,FALSE),0)</f>
        <v>0</v>
      </c>
      <c r="AG128" s="146">
        <f>_xlfn.IFNA(VLOOKUP($A128,'Summary June 2026'!$A:$HJ,215,FALSE)+VLOOKUP($A128,'Grants+ Other Funding'!$A:$CG,69,FALSE),0)</f>
        <v>11389.196675900279</v>
      </c>
      <c r="AH128" s="146">
        <f>_xlfn.IFNA(VLOOKUP($A128,'Grants+ Other Funding'!$A:$CG,70,FALSE),0)</f>
        <v>0</v>
      </c>
      <c r="AI128" s="146">
        <f>_xlfn.IFNA(VLOOKUP($A128,'Grants+ Other Funding'!$A:$CG,71,FALSE),0)</f>
        <v>0</v>
      </c>
      <c r="AJ128" s="146">
        <f>_xlfn.IFNA(VLOOKUP($A128,'Grants+ Other Funding'!$A:$CG,72,FALSE),0)</f>
        <v>0</v>
      </c>
      <c r="AK128" s="146">
        <f>_xlfn.IFNA(VLOOKUP($A128,'Summary June 2026'!$A:$HJ,217,FALSE),0)</f>
        <v>0</v>
      </c>
      <c r="AL128" s="146">
        <f>_xlfn.IFNA(VLOOKUP($A128,'Grants+ Other Funding'!$A:$CG,74,FALSE),0)</f>
        <v>0</v>
      </c>
      <c r="AM128" s="146">
        <f>_xlfn.IFNA(VLOOKUP($A128,'Summary June 2026'!$A:$HJ,218,FALSE),0)</f>
        <v>0</v>
      </c>
      <c r="AN128" s="146">
        <f>_xlfn.IFNA(VLOOKUP($A128,'Summary June 2026'!$A:$HJ,216,FALSE),0)</f>
        <v>0</v>
      </c>
      <c r="AO128" s="146">
        <f>_xlfn.IFNA(VLOOKUP($A128,'Grants+ Other Funding'!$A:$CG,73,FALSE),0)</f>
        <v>0</v>
      </c>
      <c r="AP128" s="65">
        <f t="shared" si="3"/>
        <v>593240.38308830513</v>
      </c>
    </row>
    <row r="129" spans="1:42">
      <c r="A129" s="198">
        <v>1000</v>
      </c>
      <c r="B129" s="2">
        <v>137796</v>
      </c>
      <c r="C129" s="2" t="s">
        <v>281</v>
      </c>
      <c r="D129" s="2" t="s">
        <v>282</v>
      </c>
      <c r="E129" s="190" t="s">
        <v>36</v>
      </c>
      <c r="F129" s="208" t="str">
        <f>VLOOKUP(A129,'Summary June 2026'!A:F,6,FALSE)</f>
        <v>Chq Bk</v>
      </c>
      <c r="H129" s="273">
        <f>_xlfn.IFNA(VLOOKUP($A129,ISB!$A:$BY,67,FALSE),0)</f>
        <v>0</v>
      </c>
      <c r="I129" s="218">
        <f>_xlfn.IFNA(VLOOKUP($A129,ISB!$A:$BY,72,FALSE),0)</f>
        <v>0</v>
      </c>
      <c r="J129" s="274">
        <f>-_xlfn.IFNA(VLOOKUP($A129,ISB!$A:$BY,76,FALSE),0)</f>
        <v>0</v>
      </c>
      <c r="L129" s="273">
        <f>_xlfn.IFNA(VLOOKUP($A129,EY!$A:$DX,126,FALSE),0)</f>
        <v>304567.15320454416</v>
      </c>
      <c r="M129" s="273">
        <f>_xlfn.IFNA(VLOOKUP($A129,EY!$A:$DX,127,FALSE),0)</f>
        <v>480.6714681440443</v>
      </c>
      <c r="O129" s="273">
        <f>_xlfn.IFNA(VLOOKUP($A129,HN!$A:$AN,37,FALSE),0)</f>
        <v>0</v>
      </c>
      <c r="P129" s="273">
        <f>_xlfn.IFNA(VLOOKUP($A129,HN!$A:$AN,38,FALSE),0)</f>
        <v>0</v>
      </c>
      <c r="Q129" s="273">
        <f>_xlfn.IFNA(VLOOKUP($A129,HN!$A:$AN,39,FALSE),0)</f>
        <v>0</v>
      </c>
      <c r="S129" s="337">
        <f>_xlfn.IFNA(VLOOKUP(A129,'Post 16'!A:AR,44,FALSE),0)</f>
        <v>0</v>
      </c>
      <c r="U129" s="337"/>
      <c r="V129" s="337">
        <f>VLOOKUP(A129,'LA Deductions'!A:AN,40,FALSE)</f>
        <v>0</v>
      </c>
      <c r="X129" s="274">
        <f>VLOOKUP($A129,'Summary June 2026'!$A:$AAX,206,FALSE)-SUMIFS($H129:$V129,$H$7:$V$7,X$7)</f>
        <v>0</v>
      </c>
      <c r="Y129" s="274">
        <f>VLOOKUP($A129,'Summary June 2026'!$A:$HC,207,FALSE)-SUMIFS($H129:$V129,$H$7:$V$7,Y$7)</f>
        <v>0</v>
      </c>
      <c r="Z129" s="274">
        <f>VLOOKUP($A129,'Summary June 2026'!$A:$HC,208,FALSE)-SUMIFS($H129:$V129,$H$7:$V$7,Z$7)</f>
        <v>0</v>
      </c>
      <c r="AA129" s="274">
        <f>VLOOKUP($A129,'Summary June 2026'!$A:$HC,209,FALSE)-SUMIFS($H129:$V129,$H$7:$V$7,AA$7)</f>
        <v>0</v>
      </c>
      <c r="AB129" s="274">
        <f>VLOOKUP($A129,'Summary June 2026'!$A:$HC,210,FALSE)-SUMIFS($H129:$V129,$H$7:$V$7,AB$7)</f>
        <v>0</v>
      </c>
      <c r="AC129" s="274">
        <f>VLOOKUP($A129,'Summary June 2026'!$A:$HC,211,FALSE)-SUMIFS($H129:$V129,$H$7:$V$7,AC$7)</f>
        <v>0</v>
      </c>
      <c r="AE129" s="146">
        <f>VLOOKUP($A129,'Summary June 2026'!$A:$HJ,213,FALSE)+VLOOKUP($A129,'Grants+ Other Funding'!$A:$CG,67,FALSE)</f>
        <v>253525.29720454413</v>
      </c>
      <c r="AF129" s="146">
        <f>_xlfn.IFNA(VLOOKUP($A129,'Summary June 2026'!$A:$HJ,214,FALSE)+VLOOKUP($A129,'Grants+ Other Funding'!$A:$CG,68,FALSE),0)</f>
        <v>0</v>
      </c>
      <c r="AG129" s="146">
        <f>_xlfn.IFNA(VLOOKUP($A129,'Summary June 2026'!$A:$HJ,215,FALSE)+VLOOKUP($A129,'Grants+ Other Funding'!$A:$CG,69,FALSE),0)</f>
        <v>480.6714681440443</v>
      </c>
      <c r="AH129" s="146">
        <f>_xlfn.IFNA(VLOOKUP($A129,'Grants+ Other Funding'!$A:$CG,70,FALSE),0)</f>
        <v>0</v>
      </c>
      <c r="AI129" s="146">
        <f>_xlfn.IFNA(VLOOKUP($A129,'Grants+ Other Funding'!$A:$CG,71,FALSE),0)</f>
        <v>0</v>
      </c>
      <c r="AJ129" s="146">
        <f>_xlfn.IFNA(VLOOKUP($A129,'Grants+ Other Funding'!$A:$CG,72,FALSE),0)</f>
        <v>0</v>
      </c>
      <c r="AK129" s="146">
        <f>_xlfn.IFNA(VLOOKUP($A129,'Summary June 2026'!$A:$HJ,217,FALSE),0)</f>
        <v>0</v>
      </c>
      <c r="AL129" s="146">
        <f>_xlfn.IFNA(VLOOKUP($A129,'Grants+ Other Funding'!$A:$CG,74,FALSE),0)</f>
        <v>0</v>
      </c>
      <c r="AM129" s="146">
        <f>_xlfn.IFNA(VLOOKUP($A129,'Summary June 2026'!$A:$HJ,218,FALSE),0)</f>
        <v>0</v>
      </c>
      <c r="AN129" s="146">
        <f>_xlfn.IFNA(VLOOKUP($A129,'Summary June 2026'!$A:$HJ,216,FALSE),0)</f>
        <v>0</v>
      </c>
      <c r="AO129" s="146">
        <f>_xlfn.IFNA(VLOOKUP($A129,'Grants+ Other Funding'!$A:$CG,73,FALSE),0)</f>
        <v>0</v>
      </c>
      <c r="AP129" s="65">
        <f t="shared" si="3"/>
        <v>254005.96867268818</v>
      </c>
    </row>
    <row r="130" spans="1:42">
      <c r="A130" s="198">
        <v>7033</v>
      </c>
      <c r="B130" s="2">
        <v>103613</v>
      </c>
      <c r="C130" s="2" t="s">
        <v>283</v>
      </c>
      <c r="D130" s="2" t="s">
        <v>284</v>
      </c>
      <c r="E130" s="190" t="s">
        <v>56</v>
      </c>
      <c r="F130" s="208" t="str">
        <f>VLOOKUP(A130,'Summary June 2026'!A:F,6,FALSE)</f>
        <v>Chq Bk</v>
      </c>
      <c r="H130" s="273">
        <f>_xlfn.IFNA(VLOOKUP($A130,ISB!$A:$BY,67,FALSE),0)</f>
        <v>0</v>
      </c>
      <c r="I130" s="218">
        <f>_xlfn.IFNA(VLOOKUP($A130,ISB!$A:$BY,72,FALSE),0)</f>
        <v>0</v>
      </c>
      <c r="J130" s="274">
        <f>-_xlfn.IFNA(VLOOKUP($A130,ISB!$A:$BY,76,FALSE),0)</f>
        <v>0</v>
      </c>
      <c r="L130" s="273">
        <f>_xlfn.IFNA(VLOOKUP($A130,EY!$A:$DX,126,FALSE),0)</f>
        <v>0</v>
      </c>
      <c r="M130" s="273">
        <f>_xlfn.IFNA(VLOOKUP($A130,EY!$A:$DX,127,FALSE),0)</f>
        <v>0</v>
      </c>
      <c r="O130" s="273">
        <f>_xlfn.IFNA(VLOOKUP($A130,HN!$A:$AN,37,FALSE),0)</f>
        <v>2880000</v>
      </c>
      <c r="P130" s="273">
        <f>_xlfn.IFNA(VLOOKUP($A130,HN!$A:$AN,38,FALSE),0)</f>
        <v>1070000</v>
      </c>
      <c r="Q130" s="273">
        <f>_xlfn.IFNA(VLOOKUP($A130,HN!$A:$AN,39,FALSE),0)</f>
        <v>4547297.1100000003</v>
      </c>
      <c r="S130" s="337">
        <f>_xlfn.IFNA(VLOOKUP(A130,'Post 16'!A:AR,44,FALSE),0)</f>
        <v>0</v>
      </c>
      <c r="U130" s="337"/>
      <c r="V130" s="337">
        <f>VLOOKUP(A130,'LA Deductions'!A:AN,40,FALSE)</f>
        <v>0</v>
      </c>
      <c r="X130" s="274">
        <f>VLOOKUP($A130,'Summary June 2026'!$A:$AAX,206,FALSE)-SUMIFS($H130:$V130,$H$7:$V$7,X$7)</f>
        <v>0</v>
      </c>
      <c r="Y130" s="274">
        <f>VLOOKUP($A130,'Summary June 2026'!$A:$HC,207,FALSE)-SUMIFS($H130:$V130,$H$7:$V$7,Y$7)</f>
        <v>0</v>
      </c>
      <c r="Z130" s="274">
        <f>VLOOKUP($A130,'Summary June 2026'!$A:$HC,208,FALSE)-SUMIFS($H130:$V130,$H$7:$V$7,Z$7)</f>
        <v>0</v>
      </c>
      <c r="AA130" s="274">
        <f>VLOOKUP($A130,'Summary June 2026'!$A:$HC,209,FALSE)-SUMIFS($H130:$V130,$H$7:$V$7,AA$7)</f>
        <v>0</v>
      </c>
      <c r="AB130" s="274">
        <f>VLOOKUP($A130,'Summary June 2026'!$A:$HC,210,FALSE)-SUMIFS($H130:$V130,$H$7:$V$7,AB$7)</f>
        <v>0</v>
      </c>
      <c r="AC130" s="274">
        <f>VLOOKUP($A130,'Summary June 2026'!$A:$HC,211,FALSE)-SUMIFS($H130:$V130,$H$7:$V$7,AC$7)</f>
        <v>0</v>
      </c>
      <c r="AE130" s="146">
        <f>VLOOKUP($A130,'Summary June 2026'!$A:$HJ,213,FALSE)+VLOOKUP($A130,'Grants+ Other Funding'!$A:$CG,67,FALSE)</f>
        <v>720000</v>
      </c>
      <c r="AF130" s="146">
        <f>_xlfn.IFNA(VLOOKUP($A130,'Summary June 2026'!$A:$HJ,214,FALSE)+VLOOKUP($A130,'Grants+ Other Funding'!$A:$CG,68,FALSE),0)</f>
        <v>267500</v>
      </c>
      <c r="AG130" s="146">
        <f>_xlfn.IFNA(VLOOKUP($A130,'Summary June 2026'!$A:$HJ,215,FALSE)+VLOOKUP($A130,'Grants+ Other Funding'!$A:$CG,69,FALSE),0)</f>
        <v>1178904.5275000001</v>
      </c>
      <c r="AH130" s="146">
        <f>_xlfn.IFNA(VLOOKUP($A130,'Grants+ Other Funding'!$A:$CG,70,FALSE),0)</f>
        <v>0</v>
      </c>
      <c r="AI130" s="146">
        <f>_xlfn.IFNA(VLOOKUP($A130,'Grants+ Other Funding'!$A:$CG,71,FALSE),0)</f>
        <v>0</v>
      </c>
      <c r="AJ130" s="146">
        <f>_xlfn.IFNA(VLOOKUP($A130,'Grants+ Other Funding'!$A:$CG,72,FALSE),0)</f>
        <v>0</v>
      </c>
      <c r="AK130" s="146">
        <f>_xlfn.IFNA(VLOOKUP($A130,'Summary June 2026'!$A:$HJ,217,FALSE),0)</f>
        <v>0</v>
      </c>
      <c r="AL130" s="146">
        <f>_xlfn.IFNA(VLOOKUP($A130,'Grants+ Other Funding'!$A:$CG,74,FALSE),0)</f>
        <v>0</v>
      </c>
      <c r="AM130" s="146">
        <f>_xlfn.IFNA(VLOOKUP($A130,'Summary June 2026'!$A:$HJ,218,FALSE),0)</f>
        <v>0</v>
      </c>
      <c r="AN130" s="146">
        <f>_xlfn.IFNA(VLOOKUP($A130,'Summary June 2026'!$A:$HJ,216,FALSE),0)</f>
        <v>0</v>
      </c>
      <c r="AO130" s="146">
        <f>_xlfn.IFNA(VLOOKUP($A130,'Grants+ Other Funding'!$A:$CG,73,FALSE),0)</f>
        <v>0</v>
      </c>
      <c r="AP130" s="65">
        <f t="shared" si="3"/>
        <v>2166404.5274999999</v>
      </c>
    </row>
    <row r="131" spans="1:42">
      <c r="A131" s="198">
        <v>4177</v>
      </c>
      <c r="B131" s="2">
        <v>103498</v>
      </c>
      <c r="C131" s="2" t="s">
        <v>285</v>
      </c>
      <c r="D131" s="2" t="s">
        <v>286</v>
      </c>
      <c r="E131" s="190" t="s">
        <v>71</v>
      </c>
      <c r="F131" s="208" t="str">
        <f>VLOOKUP(A131,'Summary June 2026'!A:F,6,FALSE)</f>
        <v>Chq Bk</v>
      </c>
      <c r="H131" s="273">
        <f>_xlfn.IFNA(VLOOKUP($A131,ISB!$A:$BY,67,FALSE),0)</f>
        <v>6947948.6179878339</v>
      </c>
      <c r="I131" s="218">
        <f>_xlfn.IFNA(VLOOKUP($A131,ISB!$A:$BY,72,FALSE),0)</f>
        <v>-15639</v>
      </c>
      <c r="J131" s="274">
        <f>-_xlfn.IFNA(VLOOKUP($A131,ISB!$A:$BY,76,FALSE),0)</f>
        <v>-99700.418999999994</v>
      </c>
      <c r="L131" s="273">
        <f>_xlfn.IFNA(VLOOKUP($A131,EY!$A:$DX,126,FALSE),0)</f>
        <v>0</v>
      </c>
      <c r="M131" s="273">
        <f>_xlfn.IFNA(VLOOKUP($A131,EY!$A:$DX,127,FALSE),0)</f>
        <v>0</v>
      </c>
      <c r="O131" s="273">
        <f>_xlfn.IFNA(VLOOKUP($A131,HN!$A:$AN,37,FALSE),0)</f>
        <v>0</v>
      </c>
      <c r="P131" s="273">
        <f>_xlfn.IFNA(VLOOKUP($A131,HN!$A:$AN,38,FALSE),0)</f>
        <v>0</v>
      </c>
      <c r="Q131" s="273">
        <f>_xlfn.IFNA(VLOOKUP($A131,HN!$A:$AN,39,FALSE),0)</f>
        <v>91343.33</v>
      </c>
      <c r="S131" s="337">
        <f>_xlfn.IFNA(VLOOKUP(A131,'Post 16'!A:AR,44,FALSE),0)</f>
        <v>0</v>
      </c>
      <c r="U131" s="337"/>
      <c r="V131" s="337">
        <f>VLOOKUP(A131,'LA Deductions'!A:AN,40,FALSE)</f>
        <v>0</v>
      </c>
      <c r="X131" s="274">
        <f>VLOOKUP($A131,'Summary June 2026'!$A:$AAX,206,FALSE)-SUMIFS($H131:$V131,$H$7:$V$7,X$7)</f>
        <v>0</v>
      </c>
      <c r="Y131" s="274">
        <f>VLOOKUP($A131,'Summary June 2026'!$A:$HC,207,FALSE)-SUMIFS($H131:$V131,$H$7:$V$7,Y$7)</f>
        <v>0</v>
      </c>
      <c r="Z131" s="274">
        <f>VLOOKUP($A131,'Summary June 2026'!$A:$HC,208,FALSE)-SUMIFS($H131:$V131,$H$7:$V$7,Z$7)</f>
        <v>0</v>
      </c>
      <c r="AA131" s="274">
        <f>VLOOKUP($A131,'Summary June 2026'!$A:$HC,209,FALSE)-SUMIFS($H131:$V131,$H$7:$V$7,AA$7)</f>
        <v>0</v>
      </c>
      <c r="AB131" s="274">
        <f>VLOOKUP($A131,'Summary June 2026'!$A:$HC,210,FALSE)-SUMIFS($H131:$V131,$H$7:$V$7,AB$7)</f>
        <v>0</v>
      </c>
      <c r="AC131" s="274">
        <f>VLOOKUP($A131,'Summary June 2026'!$A:$HC,211,FALSE)-SUMIFS($H131:$V131,$H$7:$V$7,AC$7)</f>
        <v>0</v>
      </c>
      <c r="AE131" s="146">
        <f>VLOOKUP($A131,'Summary June 2026'!$A:$HJ,213,FALSE)+VLOOKUP($A131,'Grants+ Other Funding'!$A:$CG,67,FALSE)</f>
        <v>1736987.1544969585</v>
      </c>
      <c r="AF131" s="146">
        <f>_xlfn.IFNA(VLOOKUP($A131,'Summary June 2026'!$A:$HJ,214,FALSE)+VLOOKUP($A131,'Grants+ Other Funding'!$A:$CG,68,FALSE),0)</f>
        <v>0</v>
      </c>
      <c r="AG131" s="146">
        <f>_xlfn.IFNA(VLOOKUP($A131,'Summary June 2026'!$A:$HJ,215,FALSE)+VLOOKUP($A131,'Grants+ Other Funding'!$A:$CG,69,FALSE),0)</f>
        <v>26032.945249999997</v>
      </c>
      <c r="AH131" s="146">
        <f>_xlfn.IFNA(VLOOKUP($A131,'Grants+ Other Funding'!$A:$CG,70,FALSE),0)</f>
        <v>0</v>
      </c>
      <c r="AI131" s="146">
        <f>_xlfn.IFNA(VLOOKUP($A131,'Grants+ Other Funding'!$A:$CG,71,FALSE),0)</f>
        <v>0</v>
      </c>
      <c r="AJ131" s="146">
        <f>_xlfn.IFNA(VLOOKUP($A131,'Grants+ Other Funding'!$A:$CG,72,FALSE),0)</f>
        <v>0</v>
      </c>
      <c r="AK131" s="146">
        <f>_xlfn.IFNA(VLOOKUP($A131,'Summary June 2026'!$A:$HJ,217,FALSE),0)</f>
        <v>-24925.104749999999</v>
      </c>
      <c r="AL131" s="146">
        <f>_xlfn.IFNA(VLOOKUP($A131,'Grants+ Other Funding'!$A:$CG,74,FALSE),0)</f>
        <v>0</v>
      </c>
      <c r="AM131" s="146">
        <f>_xlfn.IFNA(VLOOKUP($A131,'Summary June 2026'!$A:$HJ,218,FALSE),0)</f>
        <v>0</v>
      </c>
      <c r="AN131" s="146">
        <f>_xlfn.IFNA(VLOOKUP($A131,'Summary June 2026'!$A:$HJ,216,FALSE),0)</f>
        <v>-3909.75</v>
      </c>
      <c r="AO131" s="146">
        <f>_xlfn.IFNA(VLOOKUP($A131,'Grants+ Other Funding'!$A:$CG,73,FALSE),0)</f>
        <v>0</v>
      </c>
      <c r="AP131" s="65">
        <f t="shared" si="3"/>
        <v>1734185.2449969586</v>
      </c>
    </row>
    <row r="132" spans="1:42">
      <c r="A132" s="198">
        <v>2169</v>
      </c>
      <c r="B132" s="2">
        <v>103252</v>
      </c>
      <c r="C132" s="2" t="s">
        <v>287</v>
      </c>
      <c r="D132" s="2" t="s">
        <v>288</v>
      </c>
      <c r="E132" s="190" t="s">
        <v>39</v>
      </c>
      <c r="F132" s="208" t="str">
        <f>VLOOKUP(A132,'Summary June 2026'!A:F,6,FALSE)</f>
        <v>Chq Bk</v>
      </c>
      <c r="H132" s="273">
        <f>_xlfn.IFNA(VLOOKUP($A132,ISB!$A:$BY,67,FALSE),0)</f>
        <v>2463883.3294036821</v>
      </c>
      <c r="I132" s="218">
        <f>_xlfn.IFNA(VLOOKUP($A132,ISB!$A:$BY,72,FALSE),0)</f>
        <v>-8988.9</v>
      </c>
      <c r="J132" s="274">
        <f>-_xlfn.IFNA(VLOOKUP($A132,ISB!$A:$BY,76,FALSE),0)</f>
        <v>-38324.1495</v>
      </c>
      <c r="L132" s="273">
        <f>_xlfn.IFNA(VLOOKUP($A132,EY!$A:$DX,126,FALSE),0)</f>
        <v>81649.068869806084</v>
      </c>
      <c r="M132" s="273">
        <f>_xlfn.IFNA(VLOOKUP($A132,EY!$A:$DX,127,FALSE),0)</f>
        <v>0</v>
      </c>
      <c r="O132" s="273">
        <f>_xlfn.IFNA(VLOOKUP($A132,HN!$A:$AN,37,FALSE),0)</f>
        <v>0</v>
      </c>
      <c r="P132" s="273">
        <f>_xlfn.IFNA(VLOOKUP($A132,HN!$A:$AN,38,FALSE),0)</f>
        <v>0</v>
      </c>
      <c r="Q132" s="273">
        <f>_xlfn.IFNA(VLOOKUP($A132,HN!$A:$AN,39,FALSE),0)</f>
        <v>8306</v>
      </c>
      <c r="S132" s="337">
        <f>_xlfn.IFNA(VLOOKUP(A132,'Post 16'!A:AR,44,FALSE),0)</f>
        <v>0</v>
      </c>
      <c r="U132" s="337"/>
      <c r="V132" s="337">
        <f>VLOOKUP(A132,'LA Deductions'!A:AN,40,FALSE)</f>
        <v>0</v>
      </c>
      <c r="X132" s="274">
        <f>VLOOKUP($A132,'Summary June 2026'!$A:$AAX,206,FALSE)-SUMIFS($H132:$V132,$H$7:$V$7,X$7)</f>
        <v>0</v>
      </c>
      <c r="Y132" s="274">
        <f>VLOOKUP($A132,'Summary June 2026'!$A:$HC,207,FALSE)-SUMIFS($H132:$V132,$H$7:$V$7,Y$7)</f>
        <v>0</v>
      </c>
      <c r="Z132" s="274">
        <f>VLOOKUP($A132,'Summary June 2026'!$A:$HC,208,FALSE)-SUMIFS($H132:$V132,$H$7:$V$7,Z$7)</f>
        <v>0</v>
      </c>
      <c r="AA132" s="274">
        <f>VLOOKUP($A132,'Summary June 2026'!$A:$HC,209,FALSE)-SUMIFS($H132:$V132,$H$7:$V$7,AA$7)</f>
        <v>0</v>
      </c>
      <c r="AB132" s="274">
        <f>VLOOKUP($A132,'Summary June 2026'!$A:$HC,210,FALSE)-SUMIFS($H132:$V132,$H$7:$V$7,AB$7)</f>
        <v>0</v>
      </c>
      <c r="AC132" s="274">
        <f>VLOOKUP($A132,'Summary June 2026'!$A:$HC,211,FALSE)-SUMIFS($H132:$V132,$H$7:$V$7,AC$7)</f>
        <v>0</v>
      </c>
      <c r="AE132" s="146">
        <f>VLOOKUP($A132,'Summary June 2026'!$A:$HJ,213,FALSE)+VLOOKUP($A132,'Grants+ Other Funding'!$A:$CG,67,FALSE)</f>
        <v>675258.99522072659</v>
      </c>
      <c r="AF132" s="146">
        <f>_xlfn.IFNA(VLOOKUP($A132,'Summary June 2026'!$A:$HJ,214,FALSE)+VLOOKUP($A132,'Grants+ Other Funding'!$A:$CG,68,FALSE),0)</f>
        <v>-27.57</v>
      </c>
      <c r="AG132" s="146">
        <f>_xlfn.IFNA(VLOOKUP($A132,'Summary June 2026'!$A:$HJ,215,FALSE)+VLOOKUP($A132,'Grants+ Other Funding'!$A:$CG,69,FALSE),0)</f>
        <v>1619.675</v>
      </c>
      <c r="AH132" s="146">
        <f>_xlfn.IFNA(VLOOKUP($A132,'Grants+ Other Funding'!$A:$CG,70,FALSE),0)</f>
        <v>0</v>
      </c>
      <c r="AI132" s="146">
        <f>_xlfn.IFNA(VLOOKUP($A132,'Grants+ Other Funding'!$A:$CG,71,FALSE),0)</f>
        <v>0</v>
      </c>
      <c r="AJ132" s="146">
        <f>_xlfn.IFNA(VLOOKUP($A132,'Grants+ Other Funding'!$A:$CG,72,FALSE),0)</f>
        <v>0</v>
      </c>
      <c r="AK132" s="146">
        <f>_xlfn.IFNA(VLOOKUP($A132,'Summary June 2026'!$A:$HJ,217,FALSE),0)</f>
        <v>-9581.0373749999999</v>
      </c>
      <c r="AL132" s="146">
        <f>_xlfn.IFNA(VLOOKUP($A132,'Grants+ Other Funding'!$A:$CG,74,FALSE),0)</f>
        <v>0</v>
      </c>
      <c r="AM132" s="146">
        <f>_xlfn.IFNA(VLOOKUP($A132,'Summary June 2026'!$A:$HJ,218,FALSE),0)</f>
        <v>0</v>
      </c>
      <c r="AN132" s="146">
        <f>_xlfn.IFNA(VLOOKUP($A132,'Summary June 2026'!$A:$HJ,216,FALSE),0)</f>
        <v>-2247.2249999999999</v>
      </c>
      <c r="AO132" s="146">
        <f>_xlfn.IFNA(VLOOKUP($A132,'Grants+ Other Funding'!$A:$CG,73,FALSE),0)</f>
        <v>0</v>
      </c>
      <c r="AP132" s="65">
        <f t="shared" si="3"/>
        <v>665022.83784572675</v>
      </c>
    </row>
    <row r="133" spans="1:42">
      <c r="A133" s="198">
        <v>2008</v>
      </c>
      <c r="B133" s="2">
        <v>103157</v>
      </c>
      <c r="C133" s="2" t="s">
        <v>289</v>
      </c>
      <c r="D133" s="2" t="s">
        <v>290</v>
      </c>
      <c r="E133" s="190" t="s">
        <v>39</v>
      </c>
      <c r="F133" s="208" t="str">
        <f>VLOOKUP(A133,'Summary June 2026'!A:F,6,FALSE)</f>
        <v>Chq Bk</v>
      </c>
      <c r="H133" s="273">
        <f>_xlfn.IFNA(VLOOKUP($A133,ISB!$A:$BY,67,FALSE),0)</f>
        <v>2699584.6248990134</v>
      </c>
      <c r="I133" s="218">
        <f>_xlfn.IFNA(VLOOKUP($A133,ISB!$A:$BY,72,FALSE),0)</f>
        <v>-10582.5</v>
      </c>
      <c r="J133" s="274">
        <f>-_xlfn.IFNA(VLOOKUP($A133,ISB!$A:$BY,76,FALSE),0)</f>
        <v>-41493.815999999999</v>
      </c>
      <c r="L133" s="273">
        <f>_xlfn.IFNA(VLOOKUP($A133,EY!$A:$DX,126,FALSE),0)</f>
        <v>106351.01303047093</v>
      </c>
      <c r="M133" s="273">
        <f>_xlfn.IFNA(VLOOKUP($A133,EY!$A:$DX,127,FALSE),0)</f>
        <v>0</v>
      </c>
      <c r="O133" s="273">
        <f>_xlfn.IFNA(VLOOKUP($A133,HN!$A:$AN,37,FALSE),0)</f>
        <v>0</v>
      </c>
      <c r="P133" s="273">
        <f>_xlfn.IFNA(VLOOKUP($A133,HN!$A:$AN,38,FALSE),0)</f>
        <v>0</v>
      </c>
      <c r="Q133" s="273">
        <f>_xlfn.IFNA(VLOOKUP($A133,HN!$A:$AN,39,FALSE),0)</f>
        <v>78205.09</v>
      </c>
      <c r="S133" s="337">
        <f>_xlfn.IFNA(VLOOKUP(A133,'Post 16'!A:AR,44,FALSE),0)</f>
        <v>0</v>
      </c>
      <c r="U133" s="337"/>
      <c r="V133" s="337">
        <f>VLOOKUP(A133,'LA Deductions'!A:AN,40,FALSE)</f>
        <v>0</v>
      </c>
      <c r="X133" s="274">
        <f>VLOOKUP($A133,'Summary June 2026'!$A:$AAX,206,FALSE)-SUMIFS($H133:$V133,$H$7:$V$7,X$7)</f>
        <v>0</v>
      </c>
      <c r="Y133" s="274">
        <f>VLOOKUP($A133,'Summary June 2026'!$A:$HC,207,FALSE)-SUMIFS($H133:$V133,$H$7:$V$7,Y$7)</f>
        <v>0</v>
      </c>
      <c r="Z133" s="274">
        <f>VLOOKUP($A133,'Summary June 2026'!$A:$HC,208,FALSE)-SUMIFS($H133:$V133,$H$7:$V$7,Z$7)</f>
        <v>0</v>
      </c>
      <c r="AA133" s="274">
        <f>VLOOKUP($A133,'Summary June 2026'!$A:$HC,209,FALSE)-SUMIFS($H133:$V133,$H$7:$V$7,AA$7)</f>
        <v>0</v>
      </c>
      <c r="AB133" s="274">
        <f>VLOOKUP($A133,'Summary June 2026'!$A:$HC,210,FALSE)-SUMIFS($H133:$V133,$H$7:$V$7,AB$7)</f>
        <v>0</v>
      </c>
      <c r="AC133" s="274">
        <f>VLOOKUP($A133,'Summary June 2026'!$A:$HC,211,FALSE)-SUMIFS($H133:$V133,$H$7:$V$7,AC$7)</f>
        <v>0</v>
      </c>
      <c r="AE133" s="146">
        <f>VLOOKUP($A133,'Summary June 2026'!$A:$HJ,213,FALSE)+VLOOKUP($A133,'Grants+ Other Funding'!$A:$CG,67,FALSE)</f>
        <v>742730.63125522411</v>
      </c>
      <c r="AF133" s="146">
        <f>_xlfn.IFNA(VLOOKUP($A133,'Summary June 2026'!$A:$HJ,214,FALSE)+VLOOKUP($A133,'Grants+ Other Funding'!$A:$CG,68,FALSE),0)</f>
        <v>-27.54</v>
      </c>
      <c r="AG133" s="146">
        <f>_xlfn.IFNA(VLOOKUP($A133,'Summary June 2026'!$A:$HJ,215,FALSE)+VLOOKUP($A133,'Grants+ Other Funding'!$A:$CG,69,FALSE),0)</f>
        <v>24878.315500000004</v>
      </c>
      <c r="AH133" s="146">
        <f>_xlfn.IFNA(VLOOKUP($A133,'Grants+ Other Funding'!$A:$CG,70,FALSE),0)</f>
        <v>0</v>
      </c>
      <c r="AI133" s="146">
        <f>_xlfn.IFNA(VLOOKUP($A133,'Grants+ Other Funding'!$A:$CG,71,FALSE),0)</f>
        <v>0</v>
      </c>
      <c r="AJ133" s="146">
        <f>_xlfn.IFNA(VLOOKUP($A133,'Grants+ Other Funding'!$A:$CG,72,FALSE),0)</f>
        <v>0</v>
      </c>
      <c r="AK133" s="146">
        <f>_xlfn.IFNA(VLOOKUP($A133,'Summary June 2026'!$A:$HJ,217,FALSE),0)</f>
        <v>-10373.454</v>
      </c>
      <c r="AL133" s="146">
        <f>_xlfn.IFNA(VLOOKUP($A133,'Grants+ Other Funding'!$A:$CG,74,FALSE),0)</f>
        <v>0</v>
      </c>
      <c r="AM133" s="146">
        <f>_xlfn.IFNA(VLOOKUP($A133,'Summary June 2026'!$A:$HJ,218,FALSE),0)</f>
        <v>0</v>
      </c>
      <c r="AN133" s="146">
        <f>_xlfn.IFNA(VLOOKUP($A133,'Summary June 2026'!$A:$HJ,216,FALSE),0)</f>
        <v>-2645.625</v>
      </c>
      <c r="AO133" s="146">
        <f>_xlfn.IFNA(VLOOKUP($A133,'Grants+ Other Funding'!$A:$CG,73,FALSE),0)</f>
        <v>0</v>
      </c>
      <c r="AP133" s="65">
        <f t="shared" si="3"/>
        <v>754562.32775522408</v>
      </c>
    </row>
    <row r="134" spans="1:42">
      <c r="A134" s="198">
        <v>1038</v>
      </c>
      <c r="B134" s="2">
        <v>103142</v>
      </c>
      <c r="C134" s="2" t="s">
        <v>291</v>
      </c>
      <c r="D134" s="2" t="s">
        <v>292</v>
      </c>
      <c r="E134" s="190" t="s">
        <v>36</v>
      </c>
      <c r="F134" s="208" t="str">
        <f>VLOOKUP(A134,'Summary June 2026'!A:F,6,FALSE)</f>
        <v>Chq Bk</v>
      </c>
      <c r="H134" s="273">
        <f>_xlfn.IFNA(VLOOKUP($A134,ISB!$A:$BY,67,FALSE),0)</f>
        <v>0</v>
      </c>
      <c r="I134" s="218">
        <f>_xlfn.IFNA(VLOOKUP($A134,ISB!$A:$BY,72,FALSE),0)</f>
        <v>0</v>
      </c>
      <c r="J134" s="274">
        <f>-_xlfn.IFNA(VLOOKUP($A134,ISB!$A:$BY,76,FALSE),0)</f>
        <v>0</v>
      </c>
      <c r="L134" s="273">
        <f>_xlfn.IFNA(VLOOKUP($A134,EY!$A:$DX,126,FALSE),0)</f>
        <v>830861.72304908</v>
      </c>
      <c r="M134" s="273">
        <f>_xlfn.IFNA(VLOOKUP($A134,EY!$A:$DX,127,FALSE),0)</f>
        <v>3675.5036011080333</v>
      </c>
      <c r="O134" s="273">
        <f>_xlfn.IFNA(VLOOKUP($A134,HN!$A:$AN,37,FALSE),0)</f>
        <v>0</v>
      </c>
      <c r="P134" s="273">
        <f>_xlfn.IFNA(VLOOKUP($A134,HN!$A:$AN,38,FALSE),0)</f>
        <v>0</v>
      </c>
      <c r="Q134" s="273">
        <f>_xlfn.IFNA(VLOOKUP($A134,HN!$A:$AN,39,FALSE),0)</f>
        <v>9217.08</v>
      </c>
      <c r="S134" s="337">
        <f>_xlfn.IFNA(VLOOKUP(A134,'Post 16'!A:AR,44,FALSE),0)</f>
        <v>0</v>
      </c>
      <c r="U134" s="337"/>
      <c r="V134" s="337">
        <f>VLOOKUP(A134,'LA Deductions'!A:AN,40,FALSE)</f>
        <v>0</v>
      </c>
      <c r="X134" s="274">
        <f>VLOOKUP($A134,'Summary June 2026'!$A:$AAX,206,FALSE)-SUMIFS($H134:$V134,$H$7:$V$7,X$7)</f>
        <v>0</v>
      </c>
      <c r="Y134" s="274">
        <f>VLOOKUP($A134,'Summary June 2026'!$A:$HC,207,FALSE)-SUMIFS($H134:$V134,$H$7:$V$7,Y$7)</f>
        <v>0</v>
      </c>
      <c r="Z134" s="274">
        <f>VLOOKUP($A134,'Summary June 2026'!$A:$HC,208,FALSE)-SUMIFS($H134:$V134,$H$7:$V$7,Z$7)</f>
        <v>0</v>
      </c>
      <c r="AA134" s="274">
        <f>VLOOKUP($A134,'Summary June 2026'!$A:$HC,209,FALSE)-SUMIFS($H134:$V134,$H$7:$V$7,AA$7)</f>
        <v>0</v>
      </c>
      <c r="AB134" s="274">
        <f>VLOOKUP($A134,'Summary June 2026'!$A:$HC,210,FALSE)-SUMIFS($H134:$V134,$H$7:$V$7,AB$7)</f>
        <v>0</v>
      </c>
      <c r="AC134" s="274">
        <f>VLOOKUP($A134,'Summary June 2026'!$A:$HC,211,FALSE)-SUMIFS($H134:$V134,$H$7:$V$7,AC$7)</f>
        <v>0</v>
      </c>
      <c r="AE134" s="146">
        <f>VLOOKUP($A134,'Summary June 2026'!$A:$HJ,213,FALSE)+VLOOKUP($A134,'Grants+ Other Funding'!$A:$CG,67,FALSE)</f>
        <v>608910.88389118528</v>
      </c>
      <c r="AF134" s="146">
        <f>_xlfn.IFNA(VLOOKUP($A134,'Summary June 2026'!$A:$HJ,214,FALSE)+VLOOKUP($A134,'Grants+ Other Funding'!$A:$CG,68,FALSE),0)</f>
        <v>0</v>
      </c>
      <c r="AG134" s="146">
        <f>_xlfn.IFNA(VLOOKUP($A134,'Summary June 2026'!$A:$HJ,215,FALSE)+VLOOKUP($A134,'Grants+ Other Funding'!$A:$CG,69,FALSE),0)</f>
        <v>10555.142601108035</v>
      </c>
      <c r="AH134" s="146">
        <f>_xlfn.IFNA(VLOOKUP($A134,'Grants+ Other Funding'!$A:$CG,70,FALSE),0)</f>
        <v>0</v>
      </c>
      <c r="AI134" s="146">
        <f>_xlfn.IFNA(VLOOKUP($A134,'Grants+ Other Funding'!$A:$CG,71,FALSE),0)</f>
        <v>0</v>
      </c>
      <c r="AJ134" s="146">
        <f>_xlfn.IFNA(VLOOKUP($A134,'Grants+ Other Funding'!$A:$CG,72,FALSE),0)</f>
        <v>0</v>
      </c>
      <c r="AK134" s="146">
        <f>_xlfn.IFNA(VLOOKUP($A134,'Summary June 2026'!$A:$HJ,217,FALSE),0)</f>
        <v>0</v>
      </c>
      <c r="AL134" s="146">
        <f>_xlfn.IFNA(VLOOKUP($A134,'Grants+ Other Funding'!$A:$CG,74,FALSE),0)</f>
        <v>0</v>
      </c>
      <c r="AM134" s="146">
        <f>_xlfn.IFNA(VLOOKUP($A134,'Summary June 2026'!$A:$HJ,218,FALSE),0)</f>
        <v>0</v>
      </c>
      <c r="AN134" s="146">
        <f>_xlfn.IFNA(VLOOKUP($A134,'Summary June 2026'!$A:$HJ,216,FALSE),0)</f>
        <v>0</v>
      </c>
      <c r="AO134" s="146">
        <f>_xlfn.IFNA(VLOOKUP($A134,'Grants+ Other Funding'!$A:$CG,73,FALSE),0)</f>
        <v>0</v>
      </c>
      <c r="AP134" s="65">
        <f t="shared" si="3"/>
        <v>619466.02649229334</v>
      </c>
    </row>
    <row r="135" spans="1:42">
      <c r="A135" s="198">
        <v>2174</v>
      </c>
      <c r="B135" s="2">
        <v>103255</v>
      </c>
      <c r="C135" s="2" t="s">
        <v>293</v>
      </c>
      <c r="D135" s="2" t="s">
        <v>294</v>
      </c>
      <c r="E135" s="190" t="s">
        <v>39</v>
      </c>
      <c r="F135" s="208" t="str">
        <f>VLOOKUP(A135,'Summary June 2026'!A:F,6,FALSE)</f>
        <v>Chq Bk</v>
      </c>
      <c r="H135" s="273">
        <f>_xlfn.IFNA(VLOOKUP($A135,ISB!$A:$BY,67,FALSE),0)</f>
        <v>1675517.8294136385</v>
      </c>
      <c r="I135" s="218">
        <f>_xlfn.IFNA(VLOOKUP($A135,ISB!$A:$BY,72,FALSE),0)</f>
        <v>-6673.2</v>
      </c>
      <c r="J135" s="274">
        <f>-_xlfn.IFNA(VLOOKUP($A135,ISB!$A:$BY,76,FALSE),0)</f>
        <v>-30832.210500000001</v>
      </c>
      <c r="L135" s="273">
        <f>_xlfn.IFNA(VLOOKUP($A135,EY!$A:$DX,126,FALSE),0)</f>
        <v>0</v>
      </c>
      <c r="M135" s="273">
        <f>_xlfn.IFNA(VLOOKUP($A135,EY!$A:$DX,127,FALSE),0)</f>
        <v>0</v>
      </c>
      <c r="O135" s="273">
        <f>_xlfn.IFNA(VLOOKUP($A135,HN!$A:$AN,37,FALSE),0)</f>
        <v>0</v>
      </c>
      <c r="P135" s="273">
        <f>_xlfn.IFNA(VLOOKUP($A135,HN!$A:$AN,38,FALSE),0)</f>
        <v>0</v>
      </c>
      <c r="Q135" s="273">
        <f>_xlfn.IFNA(VLOOKUP($A135,HN!$A:$AN,39,FALSE),0)</f>
        <v>79985.33</v>
      </c>
      <c r="S135" s="337">
        <f>_xlfn.IFNA(VLOOKUP(A135,'Post 16'!A:AR,44,FALSE),0)</f>
        <v>0</v>
      </c>
      <c r="U135" s="337"/>
      <c r="V135" s="337">
        <f>VLOOKUP(A135,'LA Deductions'!A:AN,40,FALSE)</f>
        <v>0</v>
      </c>
      <c r="X135" s="274">
        <f>VLOOKUP($A135,'Summary June 2026'!$A:$AAX,206,FALSE)-SUMIFS($H135:$V135,$H$7:$V$7,X$7)</f>
        <v>0</v>
      </c>
      <c r="Y135" s="274">
        <f>VLOOKUP($A135,'Summary June 2026'!$A:$HC,207,FALSE)-SUMIFS($H135:$V135,$H$7:$V$7,Y$7)</f>
        <v>0</v>
      </c>
      <c r="Z135" s="274">
        <f>VLOOKUP($A135,'Summary June 2026'!$A:$HC,208,FALSE)-SUMIFS($H135:$V135,$H$7:$V$7,Z$7)</f>
        <v>0</v>
      </c>
      <c r="AA135" s="274">
        <f>VLOOKUP($A135,'Summary June 2026'!$A:$HC,209,FALSE)-SUMIFS($H135:$V135,$H$7:$V$7,AA$7)</f>
        <v>0</v>
      </c>
      <c r="AB135" s="274">
        <f>VLOOKUP($A135,'Summary June 2026'!$A:$HC,210,FALSE)-SUMIFS($H135:$V135,$H$7:$V$7,AB$7)</f>
        <v>0</v>
      </c>
      <c r="AC135" s="274">
        <f>VLOOKUP($A135,'Summary June 2026'!$A:$HC,211,FALSE)-SUMIFS($H135:$V135,$H$7:$V$7,AC$7)</f>
        <v>0</v>
      </c>
      <c r="AE135" s="146">
        <f>VLOOKUP($A135,'Summary June 2026'!$A:$HJ,213,FALSE)+VLOOKUP($A135,'Grants+ Other Funding'!$A:$CG,67,FALSE)</f>
        <v>418879.45735340961</v>
      </c>
      <c r="AF135" s="146">
        <f>_xlfn.IFNA(VLOOKUP($A135,'Summary June 2026'!$A:$HJ,214,FALSE)+VLOOKUP($A135,'Grants+ Other Funding'!$A:$CG,68,FALSE),0)</f>
        <v>0</v>
      </c>
      <c r="AG135" s="146">
        <f>_xlfn.IFNA(VLOOKUP($A135,'Summary June 2026'!$A:$HJ,215,FALSE)+VLOOKUP($A135,'Grants+ Other Funding'!$A:$CG,69,FALSE),0)</f>
        <v>18681.39575</v>
      </c>
      <c r="AH135" s="146">
        <f>_xlfn.IFNA(VLOOKUP($A135,'Grants+ Other Funding'!$A:$CG,70,FALSE),0)</f>
        <v>0</v>
      </c>
      <c r="AI135" s="146">
        <f>_xlfn.IFNA(VLOOKUP($A135,'Grants+ Other Funding'!$A:$CG,71,FALSE),0)</f>
        <v>0</v>
      </c>
      <c r="AJ135" s="146">
        <f>_xlfn.IFNA(VLOOKUP($A135,'Grants+ Other Funding'!$A:$CG,72,FALSE),0)</f>
        <v>0</v>
      </c>
      <c r="AK135" s="146">
        <f>_xlfn.IFNA(VLOOKUP($A135,'Summary June 2026'!$A:$HJ,217,FALSE),0)</f>
        <v>-7708.0526250000003</v>
      </c>
      <c r="AL135" s="146">
        <f>_xlfn.IFNA(VLOOKUP($A135,'Grants+ Other Funding'!$A:$CG,74,FALSE),0)</f>
        <v>0</v>
      </c>
      <c r="AM135" s="146">
        <f>_xlfn.IFNA(VLOOKUP($A135,'Summary June 2026'!$A:$HJ,218,FALSE),0)</f>
        <v>0</v>
      </c>
      <c r="AN135" s="146">
        <f>_xlfn.IFNA(VLOOKUP($A135,'Summary June 2026'!$A:$HJ,216,FALSE),0)</f>
        <v>-1668.3000000000002</v>
      </c>
      <c r="AO135" s="146">
        <f>_xlfn.IFNA(VLOOKUP($A135,'Grants+ Other Funding'!$A:$CG,73,FALSE),0)</f>
        <v>0</v>
      </c>
      <c r="AP135" s="65">
        <f t="shared" si="3"/>
        <v>428184.50047840964</v>
      </c>
    </row>
    <row r="136" spans="1:42">
      <c r="A136" s="198">
        <v>2176</v>
      </c>
      <c r="B136" s="2">
        <v>103256</v>
      </c>
      <c r="C136" s="2" t="s">
        <v>295</v>
      </c>
      <c r="D136" s="2" t="s">
        <v>296</v>
      </c>
      <c r="E136" s="190" t="s">
        <v>39</v>
      </c>
      <c r="F136" s="208" t="str">
        <f>VLOOKUP(A136,'Summary June 2026'!A:F,6,FALSE)</f>
        <v>Chq Bk</v>
      </c>
      <c r="H136" s="273">
        <f>_xlfn.IFNA(VLOOKUP($A136,ISB!$A:$BY,67,FALSE),0)</f>
        <v>4263425.5433425903</v>
      </c>
      <c r="I136" s="218">
        <f>_xlfn.IFNA(VLOOKUP($A136,ISB!$A:$BY,72,FALSE),0)</f>
        <v>-16160.099999999999</v>
      </c>
      <c r="J136" s="274">
        <f>-_xlfn.IFNA(VLOOKUP($A136,ISB!$A:$BY,76,FALSE),0)</f>
        <v>-78377.207999999999</v>
      </c>
      <c r="L136" s="273">
        <f>_xlfn.IFNA(VLOOKUP($A136,EY!$A:$DX,126,FALSE),0)</f>
        <v>170202.36387811636</v>
      </c>
      <c r="M136" s="273">
        <f>_xlfn.IFNA(VLOOKUP($A136,EY!$A:$DX,127,FALSE),0)</f>
        <v>780</v>
      </c>
      <c r="O136" s="273">
        <f>_xlfn.IFNA(VLOOKUP($A136,HN!$A:$AN,37,FALSE),0)</f>
        <v>0</v>
      </c>
      <c r="P136" s="273">
        <f>_xlfn.IFNA(VLOOKUP($A136,HN!$A:$AN,38,FALSE),0)</f>
        <v>0</v>
      </c>
      <c r="Q136" s="273">
        <f>_xlfn.IFNA(VLOOKUP($A136,HN!$A:$AN,39,FALSE),0)</f>
        <v>179299.75</v>
      </c>
      <c r="S136" s="337">
        <f>_xlfn.IFNA(VLOOKUP(A136,'Post 16'!A:AR,44,FALSE),0)</f>
        <v>0</v>
      </c>
      <c r="U136" s="337"/>
      <c r="V136" s="337">
        <f>VLOOKUP(A136,'LA Deductions'!A:AN,40,FALSE)</f>
        <v>0</v>
      </c>
      <c r="X136" s="274">
        <f>VLOOKUP($A136,'Summary June 2026'!$A:$AAX,206,FALSE)-SUMIFS($H136:$V136,$H$7:$V$7,X$7)</f>
        <v>0</v>
      </c>
      <c r="Y136" s="274">
        <f>VLOOKUP($A136,'Summary June 2026'!$A:$HC,207,FALSE)-SUMIFS($H136:$V136,$H$7:$V$7,Y$7)</f>
        <v>0</v>
      </c>
      <c r="Z136" s="274">
        <f>VLOOKUP($A136,'Summary June 2026'!$A:$HC,208,FALSE)-SUMIFS($H136:$V136,$H$7:$V$7,Z$7)</f>
        <v>0</v>
      </c>
      <c r="AA136" s="274">
        <f>VLOOKUP($A136,'Summary June 2026'!$A:$HC,209,FALSE)-SUMIFS($H136:$V136,$H$7:$V$7,AA$7)</f>
        <v>0</v>
      </c>
      <c r="AB136" s="274">
        <f>VLOOKUP($A136,'Summary June 2026'!$A:$HC,210,FALSE)-SUMIFS($H136:$V136,$H$7:$V$7,AB$7)</f>
        <v>0</v>
      </c>
      <c r="AC136" s="274">
        <f>VLOOKUP($A136,'Summary June 2026'!$A:$HC,211,FALSE)-SUMIFS($H136:$V136,$H$7:$V$7,AC$7)</f>
        <v>0</v>
      </c>
      <c r="AE136" s="146">
        <f>VLOOKUP($A136,'Summary June 2026'!$A:$HJ,213,FALSE)+VLOOKUP($A136,'Grants+ Other Funding'!$A:$CG,67,FALSE)</f>
        <v>1174692.6739242903</v>
      </c>
      <c r="AF136" s="146">
        <f>_xlfn.IFNA(VLOOKUP($A136,'Summary June 2026'!$A:$HJ,214,FALSE)+VLOOKUP($A136,'Grants+ Other Funding'!$A:$CG,68,FALSE),0)</f>
        <v>0</v>
      </c>
      <c r="AG136" s="146">
        <f>_xlfn.IFNA(VLOOKUP($A136,'Summary June 2026'!$A:$HJ,215,FALSE)+VLOOKUP($A136,'Grants+ Other Funding'!$A:$CG,69,FALSE),0)</f>
        <v>58812.76225</v>
      </c>
      <c r="AH136" s="146">
        <f>_xlfn.IFNA(VLOOKUP($A136,'Grants+ Other Funding'!$A:$CG,70,FALSE),0)</f>
        <v>0</v>
      </c>
      <c r="AI136" s="146">
        <f>_xlfn.IFNA(VLOOKUP($A136,'Grants+ Other Funding'!$A:$CG,71,FALSE),0)</f>
        <v>0</v>
      </c>
      <c r="AJ136" s="146">
        <f>_xlfn.IFNA(VLOOKUP($A136,'Grants+ Other Funding'!$A:$CG,72,FALSE),0)</f>
        <v>0</v>
      </c>
      <c r="AK136" s="146">
        <f>_xlfn.IFNA(VLOOKUP($A136,'Summary June 2026'!$A:$HJ,217,FALSE),0)</f>
        <v>-19594.302</v>
      </c>
      <c r="AL136" s="146">
        <f>_xlfn.IFNA(VLOOKUP($A136,'Grants+ Other Funding'!$A:$CG,74,FALSE),0)</f>
        <v>0</v>
      </c>
      <c r="AM136" s="146">
        <f>_xlfn.IFNA(VLOOKUP($A136,'Summary June 2026'!$A:$HJ,218,FALSE),0)</f>
        <v>0</v>
      </c>
      <c r="AN136" s="146">
        <f>_xlfn.IFNA(VLOOKUP($A136,'Summary June 2026'!$A:$HJ,216,FALSE),0)</f>
        <v>-4040.0249999999996</v>
      </c>
      <c r="AO136" s="146">
        <f>_xlfn.IFNA(VLOOKUP($A136,'Grants+ Other Funding'!$A:$CG,73,FALSE),0)</f>
        <v>0</v>
      </c>
      <c r="AP136" s="65">
        <f t="shared" ref="AP136:AP167" si="4">SUM(AE136:AO136)</f>
        <v>1209871.1091742904</v>
      </c>
    </row>
    <row r="137" spans="1:42">
      <c r="A137" s="198">
        <v>7047</v>
      </c>
      <c r="B137" s="2">
        <v>103623</v>
      </c>
      <c r="C137" s="2" t="s">
        <v>297</v>
      </c>
      <c r="D137" s="2" t="s">
        <v>298</v>
      </c>
      <c r="E137" s="190" t="s">
        <v>56</v>
      </c>
      <c r="F137" s="208" t="str">
        <f>VLOOKUP(A137,'Summary June 2026'!A:F,6,FALSE)</f>
        <v>Chq Bk</v>
      </c>
      <c r="H137" s="273">
        <f>_xlfn.IFNA(VLOOKUP($A137,ISB!$A:$BY,67,FALSE),0)</f>
        <v>0</v>
      </c>
      <c r="I137" s="218">
        <f>_xlfn.IFNA(VLOOKUP($A137,ISB!$A:$BY,72,FALSE),0)</f>
        <v>0</v>
      </c>
      <c r="J137" s="274">
        <f>-_xlfn.IFNA(VLOOKUP($A137,ISB!$A:$BY,76,FALSE),0)</f>
        <v>0</v>
      </c>
      <c r="L137" s="273">
        <f>_xlfn.IFNA(VLOOKUP($A137,EY!$A:$DX,126,FALSE),0)</f>
        <v>0</v>
      </c>
      <c r="M137" s="273">
        <f>_xlfn.IFNA(VLOOKUP($A137,EY!$A:$DX,127,FALSE),0)</f>
        <v>0</v>
      </c>
      <c r="O137" s="273">
        <f>_xlfn.IFNA(VLOOKUP($A137,HN!$A:$AN,37,FALSE),0)</f>
        <v>1150000</v>
      </c>
      <c r="P137" s="273">
        <f>_xlfn.IFNA(VLOOKUP($A137,HN!$A:$AN,38,FALSE),0)</f>
        <v>0</v>
      </c>
      <c r="Q137" s="273">
        <f>_xlfn.IFNA(VLOOKUP($A137,HN!$A:$AN,39,FALSE),0)</f>
        <v>1908714.9</v>
      </c>
      <c r="S137" s="337">
        <f>_xlfn.IFNA(VLOOKUP(A137,'Post 16'!A:AR,44,FALSE),0)</f>
        <v>0</v>
      </c>
      <c r="U137" s="337"/>
      <c r="V137" s="337">
        <f>VLOOKUP(A137,'LA Deductions'!A:AN,40,FALSE)</f>
        <v>0</v>
      </c>
      <c r="X137" s="274">
        <f>VLOOKUP($A137,'Summary June 2026'!$A:$AAX,206,FALSE)-SUMIFS($H137:$V137,$H$7:$V$7,X$7)</f>
        <v>0</v>
      </c>
      <c r="Y137" s="274">
        <f>VLOOKUP($A137,'Summary June 2026'!$A:$HC,207,FALSE)-SUMIFS($H137:$V137,$H$7:$V$7,Y$7)</f>
        <v>0</v>
      </c>
      <c r="Z137" s="274">
        <f>VLOOKUP($A137,'Summary June 2026'!$A:$HC,208,FALSE)-SUMIFS($H137:$V137,$H$7:$V$7,Z$7)</f>
        <v>0</v>
      </c>
      <c r="AA137" s="274">
        <f>VLOOKUP($A137,'Summary June 2026'!$A:$HC,209,FALSE)-SUMIFS($H137:$V137,$H$7:$V$7,AA$7)</f>
        <v>0</v>
      </c>
      <c r="AB137" s="274">
        <f>VLOOKUP($A137,'Summary June 2026'!$A:$HC,210,FALSE)-SUMIFS($H137:$V137,$H$7:$V$7,AB$7)</f>
        <v>0</v>
      </c>
      <c r="AC137" s="274">
        <f>VLOOKUP($A137,'Summary June 2026'!$A:$HC,211,FALSE)-SUMIFS($H137:$V137,$H$7:$V$7,AC$7)</f>
        <v>0</v>
      </c>
      <c r="AE137" s="146">
        <f>VLOOKUP($A137,'Summary June 2026'!$A:$HJ,213,FALSE)+VLOOKUP($A137,'Grants+ Other Funding'!$A:$CG,67,FALSE)</f>
        <v>287500</v>
      </c>
      <c r="AF137" s="146">
        <f>_xlfn.IFNA(VLOOKUP($A137,'Summary June 2026'!$A:$HJ,214,FALSE)+VLOOKUP($A137,'Grants+ Other Funding'!$A:$CG,68,FALSE),0)</f>
        <v>-133.05000000000001</v>
      </c>
      <c r="AG137" s="146">
        <f>_xlfn.IFNA(VLOOKUP($A137,'Summary June 2026'!$A:$HJ,215,FALSE)+VLOOKUP($A137,'Grants+ Other Funding'!$A:$CG,69,FALSE),0)</f>
        <v>477178.72499999998</v>
      </c>
      <c r="AH137" s="146">
        <f>_xlfn.IFNA(VLOOKUP($A137,'Grants+ Other Funding'!$A:$CG,70,FALSE),0)</f>
        <v>0</v>
      </c>
      <c r="AI137" s="146">
        <f>_xlfn.IFNA(VLOOKUP($A137,'Grants+ Other Funding'!$A:$CG,71,FALSE),0)</f>
        <v>0</v>
      </c>
      <c r="AJ137" s="146">
        <f>_xlfn.IFNA(VLOOKUP($A137,'Grants+ Other Funding'!$A:$CG,72,FALSE),0)</f>
        <v>0</v>
      </c>
      <c r="AK137" s="146">
        <f>_xlfn.IFNA(VLOOKUP($A137,'Summary June 2026'!$A:$HJ,217,FALSE),0)</f>
        <v>0</v>
      </c>
      <c r="AL137" s="146">
        <f>_xlfn.IFNA(VLOOKUP($A137,'Grants+ Other Funding'!$A:$CG,74,FALSE),0)</f>
        <v>0</v>
      </c>
      <c r="AM137" s="146">
        <f>_xlfn.IFNA(VLOOKUP($A137,'Summary June 2026'!$A:$HJ,218,FALSE),0)</f>
        <v>0</v>
      </c>
      <c r="AN137" s="146">
        <f>_xlfn.IFNA(VLOOKUP($A137,'Summary June 2026'!$A:$HJ,216,FALSE),0)</f>
        <v>0</v>
      </c>
      <c r="AO137" s="146">
        <f>_xlfn.IFNA(VLOOKUP($A137,'Grants+ Other Funding'!$A:$CG,73,FALSE),0)</f>
        <v>0</v>
      </c>
      <c r="AP137" s="65">
        <f t="shared" si="4"/>
        <v>764545.67500000005</v>
      </c>
    </row>
    <row r="138" spans="1:42">
      <c r="A138" s="198">
        <v>3410</v>
      </c>
      <c r="B138" s="2">
        <v>103478</v>
      </c>
      <c r="C138" s="2" t="s">
        <v>299</v>
      </c>
      <c r="D138" s="2" t="s">
        <v>300</v>
      </c>
      <c r="E138" s="190" t="s">
        <v>39</v>
      </c>
      <c r="F138" s="208" t="str">
        <f>VLOOKUP(A138,'Summary June 2026'!A:F,6,FALSE)</f>
        <v>Chq Bk</v>
      </c>
      <c r="H138" s="273">
        <f>_xlfn.IFNA(VLOOKUP($A138,ISB!$A:$BY,67,FALSE),0)</f>
        <v>1235837.4303285044</v>
      </c>
      <c r="I138" s="218">
        <f>_xlfn.IFNA(VLOOKUP($A138,ISB!$A:$BY,72,FALSE),0)</f>
        <v>-4980</v>
      </c>
      <c r="J138" s="274">
        <f>-_xlfn.IFNA(VLOOKUP($A138,ISB!$A:$BY,76,FALSE),0)</f>
        <v>-4187.2213000000002</v>
      </c>
      <c r="L138" s="273">
        <f>_xlfn.IFNA(VLOOKUP($A138,EY!$A:$DX,126,FALSE),0)</f>
        <v>0</v>
      </c>
      <c r="M138" s="273">
        <f>_xlfn.IFNA(VLOOKUP($A138,EY!$A:$DX,127,FALSE),0)</f>
        <v>0</v>
      </c>
      <c r="O138" s="273">
        <f>_xlfn.IFNA(VLOOKUP($A138,HN!$A:$AN,37,FALSE),0)</f>
        <v>0</v>
      </c>
      <c r="P138" s="273">
        <f>_xlfn.IFNA(VLOOKUP($A138,HN!$A:$AN,38,FALSE),0)</f>
        <v>0</v>
      </c>
      <c r="Q138" s="273">
        <f>_xlfn.IFNA(VLOOKUP($A138,HN!$A:$AN,39,FALSE),0)</f>
        <v>164665.59</v>
      </c>
      <c r="S138" s="337">
        <f>_xlfn.IFNA(VLOOKUP(A138,'Post 16'!A:AR,44,FALSE),0)</f>
        <v>0</v>
      </c>
      <c r="U138" s="337"/>
      <c r="V138" s="337">
        <f>VLOOKUP(A138,'LA Deductions'!A:AN,40,FALSE)</f>
        <v>0</v>
      </c>
      <c r="X138" s="274">
        <f>VLOOKUP($A138,'Summary June 2026'!$A:$AAX,206,FALSE)-SUMIFS($H138:$V138,$H$7:$V$7,X$7)</f>
        <v>0</v>
      </c>
      <c r="Y138" s="274">
        <f>VLOOKUP($A138,'Summary June 2026'!$A:$HC,207,FALSE)-SUMIFS($H138:$V138,$H$7:$V$7,Y$7)</f>
        <v>0</v>
      </c>
      <c r="Z138" s="274">
        <f>VLOOKUP($A138,'Summary June 2026'!$A:$HC,208,FALSE)-SUMIFS($H138:$V138,$H$7:$V$7,Z$7)</f>
        <v>0</v>
      </c>
      <c r="AA138" s="274">
        <f>VLOOKUP($A138,'Summary June 2026'!$A:$HC,209,FALSE)-SUMIFS($H138:$V138,$H$7:$V$7,AA$7)</f>
        <v>0</v>
      </c>
      <c r="AB138" s="274">
        <f>VLOOKUP($A138,'Summary June 2026'!$A:$HC,210,FALSE)-SUMIFS($H138:$V138,$H$7:$V$7,AB$7)</f>
        <v>0</v>
      </c>
      <c r="AC138" s="274">
        <f>VLOOKUP($A138,'Summary June 2026'!$A:$HC,211,FALSE)-SUMIFS($H138:$V138,$H$7:$V$7,AC$7)</f>
        <v>0</v>
      </c>
      <c r="AE138" s="146">
        <f>VLOOKUP($A138,'Summary June 2026'!$A:$HJ,213,FALSE)+VLOOKUP($A138,'Grants+ Other Funding'!$A:$CG,67,FALSE)</f>
        <v>310824.13758212613</v>
      </c>
      <c r="AF138" s="146">
        <f>_xlfn.IFNA(VLOOKUP($A138,'Summary June 2026'!$A:$HJ,214,FALSE)+VLOOKUP($A138,'Grants+ Other Funding'!$A:$CG,68,FALSE),0)</f>
        <v>-61.76</v>
      </c>
      <c r="AG138" s="146">
        <f>_xlfn.IFNA(VLOOKUP($A138,'Summary June 2026'!$A:$HJ,215,FALSE)+VLOOKUP($A138,'Grants+ Other Funding'!$A:$CG,69,FALSE),0)</f>
        <v>47307.903000000006</v>
      </c>
      <c r="AH138" s="146">
        <f>_xlfn.IFNA(VLOOKUP($A138,'Grants+ Other Funding'!$A:$CG,70,FALSE),0)</f>
        <v>0</v>
      </c>
      <c r="AI138" s="146">
        <f>_xlfn.IFNA(VLOOKUP($A138,'Grants+ Other Funding'!$A:$CG,71,FALSE),0)</f>
        <v>0</v>
      </c>
      <c r="AJ138" s="146">
        <f>_xlfn.IFNA(VLOOKUP($A138,'Grants+ Other Funding'!$A:$CG,72,FALSE),0)</f>
        <v>0</v>
      </c>
      <c r="AK138" s="146">
        <f>_xlfn.IFNA(VLOOKUP($A138,'Summary June 2026'!$A:$HJ,217,FALSE),0)</f>
        <v>-1046.805325</v>
      </c>
      <c r="AL138" s="146">
        <f>_xlfn.IFNA(VLOOKUP($A138,'Grants+ Other Funding'!$A:$CG,74,FALSE),0)</f>
        <v>0</v>
      </c>
      <c r="AM138" s="146">
        <f>_xlfn.IFNA(VLOOKUP($A138,'Summary June 2026'!$A:$HJ,218,FALSE),0)</f>
        <v>0</v>
      </c>
      <c r="AN138" s="146">
        <f>_xlfn.IFNA(VLOOKUP($A138,'Summary June 2026'!$A:$HJ,216,FALSE),0)</f>
        <v>-1245</v>
      </c>
      <c r="AO138" s="146">
        <f>_xlfn.IFNA(VLOOKUP($A138,'Grants+ Other Funding'!$A:$CG,73,FALSE),0)</f>
        <v>0</v>
      </c>
      <c r="AP138" s="65">
        <f t="shared" si="4"/>
        <v>355778.47525712609</v>
      </c>
    </row>
    <row r="139" spans="1:42">
      <c r="A139" s="198">
        <v>3381</v>
      </c>
      <c r="B139" s="2">
        <v>103466</v>
      </c>
      <c r="C139" s="2" t="s">
        <v>301</v>
      </c>
      <c r="D139" s="2" t="s">
        <v>302</v>
      </c>
      <c r="E139" s="190" t="s">
        <v>39</v>
      </c>
      <c r="F139" s="208" t="str">
        <f>VLOOKUP(A139,'Summary June 2026'!A:F,6,FALSE)</f>
        <v>Chq Bk</v>
      </c>
      <c r="H139" s="273">
        <f>_xlfn.IFNA(VLOOKUP($A139,ISB!$A:$BY,67,FALSE),0)</f>
        <v>1243135.3819974607</v>
      </c>
      <c r="I139" s="218">
        <f>_xlfn.IFNA(VLOOKUP($A139,ISB!$A:$BY,72,FALSE),0)</f>
        <v>-5154.2999999999993</v>
      </c>
      <c r="J139" s="274">
        <f>-_xlfn.IFNA(VLOOKUP($A139,ISB!$A:$BY,76,FALSE),0)</f>
        <v>-3660.5268000000001</v>
      </c>
      <c r="L139" s="273">
        <f>_xlfn.IFNA(VLOOKUP($A139,EY!$A:$DX,126,FALSE),0)</f>
        <v>0</v>
      </c>
      <c r="M139" s="273">
        <f>_xlfn.IFNA(VLOOKUP($A139,EY!$A:$DX,127,FALSE),0)</f>
        <v>0</v>
      </c>
      <c r="O139" s="273">
        <f>_xlfn.IFNA(VLOOKUP($A139,HN!$A:$AN,37,FALSE),0)</f>
        <v>0</v>
      </c>
      <c r="P139" s="273">
        <f>_xlfn.IFNA(VLOOKUP($A139,HN!$A:$AN,38,FALSE),0)</f>
        <v>0</v>
      </c>
      <c r="Q139" s="273">
        <f>_xlfn.IFNA(VLOOKUP($A139,HN!$A:$AN,39,FALSE),0)</f>
        <v>53055.25</v>
      </c>
      <c r="S139" s="337">
        <f>_xlfn.IFNA(VLOOKUP(A139,'Post 16'!A:AR,44,FALSE),0)</f>
        <v>0</v>
      </c>
      <c r="U139" s="337"/>
      <c r="V139" s="337">
        <f>VLOOKUP(A139,'LA Deductions'!A:AN,40,FALSE)</f>
        <v>0</v>
      </c>
      <c r="X139" s="274">
        <f>VLOOKUP($A139,'Summary June 2026'!$A:$AAX,206,FALSE)-SUMIFS($H139:$V139,$H$7:$V$7,X$7)</f>
        <v>0</v>
      </c>
      <c r="Y139" s="274">
        <f>VLOOKUP($A139,'Summary June 2026'!$A:$HC,207,FALSE)-SUMIFS($H139:$V139,$H$7:$V$7,Y$7)</f>
        <v>0</v>
      </c>
      <c r="Z139" s="274">
        <f>VLOOKUP($A139,'Summary June 2026'!$A:$HC,208,FALSE)-SUMIFS($H139:$V139,$H$7:$V$7,Z$7)</f>
        <v>0</v>
      </c>
      <c r="AA139" s="274">
        <f>VLOOKUP($A139,'Summary June 2026'!$A:$HC,209,FALSE)-SUMIFS($H139:$V139,$H$7:$V$7,AA$7)</f>
        <v>0</v>
      </c>
      <c r="AB139" s="274">
        <f>VLOOKUP($A139,'Summary June 2026'!$A:$HC,210,FALSE)-SUMIFS($H139:$V139,$H$7:$V$7,AB$7)</f>
        <v>0</v>
      </c>
      <c r="AC139" s="274">
        <f>VLOOKUP($A139,'Summary June 2026'!$A:$HC,211,FALSE)-SUMIFS($H139:$V139,$H$7:$V$7,AC$7)</f>
        <v>0</v>
      </c>
      <c r="AE139" s="146">
        <f>VLOOKUP($A139,'Summary June 2026'!$A:$HJ,213,FALSE)+VLOOKUP($A139,'Grants+ Other Funding'!$A:$CG,67,FALSE)</f>
        <v>310783.84549936518</v>
      </c>
      <c r="AF139" s="146">
        <f>_xlfn.IFNA(VLOOKUP($A139,'Summary June 2026'!$A:$HJ,214,FALSE)+VLOOKUP($A139,'Grants+ Other Funding'!$A:$CG,68,FALSE),0)</f>
        <v>0</v>
      </c>
      <c r="AG139" s="146">
        <f>_xlfn.IFNA(VLOOKUP($A139,'Summary June 2026'!$A:$HJ,215,FALSE)+VLOOKUP($A139,'Grants+ Other Funding'!$A:$CG,69,FALSE),0)</f>
        <v>13350.418749999999</v>
      </c>
      <c r="AH139" s="146">
        <f>_xlfn.IFNA(VLOOKUP($A139,'Grants+ Other Funding'!$A:$CG,70,FALSE),0)</f>
        <v>0</v>
      </c>
      <c r="AI139" s="146">
        <f>_xlfn.IFNA(VLOOKUP($A139,'Grants+ Other Funding'!$A:$CG,71,FALSE),0)</f>
        <v>0</v>
      </c>
      <c r="AJ139" s="146">
        <f>_xlfn.IFNA(VLOOKUP($A139,'Grants+ Other Funding'!$A:$CG,72,FALSE),0)</f>
        <v>0</v>
      </c>
      <c r="AK139" s="146">
        <f>_xlfn.IFNA(VLOOKUP($A139,'Summary June 2026'!$A:$HJ,217,FALSE),0)</f>
        <v>-915.13170000000002</v>
      </c>
      <c r="AL139" s="146">
        <f>_xlfn.IFNA(VLOOKUP($A139,'Grants+ Other Funding'!$A:$CG,74,FALSE),0)</f>
        <v>0</v>
      </c>
      <c r="AM139" s="146">
        <f>_xlfn.IFNA(VLOOKUP($A139,'Summary June 2026'!$A:$HJ,218,FALSE),0)</f>
        <v>0</v>
      </c>
      <c r="AN139" s="146">
        <f>_xlfn.IFNA(VLOOKUP($A139,'Summary June 2026'!$A:$HJ,216,FALSE),0)</f>
        <v>-1288.5749999999998</v>
      </c>
      <c r="AO139" s="146">
        <f>_xlfn.IFNA(VLOOKUP($A139,'Grants+ Other Funding'!$A:$CG,73,FALSE),0)</f>
        <v>0</v>
      </c>
      <c r="AP139" s="65">
        <f t="shared" si="4"/>
        <v>321930.55754936516</v>
      </c>
    </row>
    <row r="140" spans="1:42">
      <c r="A140" s="198">
        <v>3335</v>
      </c>
      <c r="B140" s="2">
        <v>103434</v>
      </c>
      <c r="C140" s="2" t="s">
        <v>303</v>
      </c>
      <c r="D140" s="2" t="s">
        <v>304</v>
      </c>
      <c r="E140" s="190" t="s">
        <v>39</v>
      </c>
      <c r="F140" s="208" t="str">
        <f>VLOOKUP(A140,'Summary June 2026'!A:F,6,FALSE)</f>
        <v>Chq Bk</v>
      </c>
      <c r="H140" s="273">
        <f>_xlfn.IFNA(VLOOKUP($A140,ISB!$A:$BY,67,FALSE),0)</f>
        <v>1359270.4154016546</v>
      </c>
      <c r="I140" s="218">
        <f>_xlfn.IFNA(VLOOKUP($A140,ISB!$A:$BY,72,FALSE),0)</f>
        <v>-4855.5</v>
      </c>
      <c r="J140" s="274">
        <f>-_xlfn.IFNA(VLOOKUP($A140,ISB!$A:$BY,76,FALSE),0)</f>
        <v>-4687.5811000000003</v>
      </c>
      <c r="L140" s="273">
        <f>_xlfn.IFNA(VLOOKUP($A140,EY!$A:$DX,126,FALSE),0)</f>
        <v>0</v>
      </c>
      <c r="M140" s="273">
        <f>_xlfn.IFNA(VLOOKUP($A140,EY!$A:$DX,127,FALSE),0)</f>
        <v>0</v>
      </c>
      <c r="O140" s="273">
        <f>_xlfn.IFNA(VLOOKUP($A140,HN!$A:$AN,37,FALSE),0)</f>
        <v>0</v>
      </c>
      <c r="P140" s="273">
        <f>_xlfn.IFNA(VLOOKUP($A140,HN!$A:$AN,38,FALSE),0)</f>
        <v>0</v>
      </c>
      <c r="Q140" s="273">
        <f>_xlfn.IFNA(VLOOKUP($A140,HN!$A:$AN,39,FALSE),0)</f>
        <v>76839.83</v>
      </c>
      <c r="S140" s="337">
        <f>_xlfn.IFNA(VLOOKUP(A140,'Post 16'!A:AR,44,FALSE),0)</f>
        <v>0</v>
      </c>
      <c r="U140" s="337"/>
      <c r="V140" s="337">
        <f>VLOOKUP(A140,'LA Deductions'!A:AN,40,FALSE)</f>
        <v>0</v>
      </c>
      <c r="X140" s="274">
        <f>VLOOKUP($A140,'Summary June 2026'!$A:$AAX,206,FALSE)-SUMIFS($H140:$V140,$H$7:$V$7,X$7)</f>
        <v>0</v>
      </c>
      <c r="Y140" s="274">
        <f>VLOOKUP($A140,'Summary June 2026'!$A:$HC,207,FALSE)-SUMIFS($H140:$V140,$H$7:$V$7,Y$7)</f>
        <v>0</v>
      </c>
      <c r="Z140" s="274">
        <f>VLOOKUP($A140,'Summary June 2026'!$A:$HC,208,FALSE)-SUMIFS($H140:$V140,$H$7:$V$7,Z$7)</f>
        <v>0</v>
      </c>
      <c r="AA140" s="274">
        <f>VLOOKUP($A140,'Summary June 2026'!$A:$HC,209,FALSE)-SUMIFS($H140:$V140,$H$7:$V$7,AA$7)</f>
        <v>0</v>
      </c>
      <c r="AB140" s="274">
        <f>VLOOKUP($A140,'Summary June 2026'!$A:$HC,210,FALSE)-SUMIFS($H140:$V140,$H$7:$V$7,AB$7)</f>
        <v>0</v>
      </c>
      <c r="AC140" s="274">
        <f>VLOOKUP($A140,'Summary June 2026'!$A:$HC,211,FALSE)-SUMIFS($H140:$V140,$H$7:$V$7,AC$7)</f>
        <v>0</v>
      </c>
      <c r="AE140" s="146">
        <f>VLOOKUP($A140,'Summary June 2026'!$A:$HJ,213,FALSE)+VLOOKUP($A140,'Grants+ Other Funding'!$A:$CG,67,FALSE)</f>
        <v>339832.97385041363</v>
      </c>
      <c r="AF140" s="146">
        <f>_xlfn.IFNA(VLOOKUP($A140,'Summary June 2026'!$A:$HJ,214,FALSE)+VLOOKUP($A140,'Grants+ Other Funding'!$A:$CG,68,FALSE),0)</f>
        <v>-55.15</v>
      </c>
      <c r="AG140" s="146">
        <f>_xlfn.IFNA(VLOOKUP($A140,'Summary June 2026'!$A:$HJ,215,FALSE)+VLOOKUP($A140,'Grants+ Other Funding'!$A:$CG,69,FALSE),0)</f>
        <v>22638.107750000003</v>
      </c>
      <c r="AH140" s="146">
        <f>_xlfn.IFNA(VLOOKUP($A140,'Grants+ Other Funding'!$A:$CG,70,FALSE),0)</f>
        <v>0</v>
      </c>
      <c r="AI140" s="146">
        <f>_xlfn.IFNA(VLOOKUP($A140,'Grants+ Other Funding'!$A:$CG,71,FALSE),0)</f>
        <v>0</v>
      </c>
      <c r="AJ140" s="146">
        <f>_xlfn.IFNA(VLOOKUP($A140,'Grants+ Other Funding'!$A:$CG,72,FALSE),0)</f>
        <v>0</v>
      </c>
      <c r="AK140" s="146">
        <f>_xlfn.IFNA(VLOOKUP($A140,'Summary June 2026'!$A:$HJ,217,FALSE),0)</f>
        <v>-1171.8952750000001</v>
      </c>
      <c r="AL140" s="146">
        <f>_xlfn.IFNA(VLOOKUP($A140,'Grants+ Other Funding'!$A:$CG,74,FALSE),0)</f>
        <v>0</v>
      </c>
      <c r="AM140" s="146">
        <f>_xlfn.IFNA(VLOOKUP($A140,'Summary June 2026'!$A:$HJ,218,FALSE),0)</f>
        <v>0</v>
      </c>
      <c r="AN140" s="146">
        <f>_xlfn.IFNA(VLOOKUP($A140,'Summary June 2026'!$A:$HJ,216,FALSE),0)</f>
        <v>-1213.875</v>
      </c>
      <c r="AO140" s="146">
        <f>_xlfn.IFNA(VLOOKUP($A140,'Grants+ Other Funding'!$A:$CG,73,FALSE),0)</f>
        <v>0</v>
      </c>
      <c r="AP140" s="65">
        <f t="shared" si="4"/>
        <v>360030.16132541362</v>
      </c>
    </row>
    <row r="141" spans="1:42">
      <c r="A141" s="198">
        <v>2183</v>
      </c>
      <c r="B141" s="2">
        <v>103261</v>
      </c>
      <c r="C141" s="2" t="s">
        <v>305</v>
      </c>
      <c r="D141" s="2" t="s">
        <v>306</v>
      </c>
      <c r="E141" s="190" t="s">
        <v>39</v>
      </c>
      <c r="F141" s="208" t="str">
        <f>VLOOKUP(A141,'Summary June 2026'!A:F,6,FALSE)</f>
        <v>Chq Bk</v>
      </c>
      <c r="H141" s="273">
        <f>_xlfn.IFNA(VLOOKUP($A141,ISB!$A:$BY,67,FALSE),0)</f>
        <v>2105004.7248197626</v>
      </c>
      <c r="I141" s="218">
        <f>_xlfn.IFNA(VLOOKUP($A141,ISB!$A:$BY,72,FALSE),0)</f>
        <v>-7644.2999999999993</v>
      </c>
      <c r="J141" s="274">
        <f>-_xlfn.IFNA(VLOOKUP($A141,ISB!$A:$BY,76,FALSE),0)</f>
        <v>-37459.695</v>
      </c>
      <c r="L141" s="273">
        <f>_xlfn.IFNA(VLOOKUP($A141,EY!$A:$DX,126,FALSE),0)</f>
        <v>0</v>
      </c>
      <c r="M141" s="273">
        <f>_xlfn.IFNA(VLOOKUP($A141,EY!$A:$DX,127,FALSE),0)</f>
        <v>0</v>
      </c>
      <c r="O141" s="273">
        <f>_xlfn.IFNA(VLOOKUP($A141,HN!$A:$AN,37,FALSE),0)</f>
        <v>164000</v>
      </c>
      <c r="P141" s="273">
        <f>_xlfn.IFNA(VLOOKUP($A141,HN!$A:$AN,38,FALSE),0)</f>
        <v>0</v>
      </c>
      <c r="Q141" s="273">
        <f>_xlfn.IFNA(VLOOKUP($A141,HN!$A:$AN,39,FALSE),0)</f>
        <v>318827.32999999996</v>
      </c>
      <c r="S141" s="337">
        <f>_xlfn.IFNA(VLOOKUP(A141,'Post 16'!A:AR,44,FALSE),0)</f>
        <v>0</v>
      </c>
      <c r="U141" s="337"/>
      <c r="V141" s="337">
        <f>VLOOKUP(A141,'LA Deductions'!A:AN,40,FALSE)</f>
        <v>0</v>
      </c>
      <c r="X141" s="274">
        <f>VLOOKUP($A141,'Summary June 2026'!$A:$AAX,206,FALSE)-SUMIFS($H141:$V141,$H$7:$V$7,X$7)</f>
        <v>0</v>
      </c>
      <c r="Y141" s="274">
        <f>VLOOKUP($A141,'Summary June 2026'!$A:$HC,207,FALSE)-SUMIFS($H141:$V141,$H$7:$V$7,Y$7)</f>
        <v>0</v>
      </c>
      <c r="Z141" s="274">
        <f>VLOOKUP($A141,'Summary June 2026'!$A:$HC,208,FALSE)-SUMIFS($H141:$V141,$H$7:$V$7,Z$7)</f>
        <v>0</v>
      </c>
      <c r="AA141" s="274">
        <f>VLOOKUP($A141,'Summary June 2026'!$A:$HC,209,FALSE)-SUMIFS($H141:$V141,$H$7:$V$7,AA$7)</f>
        <v>0</v>
      </c>
      <c r="AB141" s="274">
        <f>VLOOKUP($A141,'Summary June 2026'!$A:$HC,210,FALSE)-SUMIFS($H141:$V141,$H$7:$V$7,AB$7)</f>
        <v>0</v>
      </c>
      <c r="AC141" s="274">
        <f>VLOOKUP($A141,'Summary June 2026'!$A:$HC,211,FALSE)-SUMIFS($H141:$V141,$H$7:$V$7,AC$7)</f>
        <v>0</v>
      </c>
      <c r="AE141" s="146">
        <f>VLOOKUP($A141,'Summary June 2026'!$A:$HJ,213,FALSE)+VLOOKUP($A141,'Grants+ Other Funding'!$A:$CG,67,FALSE)</f>
        <v>567251.18120494054</v>
      </c>
      <c r="AF141" s="146">
        <f>_xlfn.IFNA(VLOOKUP($A141,'Summary June 2026'!$A:$HJ,214,FALSE)+VLOOKUP($A141,'Grants+ Other Funding'!$A:$CG,68,FALSE),0)</f>
        <v>0</v>
      </c>
      <c r="AG141" s="146">
        <f>_xlfn.IFNA(VLOOKUP($A141,'Summary June 2026'!$A:$HJ,215,FALSE)+VLOOKUP($A141,'Grants+ Other Funding'!$A:$CG,69,FALSE),0)</f>
        <v>80990.345000000001</v>
      </c>
      <c r="AH141" s="146">
        <f>_xlfn.IFNA(VLOOKUP($A141,'Grants+ Other Funding'!$A:$CG,70,FALSE),0)</f>
        <v>0</v>
      </c>
      <c r="AI141" s="146">
        <f>_xlfn.IFNA(VLOOKUP($A141,'Grants+ Other Funding'!$A:$CG,71,FALSE),0)</f>
        <v>0</v>
      </c>
      <c r="AJ141" s="146">
        <f>_xlfn.IFNA(VLOOKUP($A141,'Grants+ Other Funding'!$A:$CG,72,FALSE),0)</f>
        <v>0</v>
      </c>
      <c r="AK141" s="146">
        <f>_xlfn.IFNA(VLOOKUP($A141,'Summary June 2026'!$A:$HJ,217,FALSE),0)</f>
        <v>-9364.9237499999999</v>
      </c>
      <c r="AL141" s="146">
        <f>_xlfn.IFNA(VLOOKUP($A141,'Grants+ Other Funding'!$A:$CG,74,FALSE),0)</f>
        <v>0</v>
      </c>
      <c r="AM141" s="146">
        <f>_xlfn.IFNA(VLOOKUP($A141,'Summary June 2026'!$A:$HJ,218,FALSE),0)</f>
        <v>0</v>
      </c>
      <c r="AN141" s="146">
        <f>_xlfn.IFNA(VLOOKUP($A141,'Summary June 2026'!$A:$HJ,216,FALSE),0)</f>
        <v>-1911.0749999999998</v>
      </c>
      <c r="AO141" s="146">
        <f>_xlfn.IFNA(VLOOKUP($A141,'Grants+ Other Funding'!$A:$CG,73,FALSE),0)</f>
        <v>0</v>
      </c>
      <c r="AP141" s="65">
        <f t="shared" si="4"/>
        <v>636965.5274549406</v>
      </c>
    </row>
    <row r="142" spans="1:42">
      <c r="A142" s="198">
        <v>3372</v>
      </c>
      <c r="B142" s="2">
        <v>103460</v>
      </c>
      <c r="C142" s="2" t="s">
        <v>307</v>
      </c>
      <c r="D142" s="2" t="s">
        <v>308</v>
      </c>
      <c r="E142" s="190" t="s">
        <v>39</v>
      </c>
      <c r="F142" s="208" t="str">
        <f>VLOOKUP(A142,'Summary June 2026'!A:F,6,FALSE)</f>
        <v>Chq Bk</v>
      </c>
      <c r="H142" s="273">
        <f>_xlfn.IFNA(VLOOKUP($A142,ISB!$A:$BY,67,FALSE),0)</f>
        <v>3119045.3814327987</v>
      </c>
      <c r="I142" s="218">
        <f>_xlfn.IFNA(VLOOKUP($A142,ISB!$A:$BY,72,FALSE),0)</f>
        <v>-12848.4</v>
      </c>
      <c r="J142" s="274">
        <f>-_xlfn.IFNA(VLOOKUP($A142,ISB!$A:$BY,76,FALSE),0)</f>
        <v>-11007.3873</v>
      </c>
      <c r="L142" s="273">
        <f>_xlfn.IFNA(VLOOKUP($A142,EY!$A:$DX,126,FALSE),0)</f>
        <v>111521.39291966762</v>
      </c>
      <c r="M142" s="273">
        <f>_xlfn.IFNA(VLOOKUP($A142,EY!$A:$DX,127,FALSE),0)</f>
        <v>0</v>
      </c>
      <c r="O142" s="273">
        <f>_xlfn.IFNA(VLOOKUP($A142,HN!$A:$AN,37,FALSE),0)</f>
        <v>0</v>
      </c>
      <c r="P142" s="273">
        <f>_xlfn.IFNA(VLOOKUP($A142,HN!$A:$AN,38,FALSE),0)</f>
        <v>0</v>
      </c>
      <c r="Q142" s="273">
        <f>_xlfn.IFNA(VLOOKUP($A142,HN!$A:$AN,39,FALSE),0)</f>
        <v>134746</v>
      </c>
      <c r="S142" s="337">
        <f>_xlfn.IFNA(VLOOKUP(A142,'Post 16'!A:AR,44,FALSE),0)</f>
        <v>0</v>
      </c>
      <c r="U142" s="337"/>
      <c r="V142" s="337">
        <f>VLOOKUP(A142,'LA Deductions'!A:AN,40,FALSE)</f>
        <v>0</v>
      </c>
      <c r="X142" s="274">
        <f>VLOOKUP($A142,'Summary June 2026'!$A:$AAX,206,FALSE)-SUMIFS($H142:$V142,$H$7:$V$7,X$7)</f>
        <v>0</v>
      </c>
      <c r="Y142" s="274">
        <f>VLOOKUP($A142,'Summary June 2026'!$A:$HC,207,FALSE)-SUMIFS($H142:$V142,$H$7:$V$7,Y$7)</f>
        <v>0</v>
      </c>
      <c r="Z142" s="274">
        <f>VLOOKUP($A142,'Summary June 2026'!$A:$HC,208,FALSE)-SUMIFS($H142:$V142,$H$7:$V$7,Z$7)</f>
        <v>0</v>
      </c>
      <c r="AA142" s="274">
        <f>VLOOKUP($A142,'Summary June 2026'!$A:$HC,209,FALSE)-SUMIFS($H142:$V142,$H$7:$V$7,AA$7)</f>
        <v>0</v>
      </c>
      <c r="AB142" s="274">
        <f>VLOOKUP($A142,'Summary June 2026'!$A:$HC,210,FALSE)-SUMIFS($H142:$V142,$H$7:$V$7,AB$7)</f>
        <v>0</v>
      </c>
      <c r="AC142" s="274">
        <f>VLOOKUP($A142,'Summary June 2026'!$A:$HC,211,FALSE)-SUMIFS($H142:$V142,$H$7:$V$7,AC$7)</f>
        <v>0</v>
      </c>
      <c r="AE142" s="146">
        <f>VLOOKUP($A142,'Summary June 2026'!$A:$HJ,213,FALSE)+VLOOKUP($A142,'Grants+ Other Funding'!$A:$CG,67,FALSE)</f>
        <v>847383.63227786717</v>
      </c>
      <c r="AF142" s="146">
        <f>_xlfn.IFNA(VLOOKUP($A142,'Summary June 2026'!$A:$HJ,214,FALSE)+VLOOKUP($A142,'Grants+ Other Funding'!$A:$CG,68,FALSE),0)</f>
        <v>-28.93</v>
      </c>
      <c r="AG142" s="146">
        <f>_xlfn.IFNA(VLOOKUP($A142,'Summary June 2026'!$A:$HJ,215,FALSE)+VLOOKUP($A142,'Grants+ Other Funding'!$A:$CG,69,FALSE),0)</f>
        <v>43006.018750000003</v>
      </c>
      <c r="AH142" s="146">
        <f>_xlfn.IFNA(VLOOKUP($A142,'Grants+ Other Funding'!$A:$CG,70,FALSE),0)</f>
        <v>0</v>
      </c>
      <c r="AI142" s="146">
        <f>_xlfn.IFNA(VLOOKUP($A142,'Grants+ Other Funding'!$A:$CG,71,FALSE),0)</f>
        <v>0</v>
      </c>
      <c r="AJ142" s="146">
        <f>_xlfn.IFNA(VLOOKUP($A142,'Grants+ Other Funding'!$A:$CG,72,FALSE),0)</f>
        <v>0</v>
      </c>
      <c r="AK142" s="146">
        <f>_xlfn.IFNA(VLOOKUP($A142,'Summary June 2026'!$A:$HJ,217,FALSE),0)</f>
        <v>-2751.8468250000001</v>
      </c>
      <c r="AL142" s="146">
        <f>_xlfn.IFNA(VLOOKUP($A142,'Grants+ Other Funding'!$A:$CG,74,FALSE),0)</f>
        <v>0</v>
      </c>
      <c r="AM142" s="146">
        <f>_xlfn.IFNA(VLOOKUP($A142,'Summary June 2026'!$A:$HJ,218,FALSE),0)</f>
        <v>0</v>
      </c>
      <c r="AN142" s="146">
        <f>_xlfn.IFNA(VLOOKUP($A142,'Summary June 2026'!$A:$HJ,216,FALSE),0)</f>
        <v>-3212.1000000000004</v>
      </c>
      <c r="AO142" s="146">
        <f>_xlfn.IFNA(VLOOKUP($A142,'Grants+ Other Funding'!$A:$CG,73,FALSE),0)</f>
        <v>0</v>
      </c>
      <c r="AP142" s="65">
        <f t="shared" si="4"/>
        <v>884396.77420286718</v>
      </c>
    </row>
    <row r="143" spans="1:42">
      <c r="A143" s="198">
        <v>3375</v>
      </c>
      <c r="B143" s="2">
        <v>103462</v>
      </c>
      <c r="C143" s="2" t="s">
        <v>309</v>
      </c>
      <c r="D143" s="2" t="s">
        <v>310</v>
      </c>
      <c r="E143" s="190" t="s">
        <v>39</v>
      </c>
      <c r="F143" s="208" t="str">
        <f>VLOOKUP(A143,'Summary June 2026'!A:F,6,FALSE)</f>
        <v>Chq Bk</v>
      </c>
      <c r="H143" s="273">
        <f>_xlfn.IFNA(VLOOKUP($A143,ISB!$A:$BY,67,FALSE),0)</f>
        <v>2326155.2951666485</v>
      </c>
      <c r="I143" s="218">
        <f>_xlfn.IFNA(VLOOKUP($A143,ISB!$A:$BY,72,FALSE),0)</f>
        <v>-10009.799999999999</v>
      </c>
      <c r="J143" s="274">
        <f>-_xlfn.IFNA(VLOOKUP($A143,ISB!$A:$BY,76,FALSE),0)</f>
        <v>-6973.2663000000002</v>
      </c>
      <c r="L143" s="273">
        <f>_xlfn.IFNA(VLOOKUP($A143,EY!$A:$DX,126,FALSE),0)</f>
        <v>0</v>
      </c>
      <c r="M143" s="273">
        <f>_xlfn.IFNA(VLOOKUP($A143,EY!$A:$DX,127,FALSE),0)</f>
        <v>0</v>
      </c>
      <c r="O143" s="273">
        <f>_xlfn.IFNA(VLOOKUP($A143,HN!$A:$AN,37,FALSE),0)</f>
        <v>0</v>
      </c>
      <c r="P143" s="273">
        <f>_xlfn.IFNA(VLOOKUP($A143,HN!$A:$AN,38,FALSE),0)</f>
        <v>0</v>
      </c>
      <c r="Q143" s="273">
        <f>_xlfn.IFNA(VLOOKUP($A143,HN!$A:$AN,39,FALSE),0)</f>
        <v>95554</v>
      </c>
      <c r="S143" s="337">
        <f>_xlfn.IFNA(VLOOKUP(A143,'Post 16'!A:AR,44,FALSE),0)</f>
        <v>0</v>
      </c>
      <c r="U143" s="337"/>
      <c r="V143" s="337">
        <f>VLOOKUP(A143,'LA Deductions'!A:AN,40,FALSE)</f>
        <v>0</v>
      </c>
      <c r="X143" s="274">
        <f>VLOOKUP($A143,'Summary June 2026'!$A:$AAX,206,FALSE)-SUMIFS($H143:$V143,$H$7:$V$7,X$7)</f>
        <v>0</v>
      </c>
      <c r="Y143" s="274">
        <f>VLOOKUP($A143,'Summary June 2026'!$A:$HC,207,FALSE)-SUMIFS($H143:$V143,$H$7:$V$7,Y$7)</f>
        <v>0</v>
      </c>
      <c r="Z143" s="274">
        <f>VLOOKUP($A143,'Summary June 2026'!$A:$HC,208,FALSE)-SUMIFS($H143:$V143,$H$7:$V$7,Z$7)</f>
        <v>0</v>
      </c>
      <c r="AA143" s="274">
        <f>VLOOKUP($A143,'Summary June 2026'!$A:$HC,209,FALSE)-SUMIFS($H143:$V143,$H$7:$V$7,AA$7)</f>
        <v>0</v>
      </c>
      <c r="AB143" s="274">
        <f>VLOOKUP($A143,'Summary June 2026'!$A:$HC,210,FALSE)-SUMIFS($H143:$V143,$H$7:$V$7,AB$7)</f>
        <v>0</v>
      </c>
      <c r="AC143" s="274">
        <f>VLOOKUP($A143,'Summary June 2026'!$A:$HC,211,FALSE)-SUMIFS($H143:$V143,$H$7:$V$7,AC$7)</f>
        <v>0</v>
      </c>
      <c r="AE143" s="146">
        <f>VLOOKUP($A143,'Summary June 2026'!$A:$HJ,213,FALSE)+VLOOKUP($A143,'Grants+ Other Funding'!$A:$CG,67,FALSE)</f>
        <v>581538.82379166211</v>
      </c>
      <c r="AF143" s="146">
        <f>_xlfn.IFNA(VLOOKUP($A143,'Summary June 2026'!$A:$HJ,214,FALSE)+VLOOKUP($A143,'Grants+ Other Funding'!$A:$CG,68,FALSE),0)</f>
        <v>0</v>
      </c>
      <c r="AG143" s="146">
        <f>_xlfn.IFNA(VLOOKUP($A143,'Summary June 2026'!$A:$HJ,215,FALSE)+VLOOKUP($A143,'Grants+ Other Funding'!$A:$CG,69,FALSE),0)</f>
        <v>34534.824999999997</v>
      </c>
      <c r="AH143" s="146">
        <f>_xlfn.IFNA(VLOOKUP($A143,'Grants+ Other Funding'!$A:$CG,70,FALSE),0)</f>
        <v>0</v>
      </c>
      <c r="AI143" s="146">
        <f>_xlfn.IFNA(VLOOKUP($A143,'Grants+ Other Funding'!$A:$CG,71,FALSE),0)</f>
        <v>0</v>
      </c>
      <c r="AJ143" s="146">
        <f>_xlfn.IFNA(VLOOKUP($A143,'Grants+ Other Funding'!$A:$CG,72,FALSE),0)</f>
        <v>0</v>
      </c>
      <c r="AK143" s="146">
        <f>_xlfn.IFNA(VLOOKUP($A143,'Summary June 2026'!$A:$HJ,217,FALSE),0)</f>
        <v>-1743.3165750000003</v>
      </c>
      <c r="AL143" s="146">
        <f>_xlfn.IFNA(VLOOKUP($A143,'Grants+ Other Funding'!$A:$CG,74,FALSE),0)</f>
        <v>0</v>
      </c>
      <c r="AM143" s="146">
        <f>_xlfn.IFNA(VLOOKUP($A143,'Summary June 2026'!$A:$HJ,218,FALSE),0)</f>
        <v>0</v>
      </c>
      <c r="AN143" s="146">
        <f>_xlfn.IFNA(VLOOKUP($A143,'Summary June 2026'!$A:$HJ,216,FALSE),0)</f>
        <v>-2502.4499999999998</v>
      </c>
      <c r="AO143" s="146">
        <f>_xlfn.IFNA(VLOOKUP($A143,'Grants+ Other Funding'!$A:$CG,73,FALSE),0)</f>
        <v>0</v>
      </c>
      <c r="AP143" s="65">
        <f t="shared" si="4"/>
        <v>611827.88221666217</v>
      </c>
    </row>
    <row r="144" spans="1:42">
      <c r="A144" s="198">
        <v>3331</v>
      </c>
      <c r="B144" s="2">
        <v>103433</v>
      </c>
      <c r="C144" s="2" t="s">
        <v>311</v>
      </c>
      <c r="D144" s="2" t="s">
        <v>312</v>
      </c>
      <c r="E144" s="190" t="s">
        <v>39</v>
      </c>
      <c r="F144" s="208" t="str">
        <f>VLOOKUP(A144,'Summary June 2026'!A:F,6,FALSE)</f>
        <v>Chq Bk</v>
      </c>
      <c r="H144" s="273">
        <f>_xlfn.IFNA(VLOOKUP($A144,ISB!$A:$BY,67,FALSE),0)</f>
        <v>1346261.5005575002</v>
      </c>
      <c r="I144" s="218">
        <f>_xlfn.IFNA(VLOOKUP($A144,ISB!$A:$BY,72,FALSE),0)</f>
        <v>-5253.9</v>
      </c>
      <c r="J144" s="274">
        <f>-_xlfn.IFNA(VLOOKUP($A144,ISB!$A:$BY,76,FALSE),0)</f>
        <v>-3686.8615</v>
      </c>
      <c r="L144" s="273">
        <f>_xlfn.IFNA(VLOOKUP($A144,EY!$A:$DX,126,FALSE),0)</f>
        <v>100107.09126869807</v>
      </c>
      <c r="M144" s="273">
        <f>_xlfn.IFNA(VLOOKUP($A144,EY!$A:$DX,127,FALSE),0)</f>
        <v>0</v>
      </c>
      <c r="O144" s="273">
        <f>_xlfn.IFNA(VLOOKUP($A144,HN!$A:$AN,37,FALSE),0)</f>
        <v>0</v>
      </c>
      <c r="P144" s="273">
        <f>_xlfn.IFNA(VLOOKUP($A144,HN!$A:$AN,38,FALSE),0)</f>
        <v>0</v>
      </c>
      <c r="Q144" s="273">
        <f>_xlfn.IFNA(VLOOKUP($A144,HN!$A:$AN,39,FALSE),0)</f>
        <v>64049.83</v>
      </c>
      <c r="S144" s="337">
        <f>_xlfn.IFNA(VLOOKUP(A144,'Post 16'!A:AR,44,FALSE),0)</f>
        <v>0</v>
      </c>
      <c r="U144" s="337"/>
      <c r="V144" s="337">
        <f>VLOOKUP(A144,'LA Deductions'!A:AN,40,FALSE)</f>
        <v>0</v>
      </c>
      <c r="X144" s="274">
        <f>VLOOKUP($A144,'Summary June 2026'!$A:$AAX,206,FALSE)-SUMIFS($H144:$V144,$H$7:$V$7,X$7)</f>
        <v>0</v>
      </c>
      <c r="Y144" s="274">
        <f>VLOOKUP($A144,'Summary June 2026'!$A:$HC,207,FALSE)-SUMIFS($H144:$V144,$H$7:$V$7,Y$7)</f>
        <v>0</v>
      </c>
      <c r="Z144" s="274">
        <f>VLOOKUP($A144,'Summary June 2026'!$A:$HC,208,FALSE)-SUMIFS($H144:$V144,$H$7:$V$7,Z$7)</f>
        <v>0</v>
      </c>
      <c r="AA144" s="274">
        <f>VLOOKUP($A144,'Summary June 2026'!$A:$HC,209,FALSE)-SUMIFS($H144:$V144,$H$7:$V$7,AA$7)</f>
        <v>0</v>
      </c>
      <c r="AB144" s="274">
        <f>VLOOKUP($A144,'Summary June 2026'!$A:$HC,210,FALSE)-SUMIFS($H144:$V144,$H$7:$V$7,AB$7)</f>
        <v>0</v>
      </c>
      <c r="AC144" s="274">
        <f>VLOOKUP($A144,'Summary June 2026'!$A:$HC,211,FALSE)-SUMIFS($H144:$V144,$H$7:$V$7,AC$7)</f>
        <v>0</v>
      </c>
      <c r="AE144" s="146">
        <f>VLOOKUP($A144,'Summary June 2026'!$A:$HJ,213,FALSE)+VLOOKUP($A144,'Grants+ Other Funding'!$A:$CG,67,FALSE)</f>
        <v>400865.0044080732</v>
      </c>
      <c r="AF144" s="146">
        <f>_xlfn.IFNA(VLOOKUP($A144,'Summary June 2026'!$A:$HJ,214,FALSE)+VLOOKUP($A144,'Grants+ Other Funding'!$A:$CG,68,FALSE),0)</f>
        <v>-42.48</v>
      </c>
      <c r="AG144" s="146">
        <f>_xlfn.IFNA(VLOOKUP($A144,'Summary June 2026'!$A:$HJ,215,FALSE)+VLOOKUP($A144,'Grants+ Other Funding'!$A:$CG,69,FALSE),0)</f>
        <v>15764.107750000001</v>
      </c>
      <c r="AH144" s="146">
        <f>_xlfn.IFNA(VLOOKUP($A144,'Grants+ Other Funding'!$A:$CG,70,FALSE),0)</f>
        <v>0</v>
      </c>
      <c r="AI144" s="146">
        <f>_xlfn.IFNA(VLOOKUP($A144,'Grants+ Other Funding'!$A:$CG,71,FALSE),0)</f>
        <v>0</v>
      </c>
      <c r="AJ144" s="146">
        <f>_xlfn.IFNA(VLOOKUP($A144,'Grants+ Other Funding'!$A:$CG,72,FALSE),0)</f>
        <v>0</v>
      </c>
      <c r="AK144" s="146">
        <f>_xlfn.IFNA(VLOOKUP($A144,'Summary June 2026'!$A:$HJ,217,FALSE),0)</f>
        <v>-921.71537499999999</v>
      </c>
      <c r="AL144" s="146">
        <f>_xlfn.IFNA(VLOOKUP($A144,'Grants+ Other Funding'!$A:$CG,74,FALSE),0)</f>
        <v>0</v>
      </c>
      <c r="AM144" s="146">
        <f>_xlfn.IFNA(VLOOKUP($A144,'Summary June 2026'!$A:$HJ,218,FALSE),0)</f>
        <v>0</v>
      </c>
      <c r="AN144" s="146">
        <f>_xlfn.IFNA(VLOOKUP($A144,'Summary June 2026'!$A:$HJ,216,FALSE),0)</f>
        <v>-1313.4749999999999</v>
      </c>
      <c r="AO144" s="146">
        <f>_xlfn.IFNA(VLOOKUP($A144,'Grants+ Other Funding'!$A:$CG,73,FALSE),0)</f>
        <v>0</v>
      </c>
      <c r="AP144" s="65">
        <f t="shared" si="4"/>
        <v>414351.44178307324</v>
      </c>
    </row>
    <row r="145" spans="1:42">
      <c r="A145" s="198">
        <v>3386</v>
      </c>
      <c r="B145" s="2">
        <v>103470</v>
      </c>
      <c r="C145" s="2" t="s">
        <v>313</v>
      </c>
      <c r="D145" s="2" t="s">
        <v>314</v>
      </c>
      <c r="E145" s="190" t="s">
        <v>39</v>
      </c>
      <c r="F145" s="208" t="str">
        <f>VLOOKUP(A145,'Summary June 2026'!A:F,6,FALSE)</f>
        <v>Chq Bk</v>
      </c>
      <c r="H145" s="273">
        <f>_xlfn.IFNA(VLOOKUP($A145,ISB!$A:$BY,67,FALSE),0)</f>
        <v>1432992.7702564786</v>
      </c>
      <c r="I145" s="218">
        <f>_xlfn.IFNA(VLOOKUP($A145,ISB!$A:$BY,72,FALSE),0)</f>
        <v>-5129.3999999999996</v>
      </c>
      <c r="J145" s="274">
        <f>-_xlfn.IFNA(VLOOKUP($A145,ISB!$A:$BY,76,FALSE),0)</f>
        <v>-4292.5601999999999</v>
      </c>
      <c r="L145" s="273">
        <f>_xlfn.IFNA(VLOOKUP($A145,EY!$A:$DX,126,FALSE),0)</f>
        <v>82551.248027700844</v>
      </c>
      <c r="M145" s="273">
        <f>_xlfn.IFNA(VLOOKUP($A145,EY!$A:$DX,127,FALSE),0)</f>
        <v>0</v>
      </c>
      <c r="O145" s="273">
        <f>_xlfn.IFNA(VLOOKUP($A145,HN!$A:$AN,37,FALSE),0)</f>
        <v>0</v>
      </c>
      <c r="P145" s="273">
        <f>_xlfn.IFNA(VLOOKUP($A145,HN!$A:$AN,38,FALSE),0)</f>
        <v>0</v>
      </c>
      <c r="Q145" s="273">
        <f>_xlfn.IFNA(VLOOKUP($A145,HN!$A:$AN,39,FALSE),0)</f>
        <v>86681.83</v>
      </c>
      <c r="S145" s="337">
        <f>_xlfn.IFNA(VLOOKUP(A145,'Post 16'!A:AR,44,FALSE),0)</f>
        <v>0</v>
      </c>
      <c r="U145" s="337"/>
      <c r="V145" s="337">
        <f>VLOOKUP(A145,'LA Deductions'!A:AN,40,FALSE)</f>
        <v>0</v>
      </c>
      <c r="X145" s="274">
        <f>VLOOKUP($A145,'Summary June 2026'!$A:$AAX,206,FALSE)-SUMIFS($H145:$V145,$H$7:$V$7,X$7)</f>
        <v>0</v>
      </c>
      <c r="Y145" s="274">
        <f>VLOOKUP($A145,'Summary June 2026'!$A:$HC,207,FALSE)-SUMIFS($H145:$V145,$H$7:$V$7,Y$7)</f>
        <v>0</v>
      </c>
      <c r="Z145" s="274">
        <f>VLOOKUP($A145,'Summary June 2026'!$A:$HC,208,FALSE)-SUMIFS($H145:$V145,$H$7:$V$7,Z$7)</f>
        <v>0</v>
      </c>
      <c r="AA145" s="274">
        <f>VLOOKUP($A145,'Summary June 2026'!$A:$HC,209,FALSE)-SUMIFS($H145:$V145,$H$7:$V$7,AA$7)</f>
        <v>0</v>
      </c>
      <c r="AB145" s="274">
        <f>VLOOKUP($A145,'Summary June 2026'!$A:$HC,210,FALSE)-SUMIFS($H145:$V145,$H$7:$V$7,AB$7)</f>
        <v>0</v>
      </c>
      <c r="AC145" s="274">
        <f>VLOOKUP($A145,'Summary June 2026'!$A:$HC,211,FALSE)-SUMIFS($H145:$V145,$H$7:$V$7,AC$7)</f>
        <v>0</v>
      </c>
      <c r="AE145" s="146">
        <f>VLOOKUP($A145,'Summary June 2026'!$A:$HJ,213,FALSE)+VLOOKUP($A145,'Grants+ Other Funding'!$A:$CG,67,FALSE)</f>
        <v>406761.26069708361</v>
      </c>
      <c r="AF145" s="146">
        <f>_xlfn.IFNA(VLOOKUP($A145,'Summary June 2026'!$A:$HJ,214,FALSE)+VLOOKUP($A145,'Grants+ Other Funding'!$A:$CG,68,FALSE),0)</f>
        <v>-62.4</v>
      </c>
      <c r="AG145" s="146">
        <f>_xlfn.IFNA(VLOOKUP($A145,'Summary June 2026'!$A:$HJ,215,FALSE)+VLOOKUP($A145,'Grants+ Other Funding'!$A:$CG,69,FALSE),0)</f>
        <v>23498.03875</v>
      </c>
      <c r="AH145" s="146">
        <f>_xlfn.IFNA(VLOOKUP($A145,'Grants+ Other Funding'!$A:$CG,70,FALSE),0)</f>
        <v>0</v>
      </c>
      <c r="AI145" s="146">
        <f>_xlfn.IFNA(VLOOKUP($A145,'Grants+ Other Funding'!$A:$CG,71,FALSE),0)</f>
        <v>0</v>
      </c>
      <c r="AJ145" s="146">
        <f>_xlfn.IFNA(VLOOKUP($A145,'Grants+ Other Funding'!$A:$CG,72,FALSE),0)</f>
        <v>0</v>
      </c>
      <c r="AK145" s="146">
        <f>_xlfn.IFNA(VLOOKUP($A145,'Summary June 2026'!$A:$HJ,217,FALSE),0)</f>
        <v>-1073.14005</v>
      </c>
      <c r="AL145" s="146">
        <f>_xlfn.IFNA(VLOOKUP($A145,'Grants+ Other Funding'!$A:$CG,74,FALSE),0)</f>
        <v>0</v>
      </c>
      <c r="AM145" s="146">
        <f>_xlfn.IFNA(VLOOKUP($A145,'Summary June 2026'!$A:$HJ,218,FALSE),0)</f>
        <v>0</v>
      </c>
      <c r="AN145" s="146">
        <f>_xlfn.IFNA(VLOOKUP($A145,'Summary June 2026'!$A:$HJ,216,FALSE),0)</f>
        <v>-1282.3499999999999</v>
      </c>
      <c r="AO145" s="146">
        <f>_xlfn.IFNA(VLOOKUP($A145,'Grants+ Other Funding'!$A:$CG,73,FALSE),0)</f>
        <v>0</v>
      </c>
      <c r="AP145" s="65">
        <f t="shared" si="4"/>
        <v>427841.40939708363</v>
      </c>
    </row>
    <row r="146" spans="1:42">
      <c r="A146" s="198">
        <v>3363</v>
      </c>
      <c r="B146" s="2">
        <v>103455</v>
      </c>
      <c r="C146" s="2" t="s">
        <v>315</v>
      </c>
      <c r="D146" s="2" t="s">
        <v>316</v>
      </c>
      <c r="E146" s="190" t="s">
        <v>39</v>
      </c>
      <c r="F146" s="208" t="str">
        <f>VLOOKUP(A146,'Summary June 2026'!A:F,6,FALSE)</f>
        <v>Chq Bk</v>
      </c>
      <c r="H146" s="273">
        <f>_xlfn.IFNA(VLOOKUP($A146,ISB!$A:$BY,67,FALSE),0)</f>
        <v>1552520.5721592309</v>
      </c>
      <c r="I146" s="218">
        <f>_xlfn.IFNA(VLOOKUP($A146,ISB!$A:$BY,72,FALSE),0)</f>
        <v>-6573.5999999999995</v>
      </c>
      <c r="J146" s="274">
        <f>-_xlfn.IFNA(VLOOKUP($A146,ISB!$A:$BY,76,FALSE),0)</f>
        <v>-9681.8904000000002</v>
      </c>
      <c r="L146" s="273">
        <f>_xlfn.IFNA(VLOOKUP($A146,EY!$A:$DX,126,FALSE),0)</f>
        <v>60063.211850415515</v>
      </c>
      <c r="M146" s="273">
        <f>_xlfn.IFNA(VLOOKUP($A146,EY!$A:$DX,127,FALSE),0)</f>
        <v>0</v>
      </c>
      <c r="O146" s="273">
        <f>_xlfn.IFNA(VLOOKUP($A146,HN!$A:$AN,37,FALSE),0)</f>
        <v>0</v>
      </c>
      <c r="P146" s="273">
        <f>_xlfn.IFNA(VLOOKUP($A146,HN!$A:$AN,38,FALSE),0)</f>
        <v>0</v>
      </c>
      <c r="Q146" s="273">
        <f>_xlfn.IFNA(VLOOKUP($A146,HN!$A:$AN,39,FALSE),0)</f>
        <v>32642.5</v>
      </c>
      <c r="S146" s="337">
        <f>_xlfn.IFNA(VLOOKUP(A146,'Post 16'!A:AR,44,FALSE),0)</f>
        <v>0</v>
      </c>
      <c r="U146" s="337"/>
      <c r="V146" s="337">
        <f>VLOOKUP(A146,'LA Deductions'!A:AN,40,FALSE)</f>
        <v>0</v>
      </c>
      <c r="X146" s="274">
        <f>VLOOKUP($A146,'Summary June 2026'!$A:$AAX,206,FALSE)-SUMIFS($H146:$V146,$H$7:$V$7,X$7)</f>
        <v>0</v>
      </c>
      <c r="Y146" s="274">
        <f>VLOOKUP($A146,'Summary June 2026'!$A:$HC,207,FALSE)-SUMIFS($H146:$V146,$H$7:$V$7,Y$7)</f>
        <v>0</v>
      </c>
      <c r="Z146" s="274">
        <f>VLOOKUP($A146,'Summary June 2026'!$A:$HC,208,FALSE)-SUMIFS($H146:$V146,$H$7:$V$7,Z$7)</f>
        <v>0</v>
      </c>
      <c r="AA146" s="274">
        <f>VLOOKUP($A146,'Summary June 2026'!$A:$HC,209,FALSE)-SUMIFS($H146:$V146,$H$7:$V$7,AA$7)</f>
        <v>0</v>
      </c>
      <c r="AB146" s="274">
        <f>VLOOKUP($A146,'Summary June 2026'!$A:$HC,210,FALSE)-SUMIFS($H146:$V146,$H$7:$V$7,AB$7)</f>
        <v>0</v>
      </c>
      <c r="AC146" s="274">
        <f>VLOOKUP($A146,'Summary June 2026'!$A:$HC,211,FALSE)-SUMIFS($H146:$V146,$H$7:$V$7,AC$7)</f>
        <v>0</v>
      </c>
      <c r="AE146" s="146">
        <f>VLOOKUP($A146,'Summary June 2026'!$A:$HJ,213,FALSE)+VLOOKUP($A146,'Grants+ Other Funding'!$A:$CG,67,FALSE)</f>
        <v>422754.64289022324</v>
      </c>
      <c r="AF146" s="146">
        <f>_xlfn.IFNA(VLOOKUP($A146,'Summary June 2026'!$A:$HJ,214,FALSE)+VLOOKUP($A146,'Grants+ Other Funding'!$A:$CG,68,FALSE),0)</f>
        <v>0</v>
      </c>
      <c r="AG146" s="146">
        <f>_xlfn.IFNA(VLOOKUP($A146,'Summary June 2026'!$A:$HJ,215,FALSE)+VLOOKUP($A146,'Grants+ Other Funding'!$A:$CG,69,FALSE),0)</f>
        <v>6893.8877500000008</v>
      </c>
      <c r="AH146" s="146">
        <f>_xlfn.IFNA(VLOOKUP($A146,'Grants+ Other Funding'!$A:$CG,70,FALSE),0)</f>
        <v>0</v>
      </c>
      <c r="AI146" s="146">
        <f>_xlfn.IFNA(VLOOKUP($A146,'Grants+ Other Funding'!$A:$CG,71,FALSE),0)</f>
        <v>0</v>
      </c>
      <c r="AJ146" s="146">
        <f>_xlfn.IFNA(VLOOKUP($A146,'Grants+ Other Funding'!$A:$CG,72,FALSE),0)</f>
        <v>0</v>
      </c>
      <c r="AK146" s="146">
        <f>_xlfn.IFNA(VLOOKUP($A146,'Summary June 2026'!$A:$HJ,217,FALSE),0)</f>
        <v>-2420.4726000000001</v>
      </c>
      <c r="AL146" s="146">
        <f>_xlfn.IFNA(VLOOKUP($A146,'Grants+ Other Funding'!$A:$CG,74,FALSE),0)</f>
        <v>0</v>
      </c>
      <c r="AM146" s="146">
        <f>_xlfn.IFNA(VLOOKUP($A146,'Summary June 2026'!$A:$HJ,218,FALSE),0)</f>
        <v>0</v>
      </c>
      <c r="AN146" s="146">
        <f>_xlfn.IFNA(VLOOKUP($A146,'Summary June 2026'!$A:$HJ,216,FALSE),0)</f>
        <v>-1643.3999999999999</v>
      </c>
      <c r="AO146" s="146">
        <f>_xlfn.IFNA(VLOOKUP($A146,'Grants+ Other Funding'!$A:$CG,73,FALSE),0)</f>
        <v>0</v>
      </c>
      <c r="AP146" s="65">
        <f t="shared" si="4"/>
        <v>425584.65804022324</v>
      </c>
    </row>
    <row r="147" spans="1:42">
      <c r="A147" s="198">
        <v>3355</v>
      </c>
      <c r="B147" s="2">
        <v>103447</v>
      </c>
      <c r="C147" s="2" t="s">
        <v>317</v>
      </c>
      <c r="D147" s="2" t="s">
        <v>318</v>
      </c>
      <c r="E147" s="190" t="s">
        <v>39</v>
      </c>
      <c r="F147" s="208" t="str">
        <f>VLOOKUP(A147,'Summary June 2026'!A:F,6,FALSE)</f>
        <v>Chq Bk</v>
      </c>
      <c r="H147" s="273">
        <f>_xlfn.IFNA(VLOOKUP($A147,ISB!$A:$BY,67,FALSE),0)</f>
        <v>2142641.9591704747</v>
      </c>
      <c r="I147" s="218">
        <f>_xlfn.IFNA(VLOOKUP($A147,ISB!$A:$BY,72,FALSE),0)</f>
        <v>-9188.1</v>
      </c>
      <c r="J147" s="274">
        <f>-_xlfn.IFNA(VLOOKUP($A147,ISB!$A:$BY,76,FALSE),0)</f>
        <v>-9105.5874000000003</v>
      </c>
      <c r="L147" s="273">
        <f>_xlfn.IFNA(VLOOKUP($A147,EY!$A:$DX,126,FALSE),0)</f>
        <v>0</v>
      </c>
      <c r="M147" s="273">
        <f>_xlfn.IFNA(VLOOKUP($A147,EY!$A:$DX,127,FALSE),0)</f>
        <v>0</v>
      </c>
      <c r="O147" s="273">
        <f>_xlfn.IFNA(VLOOKUP($A147,HN!$A:$AN,37,FALSE),0)</f>
        <v>0</v>
      </c>
      <c r="P147" s="273">
        <f>_xlfn.IFNA(VLOOKUP($A147,HN!$A:$AN,38,FALSE),0)</f>
        <v>0</v>
      </c>
      <c r="Q147" s="273">
        <f>_xlfn.IFNA(VLOOKUP($A147,HN!$A:$AN,39,FALSE),0)</f>
        <v>54425.41</v>
      </c>
      <c r="S147" s="337">
        <f>_xlfn.IFNA(VLOOKUP(A147,'Post 16'!A:AR,44,FALSE),0)</f>
        <v>0</v>
      </c>
      <c r="U147" s="337"/>
      <c r="V147" s="337">
        <f>VLOOKUP(A147,'LA Deductions'!A:AN,40,FALSE)</f>
        <v>-4530</v>
      </c>
      <c r="X147" s="274">
        <f>VLOOKUP($A147,'Summary June 2026'!$A:$AAX,206,FALSE)-SUMIFS($H147:$V147,$H$7:$V$7,X$7)</f>
        <v>0</v>
      </c>
      <c r="Y147" s="274">
        <f>VLOOKUP($A147,'Summary June 2026'!$A:$HC,207,FALSE)-SUMIFS($H147:$V147,$H$7:$V$7,Y$7)</f>
        <v>0</v>
      </c>
      <c r="Z147" s="274">
        <f>VLOOKUP($A147,'Summary June 2026'!$A:$HC,208,FALSE)-SUMIFS($H147:$V147,$H$7:$V$7,Z$7)</f>
        <v>0</v>
      </c>
      <c r="AA147" s="274">
        <f>VLOOKUP($A147,'Summary June 2026'!$A:$HC,209,FALSE)-SUMIFS($H147:$V147,$H$7:$V$7,AA$7)</f>
        <v>0</v>
      </c>
      <c r="AB147" s="274">
        <f>VLOOKUP($A147,'Summary June 2026'!$A:$HC,210,FALSE)-SUMIFS($H147:$V147,$H$7:$V$7,AB$7)</f>
        <v>0</v>
      </c>
      <c r="AC147" s="274">
        <f>VLOOKUP($A147,'Summary June 2026'!$A:$HC,211,FALSE)-SUMIFS($H147:$V147,$H$7:$V$7,AC$7)</f>
        <v>0</v>
      </c>
      <c r="AE147" s="146">
        <f>VLOOKUP($A147,'Summary June 2026'!$A:$HJ,213,FALSE)+VLOOKUP($A147,'Grants+ Other Funding'!$A:$CG,67,FALSE)</f>
        <v>537464.09979261865</v>
      </c>
      <c r="AF147" s="146">
        <f>_xlfn.IFNA(VLOOKUP($A147,'Summary June 2026'!$A:$HJ,214,FALSE)+VLOOKUP($A147,'Grants+ Other Funding'!$A:$CG,68,FALSE),0)</f>
        <v>-47.61</v>
      </c>
      <c r="AG147" s="146">
        <f>_xlfn.IFNA(VLOOKUP($A147,'Summary June 2026'!$A:$HJ,215,FALSE)+VLOOKUP($A147,'Grants+ Other Funding'!$A:$CG,69,FALSE),0)</f>
        <v>24907.615000000002</v>
      </c>
      <c r="AH147" s="146">
        <f>_xlfn.IFNA(VLOOKUP($A147,'Grants+ Other Funding'!$A:$CG,70,FALSE),0)</f>
        <v>0</v>
      </c>
      <c r="AI147" s="146">
        <f>_xlfn.IFNA(VLOOKUP($A147,'Grants+ Other Funding'!$A:$CG,71,FALSE),0)</f>
        <v>0</v>
      </c>
      <c r="AJ147" s="146">
        <f>_xlfn.IFNA(VLOOKUP($A147,'Grants+ Other Funding'!$A:$CG,72,FALSE),0)</f>
        <v>0</v>
      </c>
      <c r="AK147" s="146">
        <f>_xlfn.IFNA(VLOOKUP($A147,'Summary June 2026'!$A:$HJ,217,FALSE),0)</f>
        <v>-2276.3968500000001</v>
      </c>
      <c r="AL147" s="146">
        <f>_xlfn.IFNA(VLOOKUP($A147,'Grants+ Other Funding'!$A:$CG,74,FALSE),0)</f>
        <v>0</v>
      </c>
      <c r="AM147" s="146">
        <f>_xlfn.IFNA(VLOOKUP($A147,'Summary June 2026'!$A:$HJ,218,FALSE),0)</f>
        <v>0</v>
      </c>
      <c r="AN147" s="146">
        <f>_xlfn.IFNA(VLOOKUP($A147,'Summary June 2026'!$A:$HJ,216,FALSE),0)</f>
        <v>-2297.0250000000001</v>
      </c>
      <c r="AO147" s="146">
        <f>_xlfn.IFNA(VLOOKUP($A147,'Grants+ Other Funding'!$A:$CG,73,FALSE),0)</f>
        <v>0</v>
      </c>
      <c r="AP147" s="65">
        <f t="shared" si="4"/>
        <v>557750.68294261862</v>
      </c>
    </row>
    <row r="148" spans="1:42">
      <c r="A148" s="198">
        <v>3367</v>
      </c>
      <c r="B148" s="2">
        <v>103458</v>
      </c>
      <c r="C148" s="2" t="s">
        <v>319</v>
      </c>
      <c r="D148" s="2" t="s">
        <v>320</v>
      </c>
      <c r="E148" s="190" t="s">
        <v>39</v>
      </c>
      <c r="F148" s="208" t="str">
        <f>VLOOKUP(A148,'Summary June 2026'!A:F,6,FALSE)</f>
        <v>Chq Bk</v>
      </c>
      <c r="H148" s="273">
        <f>_xlfn.IFNA(VLOOKUP($A148,ISB!$A:$BY,67,FALSE),0)</f>
        <v>1332934.9091054916</v>
      </c>
      <c r="I148" s="218">
        <f>_xlfn.IFNA(VLOOKUP($A148,ISB!$A:$BY,72,FALSE),0)</f>
        <v>-5204.0999999999995</v>
      </c>
      <c r="J148" s="274">
        <f>-_xlfn.IFNA(VLOOKUP($A148,ISB!$A:$BY,76,FALSE),0)</f>
        <v>-4002.8782000000001</v>
      </c>
      <c r="L148" s="273">
        <f>_xlfn.IFNA(VLOOKUP($A148,EY!$A:$DX,126,FALSE),0)</f>
        <v>82467.222526315789</v>
      </c>
      <c r="M148" s="273">
        <f>_xlfn.IFNA(VLOOKUP($A148,EY!$A:$DX,127,FALSE),0)</f>
        <v>0</v>
      </c>
      <c r="O148" s="273">
        <f>_xlfn.IFNA(VLOOKUP($A148,HN!$A:$AN,37,FALSE),0)</f>
        <v>0</v>
      </c>
      <c r="P148" s="273">
        <f>_xlfn.IFNA(VLOOKUP($A148,HN!$A:$AN,38,FALSE),0)</f>
        <v>0</v>
      </c>
      <c r="Q148" s="273">
        <f>_xlfn.IFNA(VLOOKUP($A148,HN!$A:$AN,39,FALSE),0)</f>
        <v>13290</v>
      </c>
      <c r="S148" s="337">
        <f>_xlfn.IFNA(VLOOKUP(A148,'Post 16'!A:AR,44,FALSE),0)</f>
        <v>0</v>
      </c>
      <c r="U148" s="337"/>
      <c r="V148" s="337">
        <f>VLOOKUP(A148,'LA Deductions'!A:AN,40,FALSE)</f>
        <v>0</v>
      </c>
      <c r="X148" s="274">
        <f>VLOOKUP($A148,'Summary June 2026'!$A:$AAX,206,FALSE)-SUMIFS($H148:$V148,$H$7:$V$7,X$7)</f>
        <v>0</v>
      </c>
      <c r="Y148" s="274">
        <f>VLOOKUP($A148,'Summary June 2026'!$A:$HC,207,FALSE)-SUMIFS($H148:$V148,$H$7:$V$7,Y$7)</f>
        <v>0</v>
      </c>
      <c r="Z148" s="274">
        <f>VLOOKUP($A148,'Summary June 2026'!$A:$HC,208,FALSE)-SUMIFS($H148:$V148,$H$7:$V$7,Z$7)</f>
        <v>0</v>
      </c>
      <c r="AA148" s="274">
        <f>VLOOKUP($A148,'Summary June 2026'!$A:$HC,209,FALSE)-SUMIFS($H148:$V148,$H$7:$V$7,AA$7)</f>
        <v>0</v>
      </c>
      <c r="AB148" s="274">
        <f>VLOOKUP($A148,'Summary June 2026'!$A:$HC,210,FALSE)-SUMIFS($H148:$V148,$H$7:$V$7,AB$7)</f>
        <v>0</v>
      </c>
      <c r="AC148" s="274">
        <f>VLOOKUP($A148,'Summary June 2026'!$A:$HC,211,FALSE)-SUMIFS($H148:$V148,$H$7:$V$7,AC$7)</f>
        <v>0</v>
      </c>
      <c r="AE148" s="146">
        <f>VLOOKUP($A148,'Summary June 2026'!$A:$HJ,213,FALSE)+VLOOKUP($A148,'Grants+ Other Funding'!$A:$CG,67,FALSE)</f>
        <v>377332.65401321504</v>
      </c>
      <c r="AF148" s="146">
        <f>_xlfn.IFNA(VLOOKUP($A148,'Summary June 2026'!$A:$HJ,214,FALSE)+VLOOKUP($A148,'Grants+ Other Funding'!$A:$CG,68,FALSE),0)</f>
        <v>-29.65</v>
      </c>
      <c r="AG148" s="146">
        <f>_xlfn.IFNA(VLOOKUP($A148,'Summary June 2026'!$A:$HJ,215,FALSE)+VLOOKUP($A148,'Grants+ Other Funding'!$A:$CG,69,FALSE),0)</f>
        <v>4829.71875</v>
      </c>
      <c r="AH148" s="146">
        <f>_xlfn.IFNA(VLOOKUP($A148,'Grants+ Other Funding'!$A:$CG,70,FALSE),0)</f>
        <v>0</v>
      </c>
      <c r="AI148" s="146">
        <f>_xlfn.IFNA(VLOOKUP($A148,'Grants+ Other Funding'!$A:$CG,71,FALSE),0)</f>
        <v>0</v>
      </c>
      <c r="AJ148" s="146">
        <f>_xlfn.IFNA(VLOOKUP($A148,'Grants+ Other Funding'!$A:$CG,72,FALSE),0)</f>
        <v>0</v>
      </c>
      <c r="AK148" s="146">
        <f>_xlfn.IFNA(VLOOKUP($A148,'Summary June 2026'!$A:$HJ,217,FALSE),0)</f>
        <v>-1000.71955</v>
      </c>
      <c r="AL148" s="146">
        <f>_xlfn.IFNA(VLOOKUP($A148,'Grants+ Other Funding'!$A:$CG,74,FALSE),0)</f>
        <v>0</v>
      </c>
      <c r="AM148" s="146">
        <f>_xlfn.IFNA(VLOOKUP($A148,'Summary June 2026'!$A:$HJ,218,FALSE),0)</f>
        <v>0</v>
      </c>
      <c r="AN148" s="146">
        <f>_xlfn.IFNA(VLOOKUP($A148,'Summary June 2026'!$A:$HJ,216,FALSE),0)</f>
        <v>-1301.0249999999999</v>
      </c>
      <c r="AO148" s="146">
        <f>_xlfn.IFNA(VLOOKUP($A148,'Grants+ Other Funding'!$A:$CG,73,FALSE),0)</f>
        <v>0</v>
      </c>
      <c r="AP148" s="65">
        <f t="shared" si="4"/>
        <v>379830.97821321501</v>
      </c>
    </row>
    <row r="149" spans="1:42">
      <c r="A149" s="198">
        <v>3010</v>
      </c>
      <c r="B149" s="2">
        <v>103401</v>
      </c>
      <c r="C149" s="2" t="s">
        <v>321</v>
      </c>
      <c r="D149" s="2" t="s">
        <v>322</v>
      </c>
      <c r="E149" s="190" t="s">
        <v>39</v>
      </c>
      <c r="F149" s="208" t="str">
        <f>VLOOKUP(A149,'Summary June 2026'!A:F,6,FALSE)</f>
        <v>Chq Bk</v>
      </c>
      <c r="H149" s="273">
        <f>_xlfn.IFNA(VLOOKUP($A149,ISB!$A:$BY,67,FALSE),0)</f>
        <v>2701913.5577597506</v>
      </c>
      <c r="I149" s="218">
        <f>_xlfn.IFNA(VLOOKUP($A149,ISB!$A:$BY,72,FALSE),0)</f>
        <v>-10233.9</v>
      </c>
      <c r="J149" s="274">
        <f>-_xlfn.IFNA(VLOOKUP($A149,ISB!$A:$BY,76,FALSE),0)</f>
        <v>-13946.5326</v>
      </c>
      <c r="L149" s="273">
        <f>_xlfn.IFNA(VLOOKUP($A149,EY!$A:$DX,126,FALSE),0)</f>
        <v>0</v>
      </c>
      <c r="M149" s="273">
        <f>_xlfn.IFNA(VLOOKUP($A149,EY!$A:$DX,127,FALSE),0)</f>
        <v>0</v>
      </c>
      <c r="O149" s="273">
        <f>_xlfn.IFNA(VLOOKUP($A149,HN!$A:$AN,37,FALSE),0)</f>
        <v>0</v>
      </c>
      <c r="P149" s="273">
        <f>_xlfn.IFNA(VLOOKUP($A149,HN!$A:$AN,38,FALSE),0)</f>
        <v>0</v>
      </c>
      <c r="Q149" s="273">
        <f>_xlfn.IFNA(VLOOKUP($A149,HN!$A:$AN,39,FALSE),0)</f>
        <v>105463.5</v>
      </c>
      <c r="S149" s="337">
        <f>_xlfn.IFNA(VLOOKUP(A149,'Post 16'!A:AR,44,FALSE),0)</f>
        <v>0</v>
      </c>
      <c r="U149" s="337"/>
      <c r="V149" s="337">
        <f>VLOOKUP(A149,'LA Deductions'!A:AN,40,FALSE)</f>
        <v>0</v>
      </c>
      <c r="X149" s="274">
        <f>VLOOKUP($A149,'Summary June 2026'!$A:$AAX,206,FALSE)-SUMIFS($H149:$V149,$H$7:$V$7,X$7)</f>
        <v>0</v>
      </c>
      <c r="Y149" s="274">
        <f>VLOOKUP($A149,'Summary June 2026'!$A:$HC,207,FALSE)-SUMIFS($H149:$V149,$H$7:$V$7,Y$7)</f>
        <v>0</v>
      </c>
      <c r="Z149" s="274">
        <f>VLOOKUP($A149,'Summary June 2026'!$A:$HC,208,FALSE)-SUMIFS($H149:$V149,$H$7:$V$7,Z$7)</f>
        <v>0</v>
      </c>
      <c r="AA149" s="274">
        <f>VLOOKUP($A149,'Summary June 2026'!$A:$HC,209,FALSE)-SUMIFS($H149:$V149,$H$7:$V$7,AA$7)</f>
        <v>0</v>
      </c>
      <c r="AB149" s="274">
        <f>VLOOKUP($A149,'Summary June 2026'!$A:$HC,210,FALSE)-SUMIFS($H149:$V149,$H$7:$V$7,AB$7)</f>
        <v>0</v>
      </c>
      <c r="AC149" s="274">
        <f>VLOOKUP($A149,'Summary June 2026'!$A:$HC,211,FALSE)-SUMIFS($H149:$V149,$H$7:$V$7,AC$7)</f>
        <v>0</v>
      </c>
      <c r="AE149" s="146">
        <f>VLOOKUP($A149,'Summary June 2026'!$A:$HJ,213,FALSE)+VLOOKUP($A149,'Grants+ Other Funding'!$A:$CG,67,FALSE)</f>
        <v>678304.98943993764</v>
      </c>
      <c r="AF149" s="146">
        <f>_xlfn.IFNA(VLOOKUP($A149,'Summary June 2026'!$A:$HJ,214,FALSE)+VLOOKUP($A149,'Grants+ Other Funding'!$A:$CG,68,FALSE),0)</f>
        <v>-30.01</v>
      </c>
      <c r="AG149" s="146">
        <f>_xlfn.IFNA(VLOOKUP($A149,'Summary June 2026'!$A:$HJ,215,FALSE)+VLOOKUP($A149,'Grants+ Other Funding'!$A:$CG,69,FALSE),0)</f>
        <v>30873.02475</v>
      </c>
      <c r="AH149" s="146">
        <f>_xlfn.IFNA(VLOOKUP($A149,'Grants+ Other Funding'!$A:$CG,70,FALSE),0)</f>
        <v>0</v>
      </c>
      <c r="AI149" s="146">
        <f>_xlfn.IFNA(VLOOKUP($A149,'Grants+ Other Funding'!$A:$CG,71,FALSE),0)</f>
        <v>0</v>
      </c>
      <c r="AJ149" s="146">
        <f>_xlfn.IFNA(VLOOKUP($A149,'Grants+ Other Funding'!$A:$CG,72,FALSE),0)</f>
        <v>0</v>
      </c>
      <c r="AK149" s="146">
        <f>_xlfn.IFNA(VLOOKUP($A149,'Summary June 2026'!$A:$HJ,217,FALSE),0)</f>
        <v>-3486.6331500000006</v>
      </c>
      <c r="AL149" s="146">
        <f>_xlfn.IFNA(VLOOKUP($A149,'Grants+ Other Funding'!$A:$CG,74,FALSE),0)</f>
        <v>0</v>
      </c>
      <c r="AM149" s="146">
        <f>_xlfn.IFNA(VLOOKUP($A149,'Summary June 2026'!$A:$HJ,218,FALSE),0)</f>
        <v>0</v>
      </c>
      <c r="AN149" s="146">
        <f>_xlfn.IFNA(VLOOKUP($A149,'Summary June 2026'!$A:$HJ,216,FALSE),0)</f>
        <v>-2558.4749999999999</v>
      </c>
      <c r="AO149" s="146">
        <f>_xlfn.IFNA(VLOOKUP($A149,'Grants+ Other Funding'!$A:$CG,73,FALSE),0)</f>
        <v>0</v>
      </c>
      <c r="AP149" s="65">
        <f t="shared" si="4"/>
        <v>703102.89603993762</v>
      </c>
    </row>
    <row r="150" spans="1:42">
      <c r="A150" s="198">
        <v>4625</v>
      </c>
      <c r="B150" s="2">
        <v>103534</v>
      </c>
      <c r="C150" s="2" t="s">
        <v>323</v>
      </c>
      <c r="D150" s="2" t="s">
        <v>324</v>
      </c>
      <c r="E150" s="190" t="s">
        <v>71</v>
      </c>
      <c r="F150" s="208" t="str">
        <f>VLOOKUP(A150,'Summary June 2026'!A:F,6,FALSE)</f>
        <v>Chq Bk</v>
      </c>
      <c r="H150" s="273">
        <f>_xlfn.IFNA(VLOOKUP($A150,ISB!$A:$BY,67,FALSE),0)</f>
        <v>5313756.9997654734</v>
      </c>
      <c r="I150" s="218">
        <f>_xlfn.IFNA(VLOOKUP($A150,ISB!$A:$BY,72,FALSE),0)</f>
        <v>-11602.5</v>
      </c>
      <c r="J150" s="274">
        <f>-_xlfn.IFNA(VLOOKUP($A150,ISB!$A:$BY,76,FALSE),0)</f>
        <v>-17289.09</v>
      </c>
      <c r="L150" s="273">
        <f>_xlfn.IFNA(VLOOKUP($A150,EY!$A:$DX,126,FALSE),0)</f>
        <v>0</v>
      </c>
      <c r="M150" s="273">
        <f>_xlfn.IFNA(VLOOKUP($A150,EY!$A:$DX,127,FALSE),0)</f>
        <v>0</v>
      </c>
      <c r="O150" s="273">
        <f>_xlfn.IFNA(VLOOKUP($A150,HN!$A:$AN,37,FALSE),0)</f>
        <v>0</v>
      </c>
      <c r="P150" s="273">
        <f>_xlfn.IFNA(VLOOKUP($A150,HN!$A:$AN,38,FALSE),0)</f>
        <v>0</v>
      </c>
      <c r="Q150" s="273">
        <f>_xlfn.IFNA(VLOOKUP($A150,HN!$A:$AN,39,FALSE),0)</f>
        <v>121476.17</v>
      </c>
      <c r="S150" s="337">
        <f>_xlfn.IFNA(VLOOKUP(A150,'Post 16'!A:AR,44,FALSE),0)</f>
        <v>0</v>
      </c>
      <c r="U150" s="337"/>
      <c r="V150" s="337">
        <f>VLOOKUP(A150,'LA Deductions'!A:AN,40,FALSE)</f>
        <v>0</v>
      </c>
      <c r="X150" s="274">
        <f>VLOOKUP($A150,'Summary June 2026'!$A:$AAX,206,FALSE)-SUMIFS($H150:$V150,$H$7:$V$7,X$7)</f>
        <v>0</v>
      </c>
      <c r="Y150" s="274">
        <f>VLOOKUP($A150,'Summary June 2026'!$A:$HC,207,FALSE)-SUMIFS($H150:$V150,$H$7:$V$7,Y$7)</f>
        <v>0</v>
      </c>
      <c r="Z150" s="274">
        <f>VLOOKUP($A150,'Summary June 2026'!$A:$HC,208,FALSE)-SUMIFS($H150:$V150,$H$7:$V$7,Z$7)</f>
        <v>0</v>
      </c>
      <c r="AA150" s="274">
        <f>VLOOKUP($A150,'Summary June 2026'!$A:$HC,209,FALSE)-SUMIFS($H150:$V150,$H$7:$V$7,AA$7)</f>
        <v>0</v>
      </c>
      <c r="AB150" s="274">
        <f>VLOOKUP($A150,'Summary June 2026'!$A:$HC,210,FALSE)-SUMIFS($H150:$V150,$H$7:$V$7,AB$7)</f>
        <v>0</v>
      </c>
      <c r="AC150" s="274">
        <f>VLOOKUP($A150,'Summary June 2026'!$A:$HC,211,FALSE)-SUMIFS($H150:$V150,$H$7:$V$7,AC$7)</f>
        <v>0</v>
      </c>
      <c r="AE150" s="146">
        <f>VLOOKUP($A150,'Summary June 2026'!$A:$HJ,213,FALSE)+VLOOKUP($A150,'Grants+ Other Funding'!$A:$CG,67,FALSE)</f>
        <v>1331143.7499413684</v>
      </c>
      <c r="AF150" s="146">
        <f>_xlfn.IFNA(VLOOKUP($A150,'Summary June 2026'!$A:$HJ,214,FALSE)+VLOOKUP($A150,'Grants+ Other Funding'!$A:$CG,68,FALSE),0)</f>
        <v>-31.32</v>
      </c>
      <c r="AG150" s="146">
        <f>_xlfn.IFNA(VLOOKUP($A150,'Summary June 2026'!$A:$HJ,215,FALSE)+VLOOKUP($A150,'Grants+ Other Funding'!$A:$CG,69,FALSE),0)</f>
        <v>30587.293250000002</v>
      </c>
      <c r="AH150" s="146">
        <f>_xlfn.IFNA(VLOOKUP($A150,'Grants+ Other Funding'!$A:$CG,70,FALSE),0)</f>
        <v>0</v>
      </c>
      <c r="AI150" s="146">
        <f>_xlfn.IFNA(VLOOKUP($A150,'Grants+ Other Funding'!$A:$CG,71,FALSE),0)</f>
        <v>0</v>
      </c>
      <c r="AJ150" s="146">
        <f>_xlfn.IFNA(VLOOKUP($A150,'Grants+ Other Funding'!$A:$CG,72,FALSE),0)</f>
        <v>0</v>
      </c>
      <c r="AK150" s="146">
        <f>_xlfn.IFNA(VLOOKUP($A150,'Summary June 2026'!$A:$HJ,217,FALSE),0)</f>
        <v>-4322.2725</v>
      </c>
      <c r="AL150" s="146">
        <f>_xlfn.IFNA(VLOOKUP($A150,'Grants+ Other Funding'!$A:$CG,74,FALSE),0)</f>
        <v>0</v>
      </c>
      <c r="AM150" s="146">
        <f>_xlfn.IFNA(VLOOKUP($A150,'Summary June 2026'!$A:$HJ,218,FALSE),0)</f>
        <v>0</v>
      </c>
      <c r="AN150" s="146">
        <f>_xlfn.IFNA(VLOOKUP($A150,'Summary June 2026'!$A:$HJ,216,FALSE),0)</f>
        <v>-2900.625</v>
      </c>
      <c r="AO150" s="146">
        <f>_xlfn.IFNA(VLOOKUP($A150,'Grants+ Other Funding'!$A:$CG,73,FALSE),0)</f>
        <v>0</v>
      </c>
      <c r="AP150" s="65">
        <f t="shared" si="4"/>
        <v>1354476.8256913684</v>
      </c>
    </row>
    <row r="151" spans="1:42">
      <c r="A151" s="198">
        <v>3377</v>
      </c>
      <c r="B151" s="2">
        <v>103463</v>
      </c>
      <c r="C151" s="2" t="s">
        <v>325</v>
      </c>
      <c r="D151" s="2" t="s">
        <v>326</v>
      </c>
      <c r="E151" s="190" t="s">
        <v>39</v>
      </c>
      <c r="F151" s="208" t="str">
        <f>VLOOKUP(A151,'Summary June 2026'!A:F,6,FALSE)</f>
        <v>Chq Bk</v>
      </c>
      <c r="H151" s="273">
        <f>_xlfn.IFNA(VLOOKUP($A151,ISB!$A:$BY,67,FALSE),0)</f>
        <v>1296731.4241517095</v>
      </c>
      <c r="I151" s="218">
        <f>_xlfn.IFNA(VLOOKUP($A151,ISB!$A:$BY,72,FALSE),0)</f>
        <v>-4681.2</v>
      </c>
      <c r="J151" s="274">
        <f>-_xlfn.IFNA(VLOOKUP($A151,ISB!$A:$BY,76,FALSE),0)</f>
        <v>-4292.5601999999999</v>
      </c>
      <c r="L151" s="273">
        <f>_xlfn.IFNA(VLOOKUP($A151,EY!$A:$DX,126,FALSE),0)</f>
        <v>26558.885789473687</v>
      </c>
      <c r="M151" s="273">
        <f>_xlfn.IFNA(VLOOKUP($A151,EY!$A:$DX,127,FALSE),0)</f>
        <v>0</v>
      </c>
      <c r="O151" s="273">
        <f>_xlfn.IFNA(VLOOKUP($A151,HN!$A:$AN,37,FALSE),0)</f>
        <v>0</v>
      </c>
      <c r="P151" s="273">
        <f>_xlfn.IFNA(VLOOKUP($A151,HN!$A:$AN,38,FALSE),0)</f>
        <v>0</v>
      </c>
      <c r="Q151" s="273">
        <f>_xlfn.IFNA(VLOOKUP($A151,HN!$A:$AN,39,FALSE),0)</f>
        <v>35718.33</v>
      </c>
      <c r="S151" s="337">
        <f>_xlfn.IFNA(VLOOKUP(A151,'Post 16'!A:AR,44,FALSE),0)</f>
        <v>0</v>
      </c>
      <c r="U151" s="337"/>
      <c r="V151" s="337">
        <f>VLOOKUP(A151,'LA Deductions'!A:AN,40,FALSE)</f>
        <v>0</v>
      </c>
      <c r="X151" s="274">
        <f>VLOOKUP($A151,'Summary June 2026'!$A:$AAX,206,FALSE)-SUMIFS($H151:$V151,$H$7:$V$7,X$7)</f>
        <v>0</v>
      </c>
      <c r="Y151" s="274">
        <f>VLOOKUP($A151,'Summary June 2026'!$A:$HC,207,FALSE)-SUMIFS($H151:$V151,$H$7:$V$7,Y$7)</f>
        <v>0</v>
      </c>
      <c r="Z151" s="274">
        <f>VLOOKUP($A151,'Summary June 2026'!$A:$HC,208,FALSE)-SUMIFS($H151:$V151,$H$7:$V$7,Z$7)</f>
        <v>0</v>
      </c>
      <c r="AA151" s="274">
        <f>VLOOKUP($A151,'Summary June 2026'!$A:$HC,209,FALSE)-SUMIFS($H151:$V151,$H$7:$V$7,AA$7)</f>
        <v>0</v>
      </c>
      <c r="AB151" s="274">
        <f>VLOOKUP($A151,'Summary June 2026'!$A:$HC,210,FALSE)-SUMIFS($H151:$V151,$H$7:$V$7,AB$7)</f>
        <v>0</v>
      </c>
      <c r="AC151" s="274">
        <f>VLOOKUP($A151,'Summary June 2026'!$A:$HC,211,FALSE)-SUMIFS($H151:$V151,$H$7:$V$7,AC$7)</f>
        <v>0</v>
      </c>
      <c r="AE151" s="146">
        <f>VLOOKUP($A151,'Summary June 2026'!$A:$HJ,213,FALSE)+VLOOKUP($A151,'Grants+ Other Funding'!$A:$CG,67,FALSE)</f>
        <v>347790.22182740108</v>
      </c>
      <c r="AF151" s="146">
        <f>_xlfn.IFNA(VLOOKUP($A151,'Summary June 2026'!$A:$HJ,214,FALSE)+VLOOKUP($A151,'Grants+ Other Funding'!$A:$CG,68,FALSE),0)</f>
        <v>0</v>
      </c>
      <c r="AG151" s="146">
        <f>_xlfn.IFNA(VLOOKUP($A151,'Summary June 2026'!$A:$HJ,215,FALSE)+VLOOKUP($A151,'Grants+ Other Funding'!$A:$CG,69,FALSE),0)</f>
        <v>10402.801500000001</v>
      </c>
      <c r="AH151" s="146">
        <f>_xlfn.IFNA(VLOOKUP($A151,'Grants+ Other Funding'!$A:$CG,70,FALSE),0)</f>
        <v>0</v>
      </c>
      <c r="AI151" s="146">
        <f>_xlfn.IFNA(VLOOKUP($A151,'Grants+ Other Funding'!$A:$CG,71,FALSE),0)</f>
        <v>0</v>
      </c>
      <c r="AJ151" s="146">
        <f>_xlfn.IFNA(VLOOKUP($A151,'Grants+ Other Funding'!$A:$CG,72,FALSE),0)</f>
        <v>0</v>
      </c>
      <c r="AK151" s="146">
        <f>_xlfn.IFNA(VLOOKUP($A151,'Summary June 2026'!$A:$HJ,217,FALSE),0)</f>
        <v>-1073.14005</v>
      </c>
      <c r="AL151" s="146">
        <f>_xlfn.IFNA(VLOOKUP($A151,'Grants+ Other Funding'!$A:$CG,74,FALSE),0)</f>
        <v>0</v>
      </c>
      <c r="AM151" s="146">
        <f>_xlfn.IFNA(VLOOKUP($A151,'Summary June 2026'!$A:$HJ,218,FALSE),0)</f>
        <v>0</v>
      </c>
      <c r="AN151" s="146">
        <f>_xlfn.IFNA(VLOOKUP($A151,'Summary June 2026'!$A:$HJ,216,FALSE),0)</f>
        <v>-1170.3</v>
      </c>
      <c r="AO151" s="146">
        <f>_xlfn.IFNA(VLOOKUP($A151,'Grants+ Other Funding'!$A:$CG,73,FALSE),0)</f>
        <v>0</v>
      </c>
      <c r="AP151" s="65">
        <f t="shared" si="4"/>
        <v>355949.58327740111</v>
      </c>
    </row>
    <row r="152" spans="1:42">
      <c r="A152" s="198">
        <v>3371</v>
      </c>
      <c r="B152" s="2">
        <v>103459</v>
      </c>
      <c r="C152" s="2" t="s">
        <v>327</v>
      </c>
      <c r="D152" s="2" t="s">
        <v>328</v>
      </c>
      <c r="E152" s="190" t="s">
        <v>39</v>
      </c>
      <c r="F152" s="208" t="str">
        <f>VLOOKUP(A152,'Summary June 2026'!A:F,6,FALSE)</f>
        <v>Academy</v>
      </c>
      <c r="H152" s="273">
        <f>_xlfn.IFNA(VLOOKUP($A152,ISB!$A:$BY,67,FALSE),0)-1465632.8</f>
        <v>19803.161589934258</v>
      </c>
      <c r="I152" s="218">
        <f>_xlfn.IFNA(VLOOKUP($A152,ISB!$A:$BY,72,FALSE),0)+6374.4</f>
        <v>0</v>
      </c>
      <c r="J152" s="274">
        <f>-_xlfn.IFNA(VLOOKUP($A152,ISB!$A:$BY,76,FALSE),0)</f>
        <v>-19803.1643</v>
      </c>
      <c r="L152" s="273">
        <f>_xlfn.IFNA(VLOOKUP($A152,EY!$A:$DX,126,FALSE),0)</f>
        <v>0</v>
      </c>
      <c r="M152" s="273">
        <f>_xlfn.IFNA(VLOOKUP($A152,EY!$A:$DX,127,FALSE),0)</f>
        <v>0</v>
      </c>
      <c r="O152" s="273">
        <f>_xlfn.IFNA(VLOOKUP($A152,HN!$A:$AN,37,FALSE),0)</f>
        <v>0</v>
      </c>
      <c r="P152" s="273">
        <f>_xlfn.IFNA(VLOOKUP($A152,HN!$A:$AN,38,FALSE),0)</f>
        <v>0</v>
      </c>
      <c r="Q152" s="273">
        <f>_xlfn.IFNA(VLOOKUP($A152,HN!$A:$AN,39,FALSE),0)</f>
        <v>0</v>
      </c>
      <c r="S152" s="337">
        <f>_xlfn.IFNA(VLOOKUP(A152,'Post 16'!A:AR,44,FALSE),0)</f>
        <v>0</v>
      </c>
      <c r="U152" s="337"/>
      <c r="V152" s="337">
        <f>VLOOKUP(A152,'LA Deductions'!A:AN,40,FALSE)</f>
        <v>0</v>
      </c>
      <c r="X152" s="274">
        <f>VLOOKUP($A152,'Summary June 2026'!$A:$AAX,206,FALSE)-SUMIFS($H152:$V152,$H$7:$V$7,X$7)</f>
        <v>0</v>
      </c>
      <c r="Y152" s="274">
        <f>VLOOKUP($A152,'Summary June 2026'!$A:$HC,207,FALSE)-SUMIFS($H152:$V152,$H$7:$V$7,Y$7)</f>
        <v>0</v>
      </c>
      <c r="Z152" s="274">
        <f>VLOOKUP($A152,'Summary June 2026'!$A:$HC,208,FALSE)-SUMIFS($H152:$V152,$H$7:$V$7,Z$7)</f>
        <v>0</v>
      </c>
      <c r="AA152" s="274">
        <f>VLOOKUP($A152,'Summary June 2026'!$A:$HC,209,FALSE)-SUMIFS($H152:$V152,$H$7:$V$7,AA$7)</f>
        <v>0</v>
      </c>
      <c r="AB152" s="274">
        <f>VLOOKUP($A152,'Summary June 2026'!$A:$HC,210,FALSE)-SUMIFS($H152:$V152,$H$7:$V$7,AB$7)</f>
        <v>0</v>
      </c>
      <c r="AC152" s="274">
        <f>VLOOKUP($A152,'Summary June 2026'!$A:$HC,211,FALSE)-SUMIFS($H152:$V152,$H$7:$V$7,AC$7)</f>
        <v>0</v>
      </c>
      <c r="AE152" s="146">
        <f>VLOOKUP($A152,'Summary June 2026'!$A:$HJ,213,FALSE)+VLOOKUP($A152,'Grants+ Other Funding'!$A:$CG,67,FALSE)</f>
        <v>19803.161589934258</v>
      </c>
      <c r="AF152" s="146">
        <f>_xlfn.IFNA(VLOOKUP($A152,'Summary June 2026'!$A:$HJ,214,FALSE)+VLOOKUP($A152,'Grants+ Other Funding'!$A:$CG,68,FALSE),0)</f>
        <v>0</v>
      </c>
      <c r="AG152" s="146">
        <f>_xlfn.IFNA(VLOOKUP($A152,'Summary June 2026'!$A:$HJ,215,FALSE)+VLOOKUP($A152,'Grants+ Other Funding'!$A:$CG,69,FALSE),0)</f>
        <v>0</v>
      </c>
      <c r="AH152" s="146">
        <f>_xlfn.IFNA(VLOOKUP($A152,'Grants+ Other Funding'!$A:$CG,70,FALSE),0)</f>
        <v>0</v>
      </c>
      <c r="AI152" s="146">
        <f>_xlfn.IFNA(VLOOKUP($A152,'Grants+ Other Funding'!$A:$CG,71,FALSE),0)</f>
        <v>0</v>
      </c>
      <c r="AJ152" s="146">
        <f>_xlfn.IFNA(VLOOKUP($A152,'Grants+ Other Funding'!$A:$CG,72,FALSE),0)</f>
        <v>0</v>
      </c>
      <c r="AK152" s="146">
        <f>_xlfn.IFNA(VLOOKUP($A152,'Summary June 2026'!$A:$HJ,217,FALSE),0)</f>
        <v>-19803.1643</v>
      </c>
      <c r="AL152" s="146">
        <f>_xlfn.IFNA(VLOOKUP($A152,'Grants+ Other Funding'!$A:$CG,74,FALSE),0)</f>
        <v>0</v>
      </c>
      <c r="AM152" s="146">
        <f>_xlfn.IFNA(VLOOKUP($A152,'Summary June 2026'!$A:$HJ,218,FALSE),0)</f>
        <v>0</v>
      </c>
      <c r="AN152" s="146">
        <f>_xlfn.IFNA(VLOOKUP($A152,'Summary June 2026'!$A:$HJ,216,FALSE),0)</f>
        <v>0</v>
      </c>
      <c r="AO152" s="146">
        <f>_xlfn.IFNA(VLOOKUP($A152,'Grants+ Other Funding'!$A:$CG,73,FALSE),0)</f>
        <v>0</v>
      </c>
      <c r="AP152" s="65">
        <f t="shared" si="4"/>
        <v>-2.710065742576262E-3</v>
      </c>
    </row>
    <row r="153" spans="1:42">
      <c r="A153" s="198">
        <v>3307</v>
      </c>
      <c r="B153" s="2">
        <v>103416</v>
      </c>
      <c r="C153" s="2" t="s">
        <v>329</v>
      </c>
      <c r="D153" s="2" t="s">
        <v>330</v>
      </c>
      <c r="E153" s="190" t="s">
        <v>39</v>
      </c>
      <c r="F153" s="208" t="str">
        <f>VLOOKUP(A153,'Summary June 2026'!A:F,6,FALSE)</f>
        <v>Academy</v>
      </c>
      <c r="H153" s="273">
        <f>_xlfn.IFNA(VLOOKUP($A153,ISB!$A:$BY,67,FALSE),0)-2021924.18</f>
        <v>10488.711585858138</v>
      </c>
      <c r="I153" s="218">
        <f>_xlfn.IFNA(VLOOKUP($A153,ISB!$A:$BY,72,FALSE),0)+8914.2</f>
        <v>0</v>
      </c>
      <c r="J153" s="274">
        <f>-_xlfn.IFNA(VLOOKUP($A153,ISB!$A:$BY,76,FALSE),0)</f>
        <v>-10488.714599999999</v>
      </c>
      <c r="L153" s="273">
        <f>_xlfn.IFNA(VLOOKUP($A153,EY!$A:$DX,126,FALSE),0)</f>
        <v>0</v>
      </c>
      <c r="M153" s="273">
        <f>_xlfn.IFNA(VLOOKUP($A153,EY!$A:$DX,127,FALSE),0)</f>
        <v>0</v>
      </c>
      <c r="O153" s="273">
        <f>_xlfn.IFNA(VLOOKUP($A153,HN!$A:$AN,37,FALSE),0)</f>
        <v>0</v>
      </c>
      <c r="P153" s="273">
        <f>_xlfn.IFNA(VLOOKUP($A153,HN!$A:$AN,38,FALSE),0)</f>
        <v>0</v>
      </c>
      <c r="Q153" s="273">
        <f>_xlfn.IFNA(VLOOKUP($A153,HN!$A:$AN,39,FALSE),0)</f>
        <v>0</v>
      </c>
      <c r="S153" s="337">
        <f>_xlfn.IFNA(VLOOKUP(A153,'Post 16'!A:AR,44,FALSE),0)</f>
        <v>0</v>
      </c>
      <c r="U153" s="337"/>
      <c r="V153" s="337">
        <f>VLOOKUP(A153,'LA Deductions'!A:AN,40,FALSE)</f>
        <v>0</v>
      </c>
      <c r="X153" s="274">
        <f>VLOOKUP($A153,'Summary June 2026'!$A:$AAX,206,FALSE)-SUMIFS($H153:$V153,$H$7:$V$7,X$7)</f>
        <v>0</v>
      </c>
      <c r="Y153" s="274">
        <f>VLOOKUP($A153,'Summary June 2026'!$A:$HC,207,FALSE)-SUMIFS($H153:$V153,$H$7:$V$7,Y$7)</f>
        <v>0</v>
      </c>
      <c r="Z153" s="274">
        <f>VLOOKUP($A153,'Summary June 2026'!$A:$HC,208,FALSE)-SUMIFS($H153:$V153,$H$7:$V$7,Z$7)</f>
        <v>0</v>
      </c>
      <c r="AA153" s="274">
        <f>VLOOKUP($A153,'Summary June 2026'!$A:$HC,209,FALSE)-SUMIFS($H153:$V153,$H$7:$V$7,AA$7)</f>
        <v>0</v>
      </c>
      <c r="AB153" s="274">
        <f>VLOOKUP($A153,'Summary June 2026'!$A:$HC,210,FALSE)-SUMIFS($H153:$V153,$H$7:$V$7,AB$7)</f>
        <v>0</v>
      </c>
      <c r="AC153" s="274">
        <f>VLOOKUP($A153,'Summary June 2026'!$A:$HC,211,FALSE)-SUMIFS($H153:$V153,$H$7:$V$7,AC$7)</f>
        <v>0</v>
      </c>
      <c r="AE153" s="146">
        <f>VLOOKUP($A153,'Summary June 2026'!$A:$HJ,213,FALSE)+VLOOKUP($A153,'Grants+ Other Funding'!$A:$CG,67,FALSE)</f>
        <v>11139.391585858139</v>
      </c>
      <c r="AF153" s="146">
        <f>_xlfn.IFNA(VLOOKUP($A153,'Summary June 2026'!$A:$HJ,214,FALSE)+VLOOKUP($A153,'Grants+ Other Funding'!$A:$CG,68,FALSE),0)</f>
        <v>-51.51</v>
      </c>
      <c r="AG153" s="146">
        <f>_xlfn.IFNA(VLOOKUP($A153,'Summary June 2026'!$A:$HJ,215,FALSE)+VLOOKUP($A153,'Grants+ Other Funding'!$A:$CG,69,FALSE),0)</f>
        <v>0</v>
      </c>
      <c r="AH153" s="146">
        <f>_xlfn.IFNA(VLOOKUP($A153,'Grants+ Other Funding'!$A:$CG,70,FALSE),0)</f>
        <v>0</v>
      </c>
      <c r="AI153" s="146">
        <f>_xlfn.IFNA(VLOOKUP($A153,'Grants+ Other Funding'!$A:$CG,71,FALSE),0)</f>
        <v>0</v>
      </c>
      <c r="AJ153" s="146">
        <f>_xlfn.IFNA(VLOOKUP($A153,'Grants+ Other Funding'!$A:$CG,72,FALSE),0)</f>
        <v>0</v>
      </c>
      <c r="AK153" s="146">
        <f>_xlfn.IFNA(VLOOKUP($A153,'Summary June 2026'!$A:$HJ,217,FALSE),0)</f>
        <v>-10488.714599999999</v>
      </c>
      <c r="AL153" s="146">
        <f>_xlfn.IFNA(VLOOKUP($A153,'Grants+ Other Funding'!$A:$CG,74,FALSE),0)</f>
        <v>0</v>
      </c>
      <c r="AM153" s="146">
        <f>_xlfn.IFNA(VLOOKUP($A153,'Summary June 2026'!$A:$HJ,218,FALSE),0)</f>
        <v>0</v>
      </c>
      <c r="AN153" s="146">
        <f>_xlfn.IFNA(VLOOKUP($A153,'Summary June 2026'!$A:$HJ,216,FALSE),0)</f>
        <v>0</v>
      </c>
      <c r="AO153" s="146">
        <f>_xlfn.IFNA(VLOOKUP($A153,'Grants+ Other Funding'!$A:$CG,73,FALSE),0)</f>
        <v>0</v>
      </c>
      <c r="AP153" s="65">
        <f t="shared" si="4"/>
        <v>599.16698585813901</v>
      </c>
    </row>
    <row r="154" spans="1:42">
      <c r="A154" s="198">
        <v>3361</v>
      </c>
      <c r="B154" s="2">
        <v>103453</v>
      </c>
      <c r="C154" s="2" t="s">
        <v>331</v>
      </c>
      <c r="D154" s="2" t="s">
        <v>332</v>
      </c>
      <c r="E154" s="190" t="s">
        <v>39</v>
      </c>
      <c r="F154" s="208" t="str">
        <f>VLOOKUP(A154,'Summary June 2026'!A:F,6,FALSE)</f>
        <v>Chq Bk</v>
      </c>
      <c r="H154" s="273">
        <f>_xlfn.IFNA(VLOOKUP($A154,ISB!$A:$BY,67,FALSE),0)</f>
        <v>2081588.9757419813</v>
      </c>
      <c r="I154" s="218">
        <f>_xlfn.IFNA(VLOOKUP($A154,ISB!$A:$BY,72,FALSE),0)</f>
        <v>-8341.5</v>
      </c>
      <c r="J154" s="274">
        <f>-_xlfn.IFNA(VLOOKUP($A154,ISB!$A:$BY,76,FALSE),0)</f>
        <v>-8875.0661999999993</v>
      </c>
      <c r="L154" s="273">
        <f>_xlfn.IFNA(VLOOKUP($A154,EY!$A:$DX,126,FALSE),0)</f>
        <v>62957.984382271468</v>
      </c>
      <c r="M154" s="273">
        <f>_xlfn.IFNA(VLOOKUP($A154,EY!$A:$DX,127,FALSE),0)</f>
        <v>0</v>
      </c>
      <c r="O154" s="273">
        <f>_xlfn.IFNA(VLOOKUP($A154,HN!$A:$AN,37,FALSE),0)</f>
        <v>0</v>
      </c>
      <c r="P154" s="273">
        <f>_xlfn.IFNA(VLOOKUP($A154,HN!$A:$AN,38,FALSE),0)</f>
        <v>0</v>
      </c>
      <c r="Q154" s="273">
        <f>_xlfn.IFNA(VLOOKUP($A154,HN!$A:$AN,39,FALSE),0)</f>
        <v>41246</v>
      </c>
      <c r="S154" s="337">
        <f>_xlfn.IFNA(VLOOKUP(A154,'Post 16'!A:AR,44,FALSE),0)</f>
        <v>0</v>
      </c>
      <c r="U154" s="337"/>
      <c r="V154" s="337">
        <f>VLOOKUP(A154,'LA Deductions'!A:AN,40,FALSE)</f>
        <v>0</v>
      </c>
      <c r="X154" s="274">
        <f>VLOOKUP($A154,'Summary June 2026'!$A:$AAX,206,FALSE)-SUMIFS($H154:$V154,$H$7:$V$7,X$7)</f>
        <v>0</v>
      </c>
      <c r="Y154" s="274">
        <f>VLOOKUP($A154,'Summary June 2026'!$A:$HC,207,FALSE)-SUMIFS($H154:$V154,$H$7:$V$7,Y$7)</f>
        <v>0</v>
      </c>
      <c r="Z154" s="274">
        <f>VLOOKUP($A154,'Summary June 2026'!$A:$HC,208,FALSE)-SUMIFS($H154:$V154,$H$7:$V$7,Z$7)</f>
        <v>0</v>
      </c>
      <c r="AA154" s="274">
        <f>VLOOKUP($A154,'Summary June 2026'!$A:$HC,209,FALSE)-SUMIFS($H154:$V154,$H$7:$V$7,AA$7)</f>
        <v>0</v>
      </c>
      <c r="AB154" s="274">
        <f>VLOOKUP($A154,'Summary June 2026'!$A:$HC,210,FALSE)-SUMIFS($H154:$V154,$H$7:$V$7,AB$7)</f>
        <v>0</v>
      </c>
      <c r="AC154" s="274">
        <f>VLOOKUP($A154,'Summary June 2026'!$A:$HC,211,FALSE)-SUMIFS($H154:$V154,$H$7:$V$7,AC$7)</f>
        <v>0</v>
      </c>
      <c r="AE154" s="146">
        <f>VLOOKUP($A154,'Summary June 2026'!$A:$HJ,213,FALSE)+VLOOKUP($A154,'Grants+ Other Funding'!$A:$CG,67,FALSE)</f>
        <v>553082.97842302988</v>
      </c>
      <c r="AF154" s="146">
        <f>_xlfn.IFNA(VLOOKUP($A154,'Summary June 2026'!$A:$HJ,214,FALSE)+VLOOKUP($A154,'Grants+ Other Funding'!$A:$CG,68,FALSE),0)</f>
        <v>-54.89</v>
      </c>
      <c r="AG154" s="146">
        <f>_xlfn.IFNA(VLOOKUP($A154,'Summary June 2026'!$A:$HJ,215,FALSE)+VLOOKUP($A154,'Grants+ Other Funding'!$A:$CG,69,FALSE),0)</f>
        <v>11792.51225</v>
      </c>
      <c r="AH154" s="146">
        <f>_xlfn.IFNA(VLOOKUP($A154,'Grants+ Other Funding'!$A:$CG,70,FALSE),0)</f>
        <v>0</v>
      </c>
      <c r="AI154" s="146">
        <f>_xlfn.IFNA(VLOOKUP($A154,'Grants+ Other Funding'!$A:$CG,71,FALSE),0)</f>
        <v>0</v>
      </c>
      <c r="AJ154" s="146">
        <f>_xlfn.IFNA(VLOOKUP($A154,'Grants+ Other Funding'!$A:$CG,72,FALSE),0)</f>
        <v>0</v>
      </c>
      <c r="AK154" s="146">
        <f>_xlfn.IFNA(VLOOKUP($A154,'Summary June 2026'!$A:$HJ,217,FALSE),0)</f>
        <v>-2218.7665499999998</v>
      </c>
      <c r="AL154" s="146">
        <f>_xlfn.IFNA(VLOOKUP($A154,'Grants+ Other Funding'!$A:$CG,74,FALSE),0)</f>
        <v>0</v>
      </c>
      <c r="AM154" s="146">
        <f>_xlfn.IFNA(VLOOKUP($A154,'Summary June 2026'!$A:$HJ,218,FALSE),0)</f>
        <v>0</v>
      </c>
      <c r="AN154" s="146">
        <f>_xlfn.IFNA(VLOOKUP($A154,'Summary June 2026'!$A:$HJ,216,FALSE),0)</f>
        <v>-2085.375</v>
      </c>
      <c r="AO154" s="146">
        <f>_xlfn.IFNA(VLOOKUP($A154,'Grants+ Other Funding'!$A:$CG,73,FALSE),0)</f>
        <v>0</v>
      </c>
      <c r="AP154" s="65">
        <f t="shared" si="4"/>
        <v>560516.45912302996</v>
      </c>
    </row>
    <row r="155" spans="1:42">
      <c r="A155" s="198">
        <v>3382</v>
      </c>
      <c r="B155" s="2">
        <v>103467</v>
      </c>
      <c r="C155" s="2" t="s">
        <v>333</v>
      </c>
      <c r="D155" s="2" t="s">
        <v>334</v>
      </c>
      <c r="E155" s="190" t="s">
        <v>39</v>
      </c>
      <c r="F155" s="208" t="str">
        <f>VLOOKUP(A155,'Summary June 2026'!A:F,6,FALSE)</f>
        <v>Chq Bk</v>
      </c>
      <c r="H155" s="273">
        <f>_xlfn.IFNA(VLOOKUP($A155,ISB!$A:$BY,67,FALSE),0)</f>
        <v>1261766.0883454708</v>
      </c>
      <c r="I155" s="218">
        <f>_xlfn.IFNA(VLOOKUP($A155,ISB!$A:$BY,72,FALSE),0)</f>
        <v>-5029.7999999999993</v>
      </c>
      <c r="J155" s="274">
        <f>-_xlfn.IFNA(VLOOKUP($A155,ISB!$A:$BY,76,FALSE),0)</f>
        <v>-4187.2213000000002</v>
      </c>
      <c r="L155" s="273">
        <f>_xlfn.IFNA(VLOOKUP($A155,EY!$A:$DX,126,FALSE),0)</f>
        <v>0</v>
      </c>
      <c r="M155" s="273">
        <f>_xlfn.IFNA(VLOOKUP($A155,EY!$A:$DX,127,FALSE),0)</f>
        <v>0</v>
      </c>
      <c r="O155" s="273">
        <f>_xlfn.IFNA(VLOOKUP($A155,HN!$A:$AN,37,FALSE),0)</f>
        <v>0</v>
      </c>
      <c r="P155" s="273">
        <f>_xlfn.IFNA(VLOOKUP($A155,HN!$A:$AN,38,FALSE),0)</f>
        <v>0</v>
      </c>
      <c r="Q155" s="273">
        <f>_xlfn.IFNA(VLOOKUP($A155,HN!$A:$AN,39,FALSE),0)</f>
        <v>93538.83</v>
      </c>
      <c r="S155" s="337">
        <f>_xlfn.IFNA(VLOOKUP(A155,'Post 16'!A:AR,44,FALSE),0)</f>
        <v>0</v>
      </c>
      <c r="U155" s="337"/>
      <c r="V155" s="337">
        <f>VLOOKUP(A155,'LA Deductions'!A:AN,40,FALSE)</f>
        <v>0</v>
      </c>
      <c r="X155" s="274">
        <f>VLOOKUP($A155,'Summary June 2026'!$A:$AAX,206,FALSE)-SUMIFS($H155:$V155,$H$7:$V$7,X$7)</f>
        <v>0</v>
      </c>
      <c r="Y155" s="274">
        <f>VLOOKUP($A155,'Summary June 2026'!$A:$HC,207,FALSE)-SUMIFS($H155:$V155,$H$7:$V$7,Y$7)</f>
        <v>0</v>
      </c>
      <c r="Z155" s="274">
        <f>VLOOKUP($A155,'Summary June 2026'!$A:$HC,208,FALSE)-SUMIFS($H155:$V155,$H$7:$V$7,Z$7)</f>
        <v>0</v>
      </c>
      <c r="AA155" s="274">
        <f>VLOOKUP($A155,'Summary June 2026'!$A:$HC,209,FALSE)-SUMIFS($H155:$V155,$H$7:$V$7,AA$7)</f>
        <v>0</v>
      </c>
      <c r="AB155" s="274">
        <f>VLOOKUP($A155,'Summary June 2026'!$A:$HC,210,FALSE)-SUMIFS($H155:$V155,$H$7:$V$7,AB$7)</f>
        <v>0</v>
      </c>
      <c r="AC155" s="274">
        <f>VLOOKUP($A155,'Summary June 2026'!$A:$HC,211,FALSE)-SUMIFS($H155:$V155,$H$7:$V$7,AC$7)</f>
        <v>0</v>
      </c>
      <c r="AE155" s="146">
        <f>VLOOKUP($A155,'Summary June 2026'!$A:$HJ,213,FALSE)+VLOOKUP($A155,'Grants+ Other Funding'!$A:$CG,67,FALSE)</f>
        <v>315441.52208636771</v>
      </c>
      <c r="AF155" s="146">
        <f>_xlfn.IFNA(VLOOKUP($A155,'Summary June 2026'!$A:$HJ,214,FALSE)+VLOOKUP($A155,'Grants+ Other Funding'!$A:$CG,68,FALSE),0)</f>
        <v>0</v>
      </c>
      <c r="AG155" s="146">
        <f>_xlfn.IFNA(VLOOKUP($A155,'Summary June 2026'!$A:$HJ,215,FALSE)+VLOOKUP($A155,'Grants+ Other Funding'!$A:$CG,69,FALSE),0)</f>
        <v>24220.070250000001</v>
      </c>
      <c r="AH155" s="146">
        <f>_xlfn.IFNA(VLOOKUP($A155,'Grants+ Other Funding'!$A:$CG,70,FALSE),0)</f>
        <v>0</v>
      </c>
      <c r="AI155" s="146">
        <f>_xlfn.IFNA(VLOOKUP($A155,'Grants+ Other Funding'!$A:$CG,71,FALSE),0)</f>
        <v>0</v>
      </c>
      <c r="AJ155" s="146">
        <f>_xlfn.IFNA(VLOOKUP($A155,'Grants+ Other Funding'!$A:$CG,72,FALSE),0)</f>
        <v>0</v>
      </c>
      <c r="AK155" s="146">
        <f>_xlfn.IFNA(VLOOKUP($A155,'Summary June 2026'!$A:$HJ,217,FALSE),0)</f>
        <v>-1046.805325</v>
      </c>
      <c r="AL155" s="146">
        <f>_xlfn.IFNA(VLOOKUP($A155,'Grants+ Other Funding'!$A:$CG,74,FALSE),0)</f>
        <v>0</v>
      </c>
      <c r="AM155" s="146">
        <f>_xlfn.IFNA(VLOOKUP($A155,'Summary June 2026'!$A:$HJ,218,FALSE),0)</f>
        <v>0</v>
      </c>
      <c r="AN155" s="146">
        <f>_xlfn.IFNA(VLOOKUP($A155,'Summary June 2026'!$A:$HJ,216,FALSE),0)</f>
        <v>-1257.4499999999998</v>
      </c>
      <c r="AO155" s="146">
        <f>_xlfn.IFNA(VLOOKUP($A155,'Grants+ Other Funding'!$A:$CG,73,FALSE),0)</f>
        <v>0</v>
      </c>
      <c r="AP155" s="65">
        <f t="shared" si="4"/>
        <v>337357.33701136766</v>
      </c>
    </row>
    <row r="156" spans="1:42">
      <c r="A156" s="198">
        <v>3344</v>
      </c>
      <c r="B156" s="2">
        <v>103438</v>
      </c>
      <c r="C156" s="2" t="s">
        <v>335</v>
      </c>
      <c r="D156" s="2" t="s">
        <v>336</v>
      </c>
      <c r="E156" s="190" t="s">
        <v>39</v>
      </c>
      <c r="F156" s="208" t="str">
        <f>VLOOKUP(A156,'Summary June 2026'!A:F,6,FALSE)</f>
        <v>Chq Bk</v>
      </c>
      <c r="H156" s="273">
        <f>_xlfn.IFNA(VLOOKUP($A156,ISB!$A:$BY,67,FALSE),0)</f>
        <v>2273105.1614059191</v>
      </c>
      <c r="I156" s="218">
        <f>_xlfn.IFNA(VLOOKUP($A156,ISB!$A:$BY,72,FALSE),0)</f>
        <v>-10433.099999999999</v>
      </c>
      <c r="J156" s="274">
        <f>-_xlfn.IFNA(VLOOKUP($A156,ISB!$A:$BY,76,FALSE),0)</f>
        <v>-10200.563099999999</v>
      </c>
      <c r="L156" s="273">
        <f>_xlfn.IFNA(VLOOKUP($A156,EY!$A:$DX,126,FALSE),0)</f>
        <v>0</v>
      </c>
      <c r="M156" s="273">
        <f>_xlfn.IFNA(VLOOKUP($A156,EY!$A:$DX,127,FALSE),0)</f>
        <v>0</v>
      </c>
      <c r="O156" s="273">
        <f>_xlfn.IFNA(VLOOKUP($A156,HN!$A:$AN,37,FALSE),0)</f>
        <v>0</v>
      </c>
      <c r="P156" s="273">
        <f>_xlfn.IFNA(VLOOKUP($A156,HN!$A:$AN,38,FALSE),0)</f>
        <v>0</v>
      </c>
      <c r="Q156" s="273">
        <f>_xlfn.IFNA(VLOOKUP($A156,HN!$A:$AN,39,FALSE),0)</f>
        <v>107869</v>
      </c>
      <c r="S156" s="337">
        <f>_xlfn.IFNA(VLOOKUP(A156,'Post 16'!A:AR,44,FALSE),0)</f>
        <v>0</v>
      </c>
      <c r="U156" s="337"/>
      <c r="V156" s="337">
        <f>VLOOKUP(A156,'LA Deductions'!A:AN,40,FALSE)</f>
        <v>0</v>
      </c>
      <c r="X156" s="274">
        <f>VLOOKUP($A156,'Summary June 2026'!$A:$AAX,206,FALSE)-SUMIFS($H156:$V156,$H$7:$V$7,X$7)</f>
        <v>0</v>
      </c>
      <c r="Y156" s="274">
        <f>VLOOKUP($A156,'Summary June 2026'!$A:$HC,207,FALSE)-SUMIFS($H156:$V156,$H$7:$V$7,Y$7)</f>
        <v>0</v>
      </c>
      <c r="Z156" s="274">
        <f>VLOOKUP($A156,'Summary June 2026'!$A:$HC,208,FALSE)-SUMIFS($H156:$V156,$H$7:$V$7,Z$7)</f>
        <v>0</v>
      </c>
      <c r="AA156" s="274">
        <f>VLOOKUP($A156,'Summary June 2026'!$A:$HC,209,FALSE)-SUMIFS($H156:$V156,$H$7:$V$7,AA$7)</f>
        <v>0</v>
      </c>
      <c r="AB156" s="274">
        <f>VLOOKUP($A156,'Summary June 2026'!$A:$HC,210,FALSE)-SUMIFS($H156:$V156,$H$7:$V$7,AB$7)</f>
        <v>0</v>
      </c>
      <c r="AC156" s="274">
        <f>VLOOKUP($A156,'Summary June 2026'!$A:$HC,211,FALSE)-SUMIFS($H156:$V156,$H$7:$V$7,AC$7)</f>
        <v>0</v>
      </c>
      <c r="AE156" s="146">
        <f>VLOOKUP($A156,'Summary June 2026'!$A:$HJ,213,FALSE)+VLOOKUP($A156,'Grants+ Other Funding'!$A:$CG,67,FALSE)</f>
        <v>569712.96035147982</v>
      </c>
      <c r="AF156" s="146">
        <f>_xlfn.IFNA(VLOOKUP($A156,'Summary June 2026'!$A:$HJ,214,FALSE)+VLOOKUP($A156,'Grants+ Other Funding'!$A:$CG,68,FALSE),0)</f>
        <v>-52.47</v>
      </c>
      <c r="AG156" s="146">
        <f>_xlfn.IFNA(VLOOKUP($A156,'Summary June 2026'!$A:$HJ,215,FALSE)+VLOOKUP($A156,'Grants+ Other Funding'!$A:$CG,69,FALSE),0)</f>
        <v>29191.375</v>
      </c>
      <c r="AH156" s="146">
        <f>_xlfn.IFNA(VLOOKUP($A156,'Grants+ Other Funding'!$A:$CG,70,FALSE),0)</f>
        <v>0</v>
      </c>
      <c r="AI156" s="146">
        <f>_xlfn.IFNA(VLOOKUP($A156,'Grants+ Other Funding'!$A:$CG,71,FALSE),0)</f>
        <v>0</v>
      </c>
      <c r="AJ156" s="146">
        <f>_xlfn.IFNA(VLOOKUP($A156,'Grants+ Other Funding'!$A:$CG,72,FALSE),0)</f>
        <v>0</v>
      </c>
      <c r="AK156" s="146">
        <f>_xlfn.IFNA(VLOOKUP($A156,'Summary June 2026'!$A:$HJ,217,FALSE),0)</f>
        <v>-2550.1407749999998</v>
      </c>
      <c r="AL156" s="146">
        <f>_xlfn.IFNA(VLOOKUP($A156,'Grants+ Other Funding'!$A:$CG,74,FALSE),0)</f>
        <v>0</v>
      </c>
      <c r="AM156" s="146">
        <f>_xlfn.IFNA(VLOOKUP($A156,'Summary June 2026'!$A:$HJ,218,FALSE),0)</f>
        <v>0</v>
      </c>
      <c r="AN156" s="146">
        <f>_xlfn.IFNA(VLOOKUP($A156,'Summary June 2026'!$A:$HJ,216,FALSE),0)</f>
        <v>-2608.2749999999996</v>
      </c>
      <c r="AO156" s="146">
        <f>_xlfn.IFNA(VLOOKUP($A156,'Grants+ Other Funding'!$A:$CG,73,FALSE),0)</f>
        <v>0</v>
      </c>
      <c r="AP156" s="65">
        <f t="shared" si="4"/>
        <v>593693.44957647985</v>
      </c>
    </row>
    <row r="157" spans="1:42">
      <c r="A157" s="198">
        <v>3025</v>
      </c>
      <c r="B157" s="2">
        <v>103410</v>
      </c>
      <c r="C157" s="2" t="s">
        <v>337</v>
      </c>
      <c r="D157" s="2" t="s">
        <v>338</v>
      </c>
      <c r="E157" s="190" t="s">
        <v>39</v>
      </c>
      <c r="F157" s="208" t="str">
        <f>VLOOKUP(A157,'Summary June 2026'!A:F,6,FALSE)</f>
        <v>Chq Bk</v>
      </c>
      <c r="H157" s="273">
        <f>_xlfn.IFNA(VLOOKUP($A157,ISB!$A:$BY,67,FALSE),0)</f>
        <v>2329753.7438211483</v>
      </c>
      <c r="I157" s="218">
        <f>_xlfn.IFNA(VLOOKUP($A157,ISB!$A:$BY,72,FALSE),0)</f>
        <v>-10209</v>
      </c>
      <c r="J157" s="274">
        <f>-_xlfn.IFNA(VLOOKUP($A157,ISB!$A:$BY,76,FALSE),0)</f>
        <v>-8529.2844000000005</v>
      </c>
      <c r="L157" s="273">
        <f>_xlfn.IFNA(VLOOKUP($A157,EY!$A:$DX,126,FALSE),0)</f>
        <v>0</v>
      </c>
      <c r="M157" s="273">
        <f>_xlfn.IFNA(VLOOKUP($A157,EY!$A:$DX,127,FALSE),0)</f>
        <v>0</v>
      </c>
      <c r="O157" s="273">
        <f>_xlfn.IFNA(VLOOKUP($A157,HN!$A:$AN,37,FALSE),0)</f>
        <v>0</v>
      </c>
      <c r="P157" s="273">
        <f>_xlfn.IFNA(VLOOKUP($A157,HN!$A:$AN,38,FALSE),0)</f>
        <v>0</v>
      </c>
      <c r="Q157" s="273">
        <f>_xlfn.IFNA(VLOOKUP($A157,HN!$A:$AN,39,FALSE),0)</f>
        <v>141926.66</v>
      </c>
      <c r="S157" s="337">
        <f>_xlfn.IFNA(VLOOKUP(A157,'Post 16'!A:AR,44,FALSE),0)</f>
        <v>0</v>
      </c>
      <c r="U157" s="337"/>
      <c r="V157" s="337">
        <f>VLOOKUP(A157,'LA Deductions'!A:AN,40,FALSE)</f>
        <v>0</v>
      </c>
      <c r="X157" s="274">
        <f>VLOOKUP($A157,'Summary June 2026'!$A:$AAX,206,FALSE)-SUMIFS($H157:$V157,$H$7:$V$7,X$7)</f>
        <v>0</v>
      </c>
      <c r="Y157" s="274">
        <f>VLOOKUP($A157,'Summary June 2026'!$A:$HC,207,FALSE)-SUMIFS($H157:$V157,$H$7:$V$7,Y$7)</f>
        <v>0</v>
      </c>
      <c r="Z157" s="274">
        <f>VLOOKUP($A157,'Summary June 2026'!$A:$HC,208,FALSE)-SUMIFS($H157:$V157,$H$7:$V$7,Z$7)</f>
        <v>0</v>
      </c>
      <c r="AA157" s="274">
        <f>VLOOKUP($A157,'Summary June 2026'!$A:$HC,209,FALSE)-SUMIFS($H157:$V157,$H$7:$V$7,AA$7)</f>
        <v>0</v>
      </c>
      <c r="AB157" s="274">
        <f>VLOOKUP($A157,'Summary June 2026'!$A:$HC,210,FALSE)-SUMIFS($H157:$V157,$H$7:$V$7,AB$7)</f>
        <v>0</v>
      </c>
      <c r="AC157" s="274">
        <f>VLOOKUP($A157,'Summary June 2026'!$A:$HC,211,FALSE)-SUMIFS($H157:$V157,$H$7:$V$7,AC$7)</f>
        <v>0</v>
      </c>
      <c r="AE157" s="146">
        <f>VLOOKUP($A157,'Summary June 2026'!$A:$HJ,213,FALSE)+VLOOKUP($A157,'Grants+ Other Funding'!$A:$CG,67,FALSE)</f>
        <v>584212.7159552871</v>
      </c>
      <c r="AF157" s="146">
        <f>_xlfn.IFNA(VLOOKUP($A157,'Summary June 2026'!$A:$HJ,214,FALSE)+VLOOKUP($A157,'Grants+ Other Funding'!$A:$CG,68,FALSE),0)</f>
        <v>-24.18</v>
      </c>
      <c r="AG157" s="146">
        <f>_xlfn.IFNA(VLOOKUP($A157,'Summary June 2026'!$A:$HJ,215,FALSE)+VLOOKUP($A157,'Grants+ Other Funding'!$A:$CG,69,FALSE),0)</f>
        <v>41650.240250000003</v>
      </c>
      <c r="AH157" s="146">
        <f>_xlfn.IFNA(VLOOKUP($A157,'Grants+ Other Funding'!$A:$CG,70,FALSE),0)</f>
        <v>0</v>
      </c>
      <c r="AI157" s="146">
        <f>_xlfn.IFNA(VLOOKUP($A157,'Grants+ Other Funding'!$A:$CG,71,FALSE),0)</f>
        <v>0</v>
      </c>
      <c r="AJ157" s="146">
        <f>_xlfn.IFNA(VLOOKUP($A157,'Grants+ Other Funding'!$A:$CG,72,FALSE),0)</f>
        <v>0</v>
      </c>
      <c r="AK157" s="146">
        <f>_xlfn.IFNA(VLOOKUP($A157,'Summary June 2026'!$A:$HJ,217,FALSE),0)</f>
        <v>-2132.3211000000001</v>
      </c>
      <c r="AL157" s="146">
        <f>_xlfn.IFNA(VLOOKUP($A157,'Grants+ Other Funding'!$A:$CG,74,FALSE),0)</f>
        <v>0</v>
      </c>
      <c r="AM157" s="146">
        <f>_xlfn.IFNA(VLOOKUP($A157,'Summary June 2026'!$A:$HJ,218,FALSE),0)</f>
        <v>0</v>
      </c>
      <c r="AN157" s="146">
        <f>_xlfn.IFNA(VLOOKUP($A157,'Summary June 2026'!$A:$HJ,216,FALSE),0)</f>
        <v>-2552.25</v>
      </c>
      <c r="AO157" s="146">
        <f>_xlfn.IFNA(VLOOKUP($A157,'Grants+ Other Funding'!$A:$CG,73,FALSE),0)</f>
        <v>0</v>
      </c>
      <c r="AP157" s="65">
        <f t="shared" si="4"/>
        <v>621154.20510528714</v>
      </c>
    </row>
    <row r="158" spans="1:42">
      <c r="A158" s="198">
        <v>3016</v>
      </c>
      <c r="B158" s="2">
        <v>103404</v>
      </c>
      <c r="C158" s="2" t="s">
        <v>339</v>
      </c>
      <c r="D158" s="2" t="s">
        <v>340</v>
      </c>
      <c r="E158" s="190" t="s">
        <v>39</v>
      </c>
      <c r="F158" s="208" t="str">
        <f>VLOOKUP(A158,'Summary June 2026'!A:F,6,FALSE)</f>
        <v>Chq Bk</v>
      </c>
      <c r="H158" s="273">
        <f>_xlfn.IFNA(VLOOKUP($A158,ISB!$A:$BY,67,FALSE),0)</f>
        <v>1403412.4352875294</v>
      </c>
      <c r="I158" s="218">
        <f>_xlfn.IFNA(VLOOKUP($A158,ISB!$A:$BY,72,FALSE),0)</f>
        <v>-4780.7999999999993</v>
      </c>
      <c r="J158" s="274">
        <f>-_xlfn.IFNA(VLOOKUP($A158,ISB!$A:$BY,76,FALSE),0)</f>
        <v>-16590.876799999998</v>
      </c>
      <c r="L158" s="273">
        <f>_xlfn.IFNA(VLOOKUP($A158,EY!$A:$DX,126,FALSE),0)</f>
        <v>0</v>
      </c>
      <c r="M158" s="273">
        <f>_xlfn.IFNA(VLOOKUP($A158,EY!$A:$DX,127,FALSE),0)</f>
        <v>0</v>
      </c>
      <c r="O158" s="273">
        <f>_xlfn.IFNA(VLOOKUP($A158,HN!$A:$AN,37,FALSE),0)</f>
        <v>0</v>
      </c>
      <c r="P158" s="273">
        <f>_xlfn.IFNA(VLOOKUP($A158,HN!$A:$AN,38,FALSE),0)</f>
        <v>0</v>
      </c>
      <c r="Q158" s="273">
        <f>_xlfn.IFNA(VLOOKUP($A158,HN!$A:$AN,39,FALSE),0)</f>
        <v>122513</v>
      </c>
      <c r="S158" s="337">
        <f>_xlfn.IFNA(VLOOKUP(A158,'Post 16'!A:AR,44,FALSE),0)</f>
        <v>0</v>
      </c>
      <c r="U158" s="337"/>
      <c r="V158" s="337">
        <f>VLOOKUP(A158,'LA Deductions'!A:AN,40,FALSE)</f>
        <v>0</v>
      </c>
      <c r="X158" s="274">
        <f>VLOOKUP($A158,'Summary June 2026'!$A:$AAX,206,FALSE)-SUMIFS($H158:$V158,$H$7:$V$7,X$7)</f>
        <v>0</v>
      </c>
      <c r="Y158" s="274">
        <f>VLOOKUP($A158,'Summary June 2026'!$A:$HC,207,FALSE)-SUMIFS($H158:$V158,$H$7:$V$7,Y$7)</f>
        <v>0</v>
      </c>
      <c r="Z158" s="274">
        <f>VLOOKUP($A158,'Summary June 2026'!$A:$HC,208,FALSE)-SUMIFS($H158:$V158,$H$7:$V$7,Z$7)</f>
        <v>0</v>
      </c>
      <c r="AA158" s="274">
        <f>VLOOKUP($A158,'Summary June 2026'!$A:$HC,209,FALSE)-SUMIFS($H158:$V158,$H$7:$V$7,AA$7)</f>
        <v>0</v>
      </c>
      <c r="AB158" s="274">
        <f>VLOOKUP($A158,'Summary June 2026'!$A:$HC,210,FALSE)-SUMIFS($H158:$V158,$H$7:$V$7,AB$7)</f>
        <v>0</v>
      </c>
      <c r="AC158" s="274">
        <f>VLOOKUP($A158,'Summary June 2026'!$A:$HC,211,FALSE)-SUMIFS($H158:$V158,$H$7:$V$7,AC$7)</f>
        <v>0</v>
      </c>
      <c r="AE158" s="146">
        <f>VLOOKUP($A158,'Summary June 2026'!$A:$HJ,213,FALSE)+VLOOKUP($A158,'Grants+ Other Funding'!$A:$CG,67,FALSE)</f>
        <v>350853.10882188234</v>
      </c>
      <c r="AF158" s="146">
        <f>_xlfn.IFNA(VLOOKUP($A158,'Summary June 2026'!$A:$HJ,214,FALSE)+VLOOKUP($A158,'Grants+ Other Funding'!$A:$CG,68,FALSE),0)</f>
        <v>0</v>
      </c>
      <c r="AG158" s="146">
        <f>_xlfn.IFNA(VLOOKUP($A158,'Summary June 2026'!$A:$HJ,215,FALSE)+VLOOKUP($A158,'Grants+ Other Funding'!$A:$CG,69,FALSE),0)</f>
        <v>41878.162249999994</v>
      </c>
      <c r="AH158" s="146">
        <f>_xlfn.IFNA(VLOOKUP($A158,'Grants+ Other Funding'!$A:$CG,70,FALSE),0)</f>
        <v>0</v>
      </c>
      <c r="AI158" s="146">
        <f>_xlfn.IFNA(VLOOKUP($A158,'Grants+ Other Funding'!$A:$CG,71,FALSE),0)</f>
        <v>0</v>
      </c>
      <c r="AJ158" s="146">
        <f>_xlfn.IFNA(VLOOKUP($A158,'Grants+ Other Funding'!$A:$CG,72,FALSE),0)</f>
        <v>0</v>
      </c>
      <c r="AK158" s="146">
        <f>_xlfn.IFNA(VLOOKUP($A158,'Summary June 2026'!$A:$HJ,217,FALSE),0)</f>
        <v>-4147.7191999999995</v>
      </c>
      <c r="AL158" s="146">
        <f>_xlfn.IFNA(VLOOKUP($A158,'Grants+ Other Funding'!$A:$CG,74,FALSE),0)</f>
        <v>0</v>
      </c>
      <c r="AM158" s="146">
        <f>_xlfn.IFNA(VLOOKUP($A158,'Summary June 2026'!$A:$HJ,218,FALSE),0)</f>
        <v>0</v>
      </c>
      <c r="AN158" s="146">
        <f>_xlfn.IFNA(VLOOKUP($A158,'Summary June 2026'!$A:$HJ,216,FALSE),0)</f>
        <v>-1195.1999999999998</v>
      </c>
      <c r="AO158" s="146">
        <f>_xlfn.IFNA(VLOOKUP($A158,'Grants+ Other Funding'!$A:$CG,73,FALSE),0)</f>
        <v>0</v>
      </c>
      <c r="AP158" s="65">
        <f t="shared" si="4"/>
        <v>387388.35187188233</v>
      </c>
    </row>
    <row r="159" spans="1:42">
      <c r="A159" s="198">
        <v>3346</v>
      </c>
      <c r="B159" s="2">
        <v>103439</v>
      </c>
      <c r="C159" s="2" t="s">
        <v>341</v>
      </c>
      <c r="D159" s="2" t="s">
        <v>342</v>
      </c>
      <c r="E159" s="190" t="s">
        <v>39</v>
      </c>
      <c r="F159" s="208" t="str">
        <f>VLOOKUP(A159,'Summary June 2026'!A:F,6,FALSE)</f>
        <v>Chq Bk</v>
      </c>
      <c r="H159" s="273">
        <f>_xlfn.IFNA(VLOOKUP($A159,ISB!$A:$BY,67,FALSE),0)</f>
        <v>2096999.4749970166</v>
      </c>
      <c r="I159" s="218">
        <f>_xlfn.IFNA(VLOOKUP($A159,ISB!$A:$BY,72,FALSE),0)</f>
        <v>-7470</v>
      </c>
      <c r="J159" s="274">
        <f>-_xlfn.IFNA(VLOOKUP($A159,ISB!$A:$BY,76,FALSE),0)</f>
        <v>-3660.5268000000001</v>
      </c>
      <c r="L159" s="273">
        <f>_xlfn.IFNA(VLOOKUP($A159,EY!$A:$DX,126,FALSE),0)</f>
        <v>30317.275595567877</v>
      </c>
      <c r="M159" s="273">
        <f>_xlfn.IFNA(VLOOKUP($A159,EY!$A:$DX,127,FALSE),0)</f>
        <v>0</v>
      </c>
      <c r="O159" s="273">
        <f>_xlfn.IFNA(VLOOKUP($A159,HN!$A:$AN,37,FALSE),0)</f>
        <v>0</v>
      </c>
      <c r="P159" s="273">
        <f>_xlfn.IFNA(VLOOKUP($A159,HN!$A:$AN,38,FALSE),0)</f>
        <v>0</v>
      </c>
      <c r="Q159" s="273">
        <f>_xlfn.IFNA(VLOOKUP($A159,HN!$A:$AN,39,FALSE),0)</f>
        <v>95779.58</v>
      </c>
      <c r="S159" s="337">
        <f>_xlfn.IFNA(VLOOKUP(A159,'Post 16'!A:AR,44,FALSE),0)</f>
        <v>0</v>
      </c>
      <c r="U159" s="337"/>
      <c r="V159" s="337">
        <f>VLOOKUP(A159,'LA Deductions'!A:AN,40,FALSE)</f>
        <v>0</v>
      </c>
      <c r="X159" s="274">
        <f>VLOOKUP($A159,'Summary June 2026'!$A:$AAX,206,FALSE)-SUMIFS($H159:$V159,$H$7:$V$7,X$7)</f>
        <v>0</v>
      </c>
      <c r="Y159" s="274">
        <f>VLOOKUP($A159,'Summary June 2026'!$A:$HC,207,FALSE)-SUMIFS($H159:$V159,$H$7:$V$7,Y$7)</f>
        <v>0</v>
      </c>
      <c r="Z159" s="274">
        <f>VLOOKUP($A159,'Summary June 2026'!$A:$HC,208,FALSE)-SUMIFS($H159:$V159,$H$7:$V$7,Z$7)</f>
        <v>0</v>
      </c>
      <c r="AA159" s="274">
        <f>VLOOKUP($A159,'Summary June 2026'!$A:$HC,209,FALSE)-SUMIFS($H159:$V159,$H$7:$V$7,AA$7)</f>
        <v>0</v>
      </c>
      <c r="AB159" s="274">
        <f>VLOOKUP($A159,'Summary June 2026'!$A:$HC,210,FALSE)-SUMIFS($H159:$V159,$H$7:$V$7,AB$7)</f>
        <v>0</v>
      </c>
      <c r="AC159" s="274">
        <f>VLOOKUP($A159,'Summary June 2026'!$A:$HC,211,FALSE)-SUMIFS($H159:$V159,$H$7:$V$7,AC$7)</f>
        <v>0</v>
      </c>
      <c r="AE159" s="146">
        <f>VLOOKUP($A159,'Summary June 2026'!$A:$HJ,213,FALSE)+VLOOKUP($A159,'Grants+ Other Funding'!$A:$CG,67,FALSE)</f>
        <v>544170.78434482205</v>
      </c>
      <c r="AF159" s="146">
        <f>_xlfn.IFNA(VLOOKUP($A159,'Summary June 2026'!$A:$HJ,214,FALSE)+VLOOKUP($A159,'Grants+ Other Funding'!$A:$CG,68,FALSE),0)</f>
        <v>-59.76</v>
      </c>
      <c r="AG159" s="146">
        <f>_xlfn.IFNA(VLOOKUP($A159,'Summary June 2026'!$A:$HJ,215,FALSE)+VLOOKUP($A159,'Grants+ Other Funding'!$A:$CG,69,FALSE),0)</f>
        <v>25839.389000000003</v>
      </c>
      <c r="AH159" s="146">
        <f>_xlfn.IFNA(VLOOKUP($A159,'Grants+ Other Funding'!$A:$CG,70,FALSE),0)</f>
        <v>0</v>
      </c>
      <c r="AI159" s="146">
        <f>_xlfn.IFNA(VLOOKUP($A159,'Grants+ Other Funding'!$A:$CG,71,FALSE),0)</f>
        <v>0</v>
      </c>
      <c r="AJ159" s="146">
        <f>_xlfn.IFNA(VLOOKUP($A159,'Grants+ Other Funding'!$A:$CG,72,FALSE),0)</f>
        <v>0</v>
      </c>
      <c r="AK159" s="146">
        <f>_xlfn.IFNA(VLOOKUP($A159,'Summary June 2026'!$A:$HJ,217,FALSE),0)</f>
        <v>-915.13170000000002</v>
      </c>
      <c r="AL159" s="146">
        <f>_xlfn.IFNA(VLOOKUP($A159,'Grants+ Other Funding'!$A:$CG,74,FALSE),0)</f>
        <v>0</v>
      </c>
      <c r="AM159" s="146">
        <f>_xlfn.IFNA(VLOOKUP($A159,'Summary June 2026'!$A:$HJ,218,FALSE),0)</f>
        <v>0</v>
      </c>
      <c r="AN159" s="146">
        <f>_xlfn.IFNA(VLOOKUP($A159,'Summary June 2026'!$A:$HJ,216,FALSE),0)</f>
        <v>-1867.5</v>
      </c>
      <c r="AO159" s="146">
        <f>_xlfn.IFNA(VLOOKUP($A159,'Grants+ Other Funding'!$A:$CG,73,FALSE),0)</f>
        <v>0</v>
      </c>
      <c r="AP159" s="65">
        <f t="shared" si="4"/>
        <v>567167.78164482198</v>
      </c>
    </row>
    <row r="160" spans="1:42">
      <c r="A160" s="198">
        <v>4606</v>
      </c>
      <c r="B160" s="2">
        <v>103531</v>
      </c>
      <c r="C160" s="2" t="s">
        <v>343</v>
      </c>
      <c r="D160" s="2" t="s">
        <v>344</v>
      </c>
      <c r="E160" s="190" t="s">
        <v>71</v>
      </c>
      <c r="F160" s="208" t="str">
        <f>VLOOKUP(A160,'Summary June 2026'!A:F,6,FALSE)</f>
        <v>Chq Bk</v>
      </c>
      <c r="H160" s="273">
        <f>_xlfn.IFNA(VLOOKUP($A160,ISB!$A:$BY,67,FALSE),0)</f>
        <v>6399665.9076079214</v>
      </c>
      <c r="I160" s="218">
        <f>_xlfn.IFNA(VLOOKUP($A160,ISB!$A:$BY,72,FALSE),0)</f>
        <v>-16399.5</v>
      </c>
      <c r="J160" s="274">
        <f>-_xlfn.IFNA(VLOOKUP($A160,ISB!$A:$BY,76,FALSE),0)</f>
        <v>-31984.816500000001</v>
      </c>
      <c r="L160" s="273">
        <f>_xlfn.IFNA(VLOOKUP($A160,EY!$A:$DX,126,FALSE),0)</f>
        <v>0</v>
      </c>
      <c r="M160" s="273">
        <f>_xlfn.IFNA(VLOOKUP($A160,EY!$A:$DX,127,FALSE),0)</f>
        <v>0</v>
      </c>
      <c r="O160" s="273">
        <f>_xlfn.IFNA(VLOOKUP($A160,HN!$A:$AN,37,FALSE),0)</f>
        <v>0</v>
      </c>
      <c r="P160" s="273">
        <f>_xlfn.IFNA(VLOOKUP($A160,HN!$A:$AN,38,FALSE),0)</f>
        <v>0</v>
      </c>
      <c r="Q160" s="273">
        <f>_xlfn.IFNA(VLOOKUP($A160,HN!$A:$AN,39,FALSE),0)</f>
        <v>94803.33</v>
      </c>
      <c r="S160" s="337">
        <f>_xlfn.IFNA(VLOOKUP(A160,'Post 16'!A:AR,44,FALSE),0)</f>
        <v>1237319.3333333333</v>
      </c>
      <c r="U160" s="337"/>
      <c r="V160" s="337">
        <f>VLOOKUP(A160,'LA Deductions'!A:AN,40,FALSE)</f>
        <v>0</v>
      </c>
      <c r="X160" s="274">
        <f>VLOOKUP($A160,'Summary June 2026'!$A:$AAX,206,FALSE)-SUMIFS($H160:$V160,$H$7:$V$7,X$7)</f>
        <v>0</v>
      </c>
      <c r="Y160" s="274">
        <f>VLOOKUP($A160,'Summary June 2026'!$A:$HC,207,FALSE)-SUMIFS($H160:$V160,$H$7:$V$7,Y$7)</f>
        <v>0</v>
      </c>
      <c r="Z160" s="274">
        <f>VLOOKUP($A160,'Summary June 2026'!$A:$HC,208,FALSE)-SUMIFS($H160:$V160,$H$7:$V$7,Z$7)</f>
        <v>0</v>
      </c>
      <c r="AA160" s="274">
        <f>VLOOKUP($A160,'Summary June 2026'!$A:$HC,209,FALSE)-SUMIFS($H160:$V160,$H$7:$V$7,AA$7)</f>
        <v>0</v>
      </c>
      <c r="AB160" s="274">
        <f>VLOOKUP($A160,'Summary June 2026'!$A:$HC,210,FALSE)-SUMIFS($H160:$V160,$H$7:$V$7,AB$7)</f>
        <v>0</v>
      </c>
      <c r="AC160" s="274">
        <f>VLOOKUP($A160,'Summary June 2026'!$A:$HC,211,FALSE)-SUMIFS($H160:$V160,$H$7:$V$7,AC$7)</f>
        <v>0</v>
      </c>
      <c r="AE160" s="146">
        <f>VLOOKUP($A160,'Summary June 2026'!$A:$HJ,213,FALSE)+VLOOKUP($A160,'Grants+ Other Funding'!$A:$CG,67,FALSE)</f>
        <v>1599916.4769019803</v>
      </c>
      <c r="AF160" s="146">
        <f>_xlfn.IFNA(VLOOKUP($A160,'Summary June 2026'!$A:$HJ,214,FALSE)+VLOOKUP($A160,'Grants+ Other Funding'!$A:$CG,68,FALSE),0)</f>
        <v>319823.5</v>
      </c>
      <c r="AG160" s="146">
        <f>_xlfn.IFNA(VLOOKUP($A160,'Summary June 2026'!$A:$HJ,215,FALSE)+VLOOKUP($A160,'Grants+ Other Funding'!$A:$CG,69,FALSE),0)</f>
        <v>24356.857499999998</v>
      </c>
      <c r="AH160" s="146">
        <f>_xlfn.IFNA(VLOOKUP($A160,'Grants+ Other Funding'!$A:$CG,70,FALSE),0)</f>
        <v>0</v>
      </c>
      <c r="AI160" s="146">
        <f>_xlfn.IFNA(VLOOKUP($A160,'Grants+ Other Funding'!$A:$CG,71,FALSE),0)</f>
        <v>0</v>
      </c>
      <c r="AJ160" s="146">
        <f>_xlfn.IFNA(VLOOKUP($A160,'Grants+ Other Funding'!$A:$CG,72,FALSE),0)</f>
        <v>0</v>
      </c>
      <c r="AK160" s="146">
        <f>_xlfn.IFNA(VLOOKUP($A160,'Summary June 2026'!$A:$HJ,217,FALSE),0)</f>
        <v>-7996.2041250000002</v>
      </c>
      <c r="AL160" s="146">
        <f>_xlfn.IFNA(VLOOKUP($A160,'Grants+ Other Funding'!$A:$CG,74,FALSE),0)</f>
        <v>0</v>
      </c>
      <c r="AM160" s="146">
        <f>_xlfn.IFNA(VLOOKUP($A160,'Summary June 2026'!$A:$HJ,218,FALSE),0)</f>
        <v>0</v>
      </c>
      <c r="AN160" s="146">
        <f>_xlfn.IFNA(VLOOKUP($A160,'Summary June 2026'!$A:$HJ,216,FALSE),0)</f>
        <v>-4099.875</v>
      </c>
      <c r="AO160" s="146">
        <f>_xlfn.IFNA(VLOOKUP($A160,'Grants+ Other Funding'!$A:$CG,73,FALSE),0)</f>
        <v>0</v>
      </c>
      <c r="AP160" s="65">
        <f t="shared" si="4"/>
        <v>1932000.7552769803</v>
      </c>
    </row>
    <row r="161" spans="1:42">
      <c r="A161" s="198">
        <v>3428</v>
      </c>
      <c r="B161" s="2">
        <v>134476</v>
      </c>
      <c r="C161" s="2" t="s">
        <v>345</v>
      </c>
      <c r="D161" s="2" t="s">
        <v>346</v>
      </c>
      <c r="E161" s="190" t="s">
        <v>39</v>
      </c>
      <c r="F161" s="208" t="str">
        <f>VLOOKUP(A161,'Summary June 2026'!A:F,6,FALSE)</f>
        <v>Chq Bk</v>
      </c>
      <c r="H161" s="273">
        <f>_xlfn.IFNA(VLOOKUP($A161,ISB!$A:$BY,67,FALSE),0)</f>
        <v>2265063.747860204</v>
      </c>
      <c r="I161" s="218">
        <f>_xlfn.IFNA(VLOOKUP($A161,ISB!$A:$BY,72,FALSE),0)</f>
        <v>-10209</v>
      </c>
      <c r="J161" s="274">
        <f>-_xlfn.IFNA(VLOOKUP($A161,ISB!$A:$BY,76,FALSE),0)</f>
        <v>-21462.800899999998</v>
      </c>
      <c r="L161" s="273">
        <f>_xlfn.IFNA(VLOOKUP($A161,EY!$A:$DX,126,FALSE),0)</f>
        <v>67180.844288088643</v>
      </c>
      <c r="M161" s="273">
        <f>_xlfn.IFNA(VLOOKUP($A161,EY!$A:$DX,127,FALSE),0)</f>
        <v>0</v>
      </c>
      <c r="O161" s="273">
        <f>_xlfn.IFNA(VLOOKUP($A161,HN!$A:$AN,37,FALSE),0)</f>
        <v>0</v>
      </c>
      <c r="P161" s="273">
        <f>_xlfn.IFNA(VLOOKUP($A161,HN!$A:$AN,38,FALSE),0)</f>
        <v>0</v>
      </c>
      <c r="Q161" s="273">
        <f>_xlfn.IFNA(VLOOKUP($A161,HN!$A:$AN,39,FALSE),0)</f>
        <v>126403.84</v>
      </c>
      <c r="S161" s="337">
        <f>_xlfn.IFNA(VLOOKUP(A161,'Post 16'!A:AR,44,FALSE),0)</f>
        <v>0</v>
      </c>
      <c r="U161" s="337"/>
      <c r="V161" s="337">
        <f>VLOOKUP(A161,'LA Deductions'!A:AN,40,FALSE)</f>
        <v>0</v>
      </c>
      <c r="X161" s="274">
        <f>VLOOKUP($A161,'Summary June 2026'!$A:$AAX,206,FALSE)-SUMIFS($H161:$V161,$H$7:$V$7,X$7)</f>
        <v>0</v>
      </c>
      <c r="Y161" s="274">
        <f>VLOOKUP($A161,'Summary June 2026'!$A:$HC,207,FALSE)-SUMIFS($H161:$V161,$H$7:$V$7,Y$7)</f>
        <v>0</v>
      </c>
      <c r="Z161" s="274">
        <f>VLOOKUP($A161,'Summary June 2026'!$A:$HC,208,FALSE)-SUMIFS($H161:$V161,$H$7:$V$7,Z$7)</f>
        <v>0</v>
      </c>
      <c r="AA161" s="274">
        <f>VLOOKUP($A161,'Summary June 2026'!$A:$HC,209,FALSE)-SUMIFS($H161:$V161,$H$7:$V$7,AA$7)</f>
        <v>0</v>
      </c>
      <c r="AB161" s="274">
        <f>VLOOKUP($A161,'Summary June 2026'!$A:$HC,210,FALSE)-SUMIFS($H161:$V161,$H$7:$V$7,AB$7)</f>
        <v>0</v>
      </c>
      <c r="AC161" s="274">
        <f>VLOOKUP($A161,'Summary June 2026'!$A:$HC,211,FALSE)-SUMIFS($H161:$V161,$H$7:$V$7,AC$7)</f>
        <v>0</v>
      </c>
      <c r="AE161" s="146">
        <f>VLOOKUP($A161,'Summary June 2026'!$A:$HJ,213,FALSE)+VLOOKUP($A161,'Grants+ Other Funding'!$A:$CG,67,FALSE)</f>
        <v>604570.76525313966</v>
      </c>
      <c r="AF161" s="146">
        <f>_xlfn.IFNA(VLOOKUP($A161,'Summary June 2026'!$A:$HJ,214,FALSE)+VLOOKUP($A161,'Grants+ Other Funding'!$A:$CG,68,FALSE),0)</f>
        <v>0</v>
      </c>
      <c r="AG161" s="146">
        <f>_xlfn.IFNA(VLOOKUP($A161,'Summary June 2026'!$A:$HJ,215,FALSE)+VLOOKUP($A161,'Grants+ Other Funding'!$A:$CG,69,FALSE),0)</f>
        <v>37506.759999999995</v>
      </c>
      <c r="AH161" s="146">
        <f>_xlfn.IFNA(VLOOKUP($A161,'Grants+ Other Funding'!$A:$CG,70,FALSE),0)</f>
        <v>0</v>
      </c>
      <c r="AI161" s="146">
        <f>_xlfn.IFNA(VLOOKUP($A161,'Grants+ Other Funding'!$A:$CG,71,FALSE),0)</f>
        <v>0</v>
      </c>
      <c r="AJ161" s="146">
        <f>_xlfn.IFNA(VLOOKUP($A161,'Grants+ Other Funding'!$A:$CG,72,FALSE),0)</f>
        <v>0</v>
      </c>
      <c r="AK161" s="146">
        <f>_xlfn.IFNA(VLOOKUP($A161,'Summary June 2026'!$A:$HJ,217,FALSE),0)</f>
        <v>-5365.7002249999996</v>
      </c>
      <c r="AL161" s="146">
        <f>_xlfn.IFNA(VLOOKUP($A161,'Grants+ Other Funding'!$A:$CG,74,FALSE),0)</f>
        <v>0</v>
      </c>
      <c r="AM161" s="146">
        <f>_xlfn.IFNA(VLOOKUP($A161,'Summary June 2026'!$A:$HJ,218,FALSE),0)</f>
        <v>0</v>
      </c>
      <c r="AN161" s="146">
        <f>_xlfn.IFNA(VLOOKUP($A161,'Summary June 2026'!$A:$HJ,216,FALSE),0)</f>
        <v>-2552.25</v>
      </c>
      <c r="AO161" s="146">
        <f>_xlfn.IFNA(VLOOKUP($A161,'Grants+ Other Funding'!$A:$CG,73,FALSE),0)</f>
        <v>0</v>
      </c>
      <c r="AP161" s="65">
        <f t="shared" si="4"/>
        <v>634159.57502813963</v>
      </c>
    </row>
    <row r="162" spans="1:42">
      <c r="A162" s="198">
        <v>3019</v>
      </c>
      <c r="B162" s="2">
        <v>103406</v>
      </c>
      <c r="C162" s="2" t="s">
        <v>347</v>
      </c>
      <c r="D162" s="2" t="s">
        <v>348</v>
      </c>
      <c r="E162" s="190" t="s">
        <v>39</v>
      </c>
      <c r="F162" s="208" t="str">
        <f>VLOOKUP(A162,'Summary June 2026'!A:F,6,FALSE)</f>
        <v>Chq Bk</v>
      </c>
      <c r="H162" s="273">
        <f>_xlfn.IFNA(VLOOKUP($A162,ISB!$A:$BY,67,FALSE),0)</f>
        <v>2663580.0660173921</v>
      </c>
      <c r="I162" s="218">
        <f>_xlfn.IFNA(VLOOKUP($A162,ISB!$A:$BY,72,FALSE),0)</f>
        <v>-10059.599999999999</v>
      </c>
      <c r="J162" s="274">
        <f>-_xlfn.IFNA(VLOOKUP($A162,ISB!$A:$BY,76,FALSE),0)</f>
        <v>-8356.3935000000001</v>
      </c>
      <c r="L162" s="273">
        <f>_xlfn.IFNA(VLOOKUP($A162,EY!$A:$DX,126,FALSE),0)</f>
        <v>0</v>
      </c>
      <c r="M162" s="273">
        <f>_xlfn.IFNA(VLOOKUP($A162,EY!$A:$DX,127,FALSE),0)</f>
        <v>0</v>
      </c>
      <c r="O162" s="273">
        <f>_xlfn.IFNA(VLOOKUP($A162,HN!$A:$AN,37,FALSE),0)</f>
        <v>0</v>
      </c>
      <c r="P162" s="273">
        <f>_xlfn.IFNA(VLOOKUP($A162,HN!$A:$AN,38,FALSE),0)</f>
        <v>0</v>
      </c>
      <c r="Q162" s="273">
        <f>_xlfn.IFNA(VLOOKUP($A162,HN!$A:$AN,39,FALSE),0)</f>
        <v>183248</v>
      </c>
      <c r="S162" s="337">
        <f>_xlfn.IFNA(VLOOKUP(A162,'Post 16'!A:AR,44,FALSE),0)</f>
        <v>0</v>
      </c>
      <c r="U162" s="337"/>
      <c r="V162" s="337">
        <f>VLOOKUP(A162,'LA Deductions'!A:AN,40,FALSE)</f>
        <v>0</v>
      </c>
      <c r="X162" s="274">
        <f>VLOOKUP($A162,'Summary June 2026'!$A:$AAX,206,FALSE)-SUMIFS($H162:$V162,$H$7:$V$7,X$7)</f>
        <v>0</v>
      </c>
      <c r="Y162" s="274">
        <f>VLOOKUP($A162,'Summary June 2026'!$A:$HC,207,FALSE)-SUMIFS($H162:$V162,$H$7:$V$7,Y$7)</f>
        <v>0</v>
      </c>
      <c r="Z162" s="274">
        <f>VLOOKUP($A162,'Summary June 2026'!$A:$HC,208,FALSE)-SUMIFS($H162:$V162,$H$7:$V$7,Z$7)</f>
        <v>0</v>
      </c>
      <c r="AA162" s="274">
        <f>VLOOKUP($A162,'Summary June 2026'!$A:$HC,209,FALSE)-SUMIFS($H162:$V162,$H$7:$V$7,AA$7)</f>
        <v>0</v>
      </c>
      <c r="AB162" s="274">
        <f>VLOOKUP($A162,'Summary June 2026'!$A:$HC,210,FALSE)-SUMIFS($H162:$V162,$H$7:$V$7,AB$7)</f>
        <v>0</v>
      </c>
      <c r="AC162" s="274">
        <f>VLOOKUP($A162,'Summary June 2026'!$A:$HC,211,FALSE)-SUMIFS($H162:$V162,$H$7:$V$7,AC$7)</f>
        <v>0</v>
      </c>
      <c r="AE162" s="146">
        <f>VLOOKUP($A162,'Summary June 2026'!$A:$HJ,213,FALSE)+VLOOKUP($A162,'Grants+ Other Funding'!$A:$CG,67,FALSE)</f>
        <v>668471.73650434799</v>
      </c>
      <c r="AF162" s="146">
        <f>_xlfn.IFNA(VLOOKUP($A162,'Summary June 2026'!$A:$HJ,214,FALSE)+VLOOKUP($A162,'Grants+ Other Funding'!$A:$CG,68,FALSE),0)</f>
        <v>-36.36</v>
      </c>
      <c r="AG162" s="146">
        <f>_xlfn.IFNA(VLOOKUP($A162,'Summary June 2026'!$A:$HJ,215,FALSE)+VLOOKUP($A162,'Grants+ Other Funding'!$A:$CG,69,FALSE),0)</f>
        <v>54088.775000000001</v>
      </c>
      <c r="AH162" s="146">
        <f>_xlfn.IFNA(VLOOKUP($A162,'Grants+ Other Funding'!$A:$CG,70,FALSE),0)</f>
        <v>0</v>
      </c>
      <c r="AI162" s="146">
        <f>_xlfn.IFNA(VLOOKUP($A162,'Grants+ Other Funding'!$A:$CG,71,FALSE),0)</f>
        <v>0</v>
      </c>
      <c r="AJ162" s="146">
        <f>_xlfn.IFNA(VLOOKUP($A162,'Grants+ Other Funding'!$A:$CG,72,FALSE),0)</f>
        <v>0</v>
      </c>
      <c r="AK162" s="146">
        <f>_xlfn.IFNA(VLOOKUP($A162,'Summary June 2026'!$A:$HJ,217,FALSE),0)</f>
        <v>-2089.098375</v>
      </c>
      <c r="AL162" s="146">
        <f>_xlfn.IFNA(VLOOKUP($A162,'Grants+ Other Funding'!$A:$CG,74,FALSE),0)</f>
        <v>0</v>
      </c>
      <c r="AM162" s="146">
        <f>_xlfn.IFNA(VLOOKUP($A162,'Summary June 2026'!$A:$HJ,218,FALSE),0)</f>
        <v>0</v>
      </c>
      <c r="AN162" s="146">
        <f>_xlfn.IFNA(VLOOKUP($A162,'Summary June 2026'!$A:$HJ,216,FALSE),0)</f>
        <v>-2514.8999999999996</v>
      </c>
      <c r="AO162" s="146">
        <f>_xlfn.IFNA(VLOOKUP($A162,'Grants+ Other Funding'!$A:$CG,73,FALSE),0)</f>
        <v>0</v>
      </c>
      <c r="AP162" s="65">
        <f t="shared" si="4"/>
        <v>717920.15312934807</v>
      </c>
    </row>
    <row r="163" spans="1:42">
      <c r="A163" s="198">
        <v>1009</v>
      </c>
      <c r="B163" s="2">
        <v>103124</v>
      </c>
      <c r="C163" s="2" t="s">
        <v>349</v>
      </c>
      <c r="D163" s="2" t="s">
        <v>350</v>
      </c>
      <c r="E163" s="190" t="s">
        <v>36</v>
      </c>
      <c r="F163" s="208" t="str">
        <f>VLOOKUP(A163,'Summary June 2026'!A:F,6,FALSE)</f>
        <v>Chq Bk</v>
      </c>
      <c r="H163" s="273">
        <f>_xlfn.IFNA(VLOOKUP($A163,ISB!$A:$BY,67,FALSE),0)</f>
        <v>0</v>
      </c>
      <c r="I163" s="218">
        <f>_xlfn.IFNA(VLOOKUP($A163,ISB!$A:$BY,72,FALSE),0)</f>
        <v>0</v>
      </c>
      <c r="J163" s="274">
        <f>-_xlfn.IFNA(VLOOKUP($A163,ISB!$A:$BY,76,FALSE),0)</f>
        <v>0</v>
      </c>
      <c r="L163" s="273">
        <f>_xlfn.IFNA(VLOOKUP($A163,EY!$A:$DX,126,FALSE),0)</f>
        <v>495051.81136713736</v>
      </c>
      <c r="M163" s="273">
        <f>_xlfn.IFNA(VLOOKUP($A163,EY!$A:$DX,127,FALSE),0)</f>
        <v>10614</v>
      </c>
      <c r="O163" s="273">
        <f>_xlfn.IFNA(VLOOKUP($A163,HN!$A:$AN,37,FALSE),0)</f>
        <v>0</v>
      </c>
      <c r="P163" s="273">
        <f>_xlfn.IFNA(VLOOKUP($A163,HN!$A:$AN,38,FALSE),0)</f>
        <v>0</v>
      </c>
      <c r="Q163" s="273">
        <f>_xlfn.IFNA(VLOOKUP($A163,HN!$A:$AN,39,FALSE),0)</f>
        <v>5756.25</v>
      </c>
      <c r="S163" s="337">
        <f>_xlfn.IFNA(VLOOKUP(A163,'Post 16'!A:AR,44,FALSE),0)</f>
        <v>0</v>
      </c>
      <c r="U163" s="337"/>
      <c r="V163" s="337">
        <f>VLOOKUP(A163,'LA Deductions'!A:AN,40,FALSE)</f>
        <v>0</v>
      </c>
      <c r="X163" s="274">
        <f>VLOOKUP($A163,'Summary June 2026'!$A:$AAX,206,FALSE)-SUMIFS($H163:$V163,$H$7:$V$7,X$7)</f>
        <v>0</v>
      </c>
      <c r="Y163" s="274">
        <f>VLOOKUP($A163,'Summary June 2026'!$A:$HC,207,FALSE)-SUMIFS($H163:$V163,$H$7:$V$7,Y$7)</f>
        <v>0</v>
      </c>
      <c r="Z163" s="274">
        <f>VLOOKUP($A163,'Summary June 2026'!$A:$HC,208,FALSE)-SUMIFS($H163:$V163,$H$7:$V$7,Z$7)</f>
        <v>0</v>
      </c>
      <c r="AA163" s="274">
        <f>VLOOKUP($A163,'Summary June 2026'!$A:$HC,209,FALSE)-SUMIFS($H163:$V163,$H$7:$V$7,AA$7)</f>
        <v>0</v>
      </c>
      <c r="AB163" s="274">
        <f>VLOOKUP($A163,'Summary June 2026'!$A:$HC,210,FALSE)-SUMIFS($H163:$V163,$H$7:$V$7,AB$7)</f>
        <v>0</v>
      </c>
      <c r="AC163" s="274">
        <f>VLOOKUP($A163,'Summary June 2026'!$A:$HC,211,FALSE)-SUMIFS($H163:$V163,$H$7:$V$7,AC$7)</f>
        <v>0</v>
      </c>
      <c r="AE163" s="146">
        <f>VLOOKUP($A163,'Summary June 2026'!$A:$HJ,213,FALSE)+VLOOKUP($A163,'Grants+ Other Funding'!$A:$CG,67,FALSE)</f>
        <v>379877.42568292684</v>
      </c>
      <c r="AF163" s="146">
        <f>_xlfn.IFNA(VLOOKUP($A163,'Summary June 2026'!$A:$HJ,214,FALSE)+VLOOKUP($A163,'Grants+ Other Funding'!$A:$CG,68,FALSE),0)</f>
        <v>0</v>
      </c>
      <c r="AG163" s="146">
        <f>_xlfn.IFNA(VLOOKUP($A163,'Summary June 2026'!$A:$HJ,215,FALSE)+VLOOKUP($A163,'Grants+ Other Funding'!$A:$CG,69,FALSE),0)</f>
        <v>10728.09375</v>
      </c>
      <c r="AH163" s="146">
        <f>_xlfn.IFNA(VLOOKUP($A163,'Grants+ Other Funding'!$A:$CG,70,FALSE),0)</f>
        <v>0</v>
      </c>
      <c r="AI163" s="146">
        <f>_xlfn.IFNA(VLOOKUP($A163,'Grants+ Other Funding'!$A:$CG,71,FALSE),0)</f>
        <v>0</v>
      </c>
      <c r="AJ163" s="146">
        <f>_xlfn.IFNA(VLOOKUP($A163,'Grants+ Other Funding'!$A:$CG,72,FALSE),0)</f>
        <v>0</v>
      </c>
      <c r="AK163" s="146">
        <f>_xlfn.IFNA(VLOOKUP($A163,'Summary June 2026'!$A:$HJ,217,FALSE),0)</f>
        <v>0</v>
      </c>
      <c r="AL163" s="146">
        <f>_xlfn.IFNA(VLOOKUP($A163,'Grants+ Other Funding'!$A:$CG,74,FALSE),0)</f>
        <v>0</v>
      </c>
      <c r="AM163" s="146">
        <f>_xlfn.IFNA(VLOOKUP($A163,'Summary June 2026'!$A:$HJ,218,FALSE),0)</f>
        <v>0</v>
      </c>
      <c r="AN163" s="146">
        <f>_xlfn.IFNA(VLOOKUP($A163,'Summary June 2026'!$A:$HJ,216,FALSE),0)</f>
        <v>0</v>
      </c>
      <c r="AO163" s="146">
        <f>_xlfn.IFNA(VLOOKUP($A163,'Grants+ Other Funding'!$A:$CG,73,FALSE),0)</f>
        <v>0</v>
      </c>
      <c r="AP163" s="65">
        <f t="shared" si="4"/>
        <v>390605.51943292684</v>
      </c>
    </row>
    <row r="164" spans="1:42">
      <c r="A164" s="198">
        <v>2178</v>
      </c>
      <c r="B164" s="2">
        <v>103257</v>
      </c>
      <c r="C164" s="2" t="s">
        <v>351</v>
      </c>
      <c r="D164" s="2" t="s">
        <v>352</v>
      </c>
      <c r="E164" s="190" t="s">
        <v>39</v>
      </c>
      <c r="F164" s="208" t="str">
        <f>VLOOKUP(A164,'Summary June 2026'!A:F,6,FALSE)</f>
        <v>Chq Bk</v>
      </c>
      <c r="H164" s="273">
        <f>_xlfn.IFNA(VLOOKUP($A164,ISB!$A:$BY,67,FALSE),0)</f>
        <v>1360832.2044609396</v>
      </c>
      <c r="I164" s="218">
        <f>_xlfn.IFNA(VLOOKUP($A164,ISB!$A:$BY,72,FALSE),0)</f>
        <v>-5054.7</v>
      </c>
      <c r="J164" s="274">
        <f>-_xlfn.IFNA(VLOOKUP($A164,ISB!$A:$BY,76,FALSE),0)</f>
        <v>-21594.4745</v>
      </c>
      <c r="L164" s="273">
        <f>_xlfn.IFNA(VLOOKUP($A164,EY!$A:$DX,126,FALSE),0)</f>
        <v>68637.550072022161</v>
      </c>
      <c r="M164" s="273">
        <f>_xlfn.IFNA(VLOOKUP($A164,EY!$A:$DX,127,FALSE),0)</f>
        <v>0</v>
      </c>
      <c r="O164" s="273">
        <f>_xlfn.IFNA(VLOOKUP($A164,HN!$A:$AN,37,FALSE),0)</f>
        <v>0</v>
      </c>
      <c r="P164" s="273">
        <f>_xlfn.IFNA(VLOOKUP($A164,HN!$A:$AN,38,FALSE),0)</f>
        <v>0</v>
      </c>
      <c r="Q164" s="273">
        <f>_xlfn.IFNA(VLOOKUP($A164,HN!$A:$AN,39,FALSE),0)</f>
        <v>13290</v>
      </c>
      <c r="S164" s="337">
        <f>_xlfn.IFNA(VLOOKUP(A164,'Post 16'!A:AR,44,FALSE),0)</f>
        <v>0</v>
      </c>
      <c r="U164" s="337"/>
      <c r="V164" s="337">
        <f>VLOOKUP(A164,'LA Deductions'!A:AN,40,FALSE)</f>
        <v>0</v>
      </c>
      <c r="X164" s="274">
        <f>VLOOKUP($A164,'Summary June 2026'!$A:$AAX,206,FALSE)-SUMIFS($H164:$V164,$H$7:$V$7,X$7)</f>
        <v>0</v>
      </c>
      <c r="Y164" s="274">
        <f>VLOOKUP($A164,'Summary June 2026'!$A:$HC,207,FALSE)-SUMIFS($H164:$V164,$H$7:$V$7,Y$7)</f>
        <v>0</v>
      </c>
      <c r="Z164" s="274">
        <f>VLOOKUP($A164,'Summary June 2026'!$A:$HC,208,FALSE)-SUMIFS($H164:$V164,$H$7:$V$7,Z$7)</f>
        <v>0</v>
      </c>
      <c r="AA164" s="274">
        <f>VLOOKUP($A164,'Summary June 2026'!$A:$HC,209,FALSE)-SUMIFS($H164:$V164,$H$7:$V$7,AA$7)</f>
        <v>0</v>
      </c>
      <c r="AB164" s="274">
        <f>VLOOKUP($A164,'Summary June 2026'!$A:$HC,210,FALSE)-SUMIFS($H164:$V164,$H$7:$V$7,AB$7)</f>
        <v>0</v>
      </c>
      <c r="AC164" s="274">
        <f>VLOOKUP($A164,'Summary June 2026'!$A:$HC,211,FALSE)-SUMIFS($H164:$V164,$H$7:$V$7,AC$7)</f>
        <v>0</v>
      </c>
      <c r="AE164" s="146">
        <f>VLOOKUP($A164,'Summary June 2026'!$A:$HJ,213,FALSE)+VLOOKUP($A164,'Grants+ Other Funding'!$A:$CG,67,FALSE)</f>
        <v>380782.8451872571</v>
      </c>
      <c r="AF164" s="146">
        <f>_xlfn.IFNA(VLOOKUP($A164,'Summary June 2026'!$A:$HJ,214,FALSE)+VLOOKUP($A164,'Grants+ Other Funding'!$A:$CG,68,FALSE),0)</f>
        <v>-2.0099999999999998</v>
      </c>
      <c r="AG164" s="146">
        <f>_xlfn.IFNA(VLOOKUP($A164,'Summary June 2026'!$A:$HJ,215,FALSE)+VLOOKUP($A164,'Grants+ Other Funding'!$A:$CG,69,FALSE),0)</f>
        <v>3571.6499999999996</v>
      </c>
      <c r="AH164" s="146">
        <f>_xlfn.IFNA(VLOOKUP($A164,'Grants+ Other Funding'!$A:$CG,70,FALSE),0)</f>
        <v>0</v>
      </c>
      <c r="AI164" s="146">
        <f>_xlfn.IFNA(VLOOKUP($A164,'Grants+ Other Funding'!$A:$CG,71,FALSE),0)</f>
        <v>0</v>
      </c>
      <c r="AJ164" s="146">
        <f>_xlfn.IFNA(VLOOKUP($A164,'Grants+ Other Funding'!$A:$CG,72,FALSE),0)</f>
        <v>0</v>
      </c>
      <c r="AK164" s="146">
        <f>_xlfn.IFNA(VLOOKUP($A164,'Summary June 2026'!$A:$HJ,217,FALSE),0)</f>
        <v>-5398.6186250000001</v>
      </c>
      <c r="AL164" s="146">
        <f>_xlfn.IFNA(VLOOKUP($A164,'Grants+ Other Funding'!$A:$CG,74,FALSE),0)</f>
        <v>0</v>
      </c>
      <c r="AM164" s="146">
        <f>_xlfn.IFNA(VLOOKUP($A164,'Summary June 2026'!$A:$HJ,218,FALSE),0)</f>
        <v>0</v>
      </c>
      <c r="AN164" s="146">
        <f>_xlfn.IFNA(VLOOKUP($A164,'Summary June 2026'!$A:$HJ,216,FALSE),0)</f>
        <v>-1263.675</v>
      </c>
      <c r="AO164" s="146">
        <f>_xlfn.IFNA(VLOOKUP($A164,'Grants+ Other Funding'!$A:$CG,73,FALSE),0)</f>
        <v>0</v>
      </c>
      <c r="AP164" s="65">
        <f t="shared" si="4"/>
        <v>377690.19156225713</v>
      </c>
    </row>
    <row r="165" spans="1:42">
      <c r="A165" s="198">
        <v>2184</v>
      </c>
      <c r="B165" s="2">
        <v>103262</v>
      </c>
      <c r="C165" s="2" t="s">
        <v>353</v>
      </c>
      <c r="D165" s="2" t="s">
        <v>354</v>
      </c>
      <c r="E165" s="190" t="s">
        <v>39</v>
      </c>
      <c r="F165" s="208" t="str">
        <f>VLOOKUP(A165,'Summary June 2026'!A:F,6,FALSE)</f>
        <v>Chq Bk</v>
      </c>
      <c r="H165" s="273">
        <f>_xlfn.IFNA(VLOOKUP($A165,ISB!$A:$BY,67,FALSE),0)</f>
        <v>2608197.2493892107</v>
      </c>
      <c r="I165" s="218">
        <f>_xlfn.IFNA(VLOOKUP($A165,ISB!$A:$BY,72,FALSE),0)</f>
        <v>-10482.9</v>
      </c>
      <c r="J165" s="274">
        <f>-_xlfn.IFNA(VLOOKUP($A165,ISB!$A:$BY,76,FALSE),0)</f>
        <v>-44087.179499999998</v>
      </c>
      <c r="L165" s="273">
        <f>_xlfn.IFNA(VLOOKUP($A165,EY!$A:$DX,126,FALSE),0)</f>
        <v>0</v>
      </c>
      <c r="M165" s="273">
        <f>_xlfn.IFNA(VLOOKUP($A165,EY!$A:$DX,127,FALSE),0)</f>
        <v>0</v>
      </c>
      <c r="O165" s="273">
        <f>_xlfn.IFNA(VLOOKUP($A165,HN!$A:$AN,37,FALSE),0)</f>
        <v>0</v>
      </c>
      <c r="P165" s="273">
        <f>_xlfn.IFNA(VLOOKUP($A165,HN!$A:$AN,38,FALSE),0)</f>
        <v>0</v>
      </c>
      <c r="Q165" s="273">
        <f>_xlfn.IFNA(VLOOKUP($A165,HN!$A:$AN,39,FALSE),0)</f>
        <v>58082.17</v>
      </c>
      <c r="S165" s="337">
        <f>_xlfn.IFNA(VLOOKUP(A165,'Post 16'!A:AR,44,FALSE),0)</f>
        <v>0</v>
      </c>
      <c r="U165" s="337"/>
      <c r="V165" s="337">
        <f>VLOOKUP(A165,'LA Deductions'!A:AN,40,FALSE)</f>
        <v>0</v>
      </c>
      <c r="X165" s="274">
        <f>VLOOKUP($A165,'Summary June 2026'!$A:$AAX,206,FALSE)-SUMIFS($H165:$V165,$H$7:$V$7,X$7)</f>
        <v>0</v>
      </c>
      <c r="Y165" s="274">
        <f>VLOOKUP($A165,'Summary June 2026'!$A:$HC,207,FALSE)-SUMIFS($H165:$V165,$H$7:$V$7,Y$7)</f>
        <v>0</v>
      </c>
      <c r="Z165" s="274">
        <f>VLOOKUP($A165,'Summary June 2026'!$A:$HC,208,FALSE)-SUMIFS($H165:$V165,$H$7:$V$7,Z$7)</f>
        <v>0</v>
      </c>
      <c r="AA165" s="274">
        <f>VLOOKUP($A165,'Summary June 2026'!$A:$HC,209,FALSE)-SUMIFS($H165:$V165,$H$7:$V$7,AA$7)</f>
        <v>0</v>
      </c>
      <c r="AB165" s="274">
        <f>VLOOKUP($A165,'Summary June 2026'!$A:$HC,210,FALSE)-SUMIFS($H165:$V165,$H$7:$V$7,AB$7)</f>
        <v>0</v>
      </c>
      <c r="AC165" s="274">
        <f>VLOOKUP($A165,'Summary June 2026'!$A:$HC,211,FALSE)-SUMIFS($H165:$V165,$H$7:$V$7,AC$7)</f>
        <v>0</v>
      </c>
      <c r="AE165" s="146">
        <f>VLOOKUP($A165,'Summary June 2026'!$A:$HJ,213,FALSE)+VLOOKUP($A165,'Grants+ Other Funding'!$A:$CG,67,FALSE)</f>
        <v>655802.22234730271</v>
      </c>
      <c r="AF165" s="146">
        <f>_xlfn.IFNA(VLOOKUP($A165,'Summary June 2026'!$A:$HJ,214,FALSE)+VLOOKUP($A165,'Grants+ Other Funding'!$A:$CG,68,FALSE),0)</f>
        <v>-62.41</v>
      </c>
      <c r="AG165" s="146">
        <f>_xlfn.IFNA(VLOOKUP($A165,'Summary June 2026'!$A:$HJ,215,FALSE)+VLOOKUP($A165,'Grants+ Other Funding'!$A:$CG,69,FALSE),0)</f>
        <v>18159.991750000001</v>
      </c>
      <c r="AH165" s="146">
        <f>_xlfn.IFNA(VLOOKUP($A165,'Grants+ Other Funding'!$A:$CG,70,FALSE),0)</f>
        <v>0</v>
      </c>
      <c r="AI165" s="146">
        <f>_xlfn.IFNA(VLOOKUP($A165,'Grants+ Other Funding'!$A:$CG,71,FALSE),0)</f>
        <v>0</v>
      </c>
      <c r="AJ165" s="146">
        <f>_xlfn.IFNA(VLOOKUP($A165,'Grants+ Other Funding'!$A:$CG,72,FALSE),0)</f>
        <v>0</v>
      </c>
      <c r="AK165" s="146">
        <f>_xlfn.IFNA(VLOOKUP($A165,'Summary June 2026'!$A:$HJ,217,FALSE),0)</f>
        <v>-11021.794875</v>
      </c>
      <c r="AL165" s="146">
        <f>_xlfn.IFNA(VLOOKUP($A165,'Grants+ Other Funding'!$A:$CG,74,FALSE),0)</f>
        <v>0</v>
      </c>
      <c r="AM165" s="146">
        <f>_xlfn.IFNA(VLOOKUP($A165,'Summary June 2026'!$A:$HJ,218,FALSE),0)</f>
        <v>0</v>
      </c>
      <c r="AN165" s="146">
        <f>_xlfn.IFNA(VLOOKUP($A165,'Summary June 2026'!$A:$HJ,216,FALSE),0)</f>
        <v>-2620.7249999999999</v>
      </c>
      <c r="AO165" s="146">
        <f>_xlfn.IFNA(VLOOKUP($A165,'Grants+ Other Funding'!$A:$CG,73,FALSE),0)</f>
        <v>0</v>
      </c>
      <c r="AP165" s="65">
        <f t="shared" si="4"/>
        <v>660257.28422230273</v>
      </c>
    </row>
    <row r="166" spans="1:42">
      <c r="A166" s="198">
        <v>2190</v>
      </c>
      <c r="B166" s="2">
        <v>103266</v>
      </c>
      <c r="C166" s="2" t="s">
        <v>355</v>
      </c>
      <c r="D166" s="2" t="s">
        <v>356</v>
      </c>
      <c r="E166" s="190" t="s">
        <v>39</v>
      </c>
      <c r="F166" s="208" t="str">
        <f>VLOOKUP(A166,'Summary June 2026'!A:F,6,FALSE)</f>
        <v>Chq Bk</v>
      </c>
      <c r="H166" s="273">
        <f>_xlfn.IFNA(VLOOKUP($A166,ISB!$A:$BY,67,FALSE),0)</f>
        <v>1008783.2044369536</v>
      </c>
      <c r="I166" s="218">
        <f>_xlfn.IFNA(VLOOKUP($A166,ISB!$A:$BY,72,FALSE),0)</f>
        <v>-3610.5</v>
      </c>
      <c r="J166" s="274">
        <f>-_xlfn.IFNA(VLOOKUP($A166,ISB!$A:$BY,76,FALSE),0)</f>
        <v>-25808.030500000001</v>
      </c>
      <c r="L166" s="273">
        <f>_xlfn.IFNA(VLOOKUP($A166,EY!$A:$DX,126,FALSE),0)</f>
        <v>0</v>
      </c>
      <c r="M166" s="273">
        <f>_xlfn.IFNA(VLOOKUP($A166,EY!$A:$DX,127,FALSE),0)</f>
        <v>0</v>
      </c>
      <c r="O166" s="273">
        <f>_xlfn.IFNA(VLOOKUP($A166,HN!$A:$AN,37,FALSE),0)</f>
        <v>0</v>
      </c>
      <c r="P166" s="273">
        <f>_xlfn.IFNA(VLOOKUP($A166,HN!$A:$AN,38,FALSE),0)</f>
        <v>0</v>
      </c>
      <c r="Q166" s="273">
        <f>_xlfn.IFNA(VLOOKUP($A166,HN!$A:$AN,39,FALSE),0)</f>
        <v>16612</v>
      </c>
      <c r="S166" s="337">
        <f>_xlfn.IFNA(VLOOKUP(A166,'Post 16'!A:AR,44,FALSE),0)</f>
        <v>0</v>
      </c>
      <c r="U166" s="337"/>
      <c r="V166" s="337">
        <f>VLOOKUP(A166,'LA Deductions'!A:AN,40,FALSE)</f>
        <v>0</v>
      </c>
      <c r="X166" s="274">
        <f>VLOOKUP($A166,'Summary June 2026'!$A:$AAX,206,FALSE)-SUMIFS($H166:$V166,$H$7:$V$7,X$7)</f>
        <v>0</v>
      </c>
      <c r="Y166" s="274">
        <f>VLOOKUP($A166,'Summary June 2026'!$A:$HC,207,FALSE)-SUMIFS($H166:$V166,$H$7:$V$7,Y$7)</f>
        <v>0</v>
      </c>
      <c r="Z166" s="274">
        <f>VLOOKUP($A166,'Summary June 2026'!$A:$HC,208,FALSE)-SUMIFS($H166:$V166,$H$7:$V$7,Z$7)</f>
        <v>0</v>
      </c>
      <c r="AA166" s="274">
        <f>VLOOKUP($A166,'Summary June 2026'!$A:$HC,209,FALSE)-SUMIFS($H166:$V166,$H$7:$V$7,AA$7)</f>
        <v>0</v>
      </c>
      <c r="AB166" s="274">
        <f>VLOOKUP($A166,'Summary June 2026'!$A:$HC,210,FALSE)-SUMIFS($H166:$V166,$H$7:$V$7,AB$7)</f>
        <v>0</v>
      </c>
      <c r="AC166" s="274">
        <f>VLOOKUP($A166,'Summary June 2026'!$A:$HC,211,FALSE)-SUMIFS($H166:$V166,$H$7:$V$7,AC$7)</f>
        <v>0</v>
      </c>
      <c r="AE166" s="146">
        <f>VLOOKUP($A166,'Summary June 2026'!$A:$HJ,213,FALSE)+VLOOKUP($A166,'Grants+ Other Funding'!$A:$CG,67,FALSE)</f>
        <v>252463.2911092384</v>
      </c>
      <c r="AF166" s="146">
        <f>_xlfn.IFNA(VLOOKUP($A166,'Summary June 2026'!$A:$HJ,214,FALSE)+VLOOKUP($A166,'Grants+ Other Funding'!$A:$CG,68,FALSE),0)</f>
        <v>-6.91</v>
      </c>
      <c r="AG166" s="146">
        <f>_xlfn.IFNA(VLOOKUP($A166,'Summary June 2026'!$A:$HJ,215,FALSE)+VLOOKUP($A166,'Grants+ Other Funding'!$A:$CG,69,FALSE),0)</f>
        <v>8083.6749999999993</v>
      </c>
      <c r="AH166" s="146">
        <f>_xlfn.IFNA(VLOOKUP($A166,'Grants+ Other Funding'!$A:$CG,70,FALSE),0)</f>
        <v>0</v>
      </c>
      <c r="AI166" s="146">
        <f>_xlfn.IFNA(VLOOKUP($A166,'Grants+ Other Funding'!$A:$CG,71,FALSE),0)</f>
        <v>0</v>
      </c>
      <c r="AJ166" s="146">
        <f>_xlfn.IFNA(VLOOKUP($A166,'Grants+ Other Funding'!$A:$CG,72,FALSE),0)</f>
        <v>0</v>
      </c>
      <c r="AK166" s="146">
        <f>_xlfn.IFNA(VLOOKUP($A166,'Summary June 2026'!$A:$HJ,217,FALSE),0)</f>
        <v>-6452.0076250000002</v>
      </c>
      <c r="AL166" s="146">
        <f>_xlfn.IFNA(VLOOKUP($A166,'Grants+ Other Funding'!$A:$CG,74,FALSE),0)</f>
        <v>0</v>
      </c>
      <c r="AM166" s="146">
        <f>_xlfn.IFNA(VLOOKUP($A166,'Summary June 2026'!$A:$HJ,218,FALSE),0)</f>
        <v>0</v>
      </c>
      <c r="AN166" s="146">
        <f>_xlfn.IFNA(VLOOKUP($A166,'Summary June 2026'!$A:$HJ,216,FALSE),0)</f>
        <v>-902.625</v>
      </c>
      <c r="AO166" s="146">
        <f>_xlfn.IFNA(VLOOKUP($A166,'Grants+ Other Funding'!$A:$CG,73,FALSE),0)</f>
        <v>0</v>
      </c>
      <c r="AP166" s="65">
        <f t="shared" si="4"/>
        <v>253185.42348423839</v>
      </c>
    </row>
    <row r="167" spans="1:42">
      <c r="A167" s="198">
        <v>7035</v>
      </c>
      <c r="B167" s="2">
        <v>103615</v>
      </c>
      <c r="C167" s="2" t="s">
        <v>357</v>
      </c>
      <c r="D167" s="2" t="s">
        <v>358</v>
      </c>
      <c r="E167" s="190" t="s">
        <v>56</v>
      </c>
      <c r="F167" s="208" t="str">
        <f>VLOOKUP(A167,'Summary June 2026'!A:F,6,FALSE)</f>
        <v>Chq Bk</v>
      </c>
      <c r="H167" s="273">
        <f>_xlfn.IFNA(VLOOKUP($A167,ISB!$A:$BY,67,FALSE),0)</f>
        <v>0</v>
      </c>
      <c r="I167" s="218">
        <f>_xlfn.IFNA(VLOOKUP($A167,ISB!$A:$BY,72,FALSE),0)</f>
        <v>0</v>
      </c>
      <c r="J167" s="274">
        <f>-_xlfn.IFNA(VLOOKUP($A167,ISB!$A:$BY,76,FALSE),0)</f>
        <v>0</v>
      </c>
      <c r="L167" s="273">
        <f>_xlfn.IFNA(VLOOKUP($A167,EY!$A:$DX,126,FALSE),0)</f>
        <v>0</v>
      </c>
      <c r="M167" s="273">
        <f>_xlfn.IFNA(VLOOKUP($A167,EY!$A:$DX,127,FALSE),0)</f>
        <v>0</v>
      </c>
      <c r="O167" s="273">
        <f>_xlfn.IFNA(VLOOKUP($A167,HN!$A:$AN,37,FALSE),0)</f>
        <v>1476666.67</v>
      </c>
      <c r="P167" s="273">
        <f>_xlfn.IFNA(VLOOKUP($A167,HN!$A:$AN,38,FALSE),0)</f>
        <v>0</v>
      </c>
      <c r="Q167" s="273">
        <f>_xlfn.IFNA(VLOOKUP($A167,HN!$A:$AN,39,FALSE),0)</f>
        <v>2219907.2399999998</v>
      </c>
      <c r="S167" s="337">
        <f>_xlfn.IFNA(VLOOKUP(A167,'Post 16'!A:AR,44,FALSE),0)</f>
        <v>0</v>
      </c>
      <c r="U167" s="337"/>
      <c r="V167" s="337">
        <f>VLOOKUP(A167,'LA Deductions'!A:AN,40,FALSE)</f>
        <v>0</v>
      </c>
      <c r="X167" s="274">
        <f>VLOOKUP($A167,'Summary June 2026'!$A:$AAX,206,FALSE)-SUMIFS($H167:$V167,$H$7:$V$7,X$7)</f>
        <v>0</v>
      </c>
      <c r="Y167" s="274">
        <f>VLOOKUP($A167,'Summary June 2026'!$A:$HC,207,FALSE)-SUMIFS($H167:$V167,$H$7:$V$7,Y$7)</f>
        <v>0</v>
      </c>
      <c r="Z167" s="274">
        <f>VLOOKUP($A167,'Summary June 2026'!$A:$HC,208,FALSE)-SUMIFS($H167:$V167,$H$7:$V$7,Z$7)</f>
        <v>0</v>
      </c>
      <c r="AA167" s="274">
        <f>VLOOKUP($A167,'Summary June 2026'!$A:$HC,209,FALSE)-SUMIFS($H167:$V167,$H$7:$V$7,AA$7)</f>
        <v>0</v>
      </c>
      <c r="AB167" s="274">
        <f>VLOOKUP($A167,'Summary June 2026'!$A:$HC,210,FALSE)-SUMIFS($H167:$V167,$H$7:$V$7,AB$7)</f>
        <v>0</v>
      </c>
      <c r="AC167" s="274">
        <f>VLOOKUP($A167,'Summary June 2026'!$A:$HC,211,FALSE)-SUMIFS($H167:$V167,$H$7:$V$7,AC$7)</f>
        <v>0</v>
      </c>
      <c r="AE167" s="146">
        <f>VLOOKUP($A167,'Summary June 2026'!$A:$HJ,213,FALSE)+VLOOKUP($A167,'Grants+ Other Funding'!$A:$CG,67,FALSE)</f>
        <v>369166.66749999998</v>
      </c>
      <c r="AF167" s="146">
        <f>_xlfn.IFNA(VLOOKUP($A167,'Summary June 2026'!$A:$HJ,214,FALSE)+VLOOKUP($A167,'Grants+ Other Funding'!$A:$CG,68,FALSE),0)</f>
        <v>0</v>
      </c>
      <c r="AG167" s="146">
        <f>_xlfn.IFNA(VLOOKUP($A167,'Summary June 2026'!$A:$HJ,215,FALSE)+VLOOKUP($A167,'Grants+ Other Funding'!$A:$CG,69,FALSE),0)</f>
        <v>554976.80999999994</v>
      </c>
      <c r="AH167" s="146">
        <f>_xlfn.IFNA(VLOOKUP($A167,'Grants+ Other Funding'!$A:$CG,70,FALSE),0)</f>
        <v>0</v>
      </c>
      <c r="AI167" s="146">
        <f>_xlfn.IFNA(VLOOKUP($A167,'Grants+ Other Funding'!$A:$CG,71,FALSE),0)</f>
        <v>0</v>
      </c>
      <c r="AJ167" s="146">
        <f>_xlfn.IFNA(VLOOKUP($A167,'Grants+ Other Funding'!$A:$CG,72,FALSE),0)</f>
        <v>0</v>
      </c>
      <c r="AK167" s="146">
        <f>_xlfn.IFNA(VLOOKUP($A167,'Summary June 2026'!$A:$HJ,217,FALSE),0)</f>
        <v>0</v>
      </c>
      <c r="AL167" s="146">
        <f>_xlfn.IFNA(VLOOKUP($A167,'Grants+ Other Funding'!$A:$CG,74,FALSE),0)</f>
        <v>0</v>
      </c>
      <c r="AM167" s="146">
        <f>_xlfn.IFNA(VLOOKUP($A167,'Summary June 2026'!$A:$HJ,218,FALSE),0)</f>
        <v>0</v>
      </c>
      <c r="AN167" s="146">
        <f>_xlfn.IFNA(VLOOKUP($A167,'Summary June 2026'!$A:$HJ,216,FALSE),0)</f>
        <v>0</v>
      </c>
      <c r="AO167" s="146">
        <f>_xlfn.IFNA(VLOOKUP($A167,'Grants+ Other Funding'!$A:$CG,73,FALSE),0)</f>
        <v>0</v>
      </c>
      <c r="AP167" s="65">
        <f t="shared" si="4"/>
        <v>924143.47749999992</v>
      </c>
    </row>
    <row r="168" spans="1:42">
      <c r="A168" s="198">
        <v>7045</v>
      </c>
      <c r="B168" s="2">
        <v>103622</v>
      </c>
      <c r="C168" s="2" t="s">
        <v>359</v>
      </c>
      <c r="D168" s="2" t="s">
        <v>360</v>
      </c>
      <c r="E168" s="190" t="s">
        <v>56</v>
      </c>
      <c r="F168" s="208" t="str">
        <f>VLOOKUP(A168,'Summary June 2026'!A:F,6,FALSE)</f>
        <v>Chq Bk</v>
      </c>
      <c r="H168" s="273">
        <f>_xlfn.IFNA(VLOOKUP($A168,ISB!$A:$BY,67,FALSE),0)</f>
        <v>0</v>
      </c>
      <c r="I168" s="218">
        <f>_xlfn.IFNA(VLOOKUP($A168,ISB!$A:$BY,72,FALSE),0)</f>
        <v>0</v>
      </c>
      <c r="J168" s="274">
        <f>-_xlfn.IFNA(VLOOKUP($A168,ISB!$A:$BY,76,FALSE),0)</f>
        <v>0</v>
      </c>
      <c r="L168" s="273">
        <f>_xlfn.IFNA(VLOOKUP($A168,EY!$A:$DX,126,FALSE),0)</f>
        <v>0</v>
      </c>
      <c r="M168" s="273">
        <f>_xlfn.IFNA(VLOOKUP($A168,EY!$A:$DX,127,FALSE),0)</f>
        <v>0</v>
      </c>
      <c r="O168" s="273">
        <f>_xlfn.IFNA(VLOOKUP($A168,HN!$A:$AN,37,FALSE),0)</f>
        <v>2700000</v>
      </c>
      <c r="P168" s="273">
        <f>_xlfn.IFNA(VLOOKUP($A168,HN!$A:$AN,38,FALSE),0)</f>
        <v>0</v>
      </c>
      <c r="Q168" s="273">
        <f>_xlfn.IFNA(VLOOKUP($A168,HN!$A:$AN,39,FALSE),0)</f>
        <v>4300376.08</v>
      </c>
      <c r="S168" s="337">
        <f>_xlfn.IFNA(VLOOKUP(A168,'Post 16'!A:AR,44,FALSE),0)</f>
        <v>0</v>
      </c>
      <c r="U168" s="337"/>
      <c r="V168" s="337">
        <f>VLOOKUP(A168,'LA Deductions'!A:AN,40,FALSE)</f>
        <v>0</v>
      </c>
      <c r="X168" s="274">
        <f>VLOOKUP($A168,'Summary June 2026'!$A:$AAX,206,FALSE)-SUMIFS($H168:$V168,$H$7:$V$7,X$7)</f>
        <v>0</v>
      </c>
      <c r="Y168" s="274">
        <f>VLOOKUP($A168,'Summary June 2026'!$A:$HC,207,FALSE)-SUMIFS($H168:$V168,$H$7:$V$7,Y$7)</f>
        <v>0</v>
      </c>
      <c r="Z168" s="274">
        <f>VLOOKUP($A168,'Summary June 2026'!$A:$HC,208,FALSE)-SUMIFS($H168:$V168,$H$7:$V$7,Z$7)</f>
        <v>0</v>
      </c>
      <c r="AA168" s="274">
        <f>VLOOKUP($A168,'Summary June 2026'!$A:$HC,209,FALSE)-SUMIFS($H168:$V168,$H$7:$V$7,AA$7)</f>
        <v>0</v>
      </c>
      <c r="AB168" s="274">
        <f>VLOOKUP($A168,'Summary June 2026'!$A:$HC,210,FALSE)-SUMIFS($H168:$V168,$H$7:$V$7,AB$7)</f>
        <v>0</v>
      </c>
      <c r="AC168" s="274">
        <f>VLOOKUP($A168,'Summary June 2026'!$A:$HC,211,FALSE)-SUMIFS($H168:$V168,$H$7:$V$7,AC$7)</f>
        <v>0</v>
      </c>
      <c r="AE168" s="146">
        <f>VLOOKUP($A168,'Summary June 2026'!$A:$HJ,213,FALSE)+VLOOKUP($A168,'Grants+ Other Funding'!$A:$CG,67,FALSE)</f>
        <v>682927.71</v>
      </c>
      <c r="AF168" s="146">
        <f>_xlfn.IFNA(VLOOKUP($A168,'Summary June 2026'!$A:$HJ,214,FALSE)+VLOOKUP($A168,'Grants+ Other Funding'!$A:$CG,68,FALSE),0)</f>
        <v>-56.55</v>
      </c>
      <c r="AG168" s="146">
        <f>_xlfn.IFNA(VLOOKUP($A168,'Summary June 2026'!$A:$HJ,215,FALSE)+VLOOKUP($A168,'Grants+ Other Funding'!$A:$CG,69,FALSE),0)</f>
        <v>1075094.02</v>
      </c>
      <c r="AH168" s="146">
        <f>_xlfn.IFNA(VLOOKUP($A168,'Grants+ Other Funding'!$A:$CG,70,FALSE),0)</f>
        <v>0</v>
      </c>
      <c r="AI168" s="146">
        <f>_xlfn.IFNA(VLOOKUP($A168,'Grants+ Other Funding'!$A:$CG,71,FALSE),0)</f>
        <v>0</v>
      </c>
      <c r="AJ168" s="146">
        <f>_xlfn.IFNA(VLOOKUP($A168,'Grants+ Other Funding'!$A:$CG,72,FALSE),0)</f>
        <v>0</v>
      </c>
      <c r="AK168" s="146">
        <f>_xlfn.IFNA(VLOOKUP($A168,'Summary June 2026'!$A:$HJ,217,FALSE),0)</f>
        <v>0</v>
      </c>
      <c r="AL168" s="146">
        <f>_xlfn.IFNA(VLOOKUP($A168,'Grants+ Other Funding'!$A:$CG,74,FALSE),0)</f>
        <v>0</v>
      </c>
      <c r="AM168" s="146">
        <f>_xlfn.IFNA(VLOOKUP($A168,'Summary June 2026'!$A:$HJ,218,FALSE),0)</f>
        <v>0</v>
      </c>
      <c r="AN168" s="146">
        <f>_xlfn.IFNA(VLOOKUP($A168,'Summary June 2026'!$A:$HJ,216,FALSE),0)</f>
        <v>0</v>
      </c>
      <c r="AO168" s="146">
        <f>_xlfn.IFNA(VLOOKUP($A168,'Grants+ Other Funding'!$A:$CG,73,FALSE),0)</f>
        <v>0</v>
      </c>
      <c r="AP168" s="65">
        <f t="shared" ref="AP168:AP194" si="5">SUM(AE168:AO168)</f>
        <v>1757965.18</v>
      </c>
    </row>
    <row r="169" spans="1:42">
      <c r="A169" s="198">
        <v>2192</v>
      </c>
      <c r="B169" s="2">
        <v>103268</v>
      </c>
      <c r="C169" s="2" t="s">
        <v>361</v>
      </c>
      <c r="D169" s="2" t="s">
        <v>362</v>
      </c>
      <c r="E169" s="190" t="s">
        <v>39</v>
      </c>
      <c r="F169" s="208" t="str">
        <f>VLOOKUP(A169,'Summary June 2026'!A:F,6,FALSE)</f>
        <v>Chq Bk</v>
      </c>
      <c r="H169" s="273">
        <f>_xlfn.IFNA(VLOOKUP($A169,ISB!$A:$BY,67,FALSE),0)</f>
        <v>3052361.2457442959</v>
      </c>
      <c r="I169" s="218">
        <f>_xlfn.IFNA(VLOOKUP($A169,ISB!$A:$BY,72,FALSE),0)</f>
        <v>-11952</v>
      </c>
      <c r="J169" s="274">
        <f>-_xlfn.IFNA(VLOOKUP($A169,ISB!$A:$BY,76,FALSE),0)</f>
        <v>-45816.088499999998</v>
      </c>
      <c r="L169" s="273">
        <f>_xlfn.IFNA(VLOOKUP($A169,EY!$A:$DX,126,FALSE),0)</f>
        <v>0</v>
      </c>
      <c r="M169" s="273">
        <f>_xlfn.IFNA(VLOOKUP($A169,EY!$A:$DX,127,FALSE),0)</f>
        <v>0</v>
      </c>
      <c r="O169" s="273">
        <f>_xlfn.IFNA(VLOOKUP($A169,HN!$A:$AN,37,FALSE),0)</f>
        <v>0</v>
      </c>
      <c r="P169" s="273">
        <f>_xlfn.IFNA(VLOOKUP($A169,HN!$A:$AN,38,FALSE),0)</f>
        <v>0</v>
      </c>
      <c r="Q169" s="273">
        <f>_xlfn.IFNA(VLOOKUP($A169,HN!$A:$AN,39,FALSE),0)</f>
        <v>17226.669999999998</v>
      </c>
      <c r="S169" s="337">
        <f>_xlfn.IFNA(VLOOKUP(A169,'Post 16'!A:AR,44,FALSE),0)</f>
        <v>0</v>
      </c>
      <c r="U169" s="337"/>
      <c r="V169" s="337">
        <f>VLOOKUP(A169,'LA Deductions'!A:AN,40,FALSE)</f>
        <v>0</v>
      </c>
      <c r="X169" s="274">
        <f>VLOOKUP($A169,'Summary June 2026'!$A:$AAX,206,FALSE)-SUMIFS($H169:$V169,$H$7:$V$7,X$7)</f>
        <v>0</v>
      </c>
      <c r="Y169" s="274">
        <f>VLOOKUP($A169,'Summary June 2026'!$A:$HC,207,FALSE)-SUMIFS($H169:$V169,$H$7:$V$7,Y$7)</f>
        <v>0</v>
      </c>
      <c r="Z169" s="274">
        <f>VLOOKUP($A169,'Summary June 2026'!$A:$HC,208,FALSE)-SUMIFS($H169:$V169,$H$7:$V$7,Z$7)</f>
        <v>0</v>
      </c>
      <c r="AA169" s="274">
        <f>VLOOKUP($A169,'Summary June 2026'!$A:$HC,209,FALSE)-SUMIFS($H169:$V169,$H$7:$V$7,AA$7)</f>
        <v>0</v>
      </c>
      <c r="AB169" s="274">
        <f>VLOOKUP($A169,'Summary June 2026'!$A:$HC,210,FALSE)-SUMIFS($H169:$V169,$H$7:$V$7,AB$7)</f>
        <v>0</v>
      </c>
      <c r="AC169" s="274">
        <f>VLOOKUP($A169,'Summary June 2026'!$A:$HC,211,FALSE)-SUMIFS($H169:$V169,$H$7:$V$7,AC$7)</f>
        <v>0</v>
      </c>
      <c r="AE169" s="146">
        <f>VLOOKUP($A169,'Summary June 2026'!$A:$HJ,213,FALSE)+VLOOKUP($A169,'Grants+ Other Funding'!$A:$CG,67,FALSE)</f>
        <v>765075.17143607396</v>
      </c>
      <c r="AF169" s="146">
        <f>_xlfn.IFNA(VLOOKUP($A169,'Summary June 2026'!$A:$HJ,214,FALSE)+VLOOKUP($A169,'Grants+ Other Funding'!$A:$CG,68,FALSE),0)</f>
        <v>-13.57</v>
      </c>
      <c r="AG169" s="146">
        <f>_xlfn.IFNA(VLOOKUP($A169,'Summary June 2026'!$A:$HJ,215,FALSE)+VLOOKUP($A169,'Grants+ Other Funding'!$A:$CG,69,FALSE),0)</f>
        <v>5770.0419999999995</v>
      </c>
      <c r="AH169" s="146">
        <f>_xlfn.IFNA(VLOOKUP($A169,'Grants+ Other Funding'!$A:$CG,70,FALSE),0)</f>
        <v>0</v>
      </c>
      <c r="AI169" s="146">
        <f>_xlfn.IFNA(VLOOKUP($A169,'Grants+ Other Funding'!$A:$CG,71,FALSE),0)</f>
        <v>0</v>
      </c>
      <c r="AJ169" s="146">
        <f>_xlfn.IFNA(VLOOKUP($A169,'Grants+ Other Funding'!$A:$CG,72,FALSE),0)</f>
        <v>0</v>
      </c>
      <c r="AK169" s="146">
        <f>_xlfn.IFNA(VLOOKUP($A169,'Summary June 2026'!$A:$HJ,217,FALSE),0)</f>
        <v>-11454.022125</v>
      </c>
      <c r="AL169" s="146">
        <f>_xlfn.IFNA(VLOOKUP($A169,'Grants+ Other Funding'!$A:$CG,74,FALSE),0)</f>
        <v>0</v>
      </c>
      <c r="AM169" s="146">
        <f>_xlfn.IFNA(VLOOKUP($A169,'Summary June 2026'!$A:$HJ,218,FALSE),0)</f>
        <v>0</v>
      </c>
      <c r="AN169" s="146">
        <f>_xlfn.IFNA(VLOOKUP($A169,'Summary June 2026'!$A:$HJ,216,FALSE),0)</f>
        <v>-2988</v>
      </c>
      <c r="AO169" s="146">
        <f>_xlfn.IFNA(VLOOKUP($A169,'Grants+ Other Funding'!$A:$CG,73,FALSE),0)</f>
        <v>0</v>
      </c>
      <c r="AP169" s="65">
        <f t="shared" si="5"/>
        <v>756389.62131107401</v>
      </c>
    </row>
    <row r="170" spans="1:42">
      <c r="A170" s="198">
        <v>7014</v>
      </c>
      <c r="B170" s="2">
        <v>103605</v>
      </c>
      <c r="C170" s="2" t="s">
        <v>363</v>
      </c>
      <c r="D170" s="2" t="s">
        <v>364</v>
      </c>
      <c r="E170" s="190" t="s">
        <v>56</v>
      </c>
      <c r="F170" s="208" t="str">
        <f>VLOOKUP(A170,'Summary June 2026'!A:F,6,FALSE)</f>
        <v>Chq Bk</v>
      </c>
      <c r="H170" s="273">
        <f>_xlfn.IFNA(VLOOKUP($A170,ISB!$A:$BY,67,FALSE),0)</f>
        <v>0</v>
      </c>
      <c r="I170" s="218">
        <f>_xlfn.IFNA(VLOOKUP($A170,ISB!$A:$BY,72,FALSE),0)</f>
        <v>0</v>
      </c>
      <c r="J170" s="274">
        <f>-_xlfn.IFNA(VLOOKUP($A170,ISB!$A:$BY,76,FALSE),0)</f>
        <v>0</v>
      </c>
      <c r="L170" s="273">
        <f>_xlfn.IFNA(VLOOKUP($A170,EY!$A:$DX,126,FALSE),0)</f>
        <v>0</v>
      </c>
      <c r="M170" s="273">
        <f>_xlfn.IFNA(VLOOKUP($A170,EY!$A:$DX,127,FALSE),0)</f>
        <v>0</v>
      </c>
      <c r="O170" s="273">
        <f>_xlfn.IFNA(VLOOKUP($A170,HN!$A:$AN,37,FALSE),0)</f>
        <v>2438333.34</v>
      </c>
      <c r="P170" s="273">
        <f>_xlfn.IFNA(VLOOKUP($A170,HN!$A:$AN,38,FALSE),0)</f>
        <v>520000</v>
      </c>
      <c r="Q170" s="273">
        <f>_xlfn.IFNA(VLOOKUP($A170,HN!$A:$AN,39,FALSE),0)</f>
        <v>5500289.8700000001</v>
      </c>
      <c r="S170" s="337">
        <f>_xlfn.IFNA(VLOOKUP(A170,'Post 16'!A:AR,44,FALSE),0)</f>
        <v>0</v>
      </c>
      <c r="U170" s="337"/>
      <c r="V170" s="337">
        <f>VLOOKUP(A170,'LA Deductions'!A:AN,40,FALSE)</f>
        <v>0</v>
      </c>
      <c r="X170" s="274">
        <f>VLOOKUP($A170,'Summary June 2026'!$A:$AAX,206,FALSE)-SUMIFS($H170:$V170,$H$7:$V$7,X$7)</f>
        <v>0</v>
      </c>
      <c r="Y170" s="274">
        <f>VLOOKUP($A170,'Summary June 2026'!$A:$HC,207,FALSE)-SUMIFS($H170:$V170,$H$7:$V$7,Y$7)</f>
        <v>0</v>
      </c>
      <c r="Z170" s="274">
        <f>VLOOKUP($A170,'Summary June 2026'!$A:$HC,208,FALSE)-SUMIFS($H170:$V170,$H$7:$V$7,Z$7)</f>
        <v>0</v>
      </c>
      <c r="AA170" s="274">
        <f>VLOOKUP($A170,'Summary June 2026'!$A:$HC,209,FALSE)-SUMIFS($H170:$V170,$H$7:$V$7,AA$7)</f>
        <v>0</v>
      </c>
      <c r="AB170" s="274">
        <f>VLOOKUP($A170,'Summary June 2026'!$A:$HC,210,FALSE)-SUMIFS($H170:$V170,$H$7:$V$7,AB$7)</f>
        <v>0</v>
      </c>
      <c r="AC170" s="274">
        <f>VLOOKUP($A170,'Summary June 2026'!$A:$HC,211,FALSE)-SUMIFS($H170:$V170,$H$7:$V$7,AC$7)</f>
        <v>0</v>
      </c>
      <c r="AE170" s="146">
        <f>VLOOKUP($A170,'Summary June 2026'!$A:$HJ,213,FALSE)+VLOOKUP($A170,'Grants+ Other Funding'!$A:$CG,67,FALSE)</f>
        <v>609583.33499999996</v>
      </c>
      <c r="AF170" s="146">
        <f>_xlfn.IFNA(VLOOKUP($A170,'Summary June 2026'!$A:$HJ,214,FALSE)+VLOOKUP($A170,'Grants+ Other Funding'!$A:$CG,68,FALSE),0)</f>
        <v>130000</v>
      </c>
      <c r="AG170" s="146">
        <f>_xlfn.IFNA(VLOOKUP($A170,'Summary June 2026'!$A:$HJ,215,FALSE)+VLOOKUP($A170,'Grants+ Other Funding'!$A:$CG,69,FALSE),0)</f>
        <v>1375072.4675</v>
      </c>
      <c r="AH170" s="146">
        <f>_xlfn.IFNA(VLOOKUP($A170,'Grants+ Other Funding'!$A:$CG,70,FALSE),0)</f>
        <v>0</v>
      </c>
      <c r="AI170" s="146">
        <f>_xlfn.IFNA(VLOOKUP($A170,'Grants+ Other Funding'!$A:$CG,71,FALSE),0)</f>
        <v>0</v>
      </c>
      <c r="AJ170" s="146">
        <f>_xlfn.IFNA(VLOOKUP($A170,'Grants+ Other Funding'!$A:$CG,72,FALSE),0)</f>
        <v>0</v>
      </c>
      <c r="AK170" s="146">
        <f>_xlfn.IFNA(VLOOKUP($A170,'Summary June 2026'!$A:$HJ,217,FALSE),0)</f>
        <v>0</v>
      </c>
      <c r="AL170" s="146">
        <f>_xlfn.IFNA(VLOOKUP($A170,'Grants+ Other Funding'!$A:$CG,74,FALSE),0)</f>
        <v>0</v>
      </c>
      <c r="AM170" s="146">
        <f>_xlfn.IFNA(VLOOKUP($A170,'Summary June 2026'!$A:$HJ,218,FALSE),0)</f>
        <v>0</v>
      </c>
      <c r="AN170" s="146">
        <f>_xlfn.IFNA(VLOOKUP($A170,'Summary June 2026'!$A:$HJ,216,FALSE),0)</f>
        <v>0</v>
      </c>
      <c r="AO170" s="146">
        <f>_xlfn.IFNA(VLOOKUP($A170,'Grants+ Other Funding'!$A:$CG,73,FALSE),0)</f>
        <v>0</v>
      </c>
      <c r="AP170" s="65">
        <f t="shared" si="5"/>
        <v>2114655.8025000002</v>
      </c>
    </row>
    <row r="171" spans="1:42">
      <c r="A171" s="198">
        <v>7009</v>
      </c>
      <c r="B171" s="2">
        <v>103601</v>
      </c>
      <c r="C171" s="2" t="s">
        <v>365</v>
      </c>
      <c r="D171" s="2" t="s">
        <v>366</v>
      </c>
      <c r="E171" s="190" t="s">
        <v>56</v>
      </c>
      <c r="F171" s="208" t="str">
        <f>VLOOKUP(A171,'Summary June 2026'!A:F,6,FALSE)</f>
        <v>Chq Bk</v>
      </c>
      <c r="H171" s="273">
        <f>_xlfn.IFNA(VLOOKUP($A171,ISB!$A:$BY,67,FALSE),0)</f>
        <v>0</v>
      </c>
      <c r="I171" s="218">
        <f>_xlfn.IFNA(VLOOKUP($A171,ISB!$A:$BY,72,FALSE),0)</f>
        <v>0</v>
      </c>
      <c r="J171" s="274">
        <f>-_xlfn.IFNA(VLOOKUP($A171,ISB!$A:$BY,76,FALSE),0)</f>
        <v>0</v>
      </c>
      <c r="L171" s="273">
        <f>_xlfn.IFNA(VLOOKUP($A171,EY!$A:$DX,126,FALSE),0)</f>
        <v>0</v>
      </c>
      <c r="M171" s="273">
        <f>_xlfn.IFNA(VLOOKUP($A171,EY!$A:$DX,127,FALSE),0)</f>
        <v>0</v>
      </c>
      <c r="O171" s="273">
        <f>_xlfn.IFNA(VLOOKUP($A171,HN!$A:$AN,37,FALSE),0)</f>
        <v>1856666.67</v>
      </c>
      <c r="P171" s="273">
        <f>_xlfn.IFNA(VLOOKUP($A171,HN!$A:$AN,38,FALSE),0)</f>
        <v>470000</v>
      </c>
      <c r="Q171" s="273">
        <f>_xlfn.IFNA(VLOOKUP($A171,HN!$A:$AN,39,FALSE),0)</f>
        <v>4420416.76</v>
      </c>
      <c r="S171" s="337">
        <f>_xlfn.IFNA(VLOOKUP(A171,'Post 16'!A:AR,44,FALSE),0)</f>
        <v>0</v>
      </c>
      <c r="U171" s="337"/>
      <c r="V171" s="337">
        <f>VLOOKUP(A171,'LA Deductions'!A:AN,40,FALSE)</f>
        <v>0</v>
      </c>
      <c r="X171" s="274">
        <f>VLOOKUP($A171,'Summary June 2026'!$A:$AAX,206,FALSE)-SUMIFS($H171:$V171,$H$7:$V$7,X$7)</f>
        <v>0</v>
      </c>
      <c r="Y171" s="274">
        <f>VLOOKUP($A171,'Summary June 2026'!$A:$HC,207,FALSE)-SUMIFS($H171:$V171,$H$7:$V$7,Y$7)</f>
        <v>0</v>
      </c>
      <c r="Z171" s="274">
        <f>VLOOKUP($A171,'Summary June 2026'!$A:$HC,208,FALSE)-SUMIFS($H171:$V171,$H$7:$V$7,Z$7)</f>
        <v>0</v>
      </c>
      <c r="AA171" s="274">
        <f>VLOOKUP($A171,'Summary June 2026'!$A:$HC,209,FALSE)-SUMIFS($H171:$V171,$H$7:$V$7,AA$7)</f>
        <v>0</v>
      </c>
      <c r="AB171" s="274">
        <f>VLOOKUP($A171,'Summary June 2026'!$A:$HC,210,FALSE)-SUMIFS($H171:$V171,$H$7:$V$7,AB$7)</f>
        <v>0</v>
      </c>
      <c r="AC171" s="274">
        <f>VLOOKUP($A171,'Summary June 2026'!$A:$HC,211,FALSE)-SUMIFS($H171:$V171,$H$7:$V$7,AC$7)</f>
        <v>0</v>
      </c>
      <c r="AE171" s="146">
        <f>VLOOKUP($A171,'Summary June 2026'!$A:$HJ,213,FALSE)+VLOOKUP($A171,'Grants+ Other Funding'!$A:$CG,67,FALSE)</f>
        <v>464166.66749999998</v>
      </c>
      <c r="AF171" s="146">
        <f>_xlfn.IFNA(VLOOKUP($A171,'Summary June 2026'!$A:$HJ,214,FALSE)+VLOOKUP($A171,'Grants+ Other Funding'!$A:$CG,68,FALSE),0)</f>
        <v>117500</v>
      </c>
      <c r="AG171" s="146">
        <f>_xlfn.IFNA(VLOOKUP($A171,'Summary June 2026'!$A:$HJ,215,FALSE)+VLOOKUP($A171,'Grants+ Other Funding'!$A:$CG,69,FALSE),0)</f>
        <v>1105104.19</v>
      </c>
      <c r="AH171" s="146">
        <f>_xlfn.IFNA(VLOOKUP($A171,'Grants+ Other Funding'!$A:$CG,70,FALSE),0)</f>
        <v>0</v>
      </c>
      <c r="AI171" s="146">
        <f>_xlfn.IFNA(VLOOKUP($A171,'Grants+ Other Funding'!$A:$CG,71,FALSE),0)</f>
        <v>0</v>
      </c>
      <c r="AJ171" s="146">
        <f>_xlfn.IFNA(VLOOKUP($A171,'Grants+ Other Funding'!$A:$CG,72,FALSE),0)</f>
        <v>0</v>
      </c>
      <c r="AK171" s="146">
        <f>_xlfn.IFNA(VLOOKUP($A171,'Summary June 2026'!$A:$HJ,217,FALSE),0)</f>
        <v>0</v>
      </c>
      <c r="AL171" s="146">
        <f>_xlfn.IFNA(VLOOKUP($A171,'Grants+ Other Funding'!$A:$CG,74,FALSE),0)</f>
        <v>0</v>
      </c>
      <c r="AM171" s="146">
        <f>_xlfn.IFNA(VLOOKUP($A171,'Summary June 2026'!$A:$HJ,218,FALSE),0)</f>
        <v>0</v>
      </c>
      <c r="AN171" s="146">
        <f>_xlfn.IFNA(VLOOKUP($A171,'Summary June 2026'!$A:$HJ,216,FALSE),0)</f>
        <v>0</v>
      </c>
      <c r="AO171" s="146">
        <f>_xlfn.IFNA(VLOOKUP($A171,'Grants+ Other Funding'!$A:$CG,73,FALSE),0)</f>
        <v>0</v>
      </c>
      <c r="AP171" s="65">
        <f t="shared" si="5"/>
        <v>1686770.8574999999</v>
      </c>
    </row>
    <row r="172" spans="1:42">
      <c r="A172" s="198">
        <v>5203</v>
      </c>
      <c r="B172" s="2">
        <v>103544</v>
      </c>
      <c r="C172" s="2" t="s">
        <v>367</v>
      </c>
      <c r="D172" s="2" t="s">
        <v>368</v>
      </c>
      <c r="E172" s="190" t="s">
        <v>39</v>
      </c>
      <c r="F172" s="208" t="str">
        <f>VLOOKUP(A172,'Summary June 2026'!A:F,6,FALSE)</f>
        <v>Chq Bk</v>
      </c>
      <c r="H172" s="273">
        <f>_xlfn.IFNA(VLOOKUP($A172,ISB!$A:$BY,67,FALSE),0)</f>
        <v>1426277.9615069344</v>
      </c>
      <c r="I172" s="218">
        <f>_xlfn.IFNA(VLOOKUP($A172,ISB!$A:$BY,72,FALSE),0)</f>
        <v>-6648.2999999999993</v>
      </c>
      <c r="J172" s="274">
        <f>-_xlfn.IFNA(VLOOKUP($A172,ISB!$A:$BY,76,FALSE),0)</f>
        <v>-5935.9209000000001</v>
      </c>
      <c r="L172" s="273">
        <f>_xlfn.IFNA(VLOOKUP($A172,EY!$A:$DX,126,FALSE),0)</f>
        <v>204531.79209418283</v>
      </c>
      <c r="M172" s="273">
        <f>_xlfn.IFNA(VLOOKUP($A172,EY!$A:$DX,127,FALSE),0)</f>
        <v>0</v>
      </c>
      <c r="O172" s="273">
        <f>_xlfn.IFNA(VLOOKUP($A172,HN!$A:$AN,37,FALSE),0)</f>
        <v>0</v>
      </c>
      <c r="P172" s="273">
        <f>_xlfn.IFNA(VLOOKUP($A172,HN!$A:$AN,38,FALSE),0)</f>
        <v>0</v>
      </c>
      <c r="Q172" s="273">
        <f>_xlfn.IFNA(VLOOKUP($A172,HN!$A:$AN,39,FALSE),0)</f>
        <v>45407.5</v>
      </c>
      <c r="S172" s="337">
        <f>_xlfn.IFNA(VLOOKUP(A172,'Post 16'!A:AR,44,FALSE),0)</f>
        <v>0</v>
      </c>
      <c r="U172" s="337"/>
      <c r="V172" s="337">
        <f>VLOOKUP(A172,'LA Deductions'!A:AN,40,FALSE)</f>
        <v>0</v>
      </c>
      <c r="X172" s="274">
        <f>VLOOKUP($A172,'Summary June 2026'!$A:$AAX,206,FALSE)-SUMIFS($H172:$V172,$H$7:$V$7,X$7)</f>
        <v>0</v>
      </c>
      <c r="Y172" s="274">
        <f>VLOOKUP($A172,'Summary June 2026'!$A:$HC,207,FALSE)-SUMIFS($H172:$V172,$H$7:$V$7,Y$7)</f>
        <v>0</v>
      </c>
      <c r="Z172" s="274">
        <f>VLOOKUP($A172,'Summary June 2026'!$A:$HC,208,FALSE)-SUMIFS($H172:$V172,$H$7:$V$7,Z$7)</f>
        <v>0</v>
      </c>
      <c r="AA172" s="274">
        <f>VLOOKUP($A172,'Summary June 2026'!$A:$HC,209,FALSE)-SUMIFS($H172:$V172,$H$7:$V$7,AA$7)</f>
        <v>0</v>
      </c>
      <c r="AB172" s="274">
        <f>VLOOKUP($A172,'Summary June 2026'!$A:$HC,210,FALSE)-SUMIFS($H172:$V172,$H$7:$V$7,AB$7)</f>
        <v>0</v>
      </c>
      <c r="AC172" s="274">
        <f>VLOOKUP($A172,'Summary June 2026'!$A:$HC,211,FALSE)-SUMIFS($H172:$V172,$H$7:$V$7,AC$7)</f>
        <v>0</v>
      </c>
      <c r="AE172" s="146">
        <f>VLOOKUP($A172,'Summary June 2026'!$A:$HJ,213,FALSE)+VLOOKUP($A172,'Grants+ Other Funding'!$A:$CG,67,FALSE)</f>
        <v>465097.2184709165</v>
      </c>
      <c r="AF172" s="146">
        <f>_xlfn.IFNA(VLOOKUP($A172,'Summary June 2026'!$A:$HJ,214,FALSE)+VLOOKUP($A172,'Grants+ Other Funding'!$A:$CG,68,FALSE),0)</f>
        <v>0</v>
      </c>
      <c r="AG172" s="146">
        <f>_xlfn.IFNA(VLOOKUP($A172,'Summary June 2026'!$A:$HJ,215,FALSE)+VLOOKUP($A172,'Grants+ Other Funding'!$A:$CG,69,FALSE),0)</f>
        <v>15170.812750000001</v>
      </c>
      <c r="AH172" s="146">
        <f>_xlfn.IFNA(VLOOKUP($A172,'Grants+ Other Funding'!$A:$CG,70,FALSE),0)</f>
        <v>0</v>
      </c>
      <c r="AI172" s="146">
        <f>_xlfn.IFNA(VLOOKUP($A172,'Grants+ Other Funding'!$A:$CG,71,FALSE),0)</f>
        <v>0</v>
      </c>
      <c r="AJ172" s="146">
        <f>_xlfn.IFNA(VLOOKUP($A172,'Grants+ Other Funding'!$A:$CG,72,FALSE),0)</f>
        <v>0</v>
      </c>
      <c r="AK172" s="146">
        <f>_xlfn.IFNA(VLOOKUP($A172,'Summary June 2026'!$A:$HJ,217,FALSE),0)</f>
        <v>-1483.980225</v>
      </c>
      <c r="AL172" s="146">
        <f>_xlfn.IFNA(VLOOKUP($A172,'Grants+ Other Funding'!$A:$CG,74,FALSE),0)</f>
        <v>0</v>
      </c>
      <c r="AM172" s="146">
        <f>_xlfn.IFNA(VLOOKUP($A172,'Summary June 2026'!$A:$HJ,218,FALSE),0)</f>
        <v>0</v>
      </c>
      <c r="AN172" s="146">
        <f>_xlfn.IFNA(VLOOKUP($A172,'Summary June 2026'!$A:$HJ,216,FALSE),0)</f>
        <v>-1662.0749999999998</v>
      </c>
      <c r="AO172" s="146">
        <f>_xlfn.IFNA(VLOOKUP($A172,'Grants+ Other Funding'!$A:$CG,73,FALSE),0)</f>
        <v>0</v>
      </c>
      <c r="AP172" s="65">
        <f t="shared" si="5"/>
        <v>477121.97599591647</v>
      </c>
    </row>
    <row r="173" spans="1:42">
      <c r="A173" s="198">
        <v>5202</v>
      </c>
      <c r="B173" s="2">
        <v>103543</v>
      </c>
      <c r="C173" s="2" t="s">
        <v>369</v>
      </c>
      <c r="D173" s="2" t="s">
        <v>370</v>
      </c>
      <c r="E173" s="190" t="s">
        <v>39</v>
      </c>
      <c r="F173" s="208" t="str">
        <f>VLOOKUP(A173,'Summary June 2026'!A:F,6,FALSE)</f>
        <v>Chq Bk</v>
      </c>
      <c r="H173" s="273">
        <f>_xlfn.IFNA(VLOOKUP($A173,ISB!$A:$BY,67,FALSE),0)</f>
        <v>1860383.8691386087</v>
      </c>
      <c r="I173" s="218">
        <f>_xlfn.IFNA(VLOOKUP($A173,ISB!$A:$BY,72,FALSE),0)</f>
        <v>-8964</v>
      </c>
      <c r="J173" s="274">
        <f>-_xlfn.IFNA(VLOOKUP($A173,ISB!$A:$BY,76,FALSE),0)</f>
        <v>-4447.3176000000003</v>
      </c>
      <c r="L173" s="273">
        <f>_xlfn.IFNA(VLOOKUP($A173,EY!$A:$DX,126,FALSE),0)</f>
        <v>0</v>
      </c>
      <c r="M173" s="273">
        <f>_xlfn.IFNA(VLOOKUP($A173,EY!$A:$DX,127,FALSE),0)</f>
        <v>0</v>
      </c>
      <c r="O173" s="273">
        <f>_xlfn.IFNA(VLOOKUP($A173,HN!$A:$AN,37,FALSE),0)</f>
        <v>0</v>
      </c>
      <c r="P173" s="273">
        <f>_xlfn.IFNA(VLOOKUP($A173,HN!$A:$AN,38,FALSE),0)</f>
        <v>0</v>
      </c>
      <c r="Q173" s="273">
        <f>_xlfn.IFNA(VLOOKUP($A173,HN!$A:$AN,39,FALSE),0)</f>
        <v>77525</v>
      </c>
      <c r="S173" s="337">
        <f>_xlfn.IFNA(VLOOKUP(A173,'Post 16'!A:AR,44,FALSE),0)</f>
        <v>0</v>
      </c>
      <c r="U173" s="337"/>
      <c r="V173" s="337">
        <f>VLOOKUP(A173,'LA Deductions'!A:AN,40,FALSE)</f>
        <v>0</v>
      </c>
      <c r="X173" s="274">
        <f>VLOOKUP($A173,'Summary June 2026'!$A:$AAX,206,FALSE)-SUMIFS($H173:$V173,$H$7:$V$7,X$7)</f>
        <v>0</v>
      </c>
      <c r="Y173" s="274">
        <f>VLOOKUP($A173,'Summary June 2026'!$A:$HC,207,FALSE)-SUMIFS($H173:$V173,$H$7:$V$7,Y$7)</f>
        <v>0</v>
      </c>
      <c r="Z173" s="274">
        <f>VLOOKUP($A173,'Summary June 2026'!$A:$HC,208,FALSE)-SUMIFS($H173:$V173,$H$7:$V$7,Z$7)</f>
        <v>0</v>
      </c>
      <c r="AA173" s="274">
        <f>VLOOKUP($A173,'Summary June 2026'!$A:$HC,209,FALSE)-SUMIFS($H173:$V173,$H$7:$V$7,AA$7)</f>
        <v>0</v>
      </c>
      <c r="AB173" s="274">
        <f>VLOOKUP($A173,'Summary June 2026'!$A:$HC,210,FALSE)-SUMIFS($H173:$V173,$H$7:$V$7,AB$7)</f>
        <v>0</v>
      </c>
      <c r="AC173" s="274">
        <f>VLOOKUP($A173,'Summary June 2026'!$A:$HC,211,FALSE)-SUMIFS($H173:$V173,$H$7:$V$7,AC$7)</f>
        <v>0</v>
      </c>
      <c r="AE173" s="146">
        <f>VLOOKUP($A173,'Summary June 2026'!$A:$HJ,213,FALSE)+VLOOKUP($A173,'Grants+ Other Funding'!$A:$CG,67,FALSE)</f>
        <v>465095.96728465217</v>
      </c>
      <c r="AF173" s="146">
        <f>_xlfn.IFNA(VLOOKUP($A173,'Summary June 2026'!$A:$HJ,214,FALSE)+VLOOKUP($A173,'Grants+ Other Funding'!$A:$CG,68,FALSE),0)</f>
        <v>0</v>
      </c>
      <c r="AG173" s="146">
        <f>_xlfn.IFNA(VLOOKUP($A173,'Summary June 2026'!$A:$HJ,215,FALSE)+VLOOKUP($A173,'Grants+ Other Funding'!$A:$CG,69,FALSE),0)</f>
        <v>25862.705750000001</v>
      </c>
      <c r="AH173" s="146">
        <f>_xlfn.IFNA(VLOOKUP($A173,'Grants+ Other Funding'!$A:$CG,70,FALSE),0)</f>
        <v>0</v>
      </c>
      <c r="AI173" s="146">
        <f>_xlfn.IFNA(VLOOKUP($A173,'Grants+ Other Funding'!$A:$CG,71,FALSE),0)</f>
        <v>0</v>
      </c>
      <c r="AJ173" s="146">
        <f>_xlfn.IFNA(VLOOKUP($A173,'Grants+ Other Funding'!$A:$CG,72,FALSE),0)</f>
        <v>0</v>
      </c>
      <c r="AK173" s="146">
        <f>_xlfn.IFNA(VLOOKUP($A173,'Summary June 2026'!$A:$HJ,217,FALSE),0)</f>
        <v>-1111.8294000000001</v>
      </c>
      <c r="AL173" s="146">
        <f>_xlfn.IFNA(VLOOKUP($A173,'Grants+ Other Funding'!$A:$CG,74,FALSE),0)</f>
        <v>0</v>
      </c>
      <c r="AM173" s="146">
        <f>_xlfn.IFNA(VLOOKUP($A173,'Summary June 2026'!$A:$HJ,218,FALSE),0)</f>
        <v>0</v>
      </c>
      <c r="AN173" s="146">
        <f>_xlfn.IFNA(VLOOKUP($A173,'Summary June 2026'!$A:$HJ,216,FALSE),0)</f>
        <v>-2241</v>
      </c>
      <c r="AO173" s="146">
        <f>_xlfn.IFNA(VLOOKUP($A173,'Grants+ Other Funding'!$A:$CG,73,FALSE),0)</f>
        <v>0</v>
      </c>
      <c r="AP173" s="65">
        <f t="shared" si="5"/>
        <v>487605.84363465221</v>
      </c>
    </row>
    <row r="174" spans="1:42">
      <c r="A174" s="198">
        <v>2108</v>
      </c>
      <c r="B174" s="2">
        <v>103217</v>
      </c>
      <c r="C174" s="2" t="s">
        <v>371</v>
      </c>
      <c r="D174" s="2" t="s">
        <v>372</v>
      </c>
      <c r="E174" s="190" t="s">
        <v>39</v>
      </c>
      <c r="F174" s="208" t="str">
        <f>VLOOKUP(A174,'Summary June 2026'!A:F,6,FALSE)</f>
        <v>Chq Bk</v>
      </c>
      <c r="H174" s="273">
        <f>_xlfn.IFNA(VLOOKUP($A174,ISB!$A:$BY,67,FALSE),0)</f>
        <v>5032599.7855874132</v>
      </c>
      <c r="I174" s="218">
        <f>_xlfn.IFNA(VLOOKUP($A174,ISB!$A:$BY,72,FALSE),0)</f>
        <v>-20617.199999999997</v>
      </c>
      <c r="J174" s="274">
        <f>-_xlfn.IFNA(VLOOKUP($A174,ISB!$A:$BY,76,FALSE),0)</f>
        <v>-20170.605</v>
      </c>
      <c r="L174" s="273">
        <f>_xlfn.IFNA(VLOOKUP($A174,EY!$A:$DX,126,FALSE),0)</f>
        <v>87683.527783933532</v>
      </c>
      <c r="M174" s="273">
        <f>_xlfn.IFNA(VLOOKUP($A174,EY!$A:$DX,127,FALSE),0)</f>
        <v>0</v>
      </c>
      <c r="O174" s="273">
        <f>_xlfn.IFNA(VLOOKUP($A174,HN!$A:$AN,37,FALSE),0)</f>
        <v>108000</v>
      </c>
      <c r="P174" s="273">
        <f>_xlfn.IFNA(VLOOKUP($A174,HN!$A:$AN,38,FALSE),0)</f>
        <v>0</v>
      </c>
      <c r="Q174" s="273">
        <f>_xlfn.IFNA(VLOOKUP($A174,HN!$A:$AN,39,FALSE),0)</f>
        <v>297705</v>
      </c>
      <c r="S174" s="337">
        <f>_xlfn.IFNA(VLOOKUP(A174,'Post 16'!A:AR,44,FALSE),0)</f>
        <v>0</v>
      </c>
      <c r="U174" s="337"/>
      <c r="V174" s="337">
        <f>VLOOKUP(A174,'LA Deductions'!A:AN,40,FALSE)</f>
        <v>0</v>
      </c>
      <c r="X174" s="274">
        <f>VLOOKUP($A174,'Summary June 2026'!$A:$AAX,206,FALSE)-SUMIFS($H174:$V174,$H$7:$V$7,X$7)</f>
        <v>0</v>
      </c>
      <c r="Y174" s="274">
        <f>VLOOKUP($A174,'Summary June 2026'!$A:$HC,207,FALSE)-SUMIFS($H174:$V174,$H$7:$V$7,Y$7)</f>
        <v>0</v>
      </c>
      <c r="Z174" s="274">
        <f>VLOOKUP($A174,'Summary June 2026'!$A:$HC,208,FALSE)-SUMIFS($H174:$V174,$H$7:$V$7,Z$7)</f>
        <v>0</v>
      </c>
      <c r="AA174" s="274">
        <f>VLOOKUP($A174,'Summary June 2026'!$A:$HC,209,FALSE)-SUMIFS($H174:$V174,$H$7:$V$7,AA$7)</f>
        <v>0</v>
      </c>
      <c r="AB174" s="274">
        <f>VLOOKUP($A174,'Summary June 2026'!$A:$HC,210,FALSE)-SUMIFS($H174:$V174,$H$7:$V$7,AB$7)</f>
        <v>0</v>
      </c>
      <c r="AC174" s="274">
        <f>VLOOKUP($A174,'Summary June 2026'!$A:$HC,211,FALSE)-SUMIFS($H174:$V174,$H$7:$V$7,AC$7)</f>
        <v>0</v>
      </c>
      <c r="AE174" s="146">
        <f>VLOOKUP($A174,'Summary June 2026'!$A:$HJ,213,FALSE)+VLOOKUP($A174,'Grants+ Other Funding'!$A:$CG,67,FALSE)</f>
        <v>1344747.6941807868</v>
      </c>
      <c r="AF174" s="146">
        <f>_xlfn.IFNA(VLOOKUP($A174,'Summary June 2026'!$A:$HJ,214,FALSE)+VLOOKUP($A174,'Grants+ Other Funding'!$A:$CG,68,FALSE),0)</f>
        <v>-5.09</v>
      </c>
      <c r="AG174" s="146">
        <f>_xlfn.IFNA(VLOOKUP($A174,'Summary June 2026'!$A:$HJ,215,FALSE)+VLOOKUP($A174,'Grants+ Other Funding'!$A:$CG,69,FALSE),0)</f>
        <v>69244.778250000003</v>
      </c>
      <c r="AH174" s="146">
        <f>_xlfn.IFNA(VLOOKUP($A174,'Grants+ Other Funding'!$A:$CG,70,FALSE),0)</f>
        <v>0</v>
      </c>
      <c r="AI174" s="146">
        <f>_xlfn.IFNA(VLOOKUP($A174,'Grants+ Other Funding'!$A:$CG,71,FALSE),0)</f>
        <v>0</v>
      </c>
      <c r="AJ174" s="146">
        <f>_xlfn.IFNA(VLOOKUP($A174,'Grants+ Other Funding'!$A:$CG,72,FALSE),0)</f>
        <v>0</v>
      </c>
      <c r="AK174" s="146">
        <f>_xlfn.IFNA(VLOOKUP($A174,'Summary June 2026'!$A:$HJ,217,FALSE),0)</f>
        <v>-5042.6512499999999</v>
      </c>
      <c r="AL174" s="146">
        <f>_xlfn.IFNA(VLOOKUP($A174,'Grants+ Other Funding'!$A:$CG,74,FALSE),0)</f>
        <v>0</v>
      </c>
      <c r="AM174" s="146">
        <f>_xlfn.IFNA(VLOOKUP($A174,'Summary June 2026'!$A:$HJ,218,FALSE),0)</f>
        <v>0</v>
      </c>
      <c r="AN174" s="146">
        <f>_xlfn.IFNA(VLOOKUP($A174,'Summary June 2026'!$A:$HJ,216,FALSE),0)</f>
        <v>-5154.2999999999993</v>
      </c>
      <c r="AO174" s="146">
        <f>_xlfn.IFNA(VLOOKUP($A174,'Grants+ Other Funding'!$A:$CG,73,FALSE),0)</f>
        <v>0</v>
      </c>
      <c r="AP174" s="65">
        <f t="shared" si="5"/>
        <v>1403790.4311807866</v>
      </c>
    </row>
    <row r="175" spans="1:42">
      <c r="A175" s="198">
        <v>1019</v>
      </c>
      <c r="B175" s="2">
        <v>103132</v>
      </c>
      <c r="C175" s="2" t="s">
        <v>373</v>
      </c>
      <c r="D175" s="2" t="s">
        <v>374</v>
      </c>
      <c r="E175" s="190" t="s">
        <v>36</v>
      </c>
      <c r="F175" s="208" t="str">
        <f>VLOOKUP(A175,'Summary June 2026'!A:F,6,FALSE)</f>
        <v>Chq Bk</v>
      </c>
      <c r="H175" s="273">
        <f>_xlfn.IFNA(VLOOKUP($A175,ISB!$A:$BY,67,FALSE),0)</f>
        <v>0</v>
      </c>
      <c r="I175" s="218">
        <f>_xlfn.IFNA(VLOOKUP($A175,ISB!$A:$BY,72,FALSE),0)</f>
        <v>0</v>
      </c>
      <c r="J175" s="274">
        <f>-_xlfn.IFNA(VLOOKUP($A175,ISB!$A:$BY,76,FALSE),0)</f>
        <v>0</v>
      </c>
      <c r="L175" s="273">
        <f>_xlfn.IFNA(VLOOKUP($A175,EY!$A:$DX,126,FALSE),0)</f>
        <v>442513.78557080013</v>
      </c>
      <c r="M175" s="273">
        <f>_xlfn.IFNA(VLOOKUP($A175,EY!$A:$DX,127,FALSE),0)</f>
        <v>2506.3357340720222</v>
      </c>
      <c r="O175" s="273">
        <f>_xlfn.IFNA(VLOOKUP($A175,HN!$A:$AN,37,FALSE),0)</f>
        <v>0</v>
      </c>
      <c r="P175" s="273">
        <f>_xlfn.IFNA(VLOOKUP($A175,HN!$A:$AN,38,FALSE),0)</f>
        <v>0</v>
      </c>
      <c r="Q175" s="273">
        <f>_xlfn.IFNA(VLOOKUP($A175,HN!$A:$AN,39,FALSE),0)</f>
        <v>0</v>
      </c>
      <c r="S175" s="337">
        <f>_xlfn.IFNA(VLOOKUP(A175,'Post 16'!A:AR,44,FALSE),0)</f>
        <v>0</v>
      </c>
      <c r="U175" s="337"/>
      <c r="V175" s="337">
        <f>VLOOKUP(A175,'LA Deductions'!A:AN,40,FALSE)</f>
        <v>0</v>
      </c>
      <c r="X175" s="274">
        <f>VLOOKUP($A175,'Summary June 2026'!$A:$AAX,206,FALSE)-SUMIFS($H175:$V175,$H$7:$V$7,X$7)</f>
        <v>0</v>
      </c>
      <c r="Y175" s="274">
        <f>VLOOKUP($A175,'Summary June 2026'!$A:$HC,207,FALSE)-SUMIFS($H175:$V175,$H$7:$V$7,Y$7)</f>
        <v>0</v>
      </c>
      <c r="Z175" s="274">
        <f>VLOOKUP($A175,'Summary June 2026'!$A:$HC,208,FALSE)-SUMIFS($H175:$V175,$H$7:$V$7,Z$7)</f>
        <v>0</v>
      </c>
      <c r="AA175" s="274">
        <f>VLOOKUP($A175,'Summary June 2026'!$A:$HC,209,FALSE)-SUMIFS($H175:$V175,$H$7:$V$7,AA$7)</f>
        <v>0</v>
      </c>
      <c r="AB175" s="274">
        <f>VLOOKUP($A175,'Summary June 2026'!$A:$HC,210,FALSE)-SUMIFS($H175:$V175,$H$7:$V$7,AB$7)</f>
        <v>0</v>
      </c>
      <c r="AC175" s="274">
        <f>VLOOKUP($A175,'Summary June 2026'!$A:$HC,211,FALSE)-SUMIFS($H175:$V175,$H$7:$V$7,AC$7)</f>
        <v>0</v>
      </c>
      <c r="AE175" s="146">
        <f>VLOOKUP($A175,'Summary June 2026'!$A:$HJ,213,FALSE)+VLOOKUP($A175,'Grants+ Other Funding'!$A:$CG,67,FALSE)</f>
        <v>405245.98767606326</v>
      </c>
      <c r="AF175" s="146">
        <f>_xlfn.IFNA(VLOOKUP($A175,'Summary June 2026'!$A:$HJ,214,FALSE)+VLOOKUP($A175,'Grants+ Other Funding'!$A:$CG,68,FALSE),0)</f>
        <v>-49.22</v>
      </c>
      <c r="AG175" s="146">
        <f>_xlfn.IFNA(VLOOKUP($A175,'Summary June 2026'!$A:$HJ,215,FALSE)+VLOOKUP($A175,'Grants+ Other Funding'!$A:$CG,69,FALSE),0)</f>
        <v>2506.3357340720222</v>
      </c>
      <c r="AH175" s="146">
        <f>_xlfn.IFNA(VLOOKUP($A175,'Grants+ Other Funding'!$A:$CG,70,FALSE),0)</f>
        <v>0</v>
      </c>
      <c r="AI175" s="146">
        <f>_xlfn.IFNA(VLOOKUP($A175,'Grants+ Other Funding'!$A:$CG,71,FALSE),0)</f>
        <v>0</v>
      </c>
      <c r="AJ175" s="146">
        <f>_xlfn.IFNA(VLOOKUP($A175,'Grants+ Other Funding'!$A:$CG,72,FALSE),0)</f>
        <v>0</v>
      </c>
      <c r="AK175" s="146">
        <f>_xlfn.IFNA(VLOOKUP($A175,'Summary June 2026'!$A:$HJ,217,FALSE),0)</f>
        <v>0</v>
      </c>
      <c r="AL175" s="146">
        <f>_xlfn.IFNA(VLOOKUP($A175,'Grants+ Other Funding'!$A:$CG,74,FALSE),0)</f>
        <v>0</v>
      </c>
      <c r="AM175" s="146">
        <f>_xlfn.IFNA(VLOOKUP($A175,'Summary June 2026'!$A:$HJ,218,FALSE),0)</f>
        <v>0</v>
      </c>
      <c r="AN175" s="146">
        <f>_xlfn.IFNA(VLOOKUP($A175,'Summary June 2026'!$A:$HJ,216,FALSE),0)</f>
        <v>0</v>
      </c>
      <c r="AO175" s="146">
        <f>_xlfn.IFNA(VLOOKUP($A175,'Grants+ Other Funding'!$A:$CG,73,FALSE),0)</f>
        <v>0</v>
      </c>
      <c r="AP175" s="65">
        <f t="shared" si="5"/>
        <v>407703.10341013531</v>
      </c>
    </row>
    <row r="176" spans="1:42">
      <c r="A176" s="198">
        <v>2306</v>
      </c>
      <c r="B176" s="2">
        <v>103326</v>
      </c>
      <c r="C176" s="2" t="s">
        <v>375</v>
      </c>
      <c r="D176" s="2" t="s">
        <v>376</v>
      </c>
      <c r="E176" s="190" t="s">
        <v>39</v>
      </c>
      <c r="F176" s="208" t="str">
        <f>VLOOKUP(A176,'Summary June 2026'!A:F,6,FALSE)</f>
        <v>Chq Bk</v>
      </c>
      <c r="H176" s="273">
        <f>_xlfn.IFNA(VLOOKUP($A176,ISB!$A:$BY,67,FALSE),0)</f>
        <v>1357444.647980911</v>
      </c>
      <c r="I176" s="218">
        <f>_xlfn.IFNA(VLOOKUP($A176,ISB!$A:$BY,72,FALSE),0)</f>
        <v>-5229</v>
      </c>
      <c r="J176" s="274">
        <f>-_xlfn.IFNA(VLOOKUP($A176,ISB!$A:$BY,76,FALSE),0)</f>
        <v>-20146.064600000002</v>
      </c>
      <c r="L176" s="273">
        <f>_xlfn.IFNA(VLOOKUP($A176,EY!$A:$DX,126,FALSE),0)</f>
        <v>0</v>
      </c>
      <c r="M176" s="273">
        <f>_xlfn.IFNA(VLOOKUP($A176,EY!$A:$DX,127,FALSE),0)</f>
        <v>0</v>
      </c>
      <c r="O176" s="273">
        <f>_xlfn.IFNA(VLOOKUP($A176,HN!$A:$AN,37,FALSE),0)</f>
        <v>0</v>
      </c>
      <c r="P176" s="273">
        <f>_xlfn.IFNA(VLOOKUP($A176,HN!$A:$AN,38,FALSE),0)</f>
        <v>0</v>
      </c>
      <c r="Q176" s="273">
        <f>_xlfn.IFNA(VLOOKUP($A176,HN!$A:$AN,39,FALSE),0)</f>
        <v>13290</v>
      </c>
      <c r="S176" s="337">
        <f>_xlfn.IFNA(VLOOKUP(A176,'Post 16'!A:AR,44,FALSE),0)</f>
        <v>0</v>
      </c>
      <c r="U176" s="337"/>
      <c r="V176" s="337">
        <f>VLOOKUP(A176,'LA Deductions'!A:AN,40,FALSE)</f>
        <v>0</v>
      </c>
      <c r="X176" s="274">
        <f>VLOOKUP($A176,'Summary June 2026'!$A:$AAX,206,FALSE)-SUMIFS($H176:$V176,$H$7:$V$7,X$7)</f>
        <v>0</v>
      </c>
      <c r="Y176" s="274">
        <f>VLOOKUP($A176,'Summary June 2026'!$A:$HC,207,FALSE)-SUMIFS($H176:$V176,$H$7:$V$7,Y$7)</f>
        <v>0</v>
      </c>
      <c r="Z176" s="274">
        <f>VLOOKUP($A176,'Summary June 2026'!$A:$HC,208,FALSE)-SUMIFS($H176:$V176,$H$7:$V$7,Z$7)</f>
        <v>0</v>
      </c>
      <c r="AA176" s="274">
        <f>VLOOKUP($A176,'Summary June 2026'!$A:$HC,209,FALSE)-SUMIFS($H176:$V176,$H$7:$V$7,AA$7)</f>
        <v>0</v>
      </c>
      <c r="AB176" s="274">
        <f>VLOOKUP($A176,'Summary June 2026'!$A:$HC,210,FALSE)-SUMIFS($H176:$V176,$H$7:$V$7,AB$7)</f>
        <v>0</v>
      </c>
      <c r="AC176" s="274">
        <f>VLOOKUP($A176,'Summary June 2026'!$A:$HC,211,FALSE)-SUMIFS($H176:$V176,$H$7:$V$7,AC$7)</f>
        <v>0</v>
      </c>
      <c r="AE176" s="146">
        <f>VLOOKUP($A176,'Summary June 2026'!$A:$HJ,213,FALSE)+VLOOKUP($A176,'Grants+ Other Funding'!$A:$CG,67,FALSE)</f>
        <v>340941.78199522774</v>
      </c>
      <c r="AF176" s="146">
        <f>_xlfn.IFNA(VLOOKUP($A176,'Summary June 2026'!$A:$HJ,214,FALSE)+VLOOKUP($A176,'Grants+ Other Funding'!$A:$CG,68,FALSE),0)</f>
        <v>-15.19</v>
      </c>
      <c r="AG176" s="146">
        <f>_xlfn.IFNA(VLOOKUP($A176,'Summary June 2026'!$A:$HJ,215,FALSE)+VLOOKUP($A176,'Grants+ Other Funding'!$A:$CG,69,FALSE),0)</f>
        <v>6729.8122499999999</v>
      </c>
      <c r="AH176" s="146">
        <f>_xlfn.IFNA(VLOOKUP($A176,'Grants+ Other Funding'!$A:$CG,70,FALSE),0)</f>
        <v>0</v>
      </c>
      <c r="AI176" s="146">
        <f>_xlfn.IFNA(VLOOKUP($A176,'Grants+ Other Funding'!$A:$CG,71,FALSE),0)</f>
        <v>0</v>
      </c>
      <c r="AJ176" s="146">
        <f>_xlfn.IFNA(VLOOKUP($A176,'Grants+ Other Funding'!$A:$CG,72,FALSE),0)</f>
        <v>0</v>
      </c>
      <c r="AK176" s="146">
        <f>_xlfn.IFNA(VLOOKUP($A176,'Summary June 2026'!$A:$HJ,217,FALSE),0)</f>
        <v>-5036.5161500000004</v>
      </c>
      <c r="AL176" s="146">
        <f>_xlfn.IFNA(VLOOKUP($A176,'Grants+ Other Funding'!$A:$CG,74,FALSE),0)</f>
        <v>0</v>
      </c>
      <c r="AM176" s="146">
        <f>_xlfn.IFNA(VLOOKUP($A176,'Summary June 2026'!$A:$HJ,218,FALSE),0)</f>
        <v>0</v>
      </c>
      <c r="AN176" s="146">
        <f>_xlfn.IFNA(VLOOKUP($A176,'Summary June 2026'!$A:$HJ,216,FALSE),0)</f>
        <v>-1307.25</v>
      </c>
      <c r="AO176" s="146">
        <f>_xlfn.IFNA(VLOOKUP($A176,'Grants+ Other Funding'!$A:$CG,73,FALSE),0)</f>
        <v>0</v>
      </c>
      <c r="AP176" s="65">
        <f t="shared" si="5"/>
        <v>341312.63809522777</v>
      </c>
    </row>
    <row r="177" spans="1:42">
      <c r="A177" s="198">
        <v>2308</v>
      </c>
      <c r="B177" s="2">
        <v>103328</v>
      </c>
      <c r="C177" s="2" t="s">
        <v>377</v>
      </c>
      <c r="D177" s="2" t="s">
        <v>378</v>
      </c>
      <c r="E177" s="190" t="s">
        <v>39</v>
      </c>
      <c r="F177" s="208" t="str">
        <f>VLOOKUP(A177,'Summary June 2026'!A:F,6,FALSE)</f>
        <v>Chq Bk</v>
      </c>
      <c r="H177" s="273">
        <f>_xlfn.IFNA(VLOOKUP($A177,ISB!$A:$BY,67,FALSE),0)</f>
        <v>2479820.7192961075</v>
      </c>
      <c r="I177" s="218">
        <f>_xlfn.IFNA(VLOOKUP($A177,ISB!$A:$BY,72,FALSE),0)</f>
        <v>-9163.1999999999989</v>
      </c>
      <c r="J177" s="274">
        <f>-_xlfn.IFNA(VLOOKUP($A177,ISB!$A:$BY,76,FALSE),0)</f>
        <v>-35154.483</v>
      </c>
      <c r="L177" s="273">
        <f>_xlfn.IFNA(VLOOKUP($A177,EY!$A:$DX,126,FALSE),0)</f>
        <v>88300.700609418273</v>
      </c>
      <c r="M177" s="273">
        <f>_xlfn.IFNA(VLOOKUP($A177,EY!$A:$DX,127,FALSE),0)</f>
        <v>0</v>
      </c>
      <c r="O177" s="273">
        <f>_xlfn.IFNA(VLOOKUP($A177,HN!$A:$AN,37,FALSE),0)</f>
        <v>0</v>
      </c>
      <c r="P177" s="273">
        <f>_xlfn.IFNA(VLOOKUP($A177,HN!$A:$AN,38,FALSE),0)</f>
        <v>0</v>
      </c>
      <c r="Q177" s="273">
        <f>_xlfn.IFNA(VLOOKUP($A177,HN!$A:$AN,39,FALSE),0)</f>
        <v>132900</v>
      </c>
      <c r="S177" s="337">
        <f>_xlfn.IFNA(VLOOKUP(A177,'Post 16'!A:AR,44,FALSE),0)</f>
        <v>0</v>
      </c>
      <c r="U177" s="337"/>
      <c r="V177" s="337">
        <f>VLOOKUP(A177,'LA Deductions'!A:AN,40,FALSE)</f>
        <v>0</v>
      </c>
      <c r="X177" s="274">
        <f>VLOOKUP($A177,'Summary June 2026'!$A:$AAX,206,FALSE)-SUMIFS($H177:$V177,$H$7:$V$7,X$7)</f>
        <v>0</v>
      </c>
      <c r="Y177" s="274">
        <f>VLOOKUP($A177,'Summary June 2026'!$A:$HC,207,FALSE)-SUMIFS($H177:$V177,$H$7:$V$7,Y$7)</f>
        <v>0</v>
      </c>
      <c r="Z177" s="274">
        <f>VLOOKUP($A177,'Summary June 2026'!$A:$HC,208,FALSE)-SUMIFS($H177:$V177,$H$7:$V$7,Z$7)</f>
        <v>0</v>
      </c>
      <c r="AA177" s="274">
        <f>VLOOKUP($A177,'Summary June 2026'!$A:$HC,209,FALSE)-SUMIFS($H177:$V177,$H$7:$V$7,AA$7)</f>
        <v>0</v>
      </c>
      <c r="AB177" s="274">
        <f>VLOOKUP($A177,'Summary June 2026'!$A:$HC,210,FALSE)-SUMIFS($H177:$V177,$H$7:$V$7,AB$7)</f>
        <v>0</v>
      </c>
      <c r="AC177" s="274">
        <f>VLOOKUP($A177,'Summary June 2026'!$A:$HC,211,FALSE)-SUMIFS($H177:$V177,$H$7:$V$7,AC$7)</f>
        <v>0</v>
      </c>
      <c r="AE177" s="146">
        <f>VLOOKUP($A177,'Summary June 2026'!$A:$HJ,213,FALSE)+VLOOKUP($A177,'Grants+ Other Funding'!$A:$CG,67,FALSE)</f>
        <v>674791.96464397141</v>
      </c>
      <c r="AF177" s="146">
        <f>_xlfn.IFNA(VLOOKUP($A177,'Summary June 2026'!$A:$HJ,214,FALSE)+VLOOKUP($A177,'Grants+ Other Funding'!$A:$CG,68,FALSE),0)</f>
        <v>0</v>
      </c>
      <c r="AG177" s="146">
        <f>_xlfn.IFNA(VLOOKUP($A177,'Summary June 2026'!$A:$HJ,215,FALSE)+VLOOKUP($A177,'Grants+ Other Funding'!$A:$CG,69,FALSE),0)</f>
        <v>46384.17525</v>
      </c>
      <c r="AH177" s="146">
        <f>_xlfn.IFNA(VLOOKUP($A177,'Grants+ Other Funding'!$A:$CG,70,FALSE),0)</f>
        <v>0</v>
      </c>
      <c r="AI177" s="146">
        <f>_xlfn.IFNA(VLOOKUP($A177,'Grants+ Other Funding'!$A:$CG,71,FALSE),0)</f>
        <v>0</v>
      </c>
      <c r="AJ177" s="146">
        <f>_xlfn.IFNA(VLOOKUP($A177,'Grants+ Other Funding'!$A:$CG,72,FALSE),0)</f>
        <v>0</v>
      </c>
      <c r="AK177" s="146">
        <f>_xlfn.IFNA(VLOOKUP($A177,'Summary June 2026'!$A:$HJ,217,FALSE),0)</f>
        <v>-8788.62075</v>
      </c>
      <c r="AL177" s="146">
        <f>_xlfn.IFNA(VLOOKUP($A177,'Grants+ Other Funding'!$A:$CG,74,FALSE),0)</f>
        <v>0</v>
      </c>
      <c r="AM177" s="146">
        <f>_xlfn.IFNA(VLOOKUP($A177,'Summary June 2026'!$A:$HJ,218,FALSE),0)</f>
        <v>0</v>
      </c>
      <c r="AN177" s="146">
        <f>_xlfn.IFNA(VLOOKUP($A177,'Summary June 2026'!$A:$HJ,216,FALSE),0)</f>
        <v>-2290.7999999999997</v>
      </c>
      <c r="AO177" s="146">
        <f>_xlfn.IFNA(VLOOKUP($A177,'Grants+ Other Funding'!$A:$CG,73,FALSE),0)</f>
        <v>0</v>
      </c>
      <c r="AP177" s="65">
        <f t="shared" si="5"/>
        <v>710096.71914397134</v>
      </c>
    </row>
    <row r="178" spans="1:42">
      <c r="A178" s="198">
        <v>2245</v>
      </c>
      <c r="B178" s="2">
        <v>103295</v>
      </c>
      <c r="C178" s="2" t="s">
        <v>379</v>
      </c>
      <c r="D178" s="2" t="s">
        <v>380</v>
      </c>
      <c r="E178" s="190" t="s">
        <v>39</v>
      </c>
      <c r="F178" s="208" t="str">
        <f>VLOOKUP(A178,'Summary June 2026'!A:F,6,FALSE)</f>
        <v>Chq Bk</v>
      </c>
      <c r="H178" s="273">
        <f>_xlfn.IFNA(VLOOKUP($A178,ISB!$A:$BY,67,FALSE),0)</f>
        <v>1446676.580786244</v>
      </c>
      <c r="I178" s="218">
        <f>_xlfn.IFNA(VLOOKUP($A178,ISB!$A:$BY,72,FALSE),0)</f>
        <v>-4755.8999999999996</v>
      </c>
      <c r="J178" s="274">
        <f>-_xlfn.IFNA(VLOOKUP($A178,ISB!$A:$BY,76,FALSE),0)</f>
        <v>-24886.3151</v>
      </c>
      <c r="L178" s="273">
        <f>_xlfn.IFNA(VLOOKUP($A178,EY!$A:$DX,126,FALSE),0)</f>
        <v>57825.710326869797</v>
      </c>
      <c r="M178" s="273">
        <f>_xlfn.IFNA(VLOOKUP($A178,EY!$A:$DX,127,FALSE),0)</f>
        <v>0</v>
      </c>
      <c r="O178" s="273">
        <f>_xlfn.IFNA(VLOOKUP($A178,HN!$A:$AN,37,FALSE),0)</f>
        <v>80000</v>
      </c>
      <c r="P178" s="273">
        <f>_xlfn.IFNA(VLOOKUP($A178,HN!$A:$AN,38,FALSE),0)</f>
        <v>0</v>
      </c>
      <c r="Q178" s="273">
        <f>_xlfn.IFNA(VLOOKUP($A178,HN!$A:$AN,39,FALSE),0)</f>
        <v>157662.79999999999</v>
      </c>
      <c r="S178" s="337">
        <f>_xlfn.IFNA(VLOOKUP(A178,'Post 16'!A:AR,44,FALSE),0)</f>
        <v>0</v>
      </c>
      <c r="U178" s="337"/>
      <c r="V178" s="337">
        <f>VLOOKUP(A178,'LA Deductions'!A:AN,40,FALSE)</f>
        <v>-2800</v>
      </c>
      <c r="X178" s="274">
        <f>VLOOKUP($A178,'Summary June 2026'!$A:$AAX,206,FALSE)-SUMIFS($H178:$V178,$H$7:$V$7,X$7)</f>
        <v>0</v>
      </c>
      <c r="Y178" s="274">
        <f>VLOOKUP($A178,'Summary June 2026'!$A:$HC,207,FALSE)-SUMIFS($H178:$V178,$H$7:$V$7,Y$7)</f>
        <v>0</v>
      </c>
      <c r="Z178" s="274">
        <f>VLOOKUP($A178,'Summary June 2026'!$A:$HC,208,FALSE)-SUMIFS($H178:$V178,$H$7:$V$7,Z$7)</f>
        <v>0</v>
      </c>
      <c r="AA178" s="274">
        <f>VLOOKUP($A178,'Summary June 2026'!$A:$HC,209,FALSE)-SUMIFS($H178:$V178,$H$7:$V$7,AA$7)</f>
        <v>0</v>
      </c>
      <c r="AB178" s="274">
        <f>VLOOKUP($A178,'Summary June 2026'!$A:$HC,210,FALSE)-SUMIFS($H178:$V178,$H$7:$V$7,AB$7)</f>
        <v>0</v>
      </c>
      <c r="AC178" s="274">
        <f>VLOOKUP($A178,'Summary June 2026'!$A:$HC,211,FALSE)-SUMIFS($H178:$V178,$H$7:$V$7,AC$7)</f>
        <v>0</v>
      </c>
      <c r="AE178" s="146">
        <f>VLOOKUP($A178,'Summary June 2026'!$A:$HJ,213,FALSE)+VLOOKUP($A178,'Grants+ Other Funding'!$A:$CG,67,FALSE)</f>
        <v>413782.28152343084</v>
      </c>
      <c r="AF178" s="146">
        <f>_xlfn.IFNA(VLOOKUP($A178,'Summary June 2026'!$A:$HJ,214,FALSE)+VLOOKUP($A178,'Grants+ Other Funding'!$A:$CG,68,FALSE),0)</f>
        <v>-26.93</v>
      </c>
      <c r="AG178" s="146">
        <f>_xlfn.IFNA(VLOOKUP($A178,'Summary June 2026'!$A:$HJ,215,FALSE)+VLOOKUP($A178,'Grants+ Other Funding'!$A:$CG,69,FALSE),0)</f>
        <v>42735.724999999999</v>
      </c>
      <c r="AH178" s="146">
        <f>_xlfn.IFNA(VLOOKUP($A178,'Grants+ Other Funding'!$A:$CG,70,FALSE),0)</f>
        <v>0</v>
      </c>
      <c r="AI178" s="146">
        <f>_xlfn.IFNA(VLOOKUP($A178,'Grants+ Other Funding'!$A:$CG,71,FALSE),0)</f>
        <v>0</v>
      </c>
      <c r="AJ178" s="146">
        <f>_xlfn.IFNA(VLOOKUP($A178,'Grants+ Other Funding'!$A:$CG,72,FALSE),0)</f>
        <v>0</v>
      </c>
      <c r="AK178" s="146">
        <f>_xlfn.IFNA(VLOOKUP($A178,'Summary June 2026'!$A:$HJ,217,FALSE),0)</f>
        <v>-6221.578775</v>
      </c>
      <c r="AL178" s="146">
        <f>_xlfn.IFNA(VLOOKUP($A178,'Grants+ Other Funding'!$A:$CG,74,FALSE),0)</f>
        <v>0</v>
      </c>
      <c r="AM178" s="146">
        <f>_xlfn.IFNA(VLOOKUP($A178,'Summary June 2026'!$A:$HJ,218,FALSE),0)</f>
        <v>0</v>
      </c>
      <c r="AN178" s="146">
        <f>_xlfn.IFNA(VLOOKUP($A178,'Summary June 2026'!$A:$HJ,216,FALSE),0)</f>
        <v>-1188.9749999999999</v>
      </c>
      <c r="AO178" s="146">
        <f>_xlfn.IFNA(VLOOKUP($A178,'Grants+ Other Funding'!$A:$CG,73,FALSE),0)</f>
        <v>0</v>
      </c>
      <c r="AP178" s="65">
        <f t="shared" si="5"/>
        <v>449080.52274843084</v>
      </c>
    </row>
    <row r="179" spans="1:42">
      <c r="A179" s="198">
        <v>1020</v>
      </c>
      <c r="B179" s="2">
        <v>103133</v>
      </c>
      <c r="C179" s="2" t="s">
        <v>381</v>
      </c>
      <c r="D179" s="2" t="s">
        <v>382</v>
      </c>
      <c r="E179" s="190" t="s">
        <v>36</v>
      </c>
      <c r="F179" s="208" t="str">
        <f>VLOOKUP(A179,'Summary June 2026'!A:F,6,FALSE)</f>
        <v>Chq Bk</v>
      </c>
      <c r="H179" s="273">
        <f>_xlfn.IFNA(VLOOKUP($A179,ISB!$A:$BY,67,FALSE),0)</f>
        <v>0</v>
      </c>
      <c r="I179" s="218">
        <f>_xlfn.IFNA(VLOOKUP($A179,ISB!$A:$BY,72,FALSE),0)</f>
        <v>0</v>
      </c>
      <c r="J179" s="274">
        <f>-_xlfn.IFNA(VLOOKUP($A179,ISB!$A:$BY,76,FALSE),0)</f>
        <v>0</v>
      </c>
      <c r="L179" s="273">
        <f>_xlfn.IFNA(VLOOKUP($A179,EY!$A:$DX,126,FALSE),0)</f>
        <v>974499.06967244728</v>
      </c>
      <c r="M179" s="273">
        <f>_xlfn.IFNA(VLOOKUP($A179,EY!$A:$DX,127,FALSE),0)</f>
        <v>15151.196675900277</v>
      </c>
      <c r="O179" s="273">
        <f>_xlfn.IFNA(VLOOKUP($A179,HN!$A:$AN,37,FALSE),0)</f>
        <v>0</v>
      </c>
      <c r="P179" s="273">
        <f>_xlfn.IFNA(VLOOKUP($A179,HN!$A:$AN,38,FALSE),0)</f>
        <v>0</v>
      </c>
      <c r="Q179" s="273">
        <f>_xlfn.IFNA(VLOOKUP($A179,HN!$A:$AN,39,FALSE),0)</f>
        <v>0</v>
      </c>
      <c r="S179" s="337">
        <f>_xlfn.IFNA(VLOOKUP(A179,'Post 16'!A:AR,44,FALSE),0)</f>
        <v>0</v>
      </c>
      <c r="U179" s="337"/>
      <c r="V179" s="337">
        <f>VLOOKUP(A179,'LA Deductions'!A:AN,40,FALSE)</f>
        <v>0</v>
      </c>
      <c r="X179" s="274">
        <f>VLOOKUP($A179,'Summary June 2026'!$A:$AAX,206,FALSE)-SUMIFS($H179:$V179,$H$7:$V$7,X$7)</f>
        <v>0</v>
      </c>
      <c r="Y179" s="274">
        <f>VLOOKUP($A179,'Summary June 2026'!$A:$HC,207,FALSE)-SUMIFS($H179:$V179,$H$7:$V$7,Y$7)</f>
        <v>0</v>
      </c>
      <c r="Z179" s="274">
        <f>VLOOKUP($A179,'Summary June 2026'!$A:$HC,208,FALSE)-SUMIFS($H179:$V179,$H$7:$V$7,Z$7)</f>
        <v>0</v>
      </c>
      <c r="AA179" s="274">
        <f>VLOOKUP($A179,'Summary June 2026'!$A:$HC,209,FALSE)-SUMIFS($H179:$V179,$H$7:$V$7,AA$7)</f>
        <v>0</v>
      </c>
      <c r="AB179" s="274">
        <f>VLOOKUP($A179,'Summary June 2026'!$A:$HC,210,FALSE)-SUMIFS($H179:$V179,$H$7:$V$7,AB$7)</f>
        <v>0</v>
      </c>
      <c r="AC179" s="274">
        <f>VLOOKUP($A179,'Summary June 2026'!$A:$HC,211,FALSE)-SUMIFS($H179:$V179,$H$7:$V$7,AC$7)</f>
        <v>0</v>
      </c>
      <c r="AE179" s="146">
        <f>VLOOKUP($A179,'Summary June 2026'!$A:$HJ,213,FALSE)+VLOOKUP($A179,'Grants+ Other Funding'!$A:$CG,67,FALSE)</f>
        <v>730568.6164092893</v>
      </c>
      <c r="AF179" s="146">
        <f>_xlfn.IFNA(VLOOKUP($A179,'Summary June 2026'!$A:$HJ,214,FALSE)+VLOOKUP($A179,'Grants+ Other Funding'!$A:$CG,68,FALSE),0)</f>
        <v>-27.39</v>
      </c>
      <c r="AG179" s="146">
        <f>_xlfn.IFNA(VLOOKUP($A179,'Summary June 2026'!$A:$HJ,215,FALSE)+VLOOKUP($A179,'Grants+ Other Funding'!$A:$CG,69,FALSE),0)</f>
        <v>15151.196675900279</v>
      </c>
      <c r="AH179" s="146">
        <f>_xlfn.IFNA(VLOOKUP($A179,'Grants+ Other Funding'!$A:$CG,70,FALSE),0)</f>
        <v>0</v>
      </c>
      <c r="AI179" s="146">
        <f>_xlfn.IFNA(VLOOKUP($A179,'Grants+ Other Funding'!$A:$CG,71,FALSE),0)</f>
        <v>0</v>
      </c>
      <c r="AJ179" s="146">
        <f>_xlfn.IFNA(VLOOKUP($A179,'Grants+ Other Funding'!$A:$CG,72,FALSE),0)</f>
        <v>0</v>
      </c>
      <c r="AK179" s="146">
        <f>_xlfn.IFNA(VLOOKUP($A179,'Summary June 2026'!$A:$HJ,217,FALSE),0)</f>
        <v>0</v>
      </c>
      <c r="AL179" s="146">
        <f>_xlfn.IFNA(VLOOKUP($A179,'Grants+ Other Funding'!$A:$CG,74,FALSE),0)</f>
        <v>0</v>
      </c>
      <c r="AM179" s="146">
        <f>_xlfn.IFNA(VLOOKUP($A179,'Summary June 2026'!$A:$HJ,218,FALSE),0)</f>
        <v>0</v>
      </c>
      <c r="AN179" s="146">
        <f>_xlfn.IFNA(VLOOKUP($A179,'Summary June 2026'!$A:$HJ,216,FALSE),0)</f>
        <v>0</v>
      </c>
      <c r="AO179" s="146">
        <f>_xlfn.IFNA(VLOOKUP($A179,'Grants+ Other Funding'!$A:$CG,73,FALSE),0)</f>
        <v>0</v>
      </c>
      <c r="AP179" s="65">
        <f t="shared" si="5"/>
        <v>745692.42308518954</v>
      </c>
    </row>
    <row r="180" spans="1:42">
      <c r="A180" s="198">
        <v>1014</v>
      </c>
      <c r="B180" s="2">
        <v>103127</v>
      </c>
      <c r="C180" s="2" t="s">
        <v>383</v>
      </c>
      <c r="D180" s="2" t="s">
        <v>384</v>
      </c>
      <c r="E180" s="190" t="s">
        <v>36</v>
      </c>
      <c r="F180" s="208" t="str">
        <f>VLOOKUP(A180,'Summary June 2026'!A:F,6,FALSE)</f>
        <v>Chq Bk</v>
      </c>
      <c r="H180" s="273">
        <f>_xlfn.IFNA(VLOOKUP($A180,ISB!$A:$BY,67,FALSE),0)</f>
        <v>0</v>
      </c>
      <c r="I180" s="218">
        <f>_xlfn.IFNA(VLOOKUP($A180,ISB!$A:$BY,72,FALSE),0)</f>
        <v>0</v>
      </c>
      <c r="J180" s="274">
        <f>-_xlfn.IFNA(VLOOKUP($A180,ISB!$A:$BY,76,FALSE),0)</f>
        <v>0</v>
      </c>
      <c r="L180" s="273">
        <f>_xlfn.IFNA(VLOOKUP($A180,EY!$A:$DX,126,FALSE),0)</f>
        <v>595964.59866504371</v>
      </c>
      <c r="M180" s="273">
        <f>_xlfn.IFNA(VLOOKUP($A180,EY!$A:$DX,127,FALSE),0)</f>
        <v>7931.5180055401661</v>
      </c>
      <c r="O180" s="273">
        <f>_xlfn.IFNA(VLOOKUP($A180,HN!$A:$AN,37,FALSE),0)</f>
        <v>0</v>
      </c>
      <c r="P180" s="273">
        <f>_xlfn.IFNA(VLOOKUP($A180,HN!$A:$AN,38,FALSE),0)</f>
        <v>0</v>
      </c>
      <c r="Q180" s="273">
        <f>_xlfn.IFNA(VLOOKUP($A180,HN!$A:$AN,39,FALSE),0)</f>
        <v>0</v>
      </c>
      <c r="S180" s="337">
        <f>_xlfn.IFNA(VLOOKUP(A180,'Post 16'!A:AR,44,FALSE),0)</f>
        <v>0</v>
      </c>
      <c r="U180" s="337"/>
      <c r="V180" s="337">
        <f>VLOOKUP(A180,'LA Deductions'!A:AN,40,FALSE)</f>
        <v>0</v>
      </c>
      <c r="X180" s="274">
        <f>VLOOKUP($A180,'Summary June 2026'!$A:$AAX,206,FALSE)-SUMIFS($H180:$V180,$H$7:$V$7,X$7)</f>
        <v>0</v>
      </c>
      <c r="Y180" s="274">
        <f>VLOOKUP($A180,'Summary June 2026'!$A:$HC,207,FALSE)-SUMIFS($H180:$V180,$H$7:$V$7,Y$7)</f>
        <v>0</v>
      </c>
      <c r="Z180" s="274">
        <f>VLOOKUP($A180,'Summary June 2026'!$A:$HC,208,FALSE)-SUMIFS($H180:$V180,$H$7:$V$7,Z$7)</f>
        <v>0</v>
      </c>
      <c r="AA180" s="274">
        <f>VLOOKUP($A180,'Summary June 2026'!$A:$HC,209,FALSE)-SUMIFS($H180:$V180,$H$7:$V$7,AA$7)</f>
        <v>0</v>
      </c>
      <c r="AB180" s="274">
        <f>VLOOKUP($A180,'Summary June 2026'!$A:$HC,210,FALSE)-SUMIFS($H180:$V180,$H$7:$V$7,AB$7)</f>
        <v>0</v>
      </c>
      <c r="AC180" s="274">
        <f>VLOOKUP($A180,'Summary June 2026'!$A:$HC,211,FALSE)-SUMIFS($H180:$V180,$H$7:$V$7,AC$7)</f>
        <v>0</v>
      </c>
      <c r="AE180" s="146">
        <f>VLOOKUP($A180,'Summary June 2026'!$A:$HJ,213,FALSE)+VLOOKUP($A180,'Grants+ Other Funding'!$A:$CG,67,FALSE)</f>
        <v>448262.80961241206</v>
      </c>
      <c r="AF180" s="146">
        <f>_xlfn.IFNA(VLOOKUP($A180,'Summary June 2026'!$A:$HJ,214,FALSE)+VLOOKUP($A180,'Grants+ Other Funding'!$A:$CG,68,FALSE),0)</f>
        <v>0</v>
      </c>
      <c r="AG180" s="146">
        <f>_xlfn.IFNA(VLOOKUP($A180,'Summary June 2026'!$A:$HJ,215,FALSE)+VLOOKUP($A180,'Grants+ Other Funding'!$A:$CG,69,FALSE),0)</f>
        <v>6371.5180055401661</v>
      </c>
      <c r="AH180" s="146">
        <f>_xlfn.IFNA(VLOOKUP($A180,'Grants+ Other Funding'!$A:$CG,70,FALSE),0)</f>
        <v>0</v>
      </c>
      <c r="AI180" s="146">
        <f>_xlfn.IFNA(VLOOKUP($A180,'Grants+ Other Funding'!$A:$CG,71,FALSE),0)</f>
        <v>0</v>
      </c>
      <c r="AJ180" s="146">
        <f>_xlfn.IFNA(VLOOKUP($A180,'Grants+ Other Funding'!$A:$CG,72,FALSE),0)</f>
        <v>0</v>
      </c>
      <c r="AK180" s="146">
        <f>_xlfn.IFNA(VLOOKUP($A180,'Summary June 2026'!$A:$HJ,217,FALSE),0)</f>
        <v>0</v>
      </c>
      <c r="AL180" s="146">
        <f>_xlfn.IFNA(VLOOKUP($A180,'Grants+ Other Funding'!$A:$CG,74,FALSE),0)</f>
        <v>0</v>
      </c>
      <c r="AM180" s="146">
        <f>_xlfn.IFNA(VLOOKUP($A180,'Summary June 2026'!$A:$HJ,218,FALSE),0)</f>
        <v>0</v>
      </c>
      <c r="AN180" s="146">
        <f>_xlfn.IFNA(VLOOKUP($A180,'Summary June 2026'!$A:$HJ,216,FALSE),0)</f>
        <v>0</v>
      </c>
      <c r="AO180" s="146">
        <f>_xlfn.IFNA(VLOOKUP($A180,'Grants+ Other Funding'!$A:$CG,73,FALSE),0)</f>
        <v>0</v>
      </c>
      <c r="AP180" s="65">
        <f t="shared" si="5"/>
        <v>454634.32761795225</v>
      </c>
    </row>
    <row r="181" spans="1:42">
      <c r="A181" s="198">
        <v>2019</v>
      </c>
      <c r="B181" s="2">
        <v>134279</v>
      </c>
      <c r="C181" s="2" t="s">
        <v>385</v>
      </c>
      <c r="D181" s="2" t="s">
        <v>386</v>
      </c>
      <c r="E181" s="190" t="s">
        <v>39</v>
      </c>
      <c r="F181" s="208" t="str">
        <f>VLOOKUP(A181,'Summary June 2026'!A:F,6,FALSE)</f>
        <v>Chq Bk</v>
      </c>
      <c r="H181" s="273">
        <f>_xlfn.IFNA(VLOOKUP($A181,ISB!$A:$BY,67,FALSE),0)</f>
        <v>2551835.041346001</v>
      </c>
      <c r="I181" s="218">
        <f>_xlfn.IFNA(VLOOKUP($A181,ISB!$A:$BY,72,FALSE),0)</f>
        <v>-10159.199999999999</v>
      </c>
      <c r="J181" s="274">
        <f>-_xlfn.IFNA(VLOOKUP($A181,ISB!$A:$BY,76,FALSE),0)</f>
        <v>-84140.237999999998</v>
      </c>
      <c r="L181" s="273">
        <f>_xlfn.IFNA(VLOOKUP($A181,EY!$A:$DX,126,FALSE),0)</f>
        <v>0</v>
      </c>
      <c r="M181" s="273">
        <f>_xlfn.IFNA(VLOOKUP($A181,EY!$A:$DX,127,FALSE),0)</f>
        <v>0</v>
      </c>
      <c r="O181" s="273">
        <f>_xlfn.IFNA(VLOOKUP($A181,HN!$A:$AN,37,FALSE),0)</f>
        <v>0</v>
      </c>
      <c r="P181" s="273">
        <f>_xlfn.IFNA(VLOOKUP($A181,HN!$A:$AN,38,FALSE),0)</f>
        <v>0</v>
      </c>
      <c r="Q181" s="273">
        <f>_xlfn.IFNA(VLOOKUP($A181,HN!$A:$AN,39,FALSE),0)</f>
        <v>229252.5</v>
      </c>
      <c r="S181" s="337">
        <f>_xlfn.IFNA(VLOOKUP(A181,'Post 16'!A:AR,44,FALSE),0)</f>
        <v>0</v>
      </c>
      <c r="U181" s="337"/>
      <c r="V181" s="337">
        <f>VLOOKUP(A181,'LA Deductions'!A:AN,40,FALSE)</f>
        <v>0</v>
      </c>
      <c r="X181" s="274">
        <f>VLOOKUP($A181,'Summary June 2026'!$A:$AAX,206,FALSE)-SUMIFS($H181:$V181,$H$7:$V$7,X$7)</f>
        <v>0</v>
      </c>
      <c r="Y181" s="274">
        <f>VLOOKUP($A181,'Summary June 2026'!$A:$HC,207,FALSE)-SUMIFS($H181:$V181,$H$7:$V$7,Y$7)</f>
        <v>0</v>
      </c>
      <c r="Z181" s="274">
        <f>VLOOKUP($A181,'Summary June 2026'!$A:$HC,208,FALSE)-SUMIFS($H181:$V181,$H$7:$V$7,Z$7)</f>
        <v>0</v>
      </c>
      <c r="AA181" s="274">
        <f>VLOOKUP($A181,'Summary June 2026'!$A:$HC,209,FALSE)-SUMIFS($H181:$V181,$H$7:$V$7,AA$7)</f>
        <v>0</v>
      </c>
      <c r="AB181" s="274">
        <f>VLOOKUP($A181,'Summary June 2026'!$A:$HC,210,FALSE)-SUMIFS($H181:$V181,$H$7:$V$7,AB$7)</f>
        <v>0</v>
      </c>
      <c r="AC181" s="274">
        <f>VLOOKUP($A181,'Summary June 2026'!$A:$HC,211,FALSE)-SUMIFS($H181:$V181,$H$7:$V$7,AC$7)</f>
        <v>0</v>
      </c>
      <c r="AE181" s="146">
        <f>VLOOKUP($A181,'Summary June 2026'!$A:$HJ,213,FALSE)+VLOOKUP($A181,'Grants+ Other Funding'!$A:$CG,67,FALSE)</f>
        <v>638958.86033650022</v>
      </c>
      <c r="AF181" s="146">
        <f>_xlfn.IFNA(VLOOKUP($A181,'Summary June 2026'!$A:$HJ,214,FALSE)+VLOOKUP($A181,'Grants+ Other Funding'!$A:$CG,68,FALSE),0)</f>
        <v>-3.79</v>
      </c>
      <c r="AG181" s="146">
        <f>_xlfn.IFNA(VLOOKUP($A181,'Summary June 2026'!$A:$HJ,215,FALSE)+VLOOKUP($A181,'Grants+ Other Funding'!$A:$CG,69,FALSE),0)</f>
        <v>71009.34375</v>
      </c>
      <c r="AH181" s="146">
        <f>_xlfn.IFNA(VLOOKUP($A181,'Grants+ Other Funding'!$A:$CG,70,FALSE),0)</f>
        <v>0</v>
      </c>
      <c r="AI181" s="146">
        <f>_xlfn.IFNA(VLOOKUP($A181,'Grants+ Other Funding'!$A:$CG,71,FALSE),0)</f>
        <v>0</v>
      </c>
      <c r="AJ181" s="146">
        <f>_xlfn.IFNA(VLOOKUP($A181,'Grants+ Other Funding'!$A:$CG,72,FALSE),0)</f>
        <v>0</v>
      </c>
      <c r="AK181" s="146">
        <f>_xlfn.IFNA(VLOOKUP($A181,'Summary June 2026'!$A:$HJ,217,FALSE),0)</f>
        <v>-21035.059499999999</v>
      </c>
      <c r="AL181" s="146">
        <f>_xlfn.IFNA(VLOOKUP($A181,'Grants+ Other Funding'!$A:$CG,74,FALSE),0)</f>
        <v>0</v>
      </c>
      <c r="AM181" s="146">
        <f>_xlfn.IFNA(VLOOKUP($A181,'Summary June 2026'!$A:$HJ,218,FALSE),0)</f>
        <v>0</v>
      </c>
      <c r="AN181" s="146">
        <f>_xlfn.IFNA(VLOOKUP($A181,'Summary June 2026'!$A:$HJ,216,FALSE),0)</f>
        <v>-2539.7999999999997</v>
      </c>
      <c r="AO181" s="146">
        <f>_xlfn.IFNA(VLOOKUP($A181,'Grants+ Other Funding'!$A:$CG,73,FALSE),0)</f>
        <v>0</v>
      </c>
      <c r="AP181" s="65">
        <f t="shared" si="5"/>
        <v>686389.55458650016</v>
      </c>
    </row>
    <row r="182" spans="1:42">
      <c r="A182" s="198">
        <v>2011</v>
      </c>
      <c r="B182" s="2">
        <v>134099</v>
      </c>
      <c r="C182" s="2" t="s">
        <v>387</v>
      </c>
      <c r="D182" s="2" t="s">
        <v>388</v>
      </c>
      <c r="E182" s="190" t="s">
        <v>39</v>
      </c>
      <c r="F182" s="208" t="str">
        <f>VLOOKUP(A182,'Summary June 2026'!A:F,6,FALSE)</f>
        <v>Chq Bk</v>
      </c>
      <c r="H182" s="273">
        <f>_xlfn.IFNA(VLOOKUP($A182,ISB!$A:$BY,67,FALSE),0)</f>
        <v>3686043.490512548</v>
      </c>
      <c r="I182" s="218">
        <f>_xlfn.IFNA(VLOOKUP($A182,ISB!$A:$BY,72,FALSE),0)</f>
        <v>-15338.4</v>
      </c>
      <c r="J182" s="274">
        <f>-_xlfn.IFNA(VLOOKUP($A182,ISB!$A:$BY,76,FALSE),0)</f>
        <v>-104887.14599999999</v>
      </c>
      <c r="L182" s="273">
        <f>_xlfn.IFNA(VLOOKUP($A182,EY!$A:$DX,126,FALSE),0)</f>
        <v>87255.915401662045</v>
      </c>
      <c r="M182" s="273">
        <f>_xlfn.IFNA(VLOOKUP($A182,EY!$A:$DX,127,FALSE),0)</f>
        <v>0</v>
      </c>
      <c r="O182" s="273">
        <f>_xlfn.IFNA(VLOOKUP($A182,HN!$A:$AN,37,FALSE),0)</f>
        <v>0</v>
      </c>
      <c r="P182" s="273">
        <f>_xlfn.IFNA(VLOOKUP($A182,HN!$A:$AN,38,FALSE),0)</f>
        <v>0</v>
      </c>
      <c r="Q182" s="273">
        <f>_xlfn.IFNA(VLOOKUP($A182,HN!$A:$AN,39,FALSE),0)</f>
        <v>187167.5</v>
      </c>
      <c r="S182" s="337">
        <f>_xlfn.IFNA(VLOOKUP(A182,'Post 16'!A:AR,44,FALSE),0)</f>
        <v>0</v>
      </c>
      <c r="U182" s="337"/>
      <c r="V182" s="337">
        <f>VLOOKUP(A182,'LA Deductions'!A:AN,40,FALSE)</f>
        <v>0</v>
      </c>
      <c r="X182" s="274">
        <f>VLOOKUP($A182,'Summary June 2026'!$A:$AAX,206,FALSE)-SUMIFS($H182:$V182,$H$7:$V$7,X$7)</f>
        <v>0</v>
      </c>
      <c r="Y182" s="274">
        <f>VLOOKUP($A182,'Summary June 2026'!$A:$HC,207,FALSE)-SUMIFS($H182:$V182,$H$7:$V$7,Y$7)</f>
        <v>0</v>
      </c>
      <c r="Z182" s="274">
        <f>VLOOKUP($A182,'Summary June 2026'!$A:$HC,208,FALSE)-SUMIFS($H182:$V182,$H$7:$V$7,Z$7)</f>
        <v>0</v>
      </c>
      <c r="AA182" s="274">
        <f>VLOOKUP($A182,'Summary June 2026'!$A:$HC,209,FALSE)-SUMIFS($H182:$V182,$H$7:$V$7,AA$7)</f>
        <v>0</v>
      </c>
      <c r="AB182" s="274">
        <f>VLOOKUP($A182,'Summary June 2026'!$A:$HC,210,FALSE)-SUMIFS($H182:$V182,$H$7:$V$7,AB$7)</f>
        <v>0</v>
      </c>
      <c r="AC182" s="274">
        <f>VLOOKUP($A182,'Summary June 2026'!$A:$HC,211,FALSE)-SUMIFS($H182:$V182,$H$7:$V$7,AC$7)</f>
        <v>0</v>
      </c>
      <c r="AE182" s="146">
        <f>VLOOKUP($A182,'Summary June 2026'!$A:$HJ,213,FALSE)+VLOOKUP($A182,'Grants+ Other Funding'!$A:$CG,67,FALSE)</f>
        <v>969579.58802979894</v>
      </c>
      <c r="AF182" s="146">
        <f>_xlfn.IFNA(VLOOKUP($A182,'Summary June 2026'!$A:$HJ,214,FALSE)+VLOOKUP($A182,'Grants+ Other Funding'!$A:$CG,68,FALSE),0)</f>
        <v>0</v>
      </c>
      <c r="AG182" s="146">
        <f>_xlfn.IFNA(VLOOKUP($A182,'Summary June 2026'!$A:$HJ,215,FALSE)+VLOOKUP($A182,'Grants+ Other Funding'!$A:$CG,69,FALSE),0)</f>
        <v>55545.374749999995</v>
      </c>
      <c r="AH182" s="146">
        <f>_xlfn.IFNA(VLOOKUP($A182,'Grants+ Other Funding'!$A:$CG,70,FALSE),0)</f>
        <v>0</v>
      </c>
      <c r="AI182" s="146">
        <f>_xlfn.IFNA(VLOOKUP($A182,'Grants+ Other Funding'!$A:$CG,71,FALSE),0)</f>
        <v>0</v>
      </c>
      <c r="AJ182" s="146">
        <f>_xlfn.IFNA(VLOOKUP($A182,'Grants+ Other Funding'!$A:$CG,72,FALSE),0)</f>
        <v>0</v>
      </c>
      <c r="AK182" s="146">
        <f>_xlfn.IFNA(VLOOKUP($A182,'Summary June 2026'!$A:$HJ,217,FALSE),0)</f>
        <v>-26221.786499999998</v>
      </c>
      <c r="AL182" s="146">
        <f>_xlfn.IFNA(VLOOKUP($A182,'Grants+ Other Funding'!$A:$CG,74,FALSE),0)</f>
        <v>0</v>
      </c>
      <c r="AM182" s="146">
        <f>_xlfn.IFNA(VLOOKUP($A182,'Summary June 2026'!$A:$HJ,218,FALSE),0)</f>
        <v>0</v>
      </c>
      <c r="AN182" s="146">
        <f>_xlfn.IFNA(VLOOKUP($A182,'Summary June 2026'!$A:$HJ,216,FALSE),0)</f>
        <v>-3834.6000000000004</v>
      </c>
      <c r="AO182" s="146">
        <f>_xlfn.IFNA(VLOOKUP($A182,'Grants+ Other Funding'!$A:$CG,73,FALSE),0)</f>
        <v>0</v>
      </c>
      <c r="AP182" s="65">
        <f t="shared" si="5"/>
        <v>995068.57627979887</v>
      </c>
    </row>
    <row r="183" spans="1:42">
      <c r="A183" s="198">
        <v>4193</v>
      </c>
      <c r="B183" s="2">
        <v>103501</v>
      </c>
      <c r="C183" s="2" t="s">
        <v>389</v>
      </c>
      <c r="D183" s="2" t="s">
        <v>390</v>
      </c>
      <c r="E183" s="190" t="s">
        <v>71</v>
      </c>
      <c r="F183" s="208" t="str">
        <f>VLOOKUP(A183,'Summary June 2026'!A:F,6,FALSE)</f>
        <v>Chq Bk</v>
      </c>
      <c r="H183" s="273">
        <f>_xlfn.IFNA(VLOOKUP($A183,ISB!$A:$BY,67,FALSE),0)</f>
        <v>5499271.841727728</v>
      </c>
      <c r="I183" s="218">
        <f>_xlfn.IFNA(VLOOKUP($A183,ISB!$A:$BY,72,FALSE),0)</f>
        <v>-13143</v>
      </c>
      <c r="J183" s="274">
        <f>-_xlfn.IFNA(VLOOKUP($A183,ISB!$A:$BY,76,FALSE),0)</f>
        <v>-137736.41699999999</v>
      </c>
      <c r="L183" s="273">
        <f>_xlfn.IFNA(VLOOKUP($A183,EY!$A:$DX,126,FALSE),0)</f>
        <v>0</v>
      </c>
      <c r="M183" s="273">
        <f>_xlfn.IFNA(VLOOKUP($A183,EY!$A:$DX,127,FALSE),0)</f>
        <v>0</v>
      </c>
      <c r="O183" s="273">
        <f>_xlfn.IFNA(VLOOKUP($A183,HN!$A:$AN,37,FALSE),0)</f>
        <v>0</v>
      </c>
      <c r="P183" s="273">
        <f>_xlfn.IFNA(VLOOKUP($A183,HN!$A:$AN,38,FALSE),0)</f>
        <v>0</v>
      </c>
      <c r="Q183" s="273">
        <f>_xlfn.IFNA(VLOOKUP($A183,HN!$A:$AN,39,FALSE),0)</f>
        <v>171662.5</v>
      </c>
      <c r="S183" s="337">
        <f>_xlfn.IFNA(VLOOKUP(A183,'Post 16'!A:AR,44,FALSE),0)</f>
        <v>0</v>
      </c>
      <c r="U183" s="337"/>
      <c r="V183" s="337">
        <f>VLOOKUP(A183,'LA Deductions'!A:AN,40,FALSE)</f>
        <v>0</v>
      </c>
      <c r="X183" s="274">
        <f>VLOOKUP($A183,'Summary June 2026'!$A:$AAX,206,FALSE)-SUMIFS($H183:$V183,$H$7:$V$7,X$7)</f>
        <v>0</v>
      </c>
      <c r="Y183" s="274">
        <f>VLOOKUP($A183,'Summary June 2026'!$A:$HC,207,FALSE)-SUMIFS($H183:$V183,$H$7:$V$7,Y$7)</f>
        <v>0</v>
      </c>
      <c r="Z183" s="274">
        <f>VLOOKUP($A183,'Summary June 2026'!$A:$HC,208,FALSE)-SUMIFS($H183:$V183,$H$7:$V$7,Z$7)</f>
        <v>0</v>
      </c>
      <c r="AA183" s="274">
        <f>VLOOKUP($A183,'Summary June 2026'!$A:$HC,209,FALSE)-SUMIFS($H183:$V183,$H$7:$V$7,AA$7)</f>
        <v>0</v>
      </c>
      <c r="AB183" s="274">
        <f>VLOOKUP($A183,'Summary June 2026'!$A:$HC,210,FALSE)-SUMIFS($H183:$V183,$H$7:$V$7,AB$7)</f>
        <v>0</v>
      </c>
      <c r="AC183" s="274">
        <f>VLOOKUP($A183,'Summary June 2026'!$A:$HC,211,FALSE)-SUMIFS($H183:$V183,$H$7:$V$7,AC$7)</f>
        <v>0</v>
      </c>
      <c r="AE183" s="146">
        <f>VLOOKUP($A183,'Summary June 2026'!$A:$HJ,213,FALSE)+VLOOKUP($A183,'Grants+ Other Funding'!$A:$CG,67,FALSE)</f>
        <v>1374817.960431932</v>
      </c>
      <c r="AF183" s="146">
        <f>_xlfn.IFNA(VLOOKUP($A183,'Summary June 2026'!$A:$HJ,214,FALSE)+VLOOKUP($A183,'Grants+ Other Funding'!$A:$CG,68,FALSE),0)</f>
        <v>0</v>
      </c>
      <c r="AG183" s="146">
        <f>_xlfn.IFNA(VLOOKUP($A183,'Summary June 2026'!$A:$HJ,215,FALSE)+VLOOKUP($A183,'Grants+ Other Funding'!$A:$CG,69,FALSE),0)</f>
        <v>52359.412750000003</v>
      </c>
      <c r="AH183" s="146">
        <f>_xlfn.IFNA(VLOOKUP($A183,'Grants+ Other Funding'!$A:$CG,70,FALSE),0)</f>
        <v>0</v>
      </c>
      <c r="AI183" s="146">
        <f>_xlfn.IFNA(VLOOKUP($A183,'Grants+ Other Funding'!$A:$CG,71,FALSE),0)</f>
        <v>0</v>
      </c>
      <c r="AJ183" s="146">
        <f>_xlfn.IFNA(VLOOKUP($A183,'Grants+ Other Funding'!$A:$CG,72,FALSE),0)</f>
        <v>0</v>
      </c>
      <c r="AK183" s="146">
        <f>_xlfn.IFNA(VLOOKUP($A183,'Summary June 2026'!$A:$HJ,217,FALSE),0)</f>
        <v>-34434.104249999997</v>
      </c>
      <c r="AL183" s="146">
        <f>_xlfn.IFNA(VLOOKUP($A183,'Grants+ Other Funding'!$A:$CG,74,FALSE),0)</f>
        <v>0</v>
      </c>
      <c r="AM183" s="146">
        <f>_xlfn.IFNA(VLOOKUP($A183,'Summary June 2026'!$A:$HJ,218,FALSE),0)</f>
        <v>0</v>
      </c>
      <c r="AN183" s="146">
        <f>_xlfn.IFNA(VLOOKUP($A183,'Summary June 2026'!$A:$HJ,216,FALSE),0)</f>
        <v>-3285.75</v>
      </c>
      <c r="AO183" s="146">
        <f>_xlfn.IFNA(VLOOKUP($A183,'Grants+ Other Funding'!$A:$CG,73,FALSE),0)</f>
        <v>0</v>
      </c>
      <c r="AP183" s="65">
        <f t="shared" si="5"/>
        <v>1389457.5189319318</v>
      </c>
    </row>
    <row r="184" spans="1:42">
      <c r="A184" s="198">
        <v>2478</v>
      </c>
      <c r="B184" s="2">
        <v>132007</v>
      </c>
      <c r="C184" s="2" t="s">
        <v>391</v>
      </c>
      <c r="D184" s="2" t="s">
        <v>392</v>
      </c>
      <c r="E184" s="190" t="s">
        <v>39</v>
      </c>
      <c r="F184" s="208" t="str">
        <f>VLOOKUP(A184,'Summary June 2026'!A:F,6,FALSE)</f>
        <v>Chq Bk</v>
      </c>
      <c r="H184" s="273">
        <f>_xlfn.IFNA(VLOOKUP($A184,ISB!$A:$BY,67,FALSE),0)</f>
        <v>2189217.5130000003</v>
      </c>
      <c r="I184" s="218">
        <f>_xlfn.IFNA(VLOOKUP($A184,ISB!$A:$BY,72,FALSE),0)</f>
        <v>-10458</v>
      </c>
      <c r="J184" s="274">
        <f>-_xlfn.IFNA(VLOOKUP($A184,ISB!$A:$BY,76,FALSE),0)</f>
        <v>-40917.512999999999</v>
      </c>
      <c r="L184" s="273">
        <f>_xlfn.IFNA(VLOOKUP($A184,EY!$A:$DX,126,FALSE),0)</f>
        <v>86175.137052631588</v>
      </c>
      <c r="M184" s="273">
        <f>_xlfn.IFNA(VLOOKUP($A184,EY!$A:$DX,127,FALSE),0)</f>
        <v>0</v>
      </c>
      <c r="O184" s="273">
        <f>_xlfn.IFNA(VLOOKUP($A184,HN!$A:$AN,37,FALSE),0)</f>
        <v>0</v>
      </c>
      <c r="P184" s="273">
        <f>_xlfn.IFNA(VLOOKUP($A184,HN!$A:$AN,38,FALSE),0)</f>
        <v>0</v>
      </c>
      <c r="Q184" s="273">
        <f>_xlfn.IFNA(VLOOKUP($A184,HN!$A:$AN,39,FALSE),0)</f>
        <v>26580</v>
      </c>
      <c r="S184" s="337">
        <f>_xlfn.IFNA(VLOOKUP(A184,'Post 16'!A:AR,44,FALSE),0)</f>
        <v>0</v>
      </c>
      <c r="U184" s="337"/>
      <c r="V184" s="337">
        <f>VLOOKUP(A184,'LA Deductions'!A:AN,40,FALSE)</f>
        <v>-3780</v>
      </c>
      <c r="X184" s="274">
        <f>VLOOKUP($A184,'Summary June 2026'!$A:$AAX,206,FALSE)-SUMIFS($H184:$V184,$H$7:$V$7,X$7)</f>
        <v>0</v>
      </c>
      <c r="Y184" s="274">
        <f>VLOOKUP($A184,'Summary June 2026'!$A:$HC,207,FALSE)-SUMIFS($H184:$V184,$H$7:$V$7,Y$7)</f>
        <v>0</v>
      </c>
      <c r="Z184" s="274">
        <f>VLOOKUP($A184,'Summary June 2026'!$A:$HC,208,FALSE)-SUMIFS($H184:$V184,$H$7:$V$7,Z$7)</f>
        <v>0</v>
      </c>
      <c r="AA184" s="274">
        <f>VLOOKUP($A184,'Summary June 2026'!$A:$HC,209,FALSE)-SUMIFS($H184:$V184,$H$7:$V$7,AA$7)</f>
        <v>0</v>
      </c>
      <c r="AB184" s="274">
        <f>VLOOKUP($A184,'Summary June 2026'!$A:$HC,210,FALSE)-SUMIFS($H184:$V184,$H$7:$V$7,AB$7)</f>
        <v>0</v>
      </c>
      <c r="AC184" s="274">
        <f>VLOOKUP($A184,'Summary June 2026'!$A:$HC,211,FALSE)-SUMIFS($H184:$V184,$H$7:$V$7,AC$7)</f>
        <v>0</v>
      </c>
      <c r="AE184" s="146">
        <f>VLOOKUP($A184,'Summary June 2026'!$A:$HJ,213,FALSE)+VLOOKUP($A184,'Grants+ Other Funding'!$A:$CG,67,FALSE)</f>
        <v>596638.74140789488</v>
      </c>
      <c r="AF184" s="146">
        <f>_xlfn.IFNA(VLOOKUP($A184,'Summary June 2026'!$A:$HJ,214,FALSE)+VLOOKUP($A184,'Grants+ Other Funding'!$A:$CG,68,FALSE),0)</f>
        <v>0</v>
      </c>
      <c r="AG184" s="146">
        <f>_xlfn.IFNA(VLOOKUP($A184,'Summary June 2026'!$A:$HJ,215,FALSE)+VLOOKUP($A184,'Grants+ Other Funding'!$A:$CG,69,FALSE),0)</f>
        <v>9970.2000000000007</v>
      </c>
      <c r="AH184" s="146">
        <f>_xlfn.IFNA(VLOOKUP($A184,'Grants+ Other Funding'!$A:$CG,70,FALSE),0)</f>
        <v>0</v>
      </c>
      <c r="AI184" s="146">
        <f>_xlfn.IFNA(VLOOKUP($A184,'Grants+ Other Funding'!$A:$CG,71,FALSE),0)</f>
        <v>0</v>
      </c>
      <c r="AJ184" s="146">
        <f>_xlfn.IFNA(VLOOKUP($A184,'Grants+ Other Funding'!$A:$CG,72,FALSE),0)</f>
        <v>0</v>
      </c>
      <c r="AK184" s="146">
        <f>_xlfn.IFNA(VLOOKUP($A184,'Summary June 2026'!$A:$HJ,217,FALSE),0)</f>
        <v>-10229.37825</v>
      </c>
      <c r="AL184" s="146">
        <f>_xlfn.IFNA(VLOOKUP($A184,'Grants+ Other Funding'!$A:$CG,74,FALSE),0)</f>
        <v>0</v>
      </c>
      <c r="AM184" s="146">
        <f>_xlfn.IFNA(VLOOKUP($A184,'Summary June 2026'!$A:$HJ,218,FALSE),0)</f>
        <v>0</v>
      </c>
      <c r="AN184" s="146">
        <f>_xlfn.IFNA(VLOOKUP($A184,'Summary June 2026'!$A:$HJ,216,FALSE),0)</f>
        <v>-2614.5</v>
      </c>
      <c r="AO184" s="146">
        <f>_xlfn.IFNA(VLOOKUP($A184,'Grants+ Other Funding'!$A:$CG,73,FALSE),0)</f>
        <v>0</v>
      </c>
      <c r="AP184" s="65">
        <f t="shared" si="5"/>
        <v>593765.06315789488</v>
      </c>
    </row>
    <row r="185" spans="1:42">
      <c r="A185" s="198">
        <v>2293</v>
      </c>
      <c r="B185" s="2">
        <v>103317</v>
      </c>
      <c r="C185" s="2" t="s">
        <v>393</v>
      </c>
      <c r="D185" s="2" t="s">
        <v>394</v>
      </c>
      <c r="E185" s="190" t="s">
        <v>39</v>
      </c>
      <c r="F185" s="208" t="str">
        <f>VLOOKUP(A185,'Summary June 2026'!A:F,6,FALSE)</f>
        <v>Chq Bk</v>
      </c>
      <c r="H185" s="273">
        <f>_xlfn.IFNA(VLOOKUP($A185,ISB!$A:$BY,67,FALSE),0)</f>
        <v>3474179.0796479965</v>
      </c>
      <c r="I185" s="218">
        <f>_xlfn.IFNA(VLOOKUP($A185,ISB!$A:$BY,72,FALSE),0)</f>
        <v>-14043.599999999999</v>
      </c>
      <c r="J185" s="274">
        <f>-_xlfn.IFNA(VLOOKUP($A185,ISB!$A:$BY,76,FALSE),0)</f>
        <v>-9508.9994999999999</v>
      </c>
      <c r="L185" s="273">
        <f>_xlfn.IFNA(VLOOKUP($A185,EY!$A:$DX,126,FALSE),0)</f>
        <v>87890.907894736854</v>
      </c>
      <c r="M185" s="273">
        <f>_xlfn.IFNA(VLOOKUP($A185,EY!$A:$DX,127,FALSE),0)</f>
        <v>0</v>
      </c>
      <c r="O185" s="273">
        <f>_xlfn.IFNA(VLOOKUP($A185,HN!$A:$AN,37,FALSE),0)</f>
        <v>0</v>
      </c>
      <c r="P185" s="273">
        <f>_xlfn.IFNA(VLOOKUP($A185,HN!$A:$AN,38,FALSE),0)</f>
        <v>0</v>
      </c>
      <c r="Q185" s="273">
        <f>_xlfn.IFNA(VLOOKUP($A185,HN!$A:$AN,39,FALSE),0)</f>
        <v>111857.5</v>
      </c>
      <c r="S185" s="337">
        <f>_xlfn.IFNA(VLOOKUP(A185,'Post 16'!A:AR,44,FALSE),0)</f>
        <v>0</v>
      </c>
      <c r="U185" s="337"/>
      <c r="V185" s="337">
        <f>VLOOKUP(A185,'LA Deductions'!A:AN,40,FALSE)</f>
        <v>0</v>
      </c>
      <c r="X185" s="274">
        <f>VLOOKUP($A185,'Summary June 2026'!$A:$AAX,206,FALSE)-SUMIFS($H185:$V185,$H$7:$V$7,X$7)</f>
        <v>0</v>
      </c>
      <c r="Y185" s="274">
        <f>VLOOKUP($A185,'Summary June 2026'!$A:$HC,207,FALSE)-SUMIFS($H185:$V185,$H$7:$V$7,Y$7)</f>
        <v>0</v>
      </c>
      <c r="Z185" s="274">
        <f>VLOOKUP($A185,'Summary June 2026'!$A:$HC,208,FALSE)-SUMIFS($H185:$V185,$H$7:$V$7,Z$7)</f>
        <v>0</v>
      </c>
      <c r="AA185" s="274">
        <f>VLOOKUP($A185,'Summary June 2026'!$A:$HC,209,FALSE)-SUMIFS($H185:$V185,$H$7:$V$7,AA$7)</f>
        <v>0</v>
      </c>
      <c r="AB185" s="274">
        <f>VLOOKUP($A185,'Summary June 2026'!$A:$HC,210,FALSE)-SUMIFS($H185:$V185,$H$7:$V$7,AB$7)</f>
        <v>0</v>
      </c>
      <c r="AC185" s="274">
        <f>VLOOKUP($A185,'Summary June 2026'!$A:$HC,211,FALSE)-SUMIFS($H185:$V185,$H$7:$V$7,AC$7)</f>
        <v>0</v>
      </c>
      <c r="AE185" s="146">
        <f>VLOOKUP($A185,'Summary June 2026'!$A:$HJ,213,FALSE)+VLOOKUP($A185,'Grants+ Other Funding'!$A:$CG,67,FALSE)</f>
        <v>923305.957806736</v>
      </c>
      <c r="AF185" s="146">
        <f>_xlfn.IFNA(VLOOKUP($A185,'Summary June 2026'!$A:$HJ,214,FALSE)+VLOOKUP($A185,'Grants+ Other Funding'!$A:$CG,68,FALSE),0)</f>
        <v>0</v>
      </c>
      <c r="AG185" s="146">
        <f>_xlfn.IFNA(VLOOKUP($A185,'Summary June 2026'!$A:$HJ,215,FALSE)+VLOOKUP($A185,'Grants+ Other Funding'!$A:$CG,69,FALSE),0)</f>
        <v>32141.950000000004</v>
      </c>
      <c r="AH185" s="146">
        <f>_xlfn.IFNA(VLOOKUP($A185,'Grants+ Other Funding'!$A:$CG,70,FALSE),0)</f>
        <v>0</v>
      </c>
      <c r="AI185" s="146">
        <f>_xlfn.IFNA(VLOOKUP($A185,'Grants+ Other Funding'!$A:$CG,71,FALSE),0)</f>
        <v>0</v>
      </c>
      <c r="AJ185" s="146">
        <f>_xlfn.IFNA(VLOOKUP($A185,'Grants+ Other Funding'!$A:$CG,72,FALSE),0)</f>
        <v>0</v>
      </c>
      <c r="AK185" s="146">
        <f>_xlfn.IFNA(VLOOKUP($A185,'Summary June 2026'!$A:$HJ,217,FALSE),0)</f>
        <v>-2377.249875</v>
      </c>
      <c r="AL185" s="146">
        <f>_xlfn.IFNA(VLOOKUP($A185,'Grants+ Other Funding'!$A:$CG,74,FALSE),0)</f>
        <v>0</v>
      </c>
      <c r="AM185" s="146">
        <f>_xlfn.IFNA(VLOOKUP($A185,'Summary June 2026'!$A:$HJ,218,FALSE),0)</f>
        <v>0</v>
      </c>
      <c r="AN185" s="146">
        <f>_xlfn.IFNA(VLOOKUP($A185,'Summary June 2026'!$A:$HJ,216,FALSE),0)</f>
        <v>-3510.8999999999996</v>
      </c>
      <c r="AO185" s="146">
        <f>_xlfn.IFNA(VLOOKUP($A185,'Grants+ Other Funding'!$A:$CG,73,FALSE),0)</f>
        <v>0</v>
      </c>
      <c r="AP185" s="65">
        <f t="shared" si="5"/>
        <v>949559.75793173595</v>
      </c>
    </row>
    <row r="186" spans="1:42">
      <c r="A186" s="198">
        <v>2445</v>
      </c>
      <c r="B186" s="2">
        <v>103372</v>
      </c>
      <c r="C186" s="2" t="s">
        <v>395</v>
      </c>
      <c r="D186" s="2" t="s">
        <v>396</v>
      </c>
      <c r="E186" s="190" t="s">
        <v>39</v>
      </c>
      <c r="F186" s="208" t="str">
        <f>VLOOKUP(A186,'Summary June 2026'!A:F,6,FALSE)</f>
        <v>Chq Bk</v>
      </c>
      <c r="H186" s="273">
        <f>_xlfn.IFNA(VLOOKUP($A186,ISB!$A:$BY,67,FALSE),0)</f>
        <v>1407084.5693453136</v>
      </c>
      <c r="I186" s="218">
        <f>_xlfn.IFNA(VLOOKUP($A186,ISB!$A:$BY,72,FALSE),0)</f>
        <v>-4955.0999999999995</v>
      </c>
      <c r="J186" s="274">
        <f>-_xlfn.IFNA(VLOOKUP($A186,ISB!$A:$BY,76,FALSE),0)</f>
        <v>-18697.6548</v>
      </c>
      <c r="L186" s="273">
        <f>_xlfn.IFNA(VLOOKUP($A186,EY!$A:$DX,126,FALSE),0)</f>
        <v>0</v>
      </c>
      <c r="M186" s="273">
        <f>_xlfn.IFNA(VLOOKUP($A186,EY!$A:$DX,127,FALSE),0)</f>
        <v>0</v>
      </c>
      <c r="O186" s="273">
        <f>_xlfn.IFNA(VLOOKUP($A186,HN!$A:$AN,37,FALSE),0)</f>
        <v>0</v>
      </c>
      <c r="P186" s="273">
        <f>_xlfn.IFNA(VLOOKUP($A186,HN!$A:$AN,38,FALSE),0)</f>
        <v>0</v>
      </c>
      <c r="Q186" s="273">
        <f>_xlfn.IFNA(VLOOKUP($A186,HN!$A:$AN,39,FALSE),0)</f>
        <v>85277.5</v>
      </c>
      <c r="S186" s="337">
        <f>_xlfn.IFNA(VLOOKUP(A186,'Post 16'!A:AR,44,FALSE),0)</f>
        <v>0</v>
      </c>
      <c r="U186" s="337"/>
      <c r="V186" s="337">
        <f>VLOOKUP(A186,'LA Deductions'!A:AN,40,FALSE)</f>
        <v>0</v>
      </c>
      <c r="X186" s="274">
        <f>VLOOKUP($A186,'Summary June 2026'!$A:$AAX,206,FALSE)-SUMIFS($H186:$V186,$H$7:$V$7,X$7)</f>
        <v>0</v>
      </c>
      <c r="Y186" s="274">
        <f>VLOOKUP($A186,'Summary June 2026'!$A:$HC,207,FALSE)-SUMIFS($H186:$V186,$H$7:$V$7,Y$7)</f>
        <v>0</v>
      </c>
      <c r="Z186" s="274">
        <f>VLOOKUP($A186,'Summary June 2026'!$A:$HC,208,FALSE)-SUMIFS($H186:$V186,$H$7:$V$7,Z$7)</f>
        <v>0</v>
      </c>
      <c r="AA186" s="274">
        <f>VLOOKUP($A186,'Summary June 2026'!$A:$HC,209,FALSE)-SUMIFS($H186:$V186,$H$7:$V$7,AA$7)</f>
        <v>0</v>
      </c>
      <c r="AB186" s="274">
        <f>VLOOKUP($A186,'Summary June 2026'!$A:$HC,210,FALSE)-SUMIFS($H186:$V186,$H$7:$V$7,AB$7)</f>
        <v>0</v>
      </c>
      <c r="AC186" s="274">
        <f>VLOOKUP($A186,'Summary June 2026'!$A:$HC,211,FALSE)-SUMIFS($H186:$V186,$H$7:$V$7,AC$7)</f>
        <v>0</v>
      </c>
      <c r="AE186" s="146">
        <f>VLOOKUP($A186,'Summary June 2026'!$A:$HJ,213,FALSE)+VLOOKUP($A186,'Grants+ Other Funding'!$A:$CG,67,FALSE)</f>
        <v>351771.1423363284</v>
      </c>
      <c r="AF186" s="146">
        <f>_xlfn.IFNA(VLOOKUP($A186,'Summary June 2026'!$A:$HJ,214,FALSE)+VLOOKUP($A186,'Grants+ Other Funding'!$A:$CG,68,FALSE),0)</f>
        <v>0</v>
      </c>
      <c r="AG186" s="146">
        <f>_xlfn.IFNA(VLOOKUP($A186,'Summary June 2026'!$A:$HJ,215,FALSE)+VLOOKUP($A186,'Grants+ Other Funding'!$A:$CG,69,FALSE),0)</f>
        <v>27444.699999999997</v>
      </c>
      <c r="AH186" s="146">
        <f>_xlfn.IFNA(VLOOKUP($A186,'Grants+ Other Funding'!$A:$CG,70,FALSE),0)</f>
        <v>0</v>
      </c>
      <c r="AI186" s="146">
        <f>_xlfn.IFNA(VLOOKUP($A186,'Grants+ Other Funding'!$A:$CG,71,FALSE),0)</f>
        <v>0</v>
      </c>
      <c r="AJ186" s="146">
        <f>_xlfn.IFNA(VLOOKUP($A186,'Grants+ Other Funding'!$A:$CG,72,FALSE),0)</f>
        <v>0</v>
      </c>
      <c r="AK186" s="146">
        <f>_xlfn.IFNA(VLOOKUP($A186,'Summary June 2026'!$A:$HJ,217,FALSE),0)</f>
        <v>-4674.4137000000001</v>
      </c>
      <c r="AL186" s="146">
        <f>_xlfn.IFNA(VLOOKUP($A186,'Grants+ Other Funding'!$A:$CG,74,FALSE),0)</f>
        <v>0</v>
      </c>
      <c r="AM186" s="146">
        <f>_xlfn.IFNA(VLOOKUP($A186,'Summary June 2026'!$A:$HJ,218,FALSE),0)</f>
        <v>0</v>
      </c>
      <c r="AN186" s="146">
        <f>_xlfn.IFNA(VLOOKUP($A186,'Summary June 2026'!$A:$HJ,216,FALSE),0)</f>
        <v>-1238.7749999999999</v>
      </c>
      <c r="AO186" s="146">
        <f>_xlfn.IFNA(VLOOKUP($A186,'Grants+ Other Funding'!$A:$CG,73,FALSE),0)</f>
        <v>0</v>
      </c>
      <c r="AP186" s="65">
        <f t="shared" si="5"/>
        <v>373302.65363632841</v>
      </c>
    </row>
    <row r="187" spans="1:42">
      <c r="A187" s="198">
        <v>2278</v>
      </c>
      <c r="B187" s="2">
        <v>103310</v>
      </c>
      <c r="C187" s="2" t="s">
        <v>397</v>
      </c>
      <c r="D187" s="2" t="s">
        <v>398</v>
      </c>
      <c r="E187" s="190" t="s">
        <v>39</v>
      </c>
      <c r="F187" s="208" t="str">
        <f>VLOOKUP(A187,'Summary June 2026'!A:F,6,FALSE)</f>
        <v>Chq Bk</v>
      </c>
      <c r="H187" s="273">
        <f>_xlfn.IFNA(VLOOKUP($A187,ISB!$A:$BY,67,FALSE),0)</f>
        <v>2606674.4469892322</v>
      </c>
      <c r="I187" s="218">
        <f>_xlfn.IFNA(VLOOKUP($A187,ISB!$A:$BY,72,FALSE),0)</f>
        <v>-9984.9</v>
      </c>
      <c r="J187" s="274">
        <f>-_xlfn.IFNA(VLOOKUP($A187,ISB!$A:$BY,76,FALSE),0)</f>
        <v>-35442.6345</v>
      </c>
      <c r="L187" s="273">
        <f>_xlfn.IFNA(VLOOKUP($A187,EY!$A:$DX,126,FALSE),0)</f>
        <v>0</v>
      </c>
      <c r="M187" s="273">
        <f>_xlfn.IFNA(VLOOKUP($A187,EY!$A:$DX,127,FALSE),0)</f>
        <v>0</v>
      </c>
      <c r="O187" s="273">
        <f>_xlfn.IFNA(VLOOKUP($A187,HN!$A:$AN,37,FALSE),0)</f>
        <v>0</v>
      </c>
      <c r="P187" s="273">
        <f>_xlfn.IFNA(VLOOKUP($A187,HN!$A:$AN,38,FALSE),0)</f>
        <v>0</v>
      </c>
      <c r="Q187" s="273">
        <f>_xlfn.IFNA(VLOOKUP($A187,HN!$A:$AN,39,FALSE),0)</f>
        <v>170555</v>
      </c>
      <c r="S187" s="337">
        <f>_xlfn.IFNA(VLOOKUP(A187,'Post 16'!A:AR,44,FALSE),0)</f>
        <v>0</v>
      </c>
      <c r="U187" s="337"/>
      <c r="V187" s="337">
        <f>VLOOKUP(A187,'LA Deductions'!A:AN,40,FALSE)</f>
        <v>0</v>
      </c>
      <c r="X187" s="274">
        <f>VLOOKUP($A187,'Summary June 2026'!$A:$AAX,206,FALSE)-SUMIFS($H187:$V187,$H$7:$V$7,X$7)</f>
        <v>0</v>
      </c>
      <c r="Y187" s="274">
        <f>VLOOKUP($A187,'Summary June 2026'!$A:$HC,207,FALSE)-SUMIFS($H187:$V187,$H$7:$V$7,Y$7)</f>
        <v>0</v>
      </c>
      <c r="Z187" s="274">
        <f>VLOOKUP($A187,'Summary June 2026'!$A:$HC,208,FALSE)-SUMIFS($H187:$V187,$H$7:$V$7,Z$7)</f>
        <v>0</v>
      </c>
      <c r="AA187" s="274">
        <f>VLOOKUP($A187,'Summary June 2026'!$A:$HC,209,FALSE)-SUMIFS($H187:$V187,$H$7:$V$7,AA$7)</f>
        <v>0</v>
      </c>
      <c r="AB187" s="274">
        <f>VLOOKUP($A187,'Summary June 2026'!$A:$HC,210,FALSE)-SUMIFS($H187:$V187,$H$7:$V$7,AB$7)</f>
        <v>0</v>
      </c>
      <c r="AC187" s="274">
        <f>VLOOKUP($A187,'Summary June 2026'!$A:$HC,211,FALSE)-SUMIFS($H187:$V187,$H$7:$V$7,AC$7)</f>
        <v>0</v>
      </c>
      <c r="AE187" s="146">
        <f>VLOOKUP($A187,'Summary June 2026'!$A:$HJ,213,FALSE)+VLOOKUP($A187,'Grants+ Other Funding'!$A:$CG,67,FALSE)</f>
        <v>654536.74174730806</v>
      </c>
      <c r="AF187" s="146">
        <f>_xlfn.IFNA(VLOOKUP($A187,'Summary June 2026'!$A:$HJ,214,FALSE)+VLOOKUP($A187,'Grants+ Other Funding'!$A:$CG,68,FALSE),0)</f>
        <v>-35.409999999999997</v>
      </c>
      <c r="AG187" s="146">
        <f>_xlfn.IFNA(VLOOKUP($A187,'Summary June 2026'!$A:$HJ,215,FALSE)+VLOOKUP($A187,'Grants+ Other Funding'!$A:$CG,69,FALSE),0)</f>
        <v>61365.749750000003</v>
      </c>
      <c r="AH187" s="146">
        <f>_xlfn.IFNA(VLOOKUP($A187,'Grants+ Other Funding'!$A:$CG,70,FALSE),0)</f>
        <v>0</v>
      </c>
      <c r="AI187" s="146">
        <f>_xlfn.IFNA(VLOOKUP($A187,'Grants+ Other Funding'!$A:$CG,71,FALSE),0)</f>
        <v>0</v>
      </c>
      <c r="AJ187" s="146">
        <f>_xlfn.IFNA(VLOOKUP($A187,'Grants+ Other Funding'!$A:$CG,72,FALSE),0)</f>
        <v>0</v>
      </c>
      <c r="AK187" s="146">
        <f>_xlfn.IFNA(VLOOKUP($A187,'Summary June 2026'!$A:$HJ,217,FALSE),0)</f>
        <v>-8860.658625</v>
      </c>
      <c r="AL187" s="146">
        <f>_xlfn.IFNA(VLOOKUP($A187,'Grants+ Other Funding'!$A:$CG,74,FALSE),0)</f>
        <v>0</v>
      </c>
      <c r="AM187" s="146">
        <f>_xlfn.IFNA(VLOOKUP($A187,'Summary June 2026'!$A:$HJ,218,FALSE),0)</f>
        <v>0</v>
      </c>
      <c r="AN187" s="146">
        <f>_xlfn.IFNA(VLOOKUP($A187,'Summary June 2026'!$A:$HJ,216,FALSE),0)</f>
        <v>-2496.2249999999999</v>
      </c>
      <c r="AO187" s="146">
        <f>_xlfn.IFNA(VLOOKUP($A187,'Grants+ Other Funding'!$A:$CG,73,FALSE),0)</f>
        <v>0</v>
      </c>
      <c r="AP187" s="65">
        <f t="shared" si="5"/>
        <v>704510.19787230797</v>
      </c>
    </row>
    <row r="188" spans="1:42">
      <c r="A188" s="198">
        <v>2317</v>
      </c>
      <c r="B188" s="2">
        <v>103337</v>
      </c>
      <c r="C188" s="2" t="s">
        <v>399</v>
      </c>
      <c r="D188" s="2" t="s">
        <v>400</v>
      </c>
      <c r="E188" s="190" t="s">
        <v>39</v>
      </c>
      <c r="F188" s="208" t="str">
        <f>VLOOKUP(A188,'Summary June 2026'!A:F,6,FALSE)</f>
        <v>Chq Bk</v>
      </c>
      <c r="H188" s="273">
        <f>_xlfn.IFNA(VLOOKUP($A188,ISB!$A:$BY,67,FALSE),0)</f>
        <v>1496968.2546946702</v>
      </c>
      <c r="I188" s="218">
        <f>_xlfn.IFNA(VLOOKUP($A188,ISB!$A:$BY,72,FALSE),0)</f>
        <v>-5751.9</v>
      </c>
      <c r="J188" s="274">
        <f>-_xlfn.IFNA(VLOOKUP($A188,ISB!$A:$BY,76,FALSE),0)</f>
        <v>-16236.9148</v>
      </c>
      <c r="L188" s="273">
        <f>_xlfn.IFNA(VLOOKUP($A188,EY!$A:$DX,126,FALSE),0)</f>
        <v>112192.9628698061</v>
      </c>
      <c r="M188" s="273">
        <f>_xlfn.IFNA(VLOOKUP($A188,EY!$A:$DX,127,FALSE),0)</f>
        <v>0</v>
      </c>
      <c r="O188" s="273">
        <f>_xlfn.IFNA(VLOOKUP($A188,HN!$A:$AN,37,FALSE),0)</f>
        <v>26000</v>
      </c>
      <c r="P188" s="273">
        <f>_xlfn.IFNA(VLOOKUP($A188,HN!$A:$AN,38,FALSE),0)</f>
        <v>0</v>
      </c>
      <c r="Q188" s="273">
        <f>_xlfn.IFNA(VLOOKUP($A188,HN!$A:$AN,39,FALSE),0)</f>
        <v>177398.54</v>
      </c>
      <c r="S188" s="337">
        <f>_xlfn.IFNA(VLOOKUP(A188,'Post 16'!A:AR,44,FALSE),0)</f>
        <v>0</v>
      </c>
      <c r="U188" s="337"/>
      <c r="V188" s="337">
        <f>VLOOKUP(A188,'LA Deductions'!A:AN,40,FALSE)</f>
        <v>0</v>
      </c>
      <c r="X188" s="274">
        <f>VLOOKUP($A188,'Summary June 2026'!$A:$AAX,206,FALSE)-SUMIFS($H188:$V188,$H$7:$V$7,X$7)</f>
        <v>0</v>
      </c>
      <c r="Y188" s="274">
        <f>VLOOKUP($A188,'Summary June 2026'!$A:$HC,207,FALSE)-SUMIFS($H188:$V188,$H$7:$V$7,Y$7)</f>
        <v>0</v>
      </c>
      <c r="Z188" s="274">
        <f>VLOOKUP($A188,'Summary June 2026'!$A:$HC,208,FALSE)-SUMIFS($H188:$V188,$H$7:$V$7,Z$7)</f>
        <v>0</v>
      </c>
      <c r="AA188" s="274">
        <f>VLOOKUP($A188,'Summary June 2026'!$A:$HC,209,FALSE)-SUMIFS($H188:$V188,$H$7:$V$7,AA$7)</f>
        <v>0</v>
      </c>
      <c r="AB188" s="274">
        <f>VLOOKUP($A188,'Summary June 2026'!$A:$HC,210,FALSE)-SUMIFS($H188:$V188,$H$7:$V$7,AB$7)</f>
        <v>0</v>
      </c>
      <c r="AC188" s="274">
        <f>VLOOKUP($A188,'Summary June 2026'!$A:$HC,211,FALSE)-SUMIFS($H188:$V188,$H$7:$V$7,AC$7)</f>
        <v>0</v>
      </c>
      <c r="AE188" s="146">
        <f>VLOOKUP($A188,'Summary June 2026'!$A:$HJ,213,FALSE)+VLOOKUP($A188,'Grants+ Other Funding'!$A:$CG,67,FALSE)</f>
        <v>469506.04654347367</v>
      </c>
      <c r="AF188" s="146">
        <f>_xlfn.IFNA(VLOOKUP($A188,'Summary June 2026'!$A:$HJ,214,FALSE)+VLOOKUP($A188,'Grants+ Other Funding'!$A:$CG,68,FALSE),0)</f>
        <v>-24.99</v>
      </c>
      <c r="AG188" s="146">
        <f>_xlfn.IFNA(VLOOKUP($A188,'Summary June 2026'!$A:$HJ,215,FALSE)+VLOOKUP($A188,'Grants+ Other Funding'!$A:$CG,69,FALSE),0)</f>
        <v>43023.203750000001</v>
      </c>
      <c r="AH188" s="146">
        <f>_xlfn.IFNA(VLOOKUP($A188,'Grants+ Other Funding'!$A:$CG,70,FALSE),0)</f>
        <v>0</v>
      </c>
      <c r="AI188" s="146">
        <f>_xlfn.IFNA(VLOOKUP($A188,'Grants+ Other Funding'!$A:$CG,71,FALSE),0)</f>
        <v>0</v>
      </c>
      <c r="AJ188" s="146">
        <f>_xlfn.IFNA(VLOOKUP($A188,'Grants+ Other Funding'!$A:$CG,72,FALSE),0)</f>
        <v>0</v>
      </c>
      <c r="AK188" s="146">
        <f>_xlfn.IFNA(VLOOKUP($A188,'Summary June 2026'!$A:$HJ,217,FALSE),0)</f>
        <v>-4059.2287000000006</v>
      </c>
      <c r="AL188" s="146">
        <f>_xlfn.IFNA(VLOOKUP($A188,'Grants+ Other Funding'!$A:$CG,74,FALSE),0)</f>
        <v>0</v>
      </c>
      <c r="AM188" s="146">
        <f>_xlfn.IFNA(VLOOKUP($A188,'Summary June 2026'!$A:$HJ,218,FALSE),0)</f>
        <v>0</v>
      </c>
      <c r="AN188" s="146">
        <f>_xlfn.IFNA(VLOOKUP($A188,'Summary June 2026'!$A:$HJ,216,FALSE),0)</f>
        <v>-1437.9749999999999</v>
      </c>
      <c r="AO188" s="146">
        <f>_xlfn.IFNA(VLOOKUP($A188,'Grants+ Other Funding'!$A:$CG,73,FALSE),0)</f>
        <v>0</v>
      </c>
      <c r="AP188" s="65">
        <f t="shared" si="5"/>
        <v>507007.05659347371</v>
      </c>
    </row>
    <row r="189" spans="1:42">
      <c r="A189" s="198">
        <v>2225</v>
      </c>
      <c r="B189" s="2">
        <v>103279</v>
      </c>
      <c r="C189" s="2" t="s">
        <v>401</v>
      </c>
      <c r="D189" s="2" t="s">
        <v>402</v>
      </c>
      <c r="E189" s="190" t="s">
        <v>39</v>
      </c>
      <c r="F189" s="208" t="str">
        <f>VLOOKUP(A189,'Summary June 2026'!A:F,6,FALSE)</f>
        <v>Chq Bk</v>
      </c>
      <c r="H189" s="273">
        <f>_xlfn.IFNA(VLOOKUP($A189,ISB!$A:$BY,67,FALSE),0)</f>
        <v>2294846.2802144908</v>
      </c>
      <c r="I189" s="218">
        <f>_xlfn.IFNA(VLOOKUP($A189,ISB!$A:$BY,72,FALSE),0)</f>
        <v>-8964</v>
      </c>
      <c r="J189" s="274">
        <f>-_xlfn.IFNA(VLOOKUP($A189,ISB!$A:$BY,76,FALSE),0)</f>
        <v>-21523.3655</v>
      </c>
      <c r="L189" s="273">
        <f>_xlfn.IFNA(VLOOKUP($A189,EY!$A:$DX,126,FALSE),0)</f>
        <v>0</v>
      </c>
      <c r="M189" s="273">
        <f>_xlfn.IFNA(VLOOKUP($A189,EY!$A:$DX,127,FALSE),0)</f>
        <v>0</v>
      </c>
      <c r="O189" s="273">
        <f>_xlfn.IFNA(VLOOKUP($A189,HN!$A:$AN,37,FALSE),0)</f>
        <v>60000</v>
      </c>
      <c r="P189" s="273">
        <f>_xlfn.IFNA(VLOOKUP($A189,HN!$A:$AN,38,FALSE),0)</f>
        <v>0</v>
      </c>
      <c r="Q189" s="273">
        <f>_xlfn.IFNA(VLOOKUP($A189,HN!$A:$AN,39,FALSE),0)</f>
        <v>185632.74</v>
      </c>
      <c r="S189" s="337">
        <f>_xlfn.IFNA(VLOOKUP(A189,'Post 16'!A:AR,44,FALSE),0)</f>
        <v>0</v>
      </c>
      <c r="U189" s="337"/>
      <c r="V189" s="337">
        <f>VLOOKUP(A189,'LA Deductions'!A:AN,40,FALSE)</f>
        <v>0</v>
      </c>
      <c r="X189" s="274">
        <f>VLOOKUP($A189,'Summary June 2026'!$A:$AAX,206,FALSE)-SUMIFS($H189:$V189,$H$7:$V$7,X$7)</f>
        <v>0</v>
      </c>
      <c r="Y189" s="274">
        <f>VLOOKUP($A189,'Summary June 2026'!$A:$HC,207,FALSE)-SUMIFS($H189:$V189,$H$7:$V$7,Y$7)</f>
        <v>0</v>
      </c>
      <c r="Z189" s="274">
        <f>VLOOKUP($A189,'Summary June 2026'!$A:$HC,208,FALSE)-SUMIFS($H189:$V189,$H$7:$V$7,Z$7)</f>
        <v>0</v>
      </c>
      <c r="AA189" s="274">
        <f>VLOOKUP($A189,'Summary June 2026'!$A:$HC,209,FALSE)-SUMIFS($H189:$V189,$H$7:$V$7,AA$7)</f>
        <v>0</v>
      </c>
      <c r="AB189" s="274">
        <f>VLOOKUP($A189,'Summary June 2026'!$A:$HC,210,FALSE)-SUMIFS($H189:$V189,$H$7:$V$7,AB$7)</f>
        <v>0</v>
      </c>
      <c r="AC189" s="274">
        <f>VLOOKUP($A189,'Summary June 2026'!$A:$HC,211,FALSE)-SUMIFS($H189:$V189,$H$7:$V$7,AC$7)</f>
        <v>0</v>
      </c>
      <c r="AE189" s="146">
        <f>VLOOKUP($A189,'Summary June 2026'!$A:$HJ,213,FALSE)+VLOOKUP($A189,'Grants+ Other Funding'!$A:$CG,67,FALSE)</f>
        <v>588711.57005362271</v>
      </c>
      <c r="AF189" s="146">
        <f>_xlfn.IFNA(VLOOKUP($A189,'Summary June 2026'!$A:$HJ,214,FALSE)+VLOOKUP($A189,'Grants+ Other Funding'!$A:$CG,68,FALSE),0)</f>
        <v>0</v>
      </c>
      <c r="AG189" s="146">
        <f>_xlfn.IFNA(VLOOKUP($A189,'Summary June 2026'!$A:$HJ,215,FALSE)+VLOOKUP($A189,'Grants+ Other Funding'!$A:$CG,69,FALSE),0)</f>
        <v>53730.641250000001</v>
      </c>
      <c r="AH189" s="146">
        <f>_xlfn.IFNA(VLOOKUP($A189,'Grants+ Other Funding'!$A:$CG,70,FALSE),0)</f>
        <v>0</v>
      </c>
      <c r="AI189" s="146">
        <f>_xlfn.IFNA(VLOOKUP($A189,'Grants+ Other Funding'!$A:$CG,71,FALSE),0)</f>
        <v>0</v>
      </c>
      <c r="AJ189" s="146">
        <f>_xlfn.IFNA(VLOOKUP($A189,'Grants+ Other Funding'!$A:$CG,72,FALSE),0)</f>
        <v>0</v>
      </c>
      <c r="AK189" s="146">
        <f>_xlfn.IFNA(VLOOKUP($A189,'Summary June 2026'!$A:$HJ,217,FALSE),0)</f>
        <v>-5380.841375</v>
      </c>
      <c r="AL189" s="146">
        <f>_xlfn.IFNA(VLOOKUP($A189,'Grants+ Other Funding'!$A:$CG,74,FALSE),0)</f>
        <v>0</v>
      </c>
      <c r="AM189" s="146">
        <f>_xlfn.IFNA(VLOOKUP($A189,'Summary June 2026'!$A:$HJ,218,FALSE),0)</f>
        <v>0</v>
      </c>
      <c r="AN189" s="146">
        <f>_xlfn.IFNA(VLOOKUP($A189,'Summary June 2026'!$A:$HJ,216,FALSE),0)</f>
        <v>-2241</v>
      </c>
      <c r="AO189" s="146">
        <f>_xlfn.IFNA(VLOOKUP($A189,'Grants+ Other Funding'!$A:$CG,73,FALSE),0)</f>
        <v>0</v>
      </c>
      <c r="AP189" s="65">
        <f t="shared" si="5"/>
        <v>634820.36992862273</v>
      </c>
    </row>
    <row r="190" spans="1:42">
      <c r="A190" s="198">
        <v>2412</v>
      </c>
      <c r="B190" s="2">
        <v>103349</v>
      </c>
      <c r="C190" s="2" t="s">
        <v>403</v>
      </c>
      <c r="D190" s="2" t="s">
        <v>404</v>
      </c>
      <c r="E190" s="190" t="s">
        <v>39</v>
      </c>
      <c r="F190" s="208" t="str">
        <f>VLOOKUP(A190,'Summary June 2026'!A:F,6,FALSE)</f>
        <v>Chq Bk</v>
      </c>
      <c r="H190" s="273">
        <f>_xlfn.IFNA(VLOOKUP($A190,ISB!$A:$BY,67,FALSE),0)</f>
        <v>2372019.5335895955</v>
      </c>
      <c r="I190" s="218">
        <f>_xlfn.IFNA(VLOOKUP($A190,ISB!$A:$BY,72,FALSE),0)</f>
        <v>-10507.8</v>
      </c>
      <c r="J190" s="274">
        <f>-_xlfn.IFNA(VLOOKUP($A190,ISB!$A:$BY,76,FALSE),0)</f>
        <v>-43510.876499999998</v>
      </c>
      <c r="L190" s="273">
        <f>_xlfn.IFNA(VLOOKUP($A190,EY!$A:$DX,126,FALSE),0)</f>
        <v>0</v>
      </c>
      <c r="M190" s="273">
        <f>_xlfn.IFNA(VLOOKUP($A190,EY!$A:$DX,127,FALSE),0)</f>
        <v>0</v>
      </c>
      <c r="O190" s="273">
        <f>_xlfn.IFNA(VLOOKUP($A190,HN!$A:$AN,37,FALSE),0)</f>
        <v>0</v>
      </c>
      <c r="P190" s="273">
        <f>_xlfn.IFNA(VLOOKUP($A190,HN!$A:$AN,38,FALSE),0)</f>
        <v>0</v>
      </c>
      <c r="Q190" s="273">
        <f>_xlfn.IFNA(VLOOKUP($A190,HN!$A:$AN,39,FALSE),0)</f>
        <v>104105</v>
      </c>
      <c r="S190" s="337">
        <f>_xlfn.IFNA(VLOOKUP(A190,'Post 16'!A:AR,44,FALSE),0)</f>
        <v>0</v>
      </c>
      <c r="U190" s="337"/>
      <c r="V190" s="337">
        <f>VLOOKUP(A190,'LA Deductions'!A:AN,40,FALSE)</f>
        <v>0</v>
      </c>
      <c r="X190" s="274">
        <f>VLOOKUP($A190,'Summary June 2026'!$A:$AAX,206,FALSE)-SUMIFS($H190:$V190,$H$7:$V$7,X$7)</f>
        <v>0</v>
      </c>
      <c r="Y190" s="274">
        <f>VLOOKUP($A190,'Summary June 2026'!$A:$HC,207,FALSE)-SUMIFS($H190:$V190,$H$7:$V$7,Y$7)</f>
        <v>0</v>
      </c>
      <c r="Z190" s="274">
        <f>VLOOKUP($A190,'Summary June 2026'!$A:$HC,208,FALSE)-SUMIFS($H190:$V190,$H$7:$V$7,Z$7)</f>
        <v>0</v>
      </c>
      <c r="AA190" s="274">
        <f>VLOOKUP($A190,'Summary June 2026'!$A:$HC,209,FALSE)-SUMIFS($H190:$V190,$H$7:$V$7,AA$7)</f>
        <v>0</v>
      </c>
      <c r="AB190" s="274">
        <f>VLOOKUP($A190,'Summary June 2026'!$A:$HC,210,FALSE)-SUMIFS($H190:$V190,$H$7:$V$7,AB$7)</f>
        <v>0</v>
      </c>
      <c r="AC190" s="274">
        <f>VLOOKUP($A190,'Summary June 2026'!$A:$HC,211,FALSE)-SUMIFS($H190:$V190,$H$7:$V$7,AC$7)</f>
        <v>0</v>
      </c>
      <c r="AE190" s="146">
        <f>VLOOKUP($A190,'Summary June 2026'!$A:$HJ,213,FALSE)+VLOOKUP($A190,'Grants+ Other Funding'!$A:$CG,67,FALSE)</f>
        <v>593004.88339739887</v>
      </c>
      <c r="AF190" s="146">
        <f>_xlfn.IFNA(VLOOKUP($A190,'Summary June 2026'!$A:$HJ,214,FALSE)+VLOOKUP($A190,'Grants+ Other Funding'!$A:$CG,68,FALSE),0)</f>
        <v>0</v>
      </c>
      <c r="AG190" s="146">
        <f>_xlfn.IFNA(VLOOKUP($A190,'Summary June 2026'!$A:$HJ,215,FALSE)+VLOOKUP($A190,'Grants+ Other Funding'!$A:$CG,69,FALSE),0)</f>
        <v>30971.712499999998</v>
      </c>
      <c r="AH190" s="146">
        <f>_xlfn.IFNA(VLOOKUP($A190,'Grants+ Other Funding'!$A:$CG,70,FALSE),0)</f>
        <v>0</v>
      </c>
      <c r="AI190" s="146">
        <f>_xlfn.IFNA(VLOOKUP($A190,'Grants+ Other Funding'!$A:$CG,71,FALSE),0)</f>
        <v>0</v>
      </c>
      <c r="AJ190" s="146">
        <f>_xlfn.IFNA(VLOOKUP($A190,'Grants+ Other Funding'!$A:$CG,72,FALSE),0)</f>
        <v>0</v>
      </c>
      <c r="AK190" s="146">
        <f>_xlfn.IFNA(VLOOKUP($A190,'Summary June 2026'!$A:$HJ,217,FALSE),0)</f>
        <v>-10877.719125</v>
      </c>
      <c r="AL190" s="146">
        <f>_xlfn.IFNA(VLOOKUP($A190,'Grants+ Other Funding'!$A:$CG,74,FALSE),0)</f>
        <v>0</v>
      </c>
      <c r="AM190" s="146">
        <f>_xlfn.IFNA(VLOOKUP($A190,'Summary June 2026'!$A:$HJ,218,FALSE),0)</f>
        <v>0</v>
      </c>
      <c r="AN190" s="146">
        <f>_xlfn.IFNA(VLOOKUP($A190,'Summary June 2026'!$A:$HJ,216,FALSE),0)</f>
        <v>-2626.95</v>
      </c>
      <c r="AO190" s="146">
        <f>_xlfn.IFNA(VLOOKUP($A190,'Grants+ Other Funding'!$A:$CG,73,FALSE),0)</f>
        <v>0</v>
      </c>
      <c r="AP190" s="65">
        <f t="shared" si="5"/>
        <v>610471.92677239899</v>
      </c>
    </row>
    <row r="191" spans="1:42">
      <c r="A191" s="198">
        <v>3421</v>
      </c>
      <c r="B191" s="2">
        <v>133996</v>
      </c>
      <c r="C191" s="2" t="s">
        <v>405</v>
      </c>
      <c r="D191" s="2" t="s">
        <v>406</v>
      </c>
      <c r="E191" s="190" t="s">
        <v>39</v>
      </c>
      <c r="F191" s="208" t="str">
        <f>VLOOKUP(A191,'Summary June 2026'!A:F,6,FALSE)</f>
        <v>Chq Bk</v>
      </c>
      <c r="H191" s="273">
        <f>_xlfn.IFNA(VLOOKUP($A191,ISB!$A:$BY,67,FALSE),0)</f>
        <v>4650593.7225536881</v>
      </c>
      <c r="I191" s="218">
        <f>_xlfn.IFNA(VLOOKUP($A191,ISB!$A:$BY,72,FALSE),0)</f>
        <v>-20442.899999999998</v>
      </c>
      <c r="J191" s="274">
        <f>-_xlfn.IFNA(VLOOKUP($A191,ISB!$A:$BY,76,FALSE),0)</f>
        <v>-48121.300499999998</v>
      </c>
      <c r="L191" s="273">
        <f>_xlfn.IFNA(VLOOKUP($A191,EY!$A:$DX,126,FALSE),0)</f>
        <v>0</v>
      </c>
      <c r="M191" s="273">
        <f>_xlfn.IFNA(VLOOKUP($A191,EY!$A:$DX,127,FALSE),0)</f>
        <v>0</v>
      </c>
      <c r="O191" s="273">
        <f>_xlfn.IFNA(VLOOKUP($A191,HN!$A:$AN,37,FALSE),0)</f>
        <v>0</v>
      </c>
      <c r="P191" s="273">
        <f>_xlfn.IFNA(VLOOKUP($A191,HN!$A:$AN,38,FALSE),0)</f>
        <v>0</v>
      </c>
      <c r="Q191" s="273">
        <f>_xlfn.IFNA(VLOOKUP($A191,HN!$A:$AN,39,FALSE),0)</f>
        <v>157265</v>
      </c>
      <c r="S191" s="337">
        <f>_xlfn.IFNA(VLOOKUP(A191,'Post 16'!A:AR,44,FALSE),0)</f>
        <v>0</v>
      </c>
      <c r="U191" s="337"/>
      <c r="V191" s="337">
        <f>VLOOKUP(A191,'LA Deductions'!A:AN,40,FALSE)</f>
        <v>0</v>
      </c>
      <c r="X191" s="274">
        <f>VLOOKUP($A191,'Summary June 2026'!$A:$AAX,206,FALSE)-SUMIFS($H191:$V191,$H$7:$V$7,X$7)</f>
        <v>0</v>
      </c>
      <c r="Y191" s="274">
        <f>VLOOKUP($A191,'Summary June 2026'!$A:$HC,207,FALSE)-SUMIFS($H191:$V191,$H$7:$V$7,Y$7)</f>
        <v>0</v>
      </c>
      <c r="Z191" s="274">
        <f>VLOOKUP($A191,'Summary June 2026'!$A:$HC,208,FALSE)-SUMIFS($H191:$V191,$H$7:$V$7,Z$7)</f>
        <v>0</v>
      </c>
      <c r="AA191" s="274">
        <f>VLOOKUP($A191,'Summary June 2026'!$A:$HC,209,FALSE)-SUMIFS($H191:$V191,$H$7:$V$7,AA$7)</f>
        <v>0</v>
      </c>
      <c r="AB191" s="274">
        <f>VLOOKUP($A191,'Summary June 2026'!$A:$HC,210,FALSE)-SUMIFS($H191:$V191,$H$7:$V$7,AB$7)</f>
        <v>0</v>
      </c>
      <c r="AC191" s="274">
        <f>VLOOKUP($A191,'Summary June 2026'!$A:$HC,211,FALSE)-SUMIFS($H191:$V191,$H$7:$V$7,AC$7)</f>
        <v>0</v>
      </c>
      <c r="AE191" s="146">
        <f>VLOOKUP($A191,'Summary June 2026'!$A:$HJ,213,FALSE)+VLOOKUP($A191,'Grants+ Other Funding'!$A:$CG,67,FALSE)</f>
        <v>1165113.170638422</v>
      </c>
      <c r="AF191" s="146">
        <f>_xlfn.IFNA(VLOOKUP($A191,'Summary June 2026'!$A:$HJ,214,FALSE)+VLOOKUP($A191,'Grants+ Other Funding'!$A:$CG,68,FALSE),0)</f>
        <v>-59.05</v>
      </c>
      <c r="AG191" s="146">
        <f>_xlfn.IFNA(VLOOKUP($A191,'Summary June 2026'!$A:$HJ,215,FALSE)+VLOOKUP($A191,'Grants+ Other Funding'!$A:$CG,69,FALSE),0)</f>
        <v>49952.018749999996</v>
      </c>
      <c r="AH191" s="146">
        <f>_xlfn.IFNA(VLOOKUP($A191,'Grants+ Other Funding'!$A:$CG,70,FALSE),0)</f>
        <v>0</v>
      </c>
      <c r="AI191" s="146">
        <f>_xlfn.IFNA(VLOOKUP($A191,'Grants+ Other Funding'!$A:$CG,71,FALSE),0)</f>
        <v>0</v>
      </c>
      <c r="AJ191" s="146">
        <f>_xlfn.IFNA(VLOOKUP($A191,'Grants+ Other Funding'!$A:$CG,72,FALSE),0)</f>
        <v>0</v>
      </c>
      <c r="AK191" s="146">
        <f>_xlfn.IFNA(VLOOKUP($A191,'Summary June 2026'!$A:$HJ,217,FALSE),0)</f>
        <v>-12030.325124999999</v>
      </c>
      <c r="AL191" s="146">
        <f>_xlfn.IFNA(VLOOKUP($A191,'Grants+ Other Funding'!$A:$CG,74,FALSE),0)</f>
        <v>0</v>
      </c>
      <c r="AM191" s="146">
        <f>_xlfn.IFNA(VLOOKUP($A191,'Summary June 2026'!$A:$HJ,218,FALSE),0)</f>
        <v>0</v>
      </c>
      <c r="AN191" s="146">
        <f>_xlfn.IFNA(VLOOKUP($A191,'Summary June 2026'!$A:$HJ,216,FALSE),0)</f>
        <v>-5110.7249999999995</v>
      </c>
      <c r="AO191" s="146">
        <f>_xlfn.IFNA(VLOOKUP($A191,'Grants+ Other Funding'!$A:$CG,73,FALSE),0)</f>
        <v>0</v>
      </c>
      <c r="AP191" s="65">
        <f t="shared" si="5"/>
        <v>1197865.0892634219</v>
      </c>
    </row>
    <row r="192" spans="1:42">
      <c r="A192" s="198">
        <v>2227</v>
      </c>
      <c r="B192" s="2">
        <v>103281</v>
      </c>
      <c r="C192" s="2" t="s">
        <v>407</v>
      </c>
      <c r="D192" s="2" t="s">
        <v>408</v>
      </c>
      <c r="E192" s="190" t="s">
        <v>39</v>
      </c>
      <c r="F192" s="208" t="str">
        <f>VLOOKUP(A192,'Summary June 2026'!A:F,6,FALSE)</f>
        <v>Chq Bk</v>
      </c>
      <c r="H192" s="273">
        <f>_xlfn.IFNA(VLOOKUP($A192,ISB!$A:$BY,67,FALSE),0)</f>
        <v>2605002.9935452822</v>
      </c>
      <c r="I192" s="218">
        <f>_xlfn.IFNA(VLOOKUP($A192,ISB!$A:$BY,72,FALSE),0)</f>
        <v>-9611.4</v>
      </c>
      <c r="J192" s="274">
        <f>-_xlfn.IFNA(VLOOKUP($A192,ISB!$A:$BY,76,FALSE),0)</f>
        <v>-33764.030599999998</v>
      </c>
      <c r="L192" s="273">
        <f>_xlfn.IFNA(VLOOKUP($A192,EY!$A:$DX,126,FALSE),0)</f>
        <v>126417.25865927977</v>
      </c>
      <c r="M192" s="273">
        <f>_xlfn.IFNA(VLOOKUP($A192,EY!$A:$DX,127,FALSE),0)</f>
        <v>1560</v>
      </c>
      <c r="O192" s="273">
        <f>_xlfn.IFNA(VLOOKUP($A192,HN!$A:$AN,37,FALSE),0)</f>
        <v>0</v>
      </c>
      <c r="P192" s="273">
        <f>_xlfn.IFNA(VLOOKUP($A192,HN!$A:$AN,38,FALSE),0)</f>
        <v>0</v>
      </c>
      <c r="Q192" s="273">
        <f>_xlfn.IFNA(VLOOKUP($A192,HN!$A:$AN,39,FALSE),0)</f>
        <v>125147.5</v>
      </c>
      <c r="S192" s="337">
        <f>_xlfn.IFNA(VLOOKUP(A192,'Post 16'!A:AR,44,FALSE),0)</f>
        <v>0</v>
      </c>
      <c r="U192" s="337"/>
      <c r="V192" s="337">
        <f>VLOOKUP(A192,'LA Deductions'!A:AN,40,FALSE)</f>
        <v>0</v>
      </c>
      <c r="X192" s="274">
        <f>VLOOKUP($A192,'Summary June 2026'!$A:$AAX,206,FALSE)-SUMIFS($H192:$V192,$H$7:$V$7,X$7)</f>
        <v>0</v>
      </c>
      <c r="Y192" s="274">
        <f>VLOOKUP($A192,'Summary June 2026'!$A:$HC,207,FALSE)-SUMIFS($H192:$V192,$H$7:$V$7,Y$7)</f>
        <v>0</v>
      </c>
      <c r="Z192" s="274">
        <f>VLOOKUP($A192,'Summary June 2026'!$A:$HC,208,FALSE)-SUMIFS($H192:$V192,$H$7:$V$7,Z$7)</f>
        <v>0</v>
      </c>
      <c r="AA192" s="274">
        <f>VLOOKUP($A192,'Summary June 2026'!$A:$HC,209,FALSE)-SUMIFS($H192:$V192,$H$7:$V$7,AA$7)</f>
        <v>0</v>
      </c>
      <c r="AB192" s="274">
        <f>VLOOKUP($A192,'Summary June 2026'!$A:$HC,210,FALSE)-SUMIFS($H192:$V192,$H$7:$V$7,AB$7)</f>
        <v>0</v>
      </c>
      <c r="AC192" s="274">
        <f>VLOOKUP($A192,'Summary June 2026'!$A:$HC,211,FALSE)-SUMIFS($H192:$V192,$H$7:$V$7,AC$7)</f>
        <v>0</v>
      </c>
      <c r="AE192" s="146">
        <f>VLOOKUP($A192,'Summary June 2026'!$A:$HJ,213,FALSE)+VLOOKUP($A192,'Grants+ Other Funding'!$A:$CG,67,FALSE)</f>
        <v>729665.21915086359</v>
      </c>
      <c r="AF192" s="146">
        <f>_xlfn.IFNA(VLOOKUP($A192,'Summary June 2026'!$A:$HJ,214,FALSE)+VLOOKUP($A192,'Grants+ Other Funding'!$A:$CG,68,FALSE),0)</f>
        <v>-56.34</v>
      </c>
      <c r="AG192" s="146">
        <f>_xlfn.IFNA(VLOOKUP($A192,'Summary June 2026'!$A:$HJ,215,FALSE)+VLOOKUP($A192,'Grants+ Other Funding'!$A:$CG,69,FALSE),0)</f>
        <v>45354.181000000004</v>
      </c>
      <c r="AH192" s="146">
        <f>_xlfn.IFNA(VLOOKUP($A192,'Grants+ Other Funding'!$A:$CG,70,FALSE),0)</f>
        <v>0</v>
      </c>
      <c r="AI192" s="146">
        <f>_xlfn.IFNA(VLOOKUP($A192,'Grants+ Other Funding'!$A:$CG,71,FALSE),0)</f>
        <v>0</v>
      </c>
      <c r="AJ192" s="146">
        <f>_xlfn.IFNA(VLOOKUP($A192,'Grants+ Other Funding'!$A:$CG,72,FALSE),0)</f>
        <v>0</v>
      </c>
      <c r="AK192" s="146">
        <f>_xlfn.IFNA(VLOOKUP($A192,'Summary June 2026'!$A:$HJ,217,FALSE),0)</f>
        <v>-8441.0076499999996</v>
      </c>
      <c r="AL192" s="146">
        <f>_xlfn.IFNA(VLOOKUP($A192,'Grants+ Other Funding'!$A:$CG,74,FALSE),0)</f>
        <v>0</v>
      </c>
      <c r="AM192" s="146">
        <f>_xlfn.IFNA(VLOOKUP($A192,'Summary June 2026'!$A:$HJ,218,FALSE),0)</f>
        <v>0</v>
      </c>
      <c r="AN192" s="146">
        <f>_xlfn.IFNA(VLOOKUP($A192,'Summary June 2026'!$A:$HJ,216,FALSE),0)</f>
        <v>-2402.85</v>
      </c>
      <c r="AO192" s="146">
        <f>_xlfn.IFNA(VLOOKUP($A192,'Grants+ Other Funding'!$A:$CG,73,FALSE),0)</f>
        <v>0</v>
      </c>
      <c r="AP192" s="65">
        <f t="shared" si="5"/>
        <v>764119.20250086358</v>
      </c>
    </row>
    <row r="193" spans="1:42">
      <c r="A193" s="198">
        <v>2231</v>
      </c>
      <c r="B193" s="2">
        <v>103284</v>
      </c>
      <c r="C193" s="2" t="s">
        <v>409</v>
      </c>
      <c r="D193" s="2" t="s">
        <v>410</v>
      </c>
      <c r="E193" s="190" t="s">
        <v>39</v>
      </c>
      <c r="F193" s="208" t="str">
        <f>VLOOKUP(A193,'Summary June 2026'!A:F,6,FALSE)</f>
        <v>Academy</v>
      </c>
      <c r="H193" s="273">
        <f>_xlfn.IFNA(VLOOKUP($A193,ISB!$A:$BY,67,FALSE),0)-2539545.01</f>
        <v>37171.548051479273</v>
      </c>
      <c r="I193" s="218">
        <f>_xlfn.IFNA(VLOOKUP($A193,ISB!$A:$BY,72,FALSE),0)+10507.8</f>
        <v>0</v>
      </c>
      <c r="J193" s="274">
        <f>-_xlfn.IFNA(VLOOKUP($A193,ISB!$A:$BY,76,FALSE),0)</f>
        <v>-37171.5435</v>
      </c>
      <c r="L193" s="273">
        <f>_xlfn.IFNA(VLOOKUP($A193,EY!$A:$DX,126,FALSE),0)</f>
        <v>0</v>
      </c>
      <c r="M193" s="273">
        <f>_xlfn.IFNA(VLOOKUP($A193,EY!$A:$DX,127,FALSE),0)</f>
        <v>0</v>
      </c>
      <c r="O193" s="273">
        <f>_xlfn.IFNA(VLOOKUP($A193,HN!$A:$AN,37,FALSE),0)</f>
        <v>0</v>
      </c>
      <c r="P193" s="273">
        <f>_xlfn.IFNA(VLOOKUP($A193,HN!$A:$AN,38,FALSE),0)</f>
        <v>0</v>
      </c>
      <c r="Q193" s="273">
        <f>_xlfn.IFNA(VLOOKUP($A193,HN!$A:$AN,39,FALSE),0)</f>
        <v>0</v>
      </c>
      <c r="S193" s="337">
        <f>_xlfn.IFNA(VLOOKUP(A193,'Post 16'!A:AR,44,FALSE),0)</f>
        <v>0</v>
      </c>
      <c r="U193" s="337"/>
      <c r="V193" s="337">
        <f>VLOOKUP(A193,'LA Deductions'!A:AN,40,FALSE)</f>
        <v>0</v>
      </c>
      <c r="X193" s="274">
        <f>VLOOKUP($A193,'Summary June 2026'!$A:$AAX,206,FALSE)-SUMIFS($H193:$V193,$H$7:$V$7,X$7)</f>
        <v>0</v>
      </c>
      <c r="Y193" s="274">
        <f>VLOOKUP($A193,'Summary June 2026'!$A:$HC,207,FALSE)-SUMIFS($H193:$V193,$H$7:$V$7,Y$7)</f>
        <v>0</v>
      </c>
      <c r="Z193" s="274">
        <f>VLOOKUP($A193,'Summary June 2026'!$A:$HC,208,FALSE)-SUMIFS($H193:$V193,$H$7:$V$7,Z$7)</f>
        <v>0</v>
      </c>
      <c r="AA193" s="274">
        <f>VLOOKUP($A193,'Summary June 2026'!$A:$HC,209,FALSE)-SUMIFS($H193:$V193,$H$7:$V$7,AA$7)</f>
        <v>0</v>
      </c>
      <c r="AB193" s="274">
        <f>VLOOKUP($A193,'Summary June 2026'!$A:$HC,210,FALSE)-SUMIFS($H193:$V193,$H$7:$V$7,AB$7)</f>
        <v>0</v>
      </c>
      <c r="AC193" s="274">
        <f>VLOOKUP($A193,'Summary June 2026'!$A:$HC,211,FALSE)-SUMIFS($H193:$V193,$H$7:$V$7,AC$7)</f>
        <v>0</v>
      </c>
      <c r="AE193" s="146">
        <f>VLOOKUP($A193,'Summary June 2026'!$A:$HJ,213,FALSE)+VLOOKUP($A193,'Grants+ Other Funding'!$A:$CG,67,FALSE)</f>
        <v>39128.10805147927</v>
      </c>
      <c r="AF193" s="146">
        <f>_xlfn.IFNA(VLOOKUP($A193,'Summary June 2026'!$A:$HJ,214,FALSE)+VLOOKUP($A193,'Grants+ Other Funding'!$A:$CG,68,FALSE),0)</f>
        <v>-64.19</v>
      </c>
      <c r="AG193" s="146">
        <f>_xlfn.IFNA(VLOOKUP($A193,'Summary June 2026'!$A:$HJ,215,FALSE)+VLOOKUP($A193,'Grants+ Other Funding'!$A:$CG,69,FALSE),0)</f>
        <v>0</v>
      </c>
      <c r="AH193" s="146">
        <f>_xlfn.IFNA(VLOOKUP($A193,'Grants+ Other Funding'!$A:$CG,70,FALSE),0)</f>
        <v>0</v>
      </c>
      <c r="AI193" s="146">
        <f>_xlfn.IFNA(VLOOKUP($A193,'Grants+ Other Funding'!$A:$CG,71,FALSE),0)</f>
        <v>0</v>
      </c>
      <c r="AJ193" s="146">
        <f>_xlfn.IFNA(VLOOKUP($A193,'Grants+ Other Funding'!$A:$CG,72,FALSE),0)</f>
        <v>0</v>
      </c>
      <c r="AK193" s="146">
        <f>_xlfn.IFNA(VLOOKUP($A193,'Summary June 2026'!$A:$HJ,217,FALSE),0)</f>
        <v>-37171.5435</v>
      </c>
      <c r="AL193" s="146">
        <f>_xlfn.IFNA(VLOOKUP($A193,'Grants+ Other Funding'!$A:$CG,74,FALSE),0)</f>
        <v>0</v>
      </c>
      <c r="AM193" s="146">
        <f>_xlfn.IFNA(VLOOKUP($A193,'Summary June 2026'!$A:$HJ,218,FALSE),0)</f>
        <v>0</v>
      </c>
      <c r="AN193" s="146">
        <f>_xlfn.IFNA(VLOOKUP($A193,'Summary June 2026'!$A:$HJ,216,FALSE),0)</f>
        <v>0</v>
      </c>
      <c r="AO193" s="146">
        <f>_xlfn.IFNA(VLOOKUP($A193,'Grants+ Other Funding'!$A:$CG,73,FALSE),0)</f>
        <v>0</v>
      </c>
      <c r="AP193" s="65">
        <f t="shared" si="5"/>
        <v>1892.3745514792681</v>
      </c>
    </row>
    <row r="194" spans="1:42">
      <c r="A194" s="198"/>
      <c r="B194" s="2"/>
      <c r="C194" s="2"/>
      <c r="D194" s="2"/>
      <c r="E194" s="190"/>
      <c r="F194" s="208"/>
      <c r="H194" s="273"/>
      <c r="I194" s="218"/>
      <c r="J194" s="274"/>
      <c r="L194" s="273"/>
      <c r="M194" s="273"/>
      <c r="O194" s="273"/>
      <c r="P194" s="273"/>
      <c r="Q194" s="273"/>
      <c r="S194" s="337">
        <f>_xlfn.IFNA(VLOOKUP(A194,'Post 16'!A:AR,44,FALSE),0)</f>
        <v>0</v>
      </c>
      <c r="U194" s="337"/>
      <c r="V194" s="337"/>
      <c r="X194" s="274"/>
      <c r="Y194" s="274"/>
      <c r="Z194" s="274"/>
      <c r="AA194" s="274"/>
      <c r="AB194" s="274"/>
      <c r="AC194" s="274"/>
      <c r="AE194" s="146" t="e">
        <f>VLOOKUP($A194,'Summary June 2026'!$A:$HJ,213,FALSE)+VLOOKUP($A194,'Grants+ Other Funding'!$A:$CG,67,FALSE)</f>
        <v>#N/A</v>
      </c>
      <c r="AF194" s="146">
        <f>_xlfn.IFNA(VLOOKUP($A194,'Summary June 2026'!$A:$HJ,214,FALSE)+VLOOKUP($A194,'Grants+ Other Funding'!$A:$CG,68,FALSE),0)</f>
        <v>0</v>
      </c>
      <c r="AG194" s="146">
        <f>_xlfn.IFNA(VLOOKUP($A194,'Summary June 2026'!$A:$HJ,215,FALSE)+VLOOKUP($A194,'Grants+ Other Funding'!$A:$CG,69,FALSE),0)</f>
        <v>0</v>
      </c>
      <c r="AH194" s="146">
        <f>_xlfn.IFNA(VLOOKUP($A194,'Grants+ Other Funding'!$A:$CG,70,FALSE),0)</f>
        <v>0</v>
      </c>
      <c r="AI194" s="146">
        <f>_xlfn.IFNA(VLOOKUP($A194,'Grants+ Other Funding'!$A:$CG,71,FALSE),0)</f>
        <v>0</v>
      </c>
      <c r="AJ194" s="146">
        <f>_xlfn.IFNA(VLOOKUP($A194,'Grants+ Other Funding'!$A:$CG,72,FALSE),0)</f>
        <v>0</v>
      </c>
      <c r="AK194" s="146">
        <f>_xlfn.IFNA(VLOOKUP($A194,'Summary June 2026'!$A:$HJ,217,FALSE),0)</f>
        <v>0</v>
      </c>
      <c r="AL194" s="146">
        <f>_xlfn.IFNA(VLOOKUP($A194,'Grants+ Other Funding'!$A:$CG,74,FALSE),0)</f>
        <v>0</v>
      </c>
      <c r="AM194" s="146">
        <f>_xlfn.IFNA(VLOOKUP($A194,'Summary June 2026'!$A:$HJ,218,FALSE),0)</f>
        <v>0</v>
      </c>
      <c r="AN194" s="146">
        <f>_xlfn.IFNA(VLOOKUP($A194,'Summary June 2026'!$A:$HJ,216,FALSE),0)</f>
        <v>0</v>
      </c>
      <c r="AO194" s="146">
        <f>_xlfn.IFNA(VLOOKUP($A194,'Grants+ Other Funding'!$A:$CG,73,FALSE),0)</f>
        <v>0</v>
      </c>
      <c r="AP194" s="65" t="e">
        <f t="shared" si="5"/>
        <v>#N/A</v>
      </c>
    </row>
    <row r="195" spans="1:42" s="288" customFormat="1" ht="15.75" thickBot="1">
      <c r="A195" s="357"/>
      <c r="B195" s="292"/>
      <c r="C195" s="292"/>
      <c r="D195" s="358"/>
      <c r="E195" s="352"/>
      <c r="F195" s="353"/>
      <c r="H195" s="359">
        <f>SUM(H8:H194)</f>
        <v>378534163.6928215</v>
      </c>
      <c r="I195" s="359">
        <f>SUM(I8:I194)</f>
        <v>-1348224.8999999992</v>
      </c>
      <c r="J195" s="361">
        <f>SUM(J8:J194)</f>
        <v>-4442091.1823000005</v>
      </c>
      <c r="L195" s="359">
        <f>SUM(L8:L194)</f>
        <v>20610162.348627139</v>
      </c>
      <c r="M195" s="360">
        <f>SUM(M8:M194)</f>
        <v>190147.1778393352</v>
      </c>
      <c r="O195" s="359">
        <f>SUM(O8:O194)</f>
        <v>31011311.68</v>
      </c>
      <c r="P195" s="359">
        <f>SUM(P8:P194)</f>
        <v>3470000</v>
      </c>
      <c r="Q195" s="360">
        <f>SUM(Q8:Q194)</f>
        <v>69554613.62999998</v>
      </c>
      <c r="S195" s="361">
        <f>SUM(S8:S194)</f>
        <v>7960226</v>
      </c>
      <c r="U195" s="361">
        <f>SUM(U8:U194)</f>
        <v>0</v>
      </c>
      <c r="V195" s="361"/>
      <c r="X195" s="362">
        <f t="shared" ref="X195:AC195" si="6">SUM(X8:X194)</f>
        <v>0</v>
      </c>
      <c r="Y195" s="362">
        <f t="shared" si="6"/>
        <v>0</v>
      </c>
      <c r="Z195" s="362">
        <f t="shared" si="6"/>
        <v>0</v>
      </c>
      <c r="AA195" s="362">
        <f t="shared" si="6"/>
        <v>0</v>
      </c>
      <c r="AB195" s="362">
        <f t="shared" si="6"/>
        <v>0</v>
      </c>
      <c r="AC195" s="362">
        <f t="shared" si="6"/>
        <v>0</v>
      </c>
      <c r="AE195" s="294" t="e">
        <f t="shared" ref="AE195:AP195" si="7">SUM(AE8:AE194)</f>
        <v>#N/A</v>
      </c>
      <c r="AF195" s="294">
        <f t="shared" si="7"/>
        <v>2927495.6500000013</v>
      </c>
      <c r="AG195" s="294">
        <f t="shared" si="7"/>
        <v>18329494.886589341</v>
      </c>
      <c r="AH195" s="294">
        <f t="shared" si="7"/>
        <v>0</v>
      </c>
      <c r="AI195" s="294">
        <f t="shared" si="7"/>
        <v>0</v>
      </c>
      <c r="AJ195" s="294">
        <f t="shared" si="7"/>
        <v>0</v>
      </c>
      <c r="AK195" s="294">
        <f t="shared" si="7"/>
        <v>-1161120.3623749998</v>
      </c>
      <c r="AL195" s="294">
        <f t="shared" si="7"/>
        <v>0</v>
      </c>
      <c r="AM195" s="294">
        <f t="shared" si="7"/>
        <v>0</v>
      </c>
      <c r="AN195" s="294">
        <f t="shared" si="7"/>
        <v>-337056.2249999998</v>
      </c>
      <c r="AO195" s="294">
        <f t="shared" si="7"/>
        <v>0</v>
      </c>
      <c r="AP195" s="294" t="e">
        <f t="shared" si="7"/>
        <v>#N/A</v>
      </c>
    </row>
  </sheetData>
  <sheetProtection autoFilter="0"/>
  <autoFilter ref="A7:F195" xr:uid="{28D720FD-B264-4603-8A3F-AC523F45178E}"/>
  <conditionalFormatting sqref="A7:F7 H7 A8:E8 E9:E195">
    <cfRule type="cellIs" dxfId="89" priority="2" operator="lessThan">
      <formula>0</formula>
    </cfRule>
  </conditionalFormatting>
  <conditionalFormatting sqref="F8:F194">
    <cfRule type="cellIs" dxfId="8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EC715-CAF1-44E8-A16C-304CD5956029}">
  <sheetPr codeName="Sheet8" filterMode="1">
    <tabColor theme="8" tint="0.79998168889431442"/>
  </sheetPr>
  <dimension ref="A1:FP197"/>
  <sheetViews>
    <sheetView topLeftCell="AH1" zoomScale="80" zoomScaleNormal="80" workbookViewId="0">
      <selection activeCell="AO200" sqref="AO200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4.5703125" bestFit="1" customWidth="1"/>
    <col min="8" max="8" width="18.5703125" style="328" bestFit="1" customWidth="1"/>
    <col min="9" max="9" width="3.28515625" customWidth="1"/>
    <col min="10" max="10" width="23" style="295" bestFit="1" customWidth="1"/>
    <col min="11" max="11" width="23.7109375" style="295" bestFit="1" customWidth="1"/>
    <col min="12" max="12" width="20.7109375" style="295" bestFit="1" customWidth="1"/>
    <col min="13" max="13" width="19.28515625" style="295" bestFit="1" customWidth="1"/>
    <col min="14" max="14" width="17.140625" style="295" bestFit="1" customWidth="1"/>
    <col min="15" max="15" width="20.140625" style="295" bestFit="1" customWidth="1"/>
    <col min="16" max="16" width="11.42578125" style="295" bestFit="1" customWidth="1"/>
    <col min="17" max="17" width="23.140625" style="295" bestFit="1" customWidth="1"/>
    <col min="18" max="18" width="18.7109375" style="295" bestFit="1" customWidth="1"/>
    <col min="19" max="19" width="6" customWidth="1"/>
    <col min="20" max="20" width="23" style="288" bestFit="1" customWidth="1"/>
    <col min="21" max="22" width="21.5703125" style="288" bestFit="1" customWidth="1"/>
    <col min="23" max="23" width="19.28515625" style="288" bestFit="1" customWidth="1"/>
    <col min="24" max="24" width="20" style="288" bestFit="1" customWidth="1"/>
    <col min="25" max="25" width="20.140625" style="288" bestFit="1" customWidth="1"/>
    <col min="26" max="26" width="10.7109375" style="288" bestFit="1" customWidth="1"/>
    <col min="27" max="27" width="23.140625" style="288" bestFit="1" customWidth="1"/>
    <col min="28" max="28" width="18.140625" style="288" bestFit="1" customWidth="1"/>
    <col min="29" max="29" width="7" customWidth="1"/>
    <col min="30" max="30" width="15.28515625" style="281" bestFit="1" customWidth="1"/>
    <col min="31" max="31" width="16" style="281" bestFit="1" customWidth="1"/>
    <col min="32" max="32" width="20.140625" style="281" bestFit="1" customWidth="1"/>
    <col min="33" max="33" width="16.28515625" style="281" bestFit="1" customWidth="1"/>
    <col min="34" max="34" width="20" style="281" bestFit="1" customWidth="1"/>
    <col min="35" max="35" width="20.140625" style="281" bestFit="1" customWidth="1"/>
    <col min="36" max="36" width="10.7109375" style="281" bestFit="1" customWidth="1"/>
    <col min="37" max="37" width="30.7109375" style="281" bestFit="1" customWidth="1"/>
    <col min="38" max="38" width="16.7109375" style="281" bestFit="1" customWidth="1"/>
    <col min="39" max="39" width="3.42578125" bestFit="1" customWidth="1"/>
    <col min="40" max="41" width="19.42578125" style="309" customWidth="1"/>
    <col min="42" max="42" width="3.42578125" bestFit="1" customWidth="1"/>
    <col min="43" max="43" width="15.28515625" style="295" bestFit="1" customWidth="1"/>
    <col min="44" max="44" width="23.7109375" style="295" bestFit="1" customWidth="1"/>
    <col min="45" max="45" width="26.42578125" style="295" bestFit="1" customWidth="1"/>
    <col min="46" max="46" width="19.28515625" style="295" bestFit="1" customWidth="1"/>
    <col min="47" max="47" width="23.140625" style="295" bestFit="1" customWidth="1"/>
    <col min="48" max="48" width="17.28515625" style="295" bestFit="1" customWidth="1"/>
    <col min="49" max="49" width="10.7109375" style="295" bestFit="1" customWidth="1"/>
    <col min="50" max="50" width="22.140625" style="295" bestFit="1" customWidth="1"/>
    <col min="51" max="51" width="3.42578125" style="295" customWidth="1"/>
    <col min="52" max="52" width="23" style="295" bestFit="1" customWidth="1"/>
    <col min="53" max="54" width="22.140625" style="295" bestFit="1" customWidth="1"/>
    <col min="55" max="55" width="19.28515625" style="295" bestFit="1" customWidth="1"/>
    <col min="56" max="56" width="20" style="295" bestFit="1" customWidth="1"/>
    <col min="57" max="57" width="20.140625" style="295" bestFit="1" customWidth="1"/>
    <col min="58" max="58" width="10.7109375" style="295" bestFit="1" customWidth="1"/>
    <col min="59" max="59" width="22.42578125" style="295" bestFit="1" customWidth="1"/>
    <col min="60" max="60" width="3.42578125" style="295" bestFit="1" customWidth="1"/>
    <col min="61" max="61" width="23" style="295" bestFit="1" customWidth="1"/>
    <col min="62" max="62" width="19" style="295" customWidth="1"/>
    <col min="63" max="63" width="18.5703125" style="295" bestFit="1" customWidth="1"/>
    <col min="64" max="64" width="19.28515625" style="295" bestFit="1" customWidth="1"/>
    <col min="65" max="65" width="17.140625" style="295" bestFit="1" customWidth="1"/>
    <col min="66" max="66" width="20.140625" style="295" bestFit="1" customWidth="1"/>
    <col min="67" max="67" width="10.7109375" style="295" bestFit="1" customWidth="1"/>
    <col min="68" max="68" width="25.5703125" style="295" bestFit="1" customWidth="1"/>
    <col min="69" max="69" width="3.42578125" bestFit="1" customWidth="1"/>
    <col min="70" max="70" width="15.28515625" style="288" bestFit="1" customWidth="1"/>
    <col min="71" max="71" width="16" style="288" bestFit="1" customWidth="1"/>
    <col min="72" max="72" width="18.5703125" style="288" bestFit="1" customWidth="1"/>
    <col min="73" max="73" width="19.28515625" style="288" bestFit="1" customWidth="1"/>
    <col min="74" max="74" width="23.140625" style="288" bestFit="1" customWidth="1"/>
    <col min="75" max="75" width="20.140625" style="288" bestFit="1" customWidth="1"/>
    <col min="76" max="76" width="10.7109375" style="288" bestFit="1" customWidth="1"/>
    <col min="77" max="77" width="22.140625" style="288" bestFit="1" customWidth="1"/>
    <col min="78" max="78" width="3.42578125" style="288" bestFit="1" customWidth="1"/>
    <col min="79" max="79" width="15.28515625" style="288" bestFit="1" customWidth="1"/>
    <col min="80" max="80" width="23.7109375" style="288" bestFit="1" customWidth="1"/>
    <col min="81" max="81" width="22.140625" style="288" bestFit="1" customWidth="1"/>
    <col min="82" max="82" width="19.28515625" style="288" bestFit="1" customWidth="1"/>
    <col min="83" max="83" width="17.140625" style="288" bestFit="1" customWidth="1"/>
    <col min="84" max="84" width="17.28515625" style="288" bestFit="1" customWidth="1"/>
    <col min="85" max="85" width="10.7109375" style="288" bestFit="1" customWidth="1"/>
    <col min="86" max="86" width="25.5703125" style="288" bestFit="1" customWidth="1"/>
    <col min="87" max="87" width="3.42578125" style="288" bestFit="1" customWidth="1"/>
    <col min="88" max="88" width="15.28515625" style="288" bestFit="1" customWidth="1"/>
    <col min="89" max="89" width="16" style="288" bestFit="1" customWidth="1"/>
    <col min="90" max="90" width="18.5703125" style="288" bestFit="1" customWidth="1"/>
    <col min="91" max="91" width="19.28515625" style="288" bestFit="1" customWidth="1"/>
    <col min="92" max="92" width="20" style="288" bestFit="1" customWidth="1"/>
    <col min="93" max="93" width="20.140625" style="288" bestFit="1" customWidth="1"/>
    <col min="94" max="94" width="10.7109375" style="288" bestFit="1" customWidth="1"/>
    <col min="95" max="95" width="20.42578125" style="288" bestFit="1" customWidth="1"/>
    <col min="96" max="96" width="3.42578125" bestFit="1" customWidth="1"/>
    <col min="97" max="97" width="15.28515625" style="281" bestFit="1" customWidth="1"/>
    <col min="98" max="98" width="16" style="281" bestFit="1" customWidth="1"/>
    <col min="99" max="99" width="18.5703125" style="281" bestFit="1" customWidth="1"/>
    <col min="100" max="100" width="19.28515625" style="281" bestFit="1" customWidth="1"/>
    <col min="101" max="101" width="20" style="281" bestFit="1" customWidth="1"/>
    <col min="102" max="102" width="20.140625" style="281" bestFit="1" customWidth="1"/>
    <col min="103" max="103" width="10.7109375" style="281" bestFit="1" customWidth="1"/>
    <col min="104" max="104" width="16" style="281" bestFit="1" customWidth="1"/>
    <col min="105" max="105" width="4.42578125" style="281" bestFit="1" customWidth="1"/>
    <col min="106" max="106" width="15.28515625" style="281" bestFit="1" customWidth="1"/>
    <col min="107" max="107" width="16" style="281" bestFit="1" customWidth="1"/>
    <col min="108" max="108" width="18.5703125" style="281" bestFit="1" customWidth="1"/>
    <col min="109" max="109" width="19.28515625" style="281" bestFit="1" customWidth="1"/>
    <col min="110" max="110" width="20" style="281" bestFit="1" customWidth="1"/>
    <col min="111" max="111" width="20.140625" style="281" bestFit="1" customWidth="1"/>
    <col min="112" max="112" width="10.7109375" style="281" bestFit="1" customWidth="1"/>
    <col min="113" max="113" width="20.7109375" style="281" bestFit="1" customWidth="1"/>
    <col min="114" max="114" width="4.42578125" style="281" bestFit="1" customWidth="1"/>
    <col min="115" max="115" width="15.28515625" style="281" bestFit="1" customWidth="1"/>
    <col min="116" max="116" width="16" style="281" bestFit="1" customWidth="1"/>
    <col min="117" max="117" width="18.5703125" style="281" bestFit="1" customWidth="1"/>
    <col min="118" max="118" width="19.28515625" style="281" bestFit="1" customWidth="1"/>
    <col min="119" max="119" width="20" style="281" bestFit="1" customWidth="1"/>
    <col min="120" max="120" width="20.140625" style="281" bestFit="1" customWidth="1"/>
    <col min="121" max="121" width="10.7109375" style="281" bestFit="1" customWidth="1"/>
    <col min="122" max="122" width="18.85546875" style="281" bestFit="1" customWidth="1"/>
    <col min="123" max="124" width="15" customWidth="1"/>
    <col min="125" max="125" width="4.42578125" bestFit="1" customWidth="1"/>
    <col min="126" max="128" width="15.140625" bestFit="1" customWidth="1"/>
  </cols>
  <sheetData>
    <row r="1" spans="1:172">
      <c r="A1" s="1" t="s">
        <v>972</v>
      </c>
      <c r="B1" s="1"/>
    </row>
    <row r="2" spans="1:172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 s="328">
        <v>8</v>
      </c>
      <c r="I2">
        <v>9</v>
      </c>
      <c r="J2" s="295">
        <v>10</v>
      </c>
      <c r="K2" s="295">
        <v>11</v>
      </c>
      <c r="L2" s="295">
        <v>12</v>
      </c>
      <c r="M2" s="295">
        <v>13</v>
      </c>
      <c r="N2" s="295">
        <v>14</v>
      </c>
      <c r="O2" s="295">
        <v>15</v>
      </c>
      <c r="P2" s="295">
        <v>16</v>
      </c>
      <c r="Q2" s="295">
        <v>17</v>
      </c>
      <c r="R2" s="295">
        <v>18</v>
      </c>
      <c r="S2">
        <v>19</v>
      </c>
      <c r="T2" s="288">
        <v>20</v>
      </c>
      <c r="U2" s="288">
        <v>21</v>
      </c>
      <c r="V2" s="288">
        <v>22</v>
      </c>
      <c r="W2" s="288">
        <v>23</v>
      </c>
      <c r="X2" s="288">
        <v>24</v>
      </c>
      <c r="Y2" s="288">
        <v>25</v>
      </c>
      <c r="Z2" s="288">
        <v>26</v>
      </c>
      <c r="AA2" s="288">
        <v>27</v>
      </c>
      <c r="AB2" s="288">
        <v>28</v>
      </c>
      <c r="AC2">
        <v>29</v>
      </c>
      <c r="AD2" s="281">
        <v>30</v>
      </c>
      <c r="AE2" s="281">
        <v>31</v>
      </c>
      <c r="AF2" s="281">
        <v>32</v>
      </c>
      <c r="AG2" s="281">
        <v>33</v>
      </c>
      <c r="AH2" s="281">
        <v>34</v>
      </c>
      <c r="AI2" s="281">
        <v>35</v>
      </c>
      <c r="AJ2" s="281">
        <v>36</v>
      </c>
      <c r="AK2" s="281">
        <v>37</v>
      </c>
      <c r="AL2" s="281">
        <v>38</v>
      </c>
      <c r="AM2">
        <v>39</v>
      </c>
      <c r="AN2" s="309">
        <v>40</v>
      </c>
      <c r="AO2" s="309">
        <v>41</v>
      </c>
      <c r="AP2">
        <v>42</v>
      </c>
      <c r="AQ2" s="295">
        <v>43</v>
      </c>
      <c r="AR2" s="295">
        <v>44</v>
      </c>
      <c r="AS2" s="295">
        <v>45</v>
      </c>
      <c r="AT2" s="295">
        <v>46</v>
      </c>
      <c r="AU2" s="295">
        <v>47</v>
      </c>
      <c r="AV2" s="295">
        <v>48</v>
      </c>
      <c r="AW2" s="295">
        <v>49</v>
      </c>
      <c r="AX2" s="295">
        <v>50</v>
      </c>
      <c r="AY2" s="295">
        <v>51</v>
      </c>
      <c r="AZ2" s="295">
        <v>52</v>
      </c>
      <c r="BA2" s="295">
        <v>53</v>
      </c>
      <c r="BB2" s="295">
        <v>54</v>
      </c>
      <c r="BC2" s="295">
        <v>55</v>
      </c>
      <c r="BD2" s="295">
        <v>56</v>
      </c>
      <c r="BE2" s="295">
        <v>57</v>
      </c>
      <c r="BF2" s="295">
        <v>58</v>
      </c>
      <c r="BG2" s="295">
        <v>59</v>
      </c>
      <c r="BH2" s="295">
        <v>60</v>
      </c>
      <c r="BI2" s="295">
        <v>61</v>
      </c>
      <c r="BJ2" s="295">
        <v>62</v>
      </c>
      <c r="BK2" s="295">
        <v>63</v>
      </c>
      <c r="BL2" s="295">
        <v>64</v>
      </c>
      <c r="BM2" s="295">
        <v>65</v>
      </c>
      <c r="BN2" s="295">
        <v>66</v>
      </c>
      <c r="BO2" s="295">
        <v>67</v>
      </c>
      <c r="BP2" s="295">
        <v>68</v>
      </c>
      <c r="BQ2" s="295">
        <v>69</v>
      </c>
      <c r="BR2" s="295">
        <v>70</v>
      </c>
      <c r="BS2" s="295">
        <v>71</v>
      </c>
      <c r="BT2" s="295">
        <v>72</v>
      </c>
      <c r="BU2" s="295">
        <v>73</v>
      </c>
      <c r="BV2" s="295">
        <v>74</v>
      </c>
      <c r="BW2" s="295">
        <v>75</v>
      </c>
      <c r="BX2" s="295">
        <v>76</v>
      </c>
      <c r="BY2" s="295">
        <v>77</v>
      </c>
      <c r="BZ2" s="295">
        <v>78</v>
      </c>
      <c r="CA2" s="295">
        <v>79</v>
      </c>
      <c r="CB2" s="295">
        <v>80</v>
      </c>
      <c r="CC2" s="295">
        <v>81</v>
      </c>
      <c r="CD2" s="295">
        <v>82</v>
      </c>
      <c r="CE2" s="295">
        <v>83</v>
      </c>
      <c r="CF2" s="295">
        <v>84</v>
      </c>
      <c r="CG2" s="295">
        <v>85</v>
      </c>
      <c r="CH2" s="295">
        <v>86</v>
      </c>
      <c r="CI2" s="295">
        <v>87</v>
      </c>
      <c r="CJ2" s="295">
        <v>88</v>
      </c>
      <c r="CK2" s="295">
        <v>89</v>
      </c>
      <c r="CL2" s="295">
        <v>90</v>
      </c>
      <c r="CM2" s="295">
        <v>91</v>
      </c>
      <c r="CN2" s="295">
        <v>92</v>
      </c>
      <c r="CO2" s="295">
        <v>93</v>
      </c>
      <c r="CP2" s="295">
        <v>94</v>
      </c>
      <c r="CQ2" s="295">
        <v>95</v>
      </c>
      <c r="CR2" s="295">
        <v>96</v>
      </c>
      <c r="CS2" s="295">
        <v>97</v>
      </c>
      <c r="CT2" s="295">
        <v>98</v>
      </c>
      <c r="CU2" s="295">
        <v>99</v>
      </c>
      <c r="CV2" s="295">
        <v>100</v>
      </c>
      <c r="CW2" s="295">
        <v>101</v>
      </c>
      <c r="CX2" s="295">
        <v>102</v>
      </c>
      <c r="CY2" s="295">
        <v>103</v>
      </c>
      <c r="CZ2" s="295">
        <v>104</v>
      </c>
      <c r="DA2" s="295">
        <v>105</v>
      </c>
      <c r="DB2" s="295">
        <v>106</v>
      </c>
      <c r="DC2" s="295">
        <v>107</v>
      </c>
      <c r="DD2" s="295">
        <v>108</v>
      </c>
      <c r="DE2" s="295">
        <v>109</v>
      </c>
      <c r="DF2" s="295">
        <v>110</v>
      </c>
      <c r="DG2" s="295">
        <v>111</v>
      </c>
      <c r="DH2" s="295">
        <v>112</v>
      </c>
      <c r="DI2" s="295">
        <v>113</v>
      </c>
      <c r="DJ2" s="295">
        <v>114</v>
      </c>
      <c r="DK2" s="295">
        <v>115</v>
      </c>
      <c r="DL2" s="295">
        <v>116</v>
      </c>
      <c r="DM2" s="295">
        <v>117</v>
      </c>
      <c r="DN2" s="295">
        <v>118</v>
      </c>
      <c r="DO2" s="295">
        <v>119</v>
      </c>
      <c r="DP2" s="295">
        <v>120</v>
      </c>
      <c r="DQ2" s="295">
        <v>121</v>
      </c>
      <c r="DR2" s="295">
        <v>122</v>
      </c>
      <c r="DS2" s="295">
        <v>123</v>
      </c>
      <c r="DT2" s="295">
        <v>124</v>
      </c>
      <c r="DU2" s="295">
        <v>125</v>
      </c>
      <c r="DV2" s="295">
        <v>126</v>
      </c>
      <c r="DW2" s="295">
        <v>127</v>
      </c>
      <c r="DX2" s="295">
        <v>128</v>
      </c>
      <c r="DY2" s="295">
        <v>129</v>
      </c>
      <c r="DZ2" s="295">
        <v>130</v>
      </c>
      <c r="EA2" s="295">
        <v>131</v>
      </c>
      <c r="EB2" s="295">
        <v>132</v>
      </c>
      <c r="EC2" s="295">
        <v>133</v>
      </c>
      <c r="ED2" s="295">
        <v>134</v>
      </c>
      <c r="EE2" s="295">
        <v>135</v>
      </c>
      <c r="EF2" s="295">
        <v>136</v>
      </c>
      <c r="EG2" s="295">
        <v>137</v>
      </c>
      <c r="EH2" s="295">
        <v>138</v>
      </c>
      <c r="EI2" s="295">
        <v>139</v>
      </c>
      <c r="EJ2" s="295">
        <v>140</v>
      </c>
      <c r="EK2" s="295">
        <v>141</v>
      </c>
      <c r="EL2" s="295">
        <v>142</v>
      </c>
      <c r="EM2" s="295">
        <v>143</v>
      </c>
      <c r="EN2" s="295">
        <v>144</v>
      </c>
      <c r="EO2" s="295">
        <v>145</v>
      </c>
      <c r="EP2" s="295">
        <v>146</v>
      </c>
      <c r="EQ2" s="295">
        <v>147</v>
      </c>
      <c r="ER2" s="295">
        <v>148</v>
      </c>
      <c r="ES2" s="295">
        <v>149</v>
      </c>
      <c r="ET2" s="295">
        <v>150</v>
      </c>
      <c r="EU2" s="295">
        <v>151</v>
      </c>
      <c r="EV2" s="295">
        <v>152</v>
      </c>
      <c r="EW2" s="295">
        <v>153</v>
      </c>
      <c r="EX2" s="295">
        <v>154</v>
      </c>
      <c r="EY2" s="295">
        <v>155</v>
      </c>
      <c r="EZ2" s="295">
        <v>156</v>
      </c>
      <c r="FA2" s="295">
        <v>157</v>
      </c>
      <c r="FB2" s="295">
        <v>158</v>
      </c>
      <c r="FC2" s="295">
        <v>159</v>
      </c>
      <c r="FD2" s="295">
        <v>160</v>
      </c>
      <c r="FE2" s="295">
        <v>161</v>
      </c>
      <c r="FF2" s="295">
        <v>162</v>
      </c>
      <c r="FG2" s="295">
        <v>163</v>
      </c>
      <c r="FH2" s="295">
        <v>164</v>
      </c>
      <c r="FI2" s="295">
        <v>165</v>
      </c>
      <c r="FJ2" s="295">
        <v>166</v>
      </c>
      <c r="FK2" s="295">
        <v>167</v>
      </c>
      <c r="FL2" s="295">
        <v>168</v>
      </c>
      <c r="FM2" s="295">
        <v>169</v>
      </c>
      <c r="FN2" s="295">
        <v>170</v>
      </c>
      <c r="FO2" s="295">
        <v>171</v>
      </c>
      <c r="FP2" s="295">
        <v>172</v>
      </c>
    </row>
    <row r="3" spans="1:172" ht="15.75" thickBot="1">
      <c r="D3" s="66"/>
      <c r="G3" s="66" t="s">
        <v>959</v>
      </c>
      <c r="H3" s="822" t="s">
        <v>22</v>
      </c>
      <c r="J3" s="811" t="s">
        <v>22</v>
      </c>
      <c r="K3" s="811" t="s">
        <v>22</v>
      </c>
      <c r="L3" s="811" t="s">
        <v>22</v>
      </c>
      <c r="M3" s="811" t="s">
        <v>22</v>
      </c>
      <c r="N3" s="811" t="s">
        <v>22</v>
      </c>
      <c r="O3" s="811" t="s">
        <v>22</v>
      </c>
      <c r="P3" s="811" t="s">
        <v>25</v>
      </c>
      <c r="Q3" s="811"/>
      <c r="R3" s="811"/>
      <c r="T3" s="792" t="s">
        <v>22</v>
      </c>
      <c r="U3" s="792" t="s">
        <v>22</v>
      </c>
      <c r="V3" s="792" t="s">
        <v>22</v>
      </c>
      <c r="W3" s="792" t="s">
        <v>22</v>
      </c>
      <c r="X3" s="792" t="s">
        <v>22</v>
      </c>
      <c r="Y3" s="792" t="s">
        <v>22</v>
      </c>
      <c r="Z3" s="792" t="s">
        <v>25</v>
      </c>
      <c r="AA3" s="792"/>
      <c r="AB3" s="792"/>
      <c r="AD3" s="793" t="s">
        <v>22</v>
      </c>
      <c r="AE3" s="793" t="s">
        <v>22</v>
      </c>
      <c r="AF3" s="793" t="s">
        <v>22</v>
      </c>
      <c r="AG3" s="793" t="s">
        <v>22</v>
      </c>
      <c r="AH3" s="793" t="s">
        <v>22</v>
      </c>
      <c r="AI3" s="793" t="s">
        <v>22</v>
      </c>
      <c r="AJ3" s="793" t="s">
        <v>25</v>
      </c>
      <c r="AK3" s="793" t="s">
        <v>22</v>
      </c>
      <c r="AL3" s="793"/>
      <c r="AN3" s="881" t="s">
        <v>22</v>
      </c>
      <c r="AO3" s="881" t="s">
        <v>25</v>
      </c>
      <c r="AQ3" s="811"/>
      <c r="AR3" s="811"/>
      <c r="AS3" s="811"/>
      <c r="AT3" s="811"/>
      <c r="AU3" s="811"/>
      <c r="AV3" s="811"/>
      <c r="AW3" s="811"/>
      <c r="AX3" s="811"/>
      <c r="AZ3" s="811"/>
      <c r="BA3" s="811"/>
      <c r="BB3" s="811"/>
      <c r="BC3" s="811"/>
      <c r="BD3" s="811"/>
      <c r="BE3" s="811"/>
      <c r="BF3" s="811"/>
      <c r="BG3" s="811"/>
      <c r="BI3" s="811"/>
      <c r="BJ3" s="811"/>
      <c r="BK3" s="811"/>
      <c r="BL3" s="811"/>
      <c r="BM3" s="811"/>
      <c r="BN3" s="811"/>
      <c r="BO3" s="811"/>
      <c r="BP3" s="811"/>
      <c r="BR3" s="792"/>
      <c r="BS3" s="792"/>
      <c r="BT3" s="792"/>
      <c r="BU3" s="792"/>
      <c r="BV3" s="792"/>
      <c r="BW3" s="792"/>
      <c r="BX3" s="792"/>
      <c r="BY3" s="792"/>
      <c r="CA3" s="792"/>
      <c r="CB3" s="792"/>
      <c r="CC3" s="792"/>
      <c r="CD3" s="792"/>
      <c r="CE3" s="792"/>
      <c r="CF3" s="792"/>
      <c r="CG3" s="792"/>
      <c r="CH3" s="792"/>
      <c r="CJ3" s="792"/>
      <c r="CK3" s="792"/>
      <c r="CL3" s="792"/>
      <c r="CM3" s="792"/>
      <c r="CN3" s="792"/>
      <c r="CO3" s="792"/>
      <c r="CP3" s="792"/>
      <c r="CQ3" s="792"/>
      <c r="CS3" s="793"/>
      <c r="CT3" s="793"/>
      <c r="CU3" s="793"/>
      <c r="CV3" s="793"/>
      <c r="CW3" s="793"/>
      <c r="CX3" s="793"/>
      <c r="CY3" s="793"/>
      <c r="CZ3" s="793"/>
      <c r="DB3" s="793"/>
      <c r="DC3" s="793"/>
      <c r="DD3" s="793"/>
      <c r="DE3" s="793"/>
      <c r="DF3" s="793"/>
      <c r="DG3" s="793"/>
      <c r="DH3" s="793"/>
      <c r="DI3" s="793"/>
      <c r="DK3" s="793"/>
      <c r="DL3" s="793"/>
      <c r="DM3" s="793"/>
      <c r="DN3" s="793"/>
      <c r="DO3" s="793"/>
      <c r="DP3" s="793"/>
      <c r="DQ3" s="793"/>
      <c r="DR3" s="793"/>
    </row>
    <row r="4" spans="1:172" s="1" customFormat="1" ht="15.75" thickBot="1">
      <c r="A4" s="1" t="s">
        <v>960</v>
      </c>
      <c r="H4" s="823"/>
      <c r="J4" s="812"/>
      <c r="K4" s="812"/>
      <c r="L4" s="812"/>
      <c r="M4" s="812"/>
      <c r="N4" s="812"/>
      <c r="O4" s="812"/>
      <c r="P4" s="812"/>
      <c r="Q4" s="812"/>
      <c r="R4" s="812"/>
      <c r="T4" s="815"/>
      <c r="U4" s="815"/>
      <c r="V4" s="815"/>
      <c r="W4" s="815"/>
      <c r="X4" s="815"/>
      <c r="Y4" s="815"/>
      <c r="Z4" s="815"/>
      <c r="AA4" s="815"/>
      <c r="AB4" s="815"/>
      <c r="AD4" s="816"/>
      <c r="AE4" s="816"/>
      <c r="AF4" s="816"/>
      <c r="AG4" s="816"/>
      <c r="AH4" s="816"/>
      <c r="AI4" s="816"/>
      <c r="AJ4" s="816"/>
      <c r="AK4" s="816"/>
      <c r="AL4" s="816"/>
      <c r="AN4" s="882"/>
      <c r="AO4" s="882"/>
      <c r="AQ4" s="828" t="s">
        <v>973</v>
      </c>
      <c r="AR4" s="829"/>
      <c r="AS4" s="829"/>
      <c r="AT4" s="829"/>
      <c r="AU4" s="829"/>
      <c r="AV4" s="829"/>
      <c r="AW4" s="829"/>
      <c r="AX4" s="829"/>
      <c r="AY4" s="829"/>
      <c r="AZ4" s="829"/>
      <c r="BA4" s="829"/>
      <c r="BB4" s="829"/>
      <c r="BC4" s="829"/>
      <c r="BD4" s="829"/>
      <c r="BE4" s="829"/>
      <c r="BF4" s="829"/>
      <c r="BG4" s="829"/>
      <c r="BH4" s="829"/>
      <c r="BI4" s="829"/>
      <c r="BJ4" s="829"/>
      <c r="BK4" s="829"/>
      <c r="BL4" s="829"/>
      <c r="BM4" s="829"/>
      <c r="BN4" s="829"/>
      <c r="BO4" s="829"/>
      <c r="BP4" s="830"/>
      <c r="BR4" s="837" t="s">
        <v>974</v>
      </c>
      <c r="BS4" s="838"/>
      <c r="BT4" s="838"/>
      <c r="BU4" s="838"/>
      <c r="BV4" s="838"/>
      <c r="BW4" s="838"/>
      <c r="BX4" s="838"/>
      <c r="BY4" s="838"/>
      <c r="BZ4" s="838"/>
      <c r="CA4" s="838"/>
      <c r="CB4" s="838"/>
      <c r="CC4" s="838"/>
      <c r="CD4" s="838"/>
      <c r="CE4" s="838"/>
      <c r="CF4" s="838"/>
      <c r="CG4" s="838"/>
      <c r="CH4" s="838"/>
      <c r="CI4" s="838"/>
      <c r="CJ4" s="838"/>
      <c r="CK4" s="838"/>
      <c r="CL4" s="838"/>
      <c r="CM4" s="838"/>
      <c r="CN4" s="838"/>
      <c r="CO4" s="838"/>
      <c r="CP4" s="838"/>
      <c r="CQ4" s="839"/>
      <c r="CR4" s="800"/>
      <c r="CS4" s="846" t="s">
        <v>975</v>
      </c>
      <c r="CT4" s="847"/>
      <c r="CU4" s="847"/>
      <c r="CV4" s="847"/>
      <c r="CW4" s="847"/>
      <c r="CX4" s="847"/>
      <c r="CY4" s="847"/>
      <c r="CZ4" s="847"/>
      <c r="DA4" s="847"/>
      <c r="DB4" s="847"/>
      <c r="DC4" s="847"/>
      <c r="DD4" s="847"/>
      <c r="DE4" s="847"/>
      <c r="DF4" s="847"/>
      <c r="DG4" s="847"/>
      <c r="DH4" s="847"/>
      <c r="DI4" s="847"/>
      <c r="DJ4" s="847"/>
      <c r="DK4" s="847"/>
      <c r="DL4" s="847"/>
      <c r="DM4" s="847"/>
      <c r="DN4" s="847"/>
      <c r="DO4" s="847"/>
      <c r="DP4" s="847"/>
      <c r="DQ4" s="847"/>
      <c r="DR4" s="848"/>
    </row>
    <row r="5" spans="1:172" ht="19.5" thickBot="1">
      <c r="D5" s="66"/>
      <c r="G5" s="66"/>
      <c r="J5" s="819" t="s">
        <v>976</v>
      </c>
      <c r="K5" s="820"/>
      <c r="L5" s="820"/>
      <c r="M5" s="820"/>
      <c r="N5" s="820"/>
      <c r="O5" s="820"/>
      <c r="P5" s="820"/>
      <c r="Q5" s="820"/>
      <c r="R5" s="820"/>
      <c r="S5" s="820"/>
      <c r="T5" s="820"/>
      <c r="U5" s="820"/>
      <c r="V5" s="820"/>
      <c r="W5" s="820"/>
      <c r="X5" s="820"/>
      <c r="Y5" s="820"/>
      <c r="Z5" s="820"/>
      <c r="AA5" s="820"/>
      <c r="AB5" s="820"/>
      <c r="AC5" s="820"/>
      <c r="AD5" s="820"/>
      <c r="AE5" s="820"/>
      <c r="AF5" s="820"/>
      <c r="AG5" s="820"/>
      <c r="AH5" s="820"/>
      <c r="AI5" s="820"/>
      <c r="AJ5" s="820"/>
      <c r="AK5" s="820"/>
      <c r="AL5" s="821"/>
      <c r="AN5" s="883" t="s">
        <v>1120</v>
      </c>
      <c r="AO5" s="884"/>
      <c r="AQ5" s="831" t="s">
        <v>977</v>
      </c>
      <c r="AR5" s="832"/>
      <c r="AS5" s="832"/>
      <c r="AT5" s="832"/>
      <c r="AU5" s="832"/>
      <c r="AV5" s="832"/>
      <c r="AW5" s="832"/>
      <c r="AX5" s="833"/>
      <c r="AZ5" s="831" t="s">
        <v>978</v>
      </c>
      <c r="BA5" s="832"/>
      <c r="BB5" s="832"/>
      <c r="BC5" s="832"/>
      <c r="BD5" s="832"/>
      <c r="BE5" s="832"/>
      <c r="BF5" s="832"/>
      <c r="BG5" s="833"/>
      <c r="BI5" s="831" t="s">
        <v>979</v>
      </c>
      <c r="BJ5" s="832"/>
      <c r="BK5" s="832"/>
      <c r="BL5" s="832"/>
      <c r="BM5" s="832"/>
      <c r="BN5" s="832"/>
      <c r="BO5" s="832"/>
      <c r="BP5" s="833"/>
      <c r="BR5" s="840" t="s">
        <v>977</v>
      </c>
      <c r="BS5" s="841"/>
      <c r="BT5" s="841"/>
      <c r="BU5" s="841"/>
      <c r="BV5" s="841"/>
      <c r="BW5" s="841"/>
      <c r="BX5" s="841"/>
      <c r="BY5" s="842"/>
      <c r="CA5" s="840" t="s">
        <v>978</v>
      </c>
      <c r="CB5" s="841"/>
      <c r="CC5" s="841"/>
      <c r="CD5" s="841"/>
      <c r="CE5" s="841"/>
      <c r="CF5" s="841"/>
      <c r="CG5" s="841"/>
      <c r="CH5" s="842"/>
      <c r="CJ5" s="840" t="s">
        <v>979</v>
      </c>
      <c r="CK5" s="841"/>
      <c r="CL5" s="841"/>
      <c r="CM5" s="841"/>
      <c r="CN5" s="841"/>
      <c r="CO5" s="841"/>
      <c r="CP5" s="841"/>
      <c r="CQ5" s="842"/>
      <c r="CS5" s="849" t="s">
        <v>977</v>
      </c>
      <c r="CT5" s="850"/>
      <c r="CU5" s="850"/>
      <c r="CV5" s="850"/>
      <c r="CW5" s="850"/>
      <c r="CX5" s="850"/>
      <c r="CY5" s="850"/>
      <c r="CZ5" s="851"/>
      <c r="DB5" s="849" t="s">
        <v>978</v>
      </c>
      <c r="DC5" s="850"/>
      <c r="DD5" s="850"/>
      <c r="DE5" s="850"/>
      <c r="DF5" s="850"/>
      <c r="DG5" s="850"/>
      <c r="DH5" s="850"/>
      <c r="DI5" s="851"/>
      <c r="DK5" s="849" t="s">
        <v>979</v>
      </c>
      <c r="DL5" s="850"/>
      <c r="DM5" s="850"/>
      <c r="DN5" s="850"/>
      <c r="DO5" s="850"/>
      <c r="DP5" s="850"/>
      <c r="DQ5" s="850"/>
      <c r="DR5" s="851"/>
    </row>
    <row r="6" spans="1:172" ht="15.75" thickBot="1">
      <c r="A6" t="s">
        <v>980</v>
      </c>
    </row>
    <row r="7" spans="1:172" ht="45.75" thickBot="1">
      <c r="A7" s="177" t="s">
        <v>16</v>
      </c>
      <c r="B7" s="178" t="s">
        <v>17</v>
      </c>
      <c r="C7" s="179" t="s">
        <v>18</v>
      </c>
      <c r="D7" s="180" t="s">
        <v>19</v>
      </c>
      <c r="E7" s="179" t="s">
        <v>20</v>
      </c>
      <c r="F7" s="180" t="s">
        <v>21</v>
      </c>
      <c r="G7" s="206"/>
      <c r="H7" s="824" t="s">
        <v>981</v>
      </c>
      <c r="I7" s="206"/>
      <c r="J7" s="796" t="s">
        <v>982</v>
      </c>
      <c r="K7" s="796" t="s">
        <v>983</v>
      </c>
      <c r="L7" s="796" t="s">
        <v>984</v>
      </c>
      <c r="M7" s="796" t="s">
        <v>985</v>
      </c>
      <c r="N7" s="796" t="s">
        <v>986</v>
      </c>
      <c r="O7" s="796" t="s">
        <v>987</v>
      </c>
      <c r="P7" s="796" t="s">
        <v>988</v>
      </c>
      <c r="Q7" s="796" t="s">
        <v>989</v>
      </c>
      <c r="R7" s="796" t="s">
        <v>990</v>
      </c>
      <c r="S7" s="206"/>
      <c r="T7" s="785" t="s">
        <v>982</v>
      </c>
      <c r="U7" s="785" t="s">
        <v>991</v>
      </c>
      <c r="V7" s="785" t="s">
        <v>992</v>
      </c>
      <c r="W7" s="785" t="s">
        <v>993</v>
      </c>
      <c r="X7" s="785" t="s">
        <v>994</v>
      </c>
      <c r="Y7" s="785" t="s">
        <v>987</v>
      </c>
      <c r="Z7" s="785" t="s">
        <v>988</v>
      </c>
      <c r="AA7" s="785" t="s">
        <v>995</v>
      </c>
      <c r="AB7" s="785" t="s">
        <v>996</v>
      </c>
      <c r="AC7" s="206"/>
      <c r="AD7" s="787" t="s">
        <v>982</v>
      </c>
      <c r="AE7" s="787" t="s">
        <v>997</v>
      </c>
      <c r="AF7" s="787" t="s">
        <v>998</v>
      </c>
      <c r="AG7" s="787" t="s">
        <v>999</v>
      </c>
      <c r="AH7" s="787" t="s">
        <v>1000</v>
      </c>
      <c r="AI7" s="787" t="s">
        <v>987</v>
      </c>
      <c r="AJ7" s="787" t="s">
        <v>988</v>
      </c>
      <c r="AK7" s="787" t="s">
        <v>1001</v>
      </c>
      <c r="AL7" s="787" t="s">
        <v>1002</v>
      </c>
      <c r="AM7" s="149"/>
      <c r="AN7" s="885" t="s">
        <v>1121</v>
      </c>
      <c r="AO7" s="885" t="s">
        <v>1122</v>
      </c>
      <c r="AP7" s="149"/>
      <c r="AQ7" s="796" t="s">
        <v>982</v>
      </c>
      <c r="AR7" s="796" t="s">
        <v>983</v>
      </c>
      <c r="AS7" s="796" t="s">
        <v>984</v>
      </c>
      <c r="AT7" s="796" t="s">
        <v>985</v>
      </c>
      <c r="AU7" s="796" t="s">
        <v>986</v>
      </c>
      <c r="AV7" s="796" t="s">
        <v>987</v>
      </c>
      <c r="AW7" s="796" t="s">
        <v>988</v>
      </c>
      <c r="AX7" s="796" t="s">
        <v>1003</v>
      </c>
      <c r="AY7" s="827"/>
      <c r="AZ7" s="796" t="s">
        <v>982</v>
      </c>
      <c r="BA7" s="796" t="s">
        <v>983</v>
      </c>
      <c r="BB7" s="796" t="s">
        <v>984</v>
      </c>
      <c r="BC7" s="796" t="s">
        <v>985</v>
      </c>
      <c r="BD7" s="796" t="s">
        <v>986</v>
      </c>
      <c r="BE7" s="796" t="s">
        <v>987</v>
      </c>
      <c r="BF7" s="796" t="s">
        <v>988</v>
      </c>
      <c r="BG7" s="796" t="s">
        <v>1004</v>
      </c>
      <c r="BI7" s="796" t="s">
        <v>982</v>
      </c>
      <c r="BJ7" s="796" t="s">
        <v>983</v>
      </c>
      <c r="BK7" s="796" t="s">
        <v>984</v>
      </c>
      <c r="BL7" s="796" t="s">
        <v>985</v>
      </c>
      <c r="BM7" s="796" t="s">
        <v>986</v>
      </c>
      <c r="BN7" s="796" t="s">
        <v>987</v>
      </c>
      <c r="BO7" s="796" t="s">
        <v>988</v>
      </c>
      <c r="BP7" s="796" t="s">
        <v>1005</v>
      </c>
      <c r="BQ7" s="367"/>
      <c r="BR7" s="785" t="s">
        <v>982</v>
      </c>
      <c r="BS7" s="785" t="s">
        <v>991</v>
      </c>
      <c r="BT7" s="785" t="s">
        <v>992</v>
      </c>
      <c r="BU7" s="785" t="s">
        <v>993</v>
      </c>
      <c r="BV7" s="785" t="s">
        <v>994</v>
      </c>
      <c r="BW7" s="785" t="s">
        <v>987</v>
      </c>
      <c r="BX7" s="785" t="s">
        <v>988</v>
      </c>
      <c r="BY7" s="785" t="s">
        <v>1006</v>
      </c>
      <c r="BZ7" s="781"/>
      <c r="CA7" s="785" t="s">
        <v>982</v>
      </c>
      <c r="CB7" s="785" t="s">
        <v>991</v>
      </c>
      <c r="CC7" s="785" t="s">
        <v>992</v>
      </c>
      <c r="CD7" s="785" t="s">
        <v>993</v>
      </c>
      <c r="CE7" s="785" t="s">
        <v>994</v>
      </c>
      <c r="CF7" s="785" t="s">
        <v>987</v>
      </c>
      <c r="CG7" s="785" t="s">
        <v>988</v>
      </c>
      <c r="CH7" s="785" t="s">
        <v>1007</v>
      </c>
      <c r="CJ7" s="785" t="s">
        <v>982</v>
      </c>
      <c r="CK7" s="785" t="s">
        <v>991</v>
      </c>
      <c r="CL7" s="785" t="s">
        <v>992</v>
      </c>
      <c r="CM7" s="785" t="s">
        <v>993</v>
      </c>
      <c r="CN7" s="785" t="s">
        <v>994</v>
      </c>
      <c r="CO7" s="785" t="s">
        <v>987</v>
      </c>
      <c r="CP7" s="785" t="s">
        <v>988</v>
      </c>
      <c r="CQ7" s="785" t="s">
        <v>1008</v>
      </c>
      <c r="CR7" s="206"/>
      <c r="CS7" s="787" t="s">
        <v>982</v>
      </c>
      <c r="CT7" s="787" t="s">
        <v>997</v>
      </c>
      <c r="CU7" s="787" t="s">
        <v>998</v>
      </c>
      <c r="CV7" s="787" t="s">
        <v>999</v>
      </c>
      <c r="CW7" s="787" t="s">
        <v>1000</v>
      </c>
      <c r="CX7" s="787" t="s">
        <v>987</v>
      </c>
      <c r="CY7" s="787" t="s">
        <v>988</v>
      </c>
      <c r="CZ7" s="787" t="s">
        <v>1009</v>
      </c>
      <c r="DA7" s="782"/>
      <c r="DB7" s="787" t="s">
        <v>982</v>
      </c>
      <c r="DC7" s="787" t="s">
        <v>997</v>
      </c>
      <c r="DD7" s="787" t="s">
        <v>998</v>
      </c>
      <c r="DE7" s="787" t="s">
        <v>999</v>
      </c>
      <c r="DF7" s="787" t="s">
        <v>1000</v>
      </c>
      <c r="DG7" s="787" t="s">
        <v>987</v>
      </c>
      <c r="DH7" s="787" t="s">
        <v>988</v>
      </c>
      <c r="DI7" s="787" t="s">
        <v>1010</v>
      </c>
      <c r="DK7" s="787" t="s">
        <v>982</v>
      </c>
      <c r="DL7" s="787" t="s">
        <v>997</v>
      </c>
      <c r="DM7" s="787" t="s">
        <v>998</v>
      </c>
      <c r="DN7" s="787" t="s">
        <v>999</v>
      </c>
      <c r="DO7" s="787" t="s">
        <v>1000</v>
      </c>
      <c r="DP7" s="787" t="s">
        <v>987</v>
      </c>
      <c r="DQ7" s="787" t="s">
        <v>988</v>
      </c>
      <c r="DR7" s="787" t="s">
        <v>1011</v>
      </c>
      <c r="DS7" s="206"/>
      <c r="DT7" s="206"/>
      <c r="DV7" s="801" t="s">
        <v>22</v>
      </c>
      <c r="DW7" s="802" t="s">
        <v>25</v>
      </c>
      <c r="DX7" s="803" t="s">
        <v>33</v>
      </c>
    </row>
    <row r="8" spans="1:172" hidden="1">
      <c r="A8" s="197">
        <v>1027</v>
      </c>
      <c r="B8" s="185">
        <v>103140</v>
      </c>
      <c r="C8" s="185" t="s">
        <v>34</v>
      </c>
      <c r="D8" s="185" t="s">
        <v>35</v>
      </c>
      <c r="E8" s="190" t="s">
        <v>36</v>
      </c>
      <c r="F8" s="211" t="str">
        <f>VLOOKUP(A8,'Summary June 2026'!A:F,6,FALSE)</f>
        <v>Chq Bk</v>
      </c>
      <c r="G8" s="186"/>
      <c r="H8" s="825">
        <v>212726.10678839101</v>
      </c>
      <c r="I8" s="804"/>
      <c r="J8" s="797">
        <v>2396.5499999999997</v>
      </c>
      <c r="K8" s="797">
        <v>46700.55</v>
      </c>
      <c r="L8" s="797">
        <v>121729.008</v>
      </c>
      <c r="M8" s="797">
        <v>10539.75</v>
      </c>
      <c r="N8" s="797">
        <v>3544.3473684210526</v>
      </c>
      <c r="O8" s="797">
        <v>4689.75</v>
      </c>
      <c r="P8" s="797">
        <v>8775</v>
      </c>
      <c r="Q8" s="797">
        <f t="shared" ref="Q8:Q16" si="0">SUM(J8:P8)</f>
        <v>198374.95536842107</v>
      </c>
      <c r="R8" s="797">
        <f>Q8*80%</f>
        <v>158699.96429473686</v>
      </c>
      <c r="S8" s="804"/>
      <c r="T8" s="364">
        <v>0</v>
      </c>
      <c r="U8" s="364">
        <v>69186</v>
      </c>
      <c r="V8" s="364">
        <v>66787.8</v>
      </c>
      <c r="W8" s="364">
        <v>8297.25</v>
      </c>
      <c r="X8" s="364">
        <v>2238.6000000000004</v>
      </c>
      <c r="Y8" s="364">
        <v>3149.25</v>
      </c>
      <c r="Z8" s="364">
        <v>2925</v>
      </c>
      <c r="AA8" s="364">
        <f>SUM(T8:Z8)</f>
        <v>152583.9</v>
      </c>
      <c r="AB8" s="364">
        <f>AA8*80%</f>
        <v>122067.12</v>
      </c>
      <c r="AC8" s="804"/>
      <c r="AD8" s="817"/>
      <c r="AE8" s="817"/>
      <c r="AF8" s="817"/>
      <c r="AG8" s="817"/>
      <c r="AH8" s="817"/>
      <c r="AI8" s="817"/>
      <c r="AJ8" s="817"/>
      <c r="AK8" s="818"/>
      <c r="AL8" s="817"/>
      <c r="AM8" s="275"/>
      <c r="AN8" s="886">
        <v>24560.146759002757</v>
      </c>
      <c r="AO8" s="886">
        <v>264.5108033240997</v>
      </c>
      <c r="AP8" s="275"/>
      <c r="AQ8" s="834"/>
      <c r="AR8" s="834"/>
      <c r="AS8" s="834"/>
      <c r="AT8" s="834"/>
      <c r="AU8" s="834"/>
      <c r="AV8" s="834"/>
      <c r="AW8" s="834"/>
      <c r="AX8" s="834"/>
      <c r="AZ8" s="835"/>
      <c r="BA8" s="835"/>
      <c r="BB8" s="835"/>
      <c r="BC8" s="835"/>
      <c r="BD8" s="835"/>
      <c r="BE8" s="835"/>
      <c r="BF8" s="835"/>
      <c r="BG8" s="835"/>
      <c r="BH8" s="814"/>
      <c r="BI8" s="834"/>
      <c r="BJ8" s="834"/>
      <c r="BK8" s="834"/>
      <c r="BL8" s="834"/>
      <c r="BM8" s="834"/>
      <c r="BN8" s="834"/>
      <c r="BO8" s="834"/>
      <c r="BP8" s="834"/>
      <c r="BQ8" s="275"/>
      <c r="BR8" s="843"/>
      <c r="BS8" s="843"/>
      <c r="BT8" s="843"/>
      <c r="BU8" s="843"/>
      <c r="BV8" s="843"/>
      <c r="BW8" s="843"/>
      <c r="BX8" s="843"/>
      <c r="BY8" s="843"/>
      <c r="BZ8" s="843"/>
      <c r="CA8" s="843"/>
      <c r="CB8" s="843"/>
      <c r="CC8" s="843"/>
      <c r="CD8" s="843"/>
      <c r="CE8" s="843"/>
      <c r="CF8" s="843"/>
      <c r="CG8" s="843"/>
      <c r="CH8" s="843"/>
      <c r="CI8" s="843"/>
      <c r="CJ8" s="844"/>
      <c r="CK8" s="364"/>
      <c r="CL8" s="364"/>
      <c r="CM8" s="364"/>
      <c r="CN8" s="364"/>
      <c r="CO8" s="364"/>
      <c r="CP8" s="364"/>
      <c r="CQ8" s="364"/>
      <c r="CR8" s="804"/>
      <c r="CS8" s="852"/>
      <c r="CT8" s="853"/>
      <c r="CU8" s="853"/>
      <c r="CV8" s="853"/>
      <c r="CW8" s="853"/>
      <c r="CX8" s="853"/>
      <c r="CY8" s="853"/>
      <c r="CZ8" s="853"/>
      <c r="DA8" s="853"/>
      <c r="DC8" s="853"/>
      <c r="DD8" s="853"/>
      <c r="DE8" s="853"/>
      <c r="DF8" s="853"/>
      <c r="DG8" s="853"/>
      <c r="DH8" s="853"/>
      <c r="DI8" s="853"/>
      <c r="DJ8" s="853"/>
      <c r="DK8" s="853"/>
      <c r="DM8" s="853"/>
      <c r="DN8" s="853"/>
      <c r="DO8" s="853"/>
      <c r="DP8" s="853"/>
      <c r="DQ8" s="853"/>
      <c r="DR8" s="853"/>
      <c r="DS8" s="805"/>
      <c r="DT8" s="805"/>
      <c r="DV8" s="806">
        <f>H8+((SUMIFS($J8:$AL8,$J$3:$AL$3,$DV$7)*80%))+(SUMIFS($AN8:$AO8,$AN$3:$AO$3,$DV$7))</f>
        <v>508693.33784213063</v>
      </c>
      <c r="DW8" s="806">
        <f>(SUMIFS($J8:$AL8,$J$3:$AL$3,$DW$7)*80%)+(SUMIFS($AN8:$AO8,$AN$3:$AO$3,$DW$7))</f>
        <v>9624.5108033240995</v>
      </c>
      <c r="DX8" s="794">
        <f>DV8+DW8</f>
        <v>518317.84864545474</v>
      </c>
    </row>
    <row r="9" spans="1:172" hidden="1">
      <c r="A9" s="198">
        <v>2010</v>
      </c>
      <c r="B9" s="2">
        <v>103159</v>
      </c>
      <c r="C9" s="2" t="s">
        <v>37</v>
      </c>
      <c r="D9" s="2" t="s">
        <v>38</v>
      </c>
      <c r="E9" s="190" t="s">
        <v>39</v>
      </c>
      <c r="F9" s="211" t="str">
        <f>VLOOKUP(A9,'Summary June 2026'!A:F,6,FALSE)</f>
        <v>Chq Bk</v>
      </c>
      <c r="G9" s="33"/>
      <c r="H9" s="825">
        <v>0</v>
      </c>
      <c r="I9" s="804"/>
      <c r="J9" s="797">
        <v>0</v>
      </c>
      <c r="K9" s="797">
        <v>0</v>
      </c>
      <c r="L9" s="797">
        <v>0</v>
      </c>
      <c r="M9" s="797">
        <v>0</v>
      </c>
      <c r="N9" s="797">
        <v>0</v>
      </c>
      <c r="O9" s="797">
        <v>0</v>
      </c>
      <c r="P9" s="797">
        <v>0</v>
      </c>
      <c r="Q9" s="797">
        <f t="shared" si="0"/>
        <v>0</v>
      </c>
      <c r="R9" s="797">
        <f t="shared" ref="R9:R72" si="1">Q9*80%</f>
        <v>0</v>
      </c>
      <c r="S9" s="804"/>
      <c r="T9" s="364">
        <v>0</v>
      </c>
      <c r="U9" s="364">
        <v>0</v>
      </c>
      <c r="V9" s="364">
        <v>0</v>
      </c>
      <c r="W9" s="364">
        <v>0</v>
      </c>
      <c r="X9" s="364">
        <v>0</v>
      </c>
      <c r="Y9" s="364">
        <v>0</v>
      </c>
      <c r="Z9" s="364">
        <v>0</v>
      </c>
      <c r="AA9" s="364">
        <f t="shared" ref="AA9:AA72" si="2">SUM(T9:Z9)</f>
        <v>0</v>
      </c>
      <c r="AB9" s="364">
        <f t="shared" ref="AB9:AB72" si="3">AA9*80%</f>
        <v>0</v>
      </c>
      <c r="AC9" s="804"/>
      <c r="AD9" s="817"/>
      <c r="AE9" s="817"/>
      <c r="AF9" s="817"/>
      <c r="AG9" s="817"/>
      <c r="AH9" s="817"/>
      <c r="AI9" s="817"/>
      <c r="AJ9" s="817"/>
      <c r="AK9" s="818"/>
      <c r="AL9" s="817"/>
      <c r="AM9" s="275"/>
      <c r="AN9" s="886">
        <v>0</v>
      </c>
      <c r="AO9" s="886">
        <v>0</v>
      </c>
      <c r="AP9" s="275"/>
      <c r="AQ9" s="834"/>
      <c r="AR9" s="834"/>
      <c r="AS9" s="834"/>
      <c r="AT9" s="834"/>
      <c r="AU9" s="834"/>
      <c r="AV9" s="834"/>
      <c r="AW9" s="834"/>
      <c r="AX9" s="834"/>
      <c r="AZ9" s="835"/>
      <c r="BA9" s="835"/>
      <c r="BB9" s="835"/>
      <c r="BC9" s="835"/>
      <c r="BD9" s="835"/>
      <c r="BE9" s="835"/>
      <c r="BF9" s="835"/>
      <c r="BG9" s="835"/>
      <c r="BH9" s="814"/>
      <c r="BI9" s="834"/>
      <c r="BJ9" s="834"/>
      <c r="BK9" s="834"/>
      <c r="BL9" s="834"/>
      <c r="BM9" s="834"/>
      <c r="BN9" s="834"/>
      <c r="BO9" s="834"/>
      <c r="BP9" s="834"/>
      <c r="BQ9" s="275"/>
      <c r="BR9" s="843"/>
      <c r="BS9" s="843"/>
      <c r="BT9" s="843"/>
      <c r="BU9" s="843"/>
      <c r="BV9" s="843"/>
      <c r="BW9" s="843"/>
      <c r="BX9" s="843"/>
      <c r="BY9" s="843"/>
      <c r="BZ9" s="843"/>
      <c r="CA9" s="843"/>
      <c r="CB9" s="843"/>
      <c r="CC9" s="843"/>
      <c r="CD9" s="843"/>
      <c r="CE9" s="843"/>
      <c r="CF9" s="843"/>
      <c r="CG9" s="843"/>
      <c r="CH9" s="843"/>
      <c r="CI9" s="843"/>
      <c r="CJ9" s="844"/>
      <c r="CK9" s="364"/>
      <c r="CL9" s="364"/>
      <c r="CM9" s="364"/>
      <c r="CN9" s="364"/>
      <c r="CO9" s="364"/>
      <c r="CP9" s="364"/>
      <c r="CQ9" s="364"/>
      <c r="CR9" s="804"/>
      <c r="CS9" s="852"/>
      <c r="CT9" s="853"/>
      <c r="CU9" s="853"/>
      <c r="CV9" s="853"/>
      <c r="CW9" s="853"/>
      <c r="CX9" s="853"/>
      <c r="CY9" s="853"/>
      <c r="CZ9" s="853"/>
      <c r="DA9" s="853"/>
      <c r="DC9" s="853"/>
      <c r="DD9" s="853"/>
      <c r="DE9" s="853"/>
      <c r="DF9" s="853"/>
      <c r="DG9" s="853"/>
      <c r="DH9" s="853"/>
      <c r="DI9" s="853"/>
      <c r="DJ9" s="853"/>
      <c r="DK9" s="853"/>
      <c r="DM9" s="853"/>
      <c r="DN9" s="853"/>
      <c r="DO9" s="853"/>
      <c r="DP9" s="853"/>
      <c r="DQ9" s="853"/>
      <c r="DR9" s="853"/>
      <c r="DS9" s="805"/>
      <c r="DT9" s="805"/>
      <c r="DV9" s="806">
        <f t="shared" ref="DV9:DV72" si="4">H9+((SUMIFS($J9:$AL9,$J$3:$AL$3,$DV$7)*80%))+(SUMIFS($AN9:$AO9,$AN$3:$AO$3,$DV$7))</f>
        <v>0</v>
      </c>
      <c r="DW9" s="806">
        <f t="shared" ref="DW9:DW72" si="5">(SUMIFS($J9:$AL9,$J$3:$AL$3,$DW$7)*80%)+(SUMIFS($AN9:$AO9,$AN$3:$AO$3,$DW$7))</f>
        <v>0</v>
      </c>
      <c r="DX9" s="794">
        <f t="shared" ref="DX9:DX72" si="6">DV9+DW9</f>
        <v>0</v>
      </c>
    </row>
    <row r="10" spans="1:172" hidden="1">
      <c r="A10" s="198">
        <v>5949</v>
      </c>
      <c r="B10" s="2">
        <v>131465</v>
      </c>
      <c r="C10" s="2" t="s">
        <v>40</v>
      </c>
      <c r="D10" s="2" t="s">
        <v>41</v>
      </c>
      <c r="E10" s="190" t="s">
        <v>39</v>
      </c>
      <c r="F10" s="211" t="str">
        <f>VLOOKUP(A10,'Summary June 2026'!A:F,6,FALSE)</f>
        <v>Chq Bk</v>
      </c>
      <c r="G10" s="33"/>
      <c r="H10" s="825">
        <v>0</v>
      </c>
      <c r="I10" s="804"/>
      <c r="J10" s="797">
        <v>0</v>
      </c>
      <c r="K10" s="797">
        <v>0</v>
      </c>
      <c r="L10" s="797">
        <v>0</v>
      </c>
      <c r="M10" s="797">
        <v>0</v>
      </c>
      <c r="N10" s="797">
        <v>0</v>
      </c>
      <c r="O10" s="797">
        <v>0</v>
      </c>
      <c r="P10" s="797">
        <v>0</v>
      </c>
      <c r="Q10" s="797">
        <f t="shared" si="0"/>
        <v>0</v>
      </c>
      <c r="R10" s="797">
        <f t="shared" si="1"/>
        <v>0</v>
      </c>
      <c r="S10" s="804"/>
      <c r="T10" s="364">
        <v>0</v>
      </c>
      <c r="U10" s="364">
        <v>0</v>
      </c>
      <c r="V10" s="364">
        <v>0</v>
      </c>
      <c r="W10" s="364">
        <v>0</v>
      </c>
      <c r="X10" s="364">
        <v>0</v>
      </c>
      <c r="Y10" s="364">
        <v>0</v>
      </c>
      <c r="Z10" s="364">
        <v>0</v>
      </c>
      <c r="AA10" s="364">
        <f t="shared" si="2"/>
        <v>0</v>
      </c>
      <c r="AB10" s="364">
        <f t="shared" si="3"/>
        <v>0</v>
      </c>
      <c r="AC10" s="804"/>
      <c r="AD10" s="817"/>
      <c r="AE10" s="817"/>
      <c r="AF10" s="817"/>
      <c r="AG10" s="817"/>
      <c r="AH10" s="817"/>
      <c r="AI10" s="817"/>
      <c r="AJ10" s="817"/>
      <c r="AK10" s="818"/>
      <c r="AL10" s="817"/>
      <c r="AM10" s="275"/>
      <c r="AN10" s="886">
        <v>0</v>
      </c>
      <c r="AO10" s="886">
        <v>0</v>
      </c>
      <c r="AP10" s="275"/>
      <c r="AQ10" s="834"/>
      <c r="AR10" s="834"/>
      <c r="AS10" s="834"/>
      <c r="AT10" s="834"/>
      <c r="AU10" s="834"/>
      <c r="AV10" s="834"/>
      <c r="AW10" s="834"/>
      <c r="AX10" s="834"/>
      <c r="AZ10" s="835"/>
      <c r="BA10" s="835"/>
      <c r="BB10" s="835"/>
      <c r="BC10" s="835"/>
      <c r="BD10" s="835"/>
      <c r="BE10" s="835"/>
      <c r="BF10" s="835"/>
      <c r="BG10" s="835"/>
      <c r="BH10" s="814"/>
      <c r="BI10" s="834"/>
      <c r="BJ10" s="834"/>
      <c r="BK10" s="834"/>
      <c r="BL10" s="834"/>
      <c r="BM10" s="834"/>
      <c r="BN10" s="834"/>
      <c r="BO10" s="834"/>
      <c r="BP10" s="834"/>
      <c r="BQ10" s="275"/>
      <c r="BR10" s="843"/>
      <c r="BS10" s="843"/>
      <c r="BT10" s="843"/>
      <c r="BU10" s="843"/>
      <c r="BV10" s="843"/>
      <c r="BW10" s="843"/>
      <c r="BX10" s="843"/>
      <c r="BY10" s="843"/>
      <c r="BZ10" s="843"/>
      <c r="CA10" s="843"/>
      <c r="CB10" s="843"/>
      <c r="CC10" s="843"/>
      <c r="CD10" s="843"/>
      <c r="CE10" s="843"/>
      <c r="CF10" s="843"/>
      <c r="CG10" s="843"/>
      <c r="CH10" s="843"/>
      <c r="CI10" s="843"/>
      <c r="CJ10" s="844"/>
      <c r="CK10" s="364"/>
      <c r="CL10" s="364"/>
      <c r="CM10" s="364"/>
      <c r="CN10" s="364"/>
      <c r="CO10" s="364"/>
      <c r="CP10" s="364"/>
      <c r="CQ10" s="364"/>
      <c r="CR10" s="804"/>
      <c r="CS10" s="852"/>
      <c r="CT10" s="853"/>
      <c r="CU10" s="853"/>
      <c r="CV10" s="853"/>
      <c r="CW10" s="853"/>
      <c r="CX10" s="853"/>
      <c r="CY10" s="853"/>
      <c r="CZ10" s="853"/>
      <c r="DA10" s="853"/>
      <c r="DC10" s="853"/>
      <c r="DD10" s="853"/>
      <c r="DE10" s="853"/>
      <c r="DF10" s="853"/>
      <c r="DG10" s="853"/>
      <c r="DH10" s="853"/>
      <c r="DI10" s="853"/>
      <c r="DJ10" s="853"/>
      <c r="DK10" s="853"/>
      <c r="DM10" s="853"/>
      <c r="DN10" s="853"/>
      <c r="DO10" s="853"/>
      <c r="DP10" s="853"/>
      <c r="DQ10" s="853"/>
      <c r="DR10" s="853"/>
      <c r="DS10" s="805"/>
      <c r="DT10" s="805"/>
      <c r="DV10" s="806">
        <f t="shared" si="4"/>
        <v>0</v>
      </c>
      <c r="DW10" s="806">
        <f t="shared" si="5"/>
        <v>0</v>
      </c>
      <c r="DX10" s="794">
        <f t="shared" si="6"/>
        <v>0</v>
      </c>
    </row>
    <row r="11" spans="1:172" hidden="1">
      <c r="A11" s="198">
        <v>1017</v>
      </c>
      <c r="B11" s="2">
        <v>103130</v>
      </c>
      <c r="C11" s="2" t="s">
        <v>42</v>
      </c>
      <c r="D11" s="2" t="s">
        <v>43</v>
      </c>
      <c r="E11" s="190" t="s">
        <v>36</v>
      </c>
      <c r="F11" s="211" t="str">
        <f>VLOOKUP(A11,'Summary June 2026'!A:F,6,FALSE)</f>
        <v>Chq Bk</v>
      </c>
      <c r="G11" s="33"/>
      <c r="H11" s="825">
        <v>316642.23649637745</v>
      </c>
      <c r="I11" s="804"/>
      <c r="J11" s="797">
        <v>0</v>
      </c>
      <c r="K11" s="797">
        <v>65726.7</v>
      </c>
      <c r="L11" s="797">
        <v>200589.48</v>
      </c>
      <c r="M11" s="797">
        <v>14127.749999999998</v>
      </c>
      <c r="N11" s="797">
        <v>5670.0936842105266</v>
      </c>
      <c r="O11" s="797">
        <v>5793.45</v>
      </c>
      <c r="P11" s="797">
        <v>11700</v>
      </c>
      <c r="Q11" s="797">
        <f t="shared" si="0"/>
        <v>303607.4736842105</v>
      </c>
      <c r="R11" s="797">
        <f t="shared" si="1"/>
        <v>242885.97894736842</v>
      </c>
      <c r="S11" s="804"/>
      <c r="T11" s="364">
        <v>0</v>
      </c>
      <c r="U11" s="364">
        <v>104816.78999999998</v>
      </c>
      <c r="V11" s="364">
        <v>107764.8</v>
      </c>
      <c r="W11" s="364">
        <v>11212.5</v>
      </c>
      <c r="X11" s="364">
        <v>4290.136842105263</v>
      </c>
      <c r="Y11" s="364">
        <v>5026.7099999999991</v>
      </c>
      <c r="Z11" s="364">
        <v>4875</v>
      </c>
      <c r="AA11" s="364">
        <f t="shared" si="2"/>
        <v>237985.93684210523</v>
      </c>
      <c r="AB11" s="364">
        <f t="shared" si="3"/>
        <v>190388.74947368421</v>
      </c>
      <c r="AC11" s="804"/>
      <c r="AD11" s="817"/>
      <c r="AE11" s="817"/>
      <c r="AF11" s="817"/>
      <c r="AG11" s="817"/>
      <c r="AH11" s="817"/>
      <c r="AI11" s="817"/>
      <c r="AJ11" s="817"/>
      <c r="AK11" s="818"/>
      <c r="AL11" s="817"/>
      <c r="AM11" s="275"/>
      <c r="AN11" s="886">
        <v>41860.641473684191</v>
      </c>
      <c r="AO11" s="886">
        <v>-1496.6426592797786</v>
      </c>
      <c r="AP11" s="275"/>
      <c r="AQ11" s="834"/>
      <c r="AR11" s="834"/>
      <c r="AS11" s="834"/>
      <c r="AT11" s="834"/>
      <c r="AU11" s="834"/>
      <c r="AV11" s="834"/>
      <c r="AW11" s="834"/>
      <c r="AX11" s="834"/>
      <c r="AZ11" s="835"/>
      <c r="BA11" s="835"/>
      <c r="BB11" s="835"/>
      <c r="BC11" s="835"/>
      <c r="BD11" s="835"/>
      <c r="BE11" s="835"/>
      <c r="BF11" s="835"/>
      <c r="BG11" s="835"/>
      <c r="BH11" s="814"/>
      <c r="BI11" s="834"/>
      <c r="BJ11" s="834"/>
      <c r="BK11" s="834"/>
      <c r="BL11" s="834"/>
      <c r="BM11" s="834"/>
      <c r="BN11" s="834"/>
      <c r="BO11" s="834"/>
      <c r="BP11" s="834"/>
      <c r="BQ11" s="275"/>
      <c r="BR11" s="843"/>
      <c r="BS11" s="843"/>
      <c r="BT11" s="843"/>
      <c r="BU11" s="843"/>
      <c r="BV11" s="843"/>
      <c r="BW11" s="843"/>
      <c r="BX11" s="843"/>
      <c r="BY11" s="843"/>
      <c r="BZ11" s="843"/>
      <c r="CA11" s="843"/>
      <c r="CB11" s="843"/>
      <c r="CC11" s="843"/>
      <c r="CD11" s="843"/>
      <c r="CE11" s="843"/>
      <c r="CF11" s="843"/>
      <c r="CG11" s="843"/>
      <c r="CH11" s="843"/>
      <c r="CI11" s="843"/>
      <c r="CJ11" s="844"/>
      <c r="CK11" s="364"/>
      <c r="CL11" s="364"/>
      <c r="CM11" s="364"/>
      <c r="CN11" s="364"/>
      <c r="CO11" s="364"/>
      <c r="CP11" s="364"/>
      <c r="CQ11" s="364"/>
      <c r="CR11" s="804"/>
      <c r="CS11" s="852"/>
      <c r="CT11" s="853"/>
      <c r="CU11" s="853"/>
      <c r="CV11" s="853"/>
      <c r="CW11" s="853"/>
      <c r="CX11" s="853"/>
      <c r="CY11" s="853"/>
      <c r="CZ11" s="853"/>
      <c r="DA11" s="853"/>
      <c r="DC11" s="853"/>
      <c r="DD11" s="853"/>
      <c r="DE11" s="853"/>
      <c r="DF11" s="853"/>
      <c r="DG11" s="853"/>
      <c r="DH11" s="853"/>
      <c r="DI11" s="853"/>
      <c r="DJ11" s="853"/>
      <c r="DK11" s="853"/>
      <c r="DM11" s="853"/>
      <c r="DN11" s="853"/>
      <c r="DO11" s="853"/>
      <c r="DP11" s="853"/>
      <c r="DQ11" s="853"/>
      <c r="DR11" s="853"/>
      <c r="DS11" s="805"/>
      <c r="DT11" s="805"/>
      <c r="DV11" s="806">
        <f t="shared" si="4"/>
        <v>778517.60639111418</v>
      </c>
      <c r="DW11" s="806">
        <f t="shared" si="5"/>
        <v>11763.357340720222</v>
      </c>
      <c r="DX11" s="794">
        <f t="shared" si="6"/>
        <v>790280.96373183443</v>
      </c>
    </row>
    <row r="12" spans="1:172" hidden="1">
      <c r="A12" s="198">
        <v>2153</v>
      </c>
      <c r="B12" s="2">
        <v>103243</v>
      </c>
      <c r="C12" s="2" t="s">
        <v>44</v>
      </c>
      <c r="D12" s="2" t="s">
        <v>45</v>
      </c>
      <c r="E12" s="190" t="s">
        <v>39</v>
      </c>
      <c r="F12" s="211" t="str">
        <f>VLOOKUP(A12,'Summary June 2026'!A:F,6,FALSE)</f>
        <v>Chq Bk</v>
      </c>
      <c r="G12" s="33"/>
      <c r="H12" s="825">
        <v>0</v>
      </c>
      <c r="I12" s="804"/>
      <c r="J12" s="797">
        <v>0</v>
      </c>
      <c r="K12" s="797">
        <v>0</v>
      </c>
      <c r="L12" s="797">
        <v>0</v>
      </c>
      <c r="M12" s="797">
        <v>0</v>
      </c>
      <c r="N12" s="797">
        <v>0</v>
      </c>
      <c r="O12" s="797">
        <v>0</v>
      </c>
      <c r="P12" s="797">
        <v>0</v>
      </c>
      <c r="Q12" s="797">
        <f t="shared" si="0"/>
        <v>0</v>
      </c>
      <c r="R12" s="797">
        <f t="shared" si="1"/>
        <v>0</v>
      </c>
      <c r="S12" s="804"/>
      <c r="T12" s="364">
        <v>0</v>
      </c>
      <c r="U12" s="364">
        <v>0</v>
      </c>
      <c r="V12" s="364">
        <v>0</v>
      </c>
      <c r="W12" s="364">
        <v>0</v>
      </c>
      <c r="X12" s="364">
        <v>0</v>
      </c>
      <c r="Y12" s="364">
        <v>0</v>
      </c>
      <c r="Z12" s="364">
        <v>0</v>
      </c>
      <c r="AA12" s="364">
        <f t="shared" si="2"/>
        <v>0</v>
      </c>
      <c r="AB12" s="364">
        <f t="shared" si="3"/>
        <v>0</v>
      </c>
      <c r="AC12" s="804"/>
      <c r="AD12" s="817"/>
      <c r="AE12" s="817"/>
      <c r="AF12" s="817"/>
      <c r="AG12" s="817"/>
      <c r="AH12" s="817"/>
      <c r="AI12" s="817"/>
      <c r="AJ12" s="817"/>
      <c r="AK12" s="818"/>
      <c r="AL12" s="817"/>
      <c r="AM12" s="275"/>
      <c r="AN12" s="886">
        <v>0</v>
      </c>
      <c r="AO12" s="886">
        <v>0</v>
      </c>
      <c r="AP12" s="275"/>
      <c r="AQ12" s="834"/>
      <c r="AR12" s="834"/>
      <c r="AS12" s="834"/>
      <c r="AT12" s="834"/>
      <c r="AU12" s="834"/>
      <c r="AV12" s="834"/>
      <c r="AW12" s="834"/>
      <c r="AX12" s="834"/>
      <c r="AZ12" s="835"/>
      <c r="BA12" s="835"/>
      <c r="BB12" s="835"/>
      <c r="BC12" s="835"/>
      <c r="BD12" s="835"/>
      <c r="BE12" s="835"/>
      <c r="BF12" s="835"/>
      <c r="BG12" s="835"/>
      <c r="BH12" s="814"/>
      <c r="BI12" s="834"/>
      <c r="BJ12" s="834"/>
      <c r="BK12" s="834"/>
      <c r="BL12" s="834"/>
      <c r="BM12" s="834"/>
      <c r="BN12" s="834"/>
      <c r="BO12" s="834"/>
      <c r="BP12" s="834"/>
      <c r="BQ12" s="275"/>
      <c r="BR12" s="843"/>
      <c r="BS12" s="843"/>
      <c r="BT12" s="843"/>
      <c r="BU12" s="843"/>
      <c r="BV12" s="843"/>
      <c r="BW12" s="843"/>
      <c r="BX12" s="843"/>
      <c r="BY12" s="843"/>
      <c r="BZ12" s="843"/>
      <c r="CA12" s="843"/>
      <c r="CB12" s="843"/>
      <c r="CC12" s="843"/>
      <c r="CD12" s="843"/>
      <c r="CE12" s="843"/>
      <c r="CF12" s="843"/>
      <c r="CG12" s="843"/>
      <c r="CH12" s="843"/>
      <c r="CI12" s="843"/>
      <c r="CJ12" s="844"/>
      <c r="CK12" s="364"/>
      <c r="CL12" s="364"/>
      <c r="CM12" s="364"/>
      <c r="CN12" s="364"/>
      <c r="CO12" s="364"/>
      <c r="CP12" s="364"/>
      <c r="CQ12" s="364"/>
      <c r="CR12" s="804"/>
      <c r="CS12" s="852"/>
      <c r="CT12" s="853"/>
      <c r="CU12" s="853"/>
      <c r="CV12" s="853"/>
      <c r="CW12" s="853"/>
      <c r="CX12" s="853"/>
      <c r="CY12" s="853"/>
      <c r="CZ12" s="853"/>
      <c r="DA12" s="853"/>
      <c r="DC12" s="853"/>
      <c r="DD12" s="853"/>
      <c r="DE12" s="853"/>
      <c r="DF12" s="853"/>
      <c r="DG12" s="853"/>
      <c r="DH12" s="853"/>
      <c r="DI12" s="853"/>
      <c r="DJ12" s="853"/>
      <c r="DK12" s="853"/>
      <c r="DM12" s="853"/>
      <c r="DN12" s="853"/>
      <c r="DO12" s="853"/>
      <c r="DP12" s="853"/>
      <c r="DQ12" s="853"/>
      <c r="DR12" s="853"/>
      <c r="DS12" s="805"/>
      <c r="DT12" s="805"/>
      <c r="DV12" s="806">
        <f t="shared" si="4"/>
        <v>0</v>
      </c>
      <c r="DW12" s="806">
        <f t="shared" si="5"/>
        <v>0</v>
      </c>
      <c r="DX12" s="794">
        <f t="shared" si="6"/>
        <v>0</v>
      </c>
    </row>
    <row r="13" spans="1:172" hidden="1">
      <c r="A13" s="198">
        <v>2062</v>
      </c>
      <c r="B13" s="2">
        <v>103192</v>
      </c>
      <c r="C13" s="2" t="s">
        <v>46</v>
      </c>
      <c r="D13" s="2" t="s">
        <v>47</v>
      </c>
      <c r="E13" s="190" t="s">
        <v>39</v>
      </c>
      <c r="F13" s="211" t="str">
        <f>VLOOKUP(A13,'Summary June 2026'!A:F,6,FALSE)</f>
        <v>Chq Bk</v>
      </c>
      <c r="G13" s="33"/>
      <c r="H13" s="825">
        <v>0</v>
      </c>
      <c r="I13" s="804"/>
      <c r="J13" s="797">
        <v>0</v>
      </c>
      <c r="K13" s="797">
        <v>0</v>
      </c>
      <c r="L13" s="797">
        <v>46534.8</v>
      </c>
      <c r="M13" s="797">
        <v>3363.7499999999995</v>
      </c>
      <c r="N13" s="797">
        <v>0</v>
      </c>
      <c r="O13" s="797">
        <v>1688.7</v>
      </c>
      <c r="P13" s="797">
        <v>0</v>
      </c>
      <c r="Q13" s="797">
        <f t="shared" si="0"/>
        <v>51587.25</v>
      </c>
      <c r="R13" s="797">
        <f t="shared" si="1"/>
        <v>41269.800000000003</v>
      </c>
      <c r="S13" s="804"/>
      <c r="T13" s="364">
        <v>0</v>
      </c>
      <c r="U13" s="364">
        <v>0</v>
      </c>
      <c r="V13" s="364">
        <v>47759.4</v>
      </c>
      <c r="W13" s="364">
        <v>672.75</v>
      </c>
      <c r="X13" s="364">
        <v>0</v>
      </c>
      <c r="Y13" s="364">
        <v>1390.35</v>
      </c>
      <c r="Z13" s="364">
        <v>0</v>
      </c>
      <c r="AA13" s="364">
        <f t="shared" si="2"/>
        <v>49822.5</v>
      </c>
      <c r="AB13" s="364">
        <f t="shared" si="3"/>
        <v>39858</v>
      </c>
      <c r="AC13" s="804"/>
      <c r="AD13" s="817"/>
      <c r="AE13" s="817"/>
      <c r="AF13" s="817"/>
      <c r="AG13" s="817"/>
      <c r="AH13" s="817"/>
      <c r="AI13" s="817"/>
      <c r="AJ13" s="817"/>
      <c r="AK13" s="818"/>
      <c r="AL13" s="817"/>
      <c r="AM13" s="275"/>
      <c r="AN13" s="886">
        <v>4159.8184210526269</v>
      </c>
      <c r="AO13" s="886">
        <v>0</v>
      </c>
      <c r="AP13" s="275"/>
      <c r="AQ13" s="834"/>
      <c r="AR13" s="834"/>
      <c r="AS13" s="834"/>
      <c r="AT13" s="834"/>
      <c r="AU13" s="834"/>
      <c r="AV13" s="834"/>
      <c r="AW13" s="834"/>
      <c r="AX13" s="834"/>
      <c r="AZ13" s="835"/>
      <c r="BA13" s="835"/>
      <c r="BB13" s="835"/>
      <c r="BC13" s="835"/>
      <c r="BD13" s="835"/>
      <c r="BE13" s="835"/>
      <c r="BF13" s="835"/>
      <c r="BG13" s="835"/>
      <c r="BH13" s="814"/>
      <c r="BI13" s="834"/>
      <c r="BJ13" s="834"/>
      <c r="BK13" s="834"/>
      <c r="BL13" s="834"/>
      <c r="BM13" s="834"/>
      <c r="BN13" s="834"/>
      <c r="BO13" s="834"/>
      <c r="BP13" s="834"/>
      <c r="BQ13" s="275"/>
      <c r="BR13" s="843"/>
      <c r="BS13" s="843"/>
      <c r="BT13" s="843"/>
      <c r="BU13" s="843"/>
      <c r="BV13" s="843"/>
      <c r="BW13" s="843"/>
      <c r="BX13" s="843"/>
      <c r="BY13" s="843"/>
      <c r="BZ13" s="843"/>
      <c r="CA13" s="843"/>
      <c r="CB13" s="843"/>
      <c r="CC13" s="843"/>
      <c r="CD13" s="843"/>
      <c r="CE13" s="843"/>
      <c r="CF13" s="843"/>
      <c r="CG13" s="843"/>
      <c r="CH13" s="843"/>
      <c r="CI13" s="843"/>
      <c r="CJ13" s="844"/>
      <c r="CK13" s="364"/>
      <c r="CL13" s="364"/>
      <c r="CM13" s="364"/>
      <c r="CN13" s="364"/>
      <c r="CO13" s="364"/>
      <c r="CP13" s="364"/>
      <c r="CQ13" s="364"/>
      <c r="CR13" s="804"/>
      <c r="CS13" s="852"/>
      <c r="CT13" s="853"/>
      <c r="CU13" s="853"/>
      <c r="CV13" s="853"/>
      <c r="CW13" s="853"/>
      <c r="CX13" s="853"/>
      <c r="CY13" s="853"/>
      <c r="CZ13" s="853"/>
      <c r="DA13" s="853"/>
      <c r="DC13" s="853"/>
      <c r="DD13" s="853"/>
      <c r="DE13" s="853"/>
      <c r="DF13" s="853"/>
      <c r="DG13" s="853"/>
      <c r="DH13" s="853"/>
      <c r="DI13" s="853"/>
      <c r="DJ13" s="853"/>
      <c r="DK13" s="853"/>
      <c r="DM13" s="853"/>
      <c r="DN13" s="853"/>
      <c r="DO13" s="853"/>
      <c r="DP13" s="853"/>
      <c r="DQ13" s="853"/>
      <c r="DR13" s="853"/>
      <c r="DS13" s="805"/>
      <c r="DT13" s="805"/>
      <c r="DV13" s="806">
        <f t="shared" si="4"/>
        <v>85287.618421052626</v>
      </c>
      <c r="DW13" s="806">
        <f t="shared" si="5"/>
        <v>0</v>
      </c>
      <c r="DX13" s="794">
        <f t="shared" si="6"/>
        <v>85287.618421052626</v>
      </c>
    </row>
    <row r="14" spans="1:172" hidden="1">
      <c r="A14" s="198">
        <v>2479</v>
      </c>
      <c r="B14" s="2">
        <v>132074</v>
      </c>
      <c r="C14" s="2" t="s">
        <v>48</v>
      </c>
      <c r="D14" s="2" t="s">
        <v>49</v>
      </c>
      <c r="E14" s="190" t="s">
        <v>39</v>
      </c>
      <c r="F14" s="211" t="str">
        <f>VLOOKUP(A14,'Summary June 2026'!A:F,6,FALSE)</f>
        <v>Chq Bk</v>
      </c>
      <c r="G14" s="33"/>
      <c r="H14" s="825">
        <v>0</v>
      </c>
      <c r="I14" s="804"/>
      <c r="J14" s="797">
        <v>0</v>
      </c>
      <c r="K14" s="797">
        <v>0</v>
      </c>
      <c r="L14" s="797">
        <v>107764.8</v>
      </c>
      <c r="M14" s="797">
        <v>3812.2499999999995</v>
      </c>
      <c r="N14" s="797">
        <v>1268.54</v>
      </c>
      <c r="O14" s="797">
        <v>5491.2000000000007</v>
      </c>
      <c r="P14" s="797">
        <v>0</v>
      </c>
      <c r="Q14" s="797">
        <f t="shared" si="0"/>
        <v>118336.79</v>
      </c>
      <c r="R14" s="797">
        <f t="shared" si="1"/>
        <v>94669.432000000001</v>
      </c>
      <c r="S14" s="804"/>
      <c r="T14" s="364">
        <v>0</v>
      </c>
      <c r="U14" s="364">
        <v>0</v>
      </c>
      <c r="V14" s="364">
        <v>56331.600000000006</v>
      </c>
      <c r="W14" s="364">
        <v>2691</v>
      </c>
      <c r="X14" s="364">
        <v>895.43999999999994</v>
      </c>
      <c r="Y14" s="364">
        <v>2967.9</v>
      </c>
      <c r="Z14" s="364">
        <v>0</v>
      </c>
      <c r="AA14" s="364">
        <f t="shared" si="2"/>
        <v>62885.94000000001</v>
      </c>
      <c r="AB14" s="364">
        <f t="shared" si="3"/>
        <v>50308.752000000008</v>
      </c>
      <c r="AC14" s="804"/>
      <c r="AD14" s="817"/>
      <c r="AE14" s="817"/>
      <c r="AF14" s="817"/>
      <c r="AG14" s="817"/>
      <c r="AH14" s="817"/>
      <c r="AI14" s="817"/>
      <c r="AJ14" s="817"/>
      <c r="AK14" s="818"/>
      <c r="AL14" s="817"/>
      <c r="AM14" s="275"/>
      <c r="AN14" s="886">
        <v>-13812.166315789478</v>
      </c>
      <c r="AO14" s="886">
        <v>0</v>
      </c>
      <c r="AP14" s="275"/>
      <c r="AQ14" s="834"/>
      <c r="AR14" s="834"/>
      <c r="AS14" s="834"/>
      <c r="AT14" s="834"/>
      <c r="AU14" s="834"/>
      <c r="AV14" s="834"/>
      <c r="AW14" s="834"/>
      <c r="AX14" s="834"/>
      <c r="AZ14" s="835"/>
      <c r="BA14" s="835"/>
      <c r="BB14" s="835"/>
      <c r="BC14" s="835"/>
      <c r="BD14" s="835"/>
      <c r="BE14" s="835"/>
      <c r="BF14" s="835"/>
      <c r="BG14" s="835"/>
      <c r="BH14" s="814"/>
      <c r="BI14" s="834"/>
      <c r="BJ14" s="834"/>
      <c r="BK14" s="834"/>
      <c r="BL14" s="834"/>
      <c r="BM14" s="834"/>
      <c r="BN14" s="834"/>
      <c r="BO14" s="834"/>
      <c r="BP14" s="834"/>
      <c r="BQ14" s="275"/>
      <c r="BR14" s="843"/>
      <c r="BS14" s="843"/>
      <c r="BT14" s="843"/>
      <c r="BU14" s="843"/>
      <c r="BV14" s="843"/>
      <c r="BW14" s="843"/>
      <c r="BX14" s="843"/>
      <c r="BY14" s="843"/>
      <c r="BZ14" s="843"/>
      <c r="CA14" s="843"/>
      <c r="CB14" s="843"/>
      <c r="CC14" s="843"/>
      <c r="CD14" s="843"/>
      <c r="CE14" s="843"/>
      <c r="CF14" s="843"/>
      <c r="CG14" s="843"/>
      <c r="CH14" s="843"/>
      <c r="CI14" s="843"/>
      <c r="CJ14" s="844"/>
      <c r="CK14" s="364"/>
      <c r="CL14" s="364"/>
      <c r="CM14" s="364"/>
      <c r="CN14" s="364"/>
      <c r="CO14" s="364"/>
      <c r="CP14" s="364"/>
      <c r="CQ14" s="364"/>
      <c r="CR14" s="804"/>
      <c r="CS14" s="852"/>
      <c r="CT14" s="853"/>
      <c r="CU14" s="853"/>
      <c r="CV14" s="853"/>
      <c r="CW14" s="853"/>
      <c r="CX14" s="853"/>
      <c r="CY14" s="853"/>
      <c r="CZ14" s="853"/>
      <c r="DA14" s="853"/>
      <c r="DC14" s="853"/>
      <c r="DD14" s="853"/>
      <c r="DE14" s="853"/>
      <c r="DF14" s="853"/>
      <c r="DG14" s="853"/>
      <c r="DH14" s="853"/>
      <c r="DI14" s="853"/>
      <c r="DJ14" s="853"/>
      <c r="DK14" s="853"/>
      <c r="DM14" s="853"/>
      <c r="DN14" s="853"/>
      <c r="DO14" s="853"/>
      <c r="DP14" s="853"/>
      <c r="DQ14" s="853"/>
      <c r="DR14" s="853"/>
      <c r="DS14" s="805"/>
      <c r="DT14" s="805"/>
      <c r="DV14" s="806">
        <f t="shared" si="4"/>
        <v>131166.01768421053</v>
      </c>
      <c r="DW14" s="806">
        <f t="shared" si="5"/>
        <v>0</v>
      </c>
      <c r="DX14" s="794">
        <f t="shared" si="6"/>
        <v>131166.01768421053</v>
      </c>
    </row>
    <row r="15" spans="1:172" hidden="1">
      <c r="A15" s="198">
        <v>2300</v>
      </c>
      <c r="B15" s="2">
        <v>103324</v>
      </c>
      <c r="C15" s="2" t="s">
        <v>50</v>
      </c>
      <c r="D15" s="2" t="s">
        <v>51</v>
      </c>
      <c r="E15" s="190" t="s">
        <v>39</v>
      </c>
      <c r="F15" s="211" t="str">
        <f>VLOOKUP(A15,'Summary June 2026'!A:F,6,FALSE)</f>
        <v>Chq Bk</v>
      </c>
      <c r="G15" s="33"/>
      <c r="H15" s="825">
        <v>0</v>
      </c>
      <c r="I15" s="804"/>
      <c r="J15" s="797">
        <v>0</v>
      </c>
      <c r="K15" s="797">
        <v>0</v>
      </c>
      <c r="L15" s="797">
        <v>93069.6</v>
      </c>
      <c r="M15" s="797">
        <v>5830.5</v>
      </c>
      <c r="N15" s="797">
        <v>1940.1200000000001</v>
      </c>
      <c r="O15" s="797">
        <v>2889.9</v>
      </c>
      <c r="P15" s="797">
        <v>0</v>
      </c>
      <c r="Q15" s="797">
        <f t="shared" si="0"/>
        <v>103730.12</v>
      </c>
      <c r="R15" s="797">
        <f t="shared" si="1"/>
        <v>82984.096000000005</v>
      </c>
      <c r="S15" s="804"/>
      <c r="T15" s="364">
        <v>0</v>
      </c>
      <c r="U15" s="364">
        <v>0</v>
      </c>
      <c r="V15" s="364">
        <v>84497.4</v>
      </c>
      <c r="W15" s="364">
        <v>4485</v>
      </c>
      <c r="X15" s="364">
        <v>1604.2273684210527</v>
      </c>
      <c r="Y15" s="364">
        <v>2375.1</v>
      </c>
      <c r="Z15" s="364">
        <v>0</v>
      </c>
      <c r="AA15" s="364">
        <f t="shared" si="2"/>
        <v>92961.727368421052</v>
      </c>
      <c r="AB15" s="364">
        <f t="shared" si="3"/>
        <v>74369.381894736842</v>
      </c>
      <c r="AC15" s="804"/>
      <c r="AD15" s="817"/>
      <c r="AE15" s="817"/>
      <c r="AF15" s="817"/>
      <c r="AG15" s="817"/>
      <c r="AH15" s="817"/>
      <c r="AI15" s="817"/>
      <c r="AJ15" s="817"/>
      <c r="AK15" s="818"/>
      <c r="AL15" s="817"/>
      <c r="AM15" s="275"/>
      <c r="AN15" s="886">
        <v>16064.30058171744</v>
      </c>
      <c r="AO15" s="886">
        <v>0</v>
      </c>
      <c r="AP15" s="275"/>
      <c r="AQ15" s="834"/>
      <c r="AR15" s="834"/>
      <c r="AS15" s="834"/>
      <c r="AT15" s="834"/>
      <c r="AU15" s="834"/>
      <c r="AV15" s="834"/>
      <c r="AW15" s="834"/>
      <c r="AX15" s="834"/>
      <c r="AZ15" s="835"/>
      <c r="BA15" s="835"/>
      <c r="BB15" s="835"/>
      <c r="BC15" s="835"/>
      <c r="BD15" s="835"/>
      <c r="BE15" s="835"/>
      <c r="BF15" s="835"/>
      <c r="BG15" s="835"/>
      <c r="BH15" s="814"/>
      <c r="BI15" s="834"/>
      <c r="BJ15" s="834"/>
      <c r="BK15" s="834"/>
      <c r="BL15" s="834"/>
      <c r="BM15" s="834"/>
      <c r="BN15" s="834"/>
      <c r="BO15" s="834"/>
      <c r="BP15" s="834"/>
      <c r="BQ15" s="275"/>
      <c r="BR15" s="843"/>
      <c r="BS15" s="843"/>
      <c r="BT15" s="843"/>
      <c r="BU15" s="843"/>
      <c r="BV15" s="843"/>
      <c r="BW15" s="843"/>
      <c r="BX15" s="843"/>
      <c r="BY15" s="843"/>
      <c r="BZ15" s="843"/>
      <c r="CA15" s="843"/>
      <c r="CB15" s="843"/>
      <c r="CC15" s="843"/>
      <c r="CD15" s="843"/>
      <c r="CE15" s="843"/>
      <c r="CF15" s="843"/>
      <c r="CG15" s="843"/>
      <c r="CH15" s="843"/>
      <c r="CI15" s="843"/>
      <c r="CJ15" s="844"/>
      <c r="CK15" s="364"/>
      <c r="CL15" s="364"/>
      <c r="CM15" s="364"/>
      <c r="CN15" s="364"/>
      <c r="CO15" s="364"/>
      <c r="CP15" s="364"/>
      <c r="CQ15" s="364"/>
      <c r="CR15" s="804"/>
      <c r="CS15" s="852"/>
      <c r="CT15" s="853"/>
      <c r="CU15" s="853"/>
      <c r="CV15" s="853"/>
      <c r="CW15" s="853"/>
      <c r="CX15" s="853"/>
      <c r="CY15" s="853"/>
      <c r="CZ15" s="853"/>
      <c r="DA15" s="853"/>
      <c r="DC15" s="853"/>
      <c r="DD15" s="853"/>
      <c r="DE15" s="853"/>
      <c r="DF15" s="853"/>
      <c r="DG15" s="853"/>
      <c r="DH15" s="853"/>
      <c r="DI15" s="853"/>
      <c r="DJ15" s="853"/>
      <c r="DK15" s="853"/>
      <c r="DM15" s="853"/>
      <c r="DN15" s="853"/>
      <c r="DO15" s="853"/>
      <c r="DP15" s="853"/>
      <c r="DQ15" s="853"/>
      <c r="DR15" s="853"/>
      <c r="DS15" s="805"/>
      <c r="DT15" s="805"/>
      <c r="DV15" s="806">
        <f t="shared" si="4"/>
        <v>173417.77847645429</v>
      </c>
      <c r="DW15" s="806">
        <f t="shared" si="5"/>
        <v>0</v>
      </c>
      <c r="DX15" s="794">
        <f t="shared" si="6"/>
        <v>173417.77847645429</v>
      </c>
    </row>
    <row r="16" spans="1:172" hidden="1">
      <c r="A16" s="198">
        <v>2014</v>
      </c>
      <c r="B16" s="2">
        <v>103162</v>
      </c>
      <c r="C16" s="2" t="s">
        <v>52</v>
      </c>
      <c r="D16" s="2" t="s">
        <v>53</v>
      </c>
      <c r="E16" s="190" t="s">
        <v>39</v>
      </c>
      <c r="F16" s="211" t="str">
        <f>VLOOKUP(A16,'Summary June 2026'!A:F,6,FALSE)</f>
        <v>Chq Bk</v>
      </c>
      <c r="G16" s="33"/>
      <c r="H16" s="825">
        <v>0</v>
      </c>
      <c r="I16" s="804"/>
      <c r="J16" s="797">
        <v>0</v>
      </c>
      <c r="K16" s="797">
        <v>0</v>
      </c>
      <c r="L16" s="797">
        <v>39187.200000000004</v>
      </c>
      <c r="M16" s="797">
        <v>3812.2499999999995</v>
      </c>
      <c r="N16" s="797">
        <v>1268.54</v>
      </c>
      <c r="O16" s="797">
        <v>1649.7</v>
      </c>
      <c r="P16" s="797">
        <v>0</v>
      </c>
      <c r="Q16" s="797">
        <f t="shared" si="0"/>
        <v>45917.69</v>
      </c>
      <c r="R16" s="797">
        <f t="shared" si="1"/>
        <v>36734.152000000002</v>
      </c>
      <c r="S16" s="804"/>
      <c r="T16" s="364">
        <v>0</v>
      </c>
      <c r="U16" s="364">
        <v>0</v>
      </c>
      <c r="V16" s="364">
        <v>48984</v>
      </c>
      <c r="W16" s="364">
        <v>3363.7499999999995</v>
      </c>
      <c r="X16" s="364">
        <v>1454.782105263158</v>
      </c>
      <c r="Y16" s="364">
        <v>1708.2</v>
      </c>
      <c r="Z16" s="364">
        <v>0</v>
      </c>
      <c r="AA16" s="364">
        <f t="shared" si="2"/>
        <v>55510.732105263152</v>
      </c>
      <c r="AB16" s="364">
        <f t="shared" si="3"/>
        <v>44408.585684210528</v>
      </c>
      <c r="AC16" s="804"/>
      <c r="AD16" s="817"/>
      <c r="AE16" s="817"/>
      <c r="AF16" s="817"/>
      <c r="AG16" s="817"/>
      <c r="AH16" s="817"/>
      <c r="AI16" s="817"/>
      <c r="AJ16" s="817"/>
      <c r="AK16" s="818"/>
      <c r="AL16" s="817"/>
      <c r="AM16" s="275"/>
      <c r="AN16" s="886">
        <v>15166.157368421063</v>
      </c>
      <c r="AO16" s="886">
        <v>0</v>
      </c>
      <c r="AP16" s="275"/>
      <c r="AQ16" s="834"/>
      <c r="AR16" s="834"/>
      <c r="AS16" s="834"/>
      <c r="AT16" s="834"/>
      <c r="AU16" s="834"/>
      <c r="AV16" s="834"/>
      <c r="AW16" s="834"/>
      <c r="AX16" s="834"/>
      <c r="AZ16" s="835"/>
      <c r="BA16" s="835"/>
      <c r="BB16" s="835"/>
      <c r="BC16" s="835"/>
      <c r="BD16" s="835"/>
      <c r="BE16" s="835"/>
      <c r="BF16" s="835"/>
      <c r="BG16" s="835"/>
      <c r="BH16" s="814"/>
      <c r="BI16" s="834"/>
      <c r="BJ16" s="834"/>
      <c r="BK16" s="834"/>
      <c r="BL16" s="834"/>
      <c r="BM16" s="834"/>
      <c r="BN16" s="834"/>
      <c r="BO16" s="834"/>
      <c r="BP16" s="834"/>
      <c r="BQ16" s="275"/>
      <c r="BR16" s="843"/>
      <c r="BS16" s="843"/>
      <c r="BT16" s="843"/>
      <c r="BU16" s="843"/>
      <c r="BV16" s="843"/>
      <c r="BW16" s="843"/>
      <c r="BX16" s="843"/>
      <c r="BY16" s="843"/>
      <c r="BZ16" s="843"/>
      <c r="CA16" s="843"/>
      <c r="CB16" s="843"/>
      <c r="CC16" s="843"/>
      <c r="CD16" s="843"/>
      <c r="CE16" s="843"/>
      <c r="CF16" s="843"/>
      <c r="CG16" s="843"/>
      <c r="CH16" s="843"/>
      <c r="CI16" s="843"/>
      <c r="CJ16" s="844"/>
      <c r="CK16" s="364"/>
      <c r="CL16" s="364"/>
      <c r="CM16" s="364"/>
      <c r="CN16" s="364"/>
      <c r="CO16" s="364"/>
      <c r="CP16" s="364"/>
      <c r="CQ16" s="364"/>
      <c r="CR16" s="804"/>
      <c r="CS16" s="852"/>
      <c r="CT16" s="853"/>
      <c r="CU16" s="853"/>
      <c r="CV16" s="853"/>
      <c r="CW16" s="853"/>
      <c r="CX16" s="853"/>
      <c r="CY16" s="853"/>
      <c r="CZ16" s="853"/>
      <c r="DA16" s="853"/>
      <c r="DC16" s="853"/>
      <c r="DD16" s="853"/>
      <c r="DE16" s="853"/>
      <c r="DF16" s="853"/>
      <c r="DG16" s="853"/>
      <c r="DH16" s="853"/>
      <c r="DI16" s="853"/>
      <c r="DJ16" s="853"/>
      <c r="DK16" s="853"/>
      <c r="DM16" s="853"/>
      <c r="DN16" s="853"/>
      <c r="DO16" s="853"/>
      <c r="DP16" s="853"/>
      <c r="DQ16" s="853"/>
      <c r="DR16" s="853"/>
      <c r="DS16" s="805"/>
      <c r="DT16" s="805"/>
      <c r="DV16" s="806">
        <f t="shared" si="4"/>
        <v>96308.895052631589</v>
      </c>
      <c r="DW16" s="806">
        <f t="shared" si="5"/>
        <v>0</v>
      </c>
      <c r="DX16" s="794">
        <f t="shared" si="6"/>
        <v>96308.895052631589</v>
      </c>
    </row>
    <row r="17" spans="1:128" hidden="1">
      <c r="A17" s="198">
        <v>7016</v>
      </c>
      <c r="B17" s="2">
        <v>103606</v>
      </c>
      <c r="C17" s="2" t="s">
        <v>54</v>
      </c>
      <c r="D17" s="2" t="s">
        <v>55</v>
      </c>
      <c r="E17" s="190" t="s">
        <v>56</v>
      </c>
      <c r="F17" s="211" t="str">
        <f>VLOOKUP(A17,'Summary June 2026'!A:F,6,FALSE)</f>
        <v>Chq Bk</v>
      </c>
      <c r="G17" s="33"/>
      <c r="H17" s="825">
        <v>0</v>
      </c>
      <c r="I17" s="804"/>
      <c r="J17" s="797"/>
      <c r="K17" s="797"/>
      <c r="L17" s="797"/>
      <c r="M17" s="797"/>
      <c r="N17" s="797"/>
      <c r="O17" s="797"/>
      <c r="P17" s="797"/>
      <c r="Q17" s="797"/>
      <c r="R17" s="797"/>
      <c r="S17" s="804"/>
      <c r="T17" s="364"/>
      <c r="U17" s="364"/>
      <c r="V17" s="364"/>
      <c r="W17" s="364"/>
      <c r="X17" s="364"/>
      <c r="Y17" s="364"/>
      <c r="Z17" s="364"/>
      <c r="AA17" s="364"/>
      <c r="AB17" s="364"/>
      <c r="AC17" s="804"/>
      <c r="AD17" s="817"/>
      <c r="AE17" s="817"/>
      <c r="AF17" s="817"/>
      <c r="AG17" s="817"/>
      <c r="AH17" s="817"/>
      <c r="AI17" s="817"/>
      <c r="AJ17" s="817"/>
      <c r="AK17" s="818"/>
      <c r="AL17" s="817"/>
      <c r="AM17" s="275"/>
      <c r="AN17" s="886">
        <v>0</v>
      </c>
      <c r="AO17" s="886">
        <v>0</v>
      </c>
      <c r="AP17" s="275"/>
      <c r="AQ17" s="834"/>
      <c r="AR17" s="834"/>
      <c r="AS17" s="834"/>
      <c r="AT17" s="834"/>
      <c r="AU17" s="834"/>
      <c r="AV17" s="834"/>
      <c r="AW17" s="834"/>
      <c r="AX17" s="834"/>
      <c r="AZ17" s="835"/>
      <c r="BA17" s="835"/>
      <c r="BB17" s="835"/>
      <c r="BC17" s="835"/>
      <c r="BD17" s="835"/>
      <c r="BE17" s="835"/>
      <c r="BF17" s="835"/>
      <c r="BG17" s="835"/>
      <c r="BH17" s="814"/>
      <c r="BI17" s="834"/>
      <c r="BJ17" s="834"/>
      <c r="BK17" s="834"/>
      <c r="BL17" s="834"/>
      <c r="BM17" s="834"/>
      <c r="BN17" s="834"/>
      <c r="BO17" s="834"/>
      <c r="BP17" s="834"/>
      <c r="BQ17" s="275"/>
      <c r="BR17" s="843"/>
      <c r="BS17" s="843"/>
      <c r="BT17" s="843"/>
      <c r="BU17" s="843"/>
      <c r="BV17" s="843"/>
      <c r="BW17" s="843"/>
      <c r="BX17" s="843"/>
      <c r="BY17" s="843"/>
      <c r="BZ17" s="843"/>
      <c r="CA17" s="843"/>
      <c r="CB17" s="843"/>
      <c r="CC17" s="843"/>
      <c r="CD17" s="843"/>
      <c r="CE17" s="843"/>
      <c r="CF17" s="843"/>
      <c r="CG17" s="843"/>
      <c r="CH17" s="843"/>
      <c r="CI17" s="843"/>
      <c r="CJ17" s="844"/>
      <c r="CK17" s="364"/>
      <c r="CL17" s="364"/>
      <c r="CM17" s="364"/>
      <c r="CN17" s="364"/>
      <c r="CO17" s="364"/>
      <c r="CP17" s="364"/>
      <c r="CQ17" s="364"/>
      <c r="CR17" s="804"/>
      <c r="CS17" s="852"/>
      <c r="CT17" s="853"/>
      <c r="CU17" s="853"/>
      <c r="CV17" s="853"/>
      <c r="CW17" s="853"/>
      <c r="CX17" s="853"/>
      <c r="CY17" s="853"/>
      <c r="CZ17" s="853"/>
      <c r="DA17" s="853"/>
      <c r="DC17" s="853"/>
      <c r="DD17" s="853"/>
      <c r="DE17" s="853"/>
      <c r="DF17" s="853"/>
      <c r="DG17" s="853"/>
      <c r="DH17" s="853"/>
      <c r="DI17" s="853"/>
      <c r="DJ17" s="853"/>
      <c r="DK17" s="853"/>
      <c r="DM17" s="853"/>
      <c r="DN17" s="853"/>
      <c r="DO17" s="853"/>
      <c r="DP17" s="853"/>
      <c r="DQ17" s="853"/>
      <c r="DR17" s="853"/>
      <c r="DS17" s="805"/>
      <c r="DT17" s="805"/>
      <c r="DV17" s="806">
        <f t="shared" si="4"/>
        <v>0</v>
      </c>
      <c r="DW17" s="806">
        <f t="shared" si="5"/>
        <v>0</v>
      </c>
      <c r="DX17" s="794">
        <f t="shared" si="6"/>
        <v>0</v>
      </c>
    </row>
    <row r="18" spans="1:128" hidden="1">
      <c r="A18" s="198">
        <v>7052</v>
      </c>
      <c r="B18" s="2">
        <v>103627</v>
      </c>
      <c r="C18" s="2" t="s">
        <v>57</v>
      </c>
      <c r="D18" s="2" t="s">
        <v>58</v>
      </c>
      <c r="E18" s="190" t="s">
        <v>56</v>
      </c>
      <c r="F18" s="211" t="str">
        <f>VLOOKUP(A18,'Summary June 2026'!A:F,6,FALSE)</f>
        <v>Chq Bk</v>
      </c>
      <c r="G18" s="33"/>
      <c r="H18" s="825">
        <v>0</v>
      </c>
      <c r="I18" s="804"/>
      <c r="J18" s="797"/>
      <c r="K18" s="797"/>
      <c r="L18" s="797"/>
      <c r="M18" s="797"/>
      <c r="N18" s="797"/>
      <c r="O18" s="797"/>
      <c r="P18" s="797"/>
      <c r="Q18" s="797"/>
      <c r="R18" s="797"/>
      <c r="S18" s="804"/>
      <c r="T18" s="364"/>
      <c r="U18" s="364"/>
      <c r="V18" s="364"/>
      <c r="W18" s="364"/>
      <c r="X18" s="364"/>
      <c r="Y18" s="364"/>
      <c r="Z18" s="364"/>
      <c r="AA18" s="364"/>
      <c r="AB18" s="364"/>
      <c r="AC18" s="804"/>
      <c r="AD18" s="817"/>
      <c r="AE18" s="817"/>
      <c r="AF18" s="817"/>
      <c r="AG18" s="817"/>
      <c r="AH18" s="817"/>
      <c r="AI18" s="817"/>
      <c r="AJ18" s="817"/>
      <c r="AK18" s="818"/>
      <c r="AL18" s="817"/>
      <c r="AM18" s="275"/>
      <c r="AN18" s="886">
        <v>0</v>
      </c>
      <c r="AO18" s="886">
        <v>0</v>
      </c>
      <c r="AP18" s="275"/>
      <c r="AQ18" s="834"/>
      <c r="AR18" s="834"/>
      <c r="AS18" s="834"/>
      <c r="AT18" s="834"/>
      <c r="AU18" s="834"/>
      <c r="AV18" s="834"/>
      <c r="AW18" s="834"/>
      <c r="AX18" s="834"/>
      <c r="AZ18" s="835"/>
      <c r="BA18" s="835"/>
      <c r="BB18" s="835"/>
      <c r="BC18" s="835"/>
      <c r="BD18" s="835"/>
      <c r="BE18" s="835"/>
      <c r="BF18" s="835"/>
      <c r="BG18" s="835"/>
      <c r="BH18" s="814"/>
      <c r="BI18" s="834"/>
      <c r="BJ18" s="834"/>
      <c r="BK18" s="834"/>
      <c r="BL18" s="834"/>
      <c r="BM18" s="834"/>
      <c r="BN18" s="834"/>
      <c r="BO18" s="834"/>
      <c r="BP18" s="834"/>
      <c r="BQ18" s="275"/>
      <c r="BR18" s="843"/>
      <c r="BS18" s="843"/>
      <c r="BT18" s="843"/>
      <c r="BU18" s="843"/>
      <c r="BV18" s="843"/>
      <c r="BW18" s="843"/>
      <c r="BX18" s="843"/>
      <c r="BY18" s="843"/>
      <c r="BZ18" s="843"/>
      <c r="CA18" s="843"/>
      <c r="CB18" s="843"/>
      <c r="CC18" s="843"/>
      <c r="CD18" s="843"/>
      <c r="CE18" s="843"/>
      <c r="CF18" s="843"/>
      <c r="CG18" s="843"/>
      <c r="CH18" s="843"/>
      <c r="CI18" s="843"/>
      <c r="CJ18" s="844"/>
      <c r="CK18" s="364"/>
      <c r="CL18" s="364"/>
      <c r="CM18" s="364"/>
      <c r="CN18" s="364"/>
      <c r="CO18" s="364"/>
      <c r="CP18" s="364"/>
      <c r="CQ18" s="364"/>
      <c r="CR18" s="804"/>
      <c r="CS18" s="852"/>
      <c r="CT18" s="853"/>
      <c r="CU18" s="853"/>
      <c r="CV18" s="853"/>
      <c r="CW18" s="853"/>
      <c r="CX18" s="853"/>
      <c r="CY18" s="853"/>
      <c r="CZ18" s="853"/>
      <c r="DA18" s="853"/>
      <c r="DC18" s="853"/>
      <c r="DD18" s="853"/>
      <c r="DE18" s="853"/>
      <c r="DF18" s="853"/>
      <c r="DG18" s="853"/>
      <c r="DH18" s="853"/>
      <c r="DI18" s="853"/>
      <c r="DJ18" s="853"/>
      <c r="DK18" s="853"/>
      <c r="DM18" s="853"/>
      <c r="DN18" s="853"/>
      <c r="DO18" s="853"/>
      <c r="DP18" s="853"/>
      <c r="DQ18" s="853"/>
      <c r="DR18" s="853"/>
      <c r="DS18" s="805"/>
      <c r="DT18" s="805"/>
      <c r="DV18" s="806">
        <f t="shared" si="4"/>
        <v>0</v>
      </c>
      <c r="DW18" s="806">
        <f t="shared" si="5"/>
        <v>0</v>
      </c>
      <c r="DX18" s="794">
        <f t="shared" si="6"/>
        <v>0</v>
      </c>
    </row>
    <row r="19" spans="1:128" hidden="1">
      <c r="A19" s="198">
        <v>2017</v>
      </c>
      <c r="B19" s="2">
        <v>103164</v>
      </c>
      <c r="C19" s="2" t="s">
        <v>59</v>
      </c>
      <c r="D19" s="2" t="s">
        <v>60</v>
      </c>
      <c r="E19" s="190" t="s">
        <v>39</v>
      </c>
      <c r="F19" s="211" t="str">
        <f>VLOOKUP(A19,'Summary June 2026'!A:F,6,FALSE)</f>
        <v>Chq Bk</v>
      </c>
      <c r="G19" s="33"/>
      <c r="H19" s="825">
        <v>0</v>
      </c>
      <c r="I19" s="804"/>
      <c r="J19" s="797">
        <v>0</v>
      </c>
      <c r="K19" s="797">
        <v>0</v>
      </c>
      <c r="L19" s="797">
        <v>0</v>
      </c>
      <c r="M19" s="797">
        <v>0</v>
      </c>
      <c r="N19" s="797">
        <v>0</v>
      </c>
      <c r="O19" s="797">
        <v>0</v>
      </c>
      <c r="P19" s="797">
        <v>0</v>
      </c>
      <c r="Q19" s="797">
        <f t="shared" ref="Q19:Q32" si="7">SUM(J19:P19)</f>
        <v>0</v>
      </c>
      <c r="R19" s="797">
        <f t="shared" si="1"/>
        <v>0</v>
      </c>
      <c r="S19" s="804"/>
      <c r="T19" s="364">
        <v>0</v>
      </c>
      <c r="U19" s="364">
        <v>0</v>
      </c>
      <c r="V19" s="364">
        <v>0</v>
      </c>
      <c r="W19" s="364">
        <v>0</v>
      </c>
      <c r="X19" s="364">
        <v>0</v>
      </c>
      <c r="Y19" s="364">
        <v>0</v>
      </c>
      <c r="Z19" s="364">
        <v>0</v>
      </c>
      <c r="AA19" s="364">
        <f t="shared" si="2"/>
        <v>0</v>
      </c>
      <c r="AB19" s="364">
        <f t="shared" si="3"/>
        <v>0</v>
      </c>
      <c r="AC19" s="804"/>
      <c r="AD19" s="817"/>
      <c r="AE19" s="817"/>
      <c r="AF19" s="817"/>
      <c r="AG19" s="817"/>
      <c r="AH19" s="817"/>
      <c r="AI19" s="817"/>
      <c r="AJ19" s="817"/>
      <c r="AK19" s="818"/>
      <c r="AL19" s="817"/>
      <c r="AM19" s="275"/>
      <c r="AN19" s="886">
        <v>0</v>
      </c>
      <c r="AO19" s="886">
        <v>0</v>
      </c>
      <c r="AP19" s="275"/>
      <c r="AQ19" s="834"/>
      <c r="AR19" s="834"/>
      <c r="AS19" s="834"/>
      <c r="AT19" s="834"/>
      <c r="AU19" s="834"/>
      <c r="AV19" s="834"/>
      <c r="AW19" s="834"/>
      <c r="AX19" s="834"/>
      <c r="AZ19" s="835"/>
      <c r="BA19" s="835"/>
      <c r="BB19" s="835"/>
      <c r="BC19" s="835"/>
      <c r="BD19" s="835"/>
      <c r="BE19" s="835"/>
      <c r="BF19" s="835"/>
      <c r="BG19" s="835"/>
      <c r="BH19" s="814"/>
      <c r="BI19" s="834"/>
      <c r="BJ19" s="834"/>
      <c r="BK19" s="834"/>
      <c r="BL19" s="834"/>
      <c r="BM19" s="834"/>
      <c r="BN19" s="834"/>
      <c r="BO19" s="834"/>
      <c r="BP19" s="834"/>
      <c r="BQ19" s="275"/>
      <c r="BR19" s="843"/>
      <c r="BS19" s="843"/>
      <c r="BT19" s="843"/>
      <c r="BU19" s="843"/>
      <c r="BV19" s="843"/>
      <c r="BW19" s="843"/>
      <c r="BX19" s="843"/>
      <c r="BY19" s="843"/>
      <c r="BZ19" s="843"/>
      <c r="CA19" s="843"/>
      <c r="CB19" s="843"/>
      <c r="CC19" s="843"/>
      <c r="CD19" s="843"/>
      <c r="CE19" s="843"/>
      <c r="CF19" s="843"/>
      <c r="CG19" s="843"/>
      <c r="CH19" s="843"/>
      <c r="CI19" s="843"/>
      <c r="CJ19" s="844"/>
      <c r="CK19" s="364"/>
      <c r="CL19" s="364"/>
      <c r="CM19" s="364"/>
      <c r="CN19" s="364"/>
      <c r="CO19" s="364"/>
      <c r="CP19" s="364"/>
      <c r="CQ19" s="364"/>
      <c r="CR19" s="804"/>
      <c r="CS19" s="852"/>
      <c r="CT19" s="853"/>
      <c r="CU19" s="853"/>
      <c r="CV19" s="853"/>
      <c r="CW19" s="853"/>
      <c r="CX19" s="853"/>
      <c r="CY19" s="853"/>
      <c r="CZ19" s="853"/>
      <c r="DA19" s="853"/>
      <c r="DC19" s="853"/>
      <c r="DD19" s="853"/>
      <c r="DE19" s="853"/>
      <c r="DF19" s="853"/>
      <c r="DG19" s="853"/>
      <c r="DH19" s="853"/>
      <c r="DI19" s="853"/>
      <c r="DJ19" s="853"/>
      <c r="DK19" s="853"/>
      <c r="DM19" s="853"/>
      <c r="DN19" s="853"/>
      <c r="DO19" s="853"/>
      <c r="DP19" s="853"/>
      <c r="DQ19" s="853"/>
      <c r="DR19" s="853"/>
      <c r="DS19" s="805"/>
      <c r="DT19" s="805"/>
      <c r="DV19" s="806">
        <f t="shared" si="4"/>
        <v>0</v>
      </c>
      <c r="DW19" s="806">
        <f t="shared" si="5"/>
        <v>0</v>
      </c>
      <c r="DX19" s="794">
        <f t="shared" si="6"/>
        <v>0</v>
      </c>
    </row>
    <row r="20" spans="1:128" hidden="1">
      <c r="A20" s="198">
        <v>2016</v>
      </c>
      <c r="B20" s="2">
        <v>103163</v>
      </c>
      <c r="C20" s="2" t="s">
        <v>61</v>
      </c>
      <c r="D20" s="2" t="s">
        <v>62</v>
      </c>
      <c r="E20" s="190" t="s">
        <v>39</v>
      </c>
      <c r="F20" s="211" t="str">
        <f>VLOOKUP(A20,'Summary June 2026'!A:F,6,FALSE)</f>
        <v>Chq Bk</v>
      </c>
      <c r="G20" s="33"/>
      <c r="H20" s="825">
        <v>0</v>
      </c>
      <c r="I20" s="804"/>
      <c r="J20" s="797">
        <v>0</v>
      </c>
      <c r="K20" s="797">
        <v>0</v>
      </c>
      <c r="L20" s="797">
        <v>0</v>
      </c>
      <c r="M20" s="797">
        <v>0</v>
      </c>
      <c r="N20" s="797">
        <v>0</v>
      </c>
      <c r="O20" s="797">
        <v>0</v>
      </c>
      <c r="P20" s="797">
        <v>0</v>
      </c>
      <c r="Q20" s="797">
        <f t="shared" si="7"/>
        <v>0</v>
      </c>
      <c r="R20" s="797">
        <f t="shared" si="1"/>
        <v>0</v>
      </c>
      <c r="S20" s="804"/>
      <c r="T20" s="364">
        <v>0</v>
      </c>
      <c r="U20" s="364">
        <v>0</v>
      </c>
      <c r="V20" s="364">
        <v>0</v>
      </c>
      <c r="W20" s="364">
        <v>0</v>
      </c>
      <c r="X20" s="364">
        <v>0</v>
      </c>
      <c r="Y20" s="364">
        <v>0</v>
      </c>
      <c r="Z20" s="364">
        <v>0</v>
      </c>
      <c r="AA20" s="364">
        <f t="shared" si="2"/>
        <v>0</v>
      </c>
      <c r="AB20" s="364">
        <f t="shared" si="3"/>
        <v>0</v>
      </c>
      <c r="AC20" s="804"/>
      <c r="AD20" s="817"/>
      <c r="AE20" s="817"/>
      <c r="AF20" s="817"/>
      <c r="AG20" s="817"/>
      <c r="AH20" s="817"/>
      <c r="AI20" s="817"/>
      <c r="AJ20" s="817"/>
      <c r="AK20" s="818"/>
      <c r="AL20" s="817"/>
      <c r="AM20" s="275"/>
      <c r="AN20" s="886">
        <v>0</v>
      </c>
      <c r="AO20" s="886">
        <v>0</v>
      </c>
      <c r="AP20" s="275"/>
      <c r="AQ20" s="834"/>
      <c r="AR20" s="834"/>
      <c r="AS20" s="834"/>
      <c r="AT20" s="834"/>
      <c r="AU20" s="834"/>
      <c r="AV20" s="834"/>
      <c r="AW20" s="834"/>
      <c r="AX20" s="834"/>
      <c r="AZ20" s="835"/>
      <c r="BA20" s="835"/>
      <c r="BB20" s="835"/>
      <c r="BC20" s="835"/>
      <c r="BD20" s="835"/>
      <c r="BE20" s="835"/>
      <c r="BF20" s="835"/>
      <c r="BG20" s="835"/>
      <c r="BH20" s="814"/>
      <c r="BI20" s="834"/>
      <c r="BJ20" s="834"/>
      <c r="BK20" s="834"/>
      <c r="BL20" s="834"/>
      <c r="BM20" s="834"/>
      <c r="BN20" s="834"/>
      <c r="BO20" s="834"/>
      <c r="BP20" s="834"/>
      <c r="BQ20" s="275"/>
      <c r="BR20" s="843"/>
      <c r="BS20" s="843"/>
      <c r="BT20" s="843"/>
      <c r="BU20" s="843"/>
      <c r="BV20" s="843"/>
      <c r="BW20" s="843"/>
      <c r="BX20" s="843"/>
      <c r="BY20" s="843"/>
      <c r="BZ20" s="843"/>
      <c r="CA20" s="843"/>
      <c r="CB20" s="843"/>
      <c r="CC20" s="843"/>
      <c r="CD20" s="843"/>
      <c r="CE20" s="843"/>
      <c r="CF20" s="843"/>
      <c r="CG20" s="843"/>
      <c r="CH20" s="843"/>
      <c r="CI20" s="843"/>
      <c r="CJ20" s="844"/>
      <c r="CK20" s="364"/>
      <c r="CL20" s="364"/>
      <c r="CM20" s="364"/>
      <c r="CN20" s="364"/>
      <c r="CO20" s="364"/>
      <c r="CP20" s="364"/>
      <c r="CQ20" s="364"/>
      <c r="CR20" s="804"/>
      <c r="CS20" s="852"/>
      <c r="CT20" s="853"/>
      <c r="CU20" s="853"/>
      <c r="CV20" s="853"/>
      <c r="CW20" s="853"/>
      <c r="CX20" s="853"/>
      <c r="CY20" s="853"/>
      <c r="CZ20" s="853"/>
      <c r="DA20" s="853"/>
      <c r="DC20" s="853"/>
      <c r="DD20" s="853"/>
      <c r="DE20" s="853"/>
      <c r="DF20" s="853"/>
      <c r="DG20" s="853"/>
      <c r="DH20" s="853"/>
      <c r="DI20" s="853"/>
      <c r="DJ20" s="853"/>
      <c r="DK20" s="853"/>
      <c r="DM20" s="853"/>
      <c r="DN20" s="853"/>
      <c r="DO20" s="853"/>
      <c r="DP20" s="853"/>
      <c r="DQ20" s="853"/>
      <c r="DR20" s="853"/>
      <c r="DS20" s="805"/>
      <c r="DT20" s="805"/>
      <c r="DV20" s="806">
        <f t="shared" si="4"/>
        <v>0</v>
      </c>
      <c r="DW20" s="806">
        <f t="shared" si="5"/>
        <v>0</v>
      </c>
      <c r="DX20" s="794">
        <f t="shared" si="6"/>
        <v>0</v>
      </c>
    </row>
    <row r="21" spans="1:128" hidden="1">
      <c r="A21" s="198">
        <v>2239</v>
      </c>
      <c r="B21" s="2">
        <v>103289</v>
      </c>
      <c r="C21" s="2" t="s">
        <v>63</v>
      </c>
      <c r="D21" s="2" t="s">
        <v>64</v>
      </c>
      <c r="E21" s="190" t="s">
        <v>39</v>
      </c>
      <c r="F21" s="211" t="str">
        <f>VLOOKUP(A21,'Summary June 2026'!A:F,6,FALSE)</f>
        <v>Chq Bk</v>
      </c>
      <c r="G21" s="33"/>
      <c r="H21" s="825">
        <v>0</v>
      </c>
      <c r="I21" s="804"/>
      <c r="J21" s="797">
        <v>0</v>
      </c>
      <c r="K21" s="797">
        <v>0</v>
      </c>
      <c r="L21" s="797">
        <v>68577.600000000006</v>
      </c>
      <c r="M21" s="797">
        <v>3587.9999999999995</v>
      </c>
      <c r="N21" s="797">
        <v>1417.5747368421053</v>
      </c>
      <c r="O21" s="797">
        <v>3426.15</v>
      </c>
      <c r="P21" s="797">
        <v>2925</v>
      </c>
      <c r="Q21" s="797">
        <f t="shared" si="7"/>
        <v>79934.3247368421</v>
      </c>
      <c r="R21" s="797">
        <f t="shared" si="1"/>
        <v>63947.45978947368</v>
      </c>
      <c r="S21" s="804"/>
      <c r="T21" s="364">
        <v>0</v>
      </c>
      <c r="U21" s="364">
        <v>0</v>
      </c>
      <c r="V21" s="364">
        <v>60005.400000000009</v>
      </c>
      <c r="W21" s="364">
        <v>2915.25</v>
      </c>
      <c r="X21" s="364">
        <v>1081.8873684210525</v>
      </c>
      <c r="Y21" s="364">
        <v>3024.4500000000003</v>
      </c>
      <c r="Z21" s="364">
        <v>975</v>
      </c>
      <c r="AA21" s="364">
        <f t="shared" si="2"/>
        <v>68001.987368421062</v>
      </c>
      <c r="AB21" s="364">
        <f t="shared" si="3"/>
        <v>54401.589894736855</v>
      </c>
      <c r="AC21" s="804"/>
      <c r="AD21" s="817"/>
      <c r="AE21" s="817"/>
      <c r="AF21" s="817"/>
      <c r="AG21" s="817"/>
      <c r="AH21" s="817"/>
      <c r="AI21" s="817"/>
      <c r="AJ21" s="817"/>
      <c r="AK21" s="818"/>
      <c r="AL21" s="817"/>
      <c r="AM21" s="275"/>
      <c r="AN21" s="886">
        <v>8362.4962880886433</v>
      </c>
      <c r="AO21" s="886">
        <v>-224.49639889196675</v>
      </c>
      <c r="AP21" s="275"/>
      <c r="AQ21" s="834"/>
      <c r="AR21" s="834"/>
      <c r="AS21" s="834"/>
      <c r="AT21" s="834"/>
      <c r="AU21" s="834"/>
      <c r="AV21" s="834"/>
      <c r="AW21" s="834"/>
      <c r="AX21" s="834"/>
      <c r="AZ21" s="835"/>
      <c r="BA21" s="835"/>
      <c r="BB21" s="835"/>
      <c r="BC21" s="835"/>
      <c r="BD21" s="835"/>
      <c r="BE21" s="835"/>
      <c r="BF21" s="835"/>
      <c r="BG21" s="835"/>
      <c r="BH21" s="814"/>
      <c r="BI21" s="834"/>
      <c r="BJ21" s="834"/>
      <c r="BK21" s="834"/>
      <c r="BL21" s="834"/>
      <c r="BM21" s="834"/>
      <c r="BN21" s="834"/>
      <c r="BO21" s="834"/>
      <c r="BP21" s="834"/>
      <c r="BQ21" s="275"/>
      <c r="BR21" s="843"/>
      <c r="BS21" s="843"/>
      <c r="BT21" s="843"/>
      <c r="BU21" s="843"/>
      <c r="BV21" s="843"/>
      <c r="BW21" s="843"/>
      <c r="BX21" s="843"/>
      <c r="BY21" s="843"/>
      <c r="BZ21" s="843"/>
      <c r="CA21" s="843"/>
      <c r="CB21" s="843"/>
      <c r="CC21" s="843"/>
      <c r="CD21" s="843"/>
      <c r="CE21" s="843"/>
      <c r="CF21" s="843"/>
      <c r="CG21" s="843"/>
      <c r="CH21" s="843"/>
      <c r="CI21" s="843"/>
      <c r="CJ21" s="844"/>
      <c r="CK21" s="364"/>
      <c r="CL21" s="364"/>
      <c r="CM21" s="364"/>
      <c r="CN21" s="364"/>
      <c r="CO21" s="364"/>
      <c r="CP21" s="364"/>
      <c r="CQ21" s="364"/>
      <c r="CR21" s="804"/>
      <c r="CS21" s="852"/>
      <c r="CT21" s="853"/>
      <c r="CU21" s="853"/>
      <c r="CV21" s="853"/>
      <c r="CW21" s="853"/>
      <c r="CX21" s="853"/>
      <c r="CY21" s="853"/>
      <c r="CZ21" s="853"/>
      <c r="DA21" s="853"/>
      <c r="DC21" s="853"/>
      <c r="DD21" s="853"/>
      <c r="DE21" s="853"/>
      <c r="DF21" s="853"/>
      <c r="DG21" s="853"/>
      <c r="DH21" s="853"/>
      <c r="DI21" s="853"/>
      <c r="DJ21" s="853"/>
      <c r="DK21" s="853"/>
      <c r="DM21" s="853"/>
      <c r="DN21" s="853"/>
      <c r="DO21" s="853"/>
      <c r="DP21" s="853"/>
      <c r="DQ21" s="853"/>
      <c r="DR21" s="853"/>
      <c r="DS21" s="805"/>
      <c r="DT21" s="805"/>
      <c r="DV21" s="806">
        <f t="shared" si="4"/>
        <v>123591.54597229917</v>
      </c>
      <c r="DW21" s="806">
        <f t="shared" si="5"/>
        <v>2895.5036011080333</v>
      </c>
      <c r="DX21" s="794">
        <f t="shared" si="6"/>
        <v>126487.0495734072</v>
      </c>
    </row>
    <row r="22" spans="1:128" hidden="1">
      <c r="A22" s="198">
        <v>2241</v>
      </c>
      <c r="B22" s="2">
        <v>103291</v>
      </c>
      <c r="C22" s="2" t="s">
        <v>65</v>
      </c>
      <c r="D22" s="2" t="s">
        <v>66</v>
      </c>
      <c r="E22" s="190" t="s">
        <v>39</v>
      </c>
      <c r="F22" s="211" t="str">
        <f>VLOOKUP(A22,'Summary June 2026'!A:F,6,FALSE)</f>
        <v>Chq Bk</v>
      </c>
      <c r="G22" s="33"/>
      <c r="H22" s="825">
        <v>0</v>
      </c>
      <c r="I22" s="804"/>
      <c r="J22" s="797">
        <v>0</v>
      </c>
      <c r="K22" s="797">
        <v>0</v>
      </c>
      <c r="L22" s="797">
        <v>0</v>
      </c>
      <c r="M22" s="797">
        <v>0</v>
      </c>
      <c r="N22" s="797">
        <v>0</v>
      </c>
      <c r="O22" s="797">
        <v>0</v>
      </c>
      <c r="P22" s="797">
        <v>0</v>
      </c>
      <c r="Q22" s="797">
        <f t="shared" si="7"/>
        <v>0</v>
      </c>
      <c r="R22" s="797">
        <f t="shared" si="1"/>
        <v>0</v>
      </c>
      <c r="S22" s="804"/>
      <c r="T22" s="364">
        <v>0</v>
      </c>
      <c r="U22" s="364">
        <v>0</v>
      </c>
      <c r="V22" s="364">
        <v>0</v>
      </c>
      <c r="W22" s="364">
        <v>0</v>
      </c>
      <c r="X22" s="364">
        <v>0</v>
      </c>
      <c r="Y22" s="364">
        <v>0</v>
      </c>
      <c r="Z22" s="364">
        <v>0</v>
      </c>
      <c r="AA22" s="364">
        <f t="shared" si="2"/>
        <v>0</v>
      </c>
      <c r="AB22" s="364">
        <f t="shared" si="3"/>
        <v>0</v>
      </c>
      <c r="AC22" s="804"/>
      <c r="AD22" s="817"/>
      <c r="AE22" s="817"/>
      <c r="AF22" s="817"/>
      <c r="AG22" s="817"/>
      <c r="AH22" s="817"/>
      <c r="AI22" s="817"/>
      <c r="AJ22" s="817"/>
      <c r="AK22" s="818"/>
      <c r="AL22" s="817"/>
      <c r="AM22" s="275"/>
      <c r="AN22" s="886">
        <v>0</v>
      </c>
      <c r="AO22" s="886">
        <v>0</v>
      </c>
      <c r="AP22" s="275"/>
      <c r="AQ22" s="834"/>
      <c r="AR22" s="834"/>
      <c r="AS22" s="834"/>
      <c r="AT22" s="834"/>
      <c r="AU22" s="834"/>
      <c r="AV22" s="834"/>
      <c r="AW22" s="834"/>
      <c r="AX22" s="834"/>
      <c r="AZ22" s="835"/>
      <c r="BA22" s="835"/>
      <c r="BB22" s="835"/>
      <c r="BC22" s="835"/>
      <c r="BD22" s="835"/>
      <c r="BE22" s="835"/>
      <c r="BF22" s="835"/>
      <c r="BG22" s="835"/>
      <c r="BH22" s="814"/>
      <c r="BI22" s="834"/>
      <c r="BJ22" s="834"/>
      <c r="BK22" s="834"/>
      <c r="BL22" s="834"/>
      <c r="BM22" s="834"/>
      <c r="BN22" s="834"/>
      <c r="BO22" s="834"/>
      <c r="BP22" s="834"/>
      <c r="BQ22" s="275"/>
      <c r="BR22" s="843"/>
      <c r="BS22" s="843"/>
      <c r="BT22" s="843"/>
      <c r="BU22" s="843"/>
      <c r="BV22" s="843"/>
      <c r="BW22" s="843"/>
      <c r="BX22" s="843"/>
      <c r="BY22" s="843"/>
      <c r="BZ22" s="843"/>
      <c r="CA22" s="843"/>
      <c r="CB22" s="843"/>
      <c r="CC22" s="843"/>
      <c r="CD22" s="843"/>
      <c r="CE22" s="843"/>
      <c r="CF22" s="843"/>
      <c r="CG22" s="843"/>
      <c r="CH22" s="843"/>
      <c r="CI22" s="843"/>
      <c r="CJ22" s="844"/>
      <c r="CK22" s="364"/>
      <c r="CL22" s="364"/>
      <c r="CM22" s="364"/>
      <c r="CN22" s="364"/>
      <c r="CO22" s="364"/>
      <c r="CP22" s="364"/>
      <c r="CQ22" s="364"/>
      <c r="CR22" s="804"/>
      <c r="CS22" s="852"/>
      <c r="CT22" s="853"/>
      <c r="CU22" s="853"/>
      <c r="CV22" s="853"/>
      <c r="CW22" s="853"/>
      <c r="CX22" s="853"/>
      <c r="CY22" s="853"/>
      <c r="CZ22" s="853"/>
      <c r="DA22" s="853"/>
      <c r="DC22" s="853"/>
      <c r="DD22" s="853"/>
      <c r="DE22" s="853"/>
      <c r="DF22" s="853"/>
      <c r="DG22" s="853"/>
      <c r="DH22" s="853"/>
      <c r="DI22" s="853"/>
      <c r="DJ22" s="853"/>
      <c r="DK22" s="853"/>
      <c r="DM22" s="853"/>
      <c r="DN22" s="853"/>
      <c r="DO22" s="853"/>
      <c r="DP22" s="853"/>
      <c r="DQ22" s="853"/>
      <c r="DR22" s="853"/>
      <c r="DS22" s="805"/>
      <c r="DT22" s="805"/>
      <c r="DV22" s="806">
        <f t="shared" si="4"/>
        <v>0</v>
      </c>
      <c r="DW22" s="806">
        <f t="shared" si="5"/>
        <v>0</v>
      </c>
      <c r="DX22" s="794">
        <f t="shared" si="6"/>
        <v>0</v>
      </c>
    </row>
    <row r="23" spans="1:128" hidden="1">
      <c r="A23" s="198">
        <v>2456</v>
      </c>
      <c r="B23" s="2">
        <v>103383</v>
      </c>
      <c r="C23" s="2" t="s">
        <v>67</v>
      </c>
      <c r="D23" s="2" t="s">
        <v>68</v>
      </c>
      <c r="E23" s="190" t="s">
        <v>39</v>
      </c>
      <c r="F23" s="211" t="str">
        <f>VLOOKUP(A23,'Summary June 2026'!A:F,6,FALSE)</f>
        <v>Chq Bk</v>
      </c>
      <c r="G23" s="33"/>
      <c r="H23" s="825">
        <v>0</v>
      </c>
      <c r="I23" s="804"/>
      <c r="J23" s="797">
        <v>0</v>
      </c>
      <c r="K23" s="797">
        <v>0</v>
      </c>
      <c r="L23" s="797">
        <v>0</v>
      </c>
      <c r="M23" s="797">
        <v>0</v>
      </c>
      <c r="N23" s="797">
        <v>0</v>
      </c>
      <c r="O23" s="797">
        <v>0</v>
      </c>
      <c r="P23" s="797">
        <v>0</v>
      </c>
      <c r="Q23" s="797">
        <f t="shared" si="7"/>
        <v>0</v>
      </c>
      <c r="R23" s="797">
        <f t="shared" si="1"/>
        <v>0</v>
      </c>
      <c r="S23" s="804"/>
      <c r="T23" s="364">
        <v>0</v>
      </c>
      <c r="U23" s="364">
        <v>0</v>
      </c>
      <c r="V23" s="364">
        <v>0</v>
      </c>
      <c r="W23" s="364">
        <v>0</v>
      </c>
      <c r="X23" s="364">
        <v>0</v>
      </c>
      <c r="Y23" s="364">
        <v>0</v>
      </c>
      <c r="Z23" s="364">
        <v>0</v>
      </c>
      <c r="AA23" s="364">
        <f t="shared" si="2"/>
        <v>0</v>
      </c>
      <c r="AB23" s="364">
        <f t="shared" si="3"/>
        <v>0</v>
      </c>
      <c r="AC23" s="804"/>
      <c r="AD23" s="817"/>
      <c r="AE23" s="817"/>
      <c r="AF23" s="817"/>
      <c r="AG23" s="817"/>
      <c r="AH23" s="817"/>
      <c r="AI23" s="817"/>
      <c r="AJ23" s="817"/>
      <c r="AK23" s="818"/>
      <c r="AL23" s="817"/>
      <c r="AM23" s="275"/>
      <c r="AN23" s="886">
        <v>0</v>
      </c>
      <c r="AO23" s="886">
        <v>0</v>
      </c>
      <c r="AP23" s="275"/>
      <c r="AQ23" s="834"/>
      <c r="AR23" s="834"/>
      <c r="AS23" s="834"/>
      <c r="AT23" s="834"/>
      <c r="AU23" s="834"/>
      <c r="AV23" s="834"/>
      <c r="AW23" s="834"/>
      <c r="AX23" s="834"/>
      <c r="AZ23" s="835"/>
      <c r="BA23" s="835"/>
      <c r="BB23" s="835"/>
      <c r="BC23" s="835"/>
      <c r="BD23" s="835"/>
      <c r="BE23" s="835"/>
      <c r="BF23" s="835"/>
      <c r="BG23" s="835"/>
      <c r="BH23" s="814"/>
      <c r="BI23" s="834"/>
      <c r="BJ23" s="834"/>
      <c r="BK23" s="834"/>
      <c r="BL23" s="834"/>
      <c r="BM23" s="834"/>
      <c r="BN23" s="834"/>
      <c r="BO23" s="834"/>
      <c r="BP23" s="834"/>
      <c r="BQ23" s="275"/>
      <c r="BR23" s="843"/>
      <c r="BS23" s="843"/>
      <c r="BT23" s="843"/>
      <c r="BU23" s="843"/>
      <c r="BV23" s="843"/>
      <c r="BW23" s="843"/>
      <c r="BX23" s="843"/>
      <c r="BY23" s="843"/>
      <c r="BZ23" s="843"/>
      <c r="CA23" s="843"/>
      <c r="CB23" s="843"/>
      <c r="CC23" s="843"/>
      <c r="CD23" s="843"/>
      <c r="CE23" s="843"/>
      <c r="CF23" s="843"/>
      <c r="CG23" s="843"/>
      <c r="CH23" s="843"/>
      <c r="CI23" s="843"/>
      <c r="CJ23" s="844"/>
      <c r="CK23" s="364"/>
      <c r="CL23" s="364"/>
      <c r="CM23" s="364"/>
      <c r="CN23" s="364"/>
      <c r="CO23" s="364"/>
      <c r="CP23" s="364"/>
      <c r="CQ23" s="364"/>
      <c r="CR23" s="804"/>
      <c r="CS23" s="852"/>
      <c r="CT23" s="853"/>
      <c r="CU23" s="853"/>
      <c r="CV23" s="853"/>
      <c r="CW23" s="853"/>
      <c r="CX23" s="853"/>
      <c r="CY23" s="853"/>
      <c r="CZ23" s="853"/>
      <c r="DA23" s="853"/>
      <c r="DC23" s="853"/>
      <c r="DD23" s="853"/>
      <c r="DE23" s="853"/>
      <c r="DF23" s="853"/>
      <c r="DG23" s="853"/>
      <c r="DH23" s="853"/>
      <c r="DI23" s="853"/>
      <c r="DJ23" s="853"/>
      <c r="DK23" s="853"/>
      <c r="DM23" s="853"/>
      <c r="DN23" s="853"/>
      <c r="DO23" s="853"/>
      <c r="DP23" s="853"/>
      <c r="DQ23" s="853"/>
      <c r="DR23" s="853"/>
      <c r="DS23" s="805"/>
      <c r="DT23" s="805"/>
      <c r="DV23" s="806">
        <f t="shared" si="4"/>
        <v>0</v>
      </c>
      <c r="DW23" s="806">
        <f t="shared" si="5"/>
        <v>0</v>
      </c>
      <c r="DX23" s="794">
        <f t="shared" si="6"/>
        <v>0</v>
      </c>
    </row>
    <row r="24" spans="1:128" hidden="1">
      <c r="A24" s="198">
        <v>5413</v>
      </c>
      <c r="B24" s="2">
        <v>103560</v>
      </c>
      <c r="C24" s="2" t="s">
        <v>69</v>
      </c>
      <c r="D24" s="2" t="s">
        <v>70</v>
      </c>
      <c r="E24" s="190" t="s">
        <v>71</v>
      </c>
      <c r="F24" s="211" t="str">
        <f>VLOOKUP(A24,'Summary June 2026'!A:F,6,FALSE)</f>
        <v>Chq Bk</v>
      </c>
      <c r="G24" s="33"/>
      <c r="H24" s="825">
        <v>0</v>
      </c>
      <c r="I24" s="804"/>
      <c r="J24" s="797">
        <v>0</v>
      </c>
      <c r="K24" s="797">
        <v>0</v>
      </c>
      <c r="L24" s="797">
        <v>0</v>
      </c>
      <c r="M24" s="797">
        <v>0</v>
      </c>
      <c r="N24" s="797">
        <v>0</v>
      </c>
      <c r="O24" s="797">
        <v>0</v>
      </c>
      <c r="P24" s="797">
        <v>0</v>
      </c>
      <c r="Q24" s="797">
        <f t="shared" si="7"/>
        <v>0</v>
      </c>
      <c r="R24" s="797">
        <f t="shared" si="1"/>
        <v>0</v>
      </c>
      <c r="S24" s="804"/>
      <c r="T24" s="364">
        <v>0</v>
      </c>
      <c r="U24" s="364">
        <v>0</v>
      </c>
      <c r="V24" s="364">
        <v>0</v>
      </c>
      <c r="W24" s="364">
        <v>0</v>
      </c>
      <c r="X24" s="364">
        <v>0</v>
      </c>
      <c r="Y24" s="364">
        <v>0</v>
      </c>
      <c r="Z24" s="364">
        <v>0</v>
      </c>
      <c r="AA24" s="364">
        <f t="shared" si="2"/>
        <v>0</v>
      </c>
      <c r="AB24" s="364">
        <f t="shared" si="3"/>
        <v>0</v>
      </c>
      <c r="AC24" s="804"/>
      <c r="AD24" s="817"/>
      <c r="AE24" s="817"/>
      <c r="AF24" s="817"/>
      <c r="AG24" s="817"/>
      <c r="AH24" s="817"/>
      <c r="AI24" s="817"/>
      <c r="AJ24" s="817"/>
      <c r="AK24" s="818"/>
      <c r="AL24" s="817"/>
      <c r="AM24" s="275"/>
      <c r="AN24" s="886">
        <v>0</v>
      </c>
      <c r="AO24" s="886">
        <v>0</v>
      </c>
      <c r="AP24" s="275"/>
      <c r="AQ24" s="834"/>
      <c r="AR24" s="834"/>
      <c r="AS24" s="834"/>
      <c r="AT24" s="834"/>
      <c r="AU24" s="834"/>
      <c r="AV24" s="834"/>
      <c r="AW24" s="834"/>
      <c r="AX24" s="834"/>
      <c r="AZ24" s="835"/>
      <c r="BA24" s="835"/>
      <c r="BB24" s="835"/>
      <c r="BC24" s="835"/>
      <c r="BD24" s="835"/>
      <c r="BE24" s="835"/>
      <c r="BF24" s="835"/>
      <c r="BG24" s="835"/>
      <c r="BH24" s="814"/>
      <c r="BI24" s="834"/>
      <c r="BJ24" s="834"/>
      <c r="BK24" s="834"/>
      <c r="BL24" s="834"/>
      <c r="BM24" s="834"/>
      <c r="BN24" s="834"/>
      <c r="BO24" s="834"/>
      <c r="BP24" s="834"/>
      <c r="BQ24" s="275"/>
      <c r="BR24" s="843"/>
      <c r="BS24" s="843"/>
      <c r="BT24" s="843"/>
      <c r="BU24" s="843"/>
      <c r="BV24" s="843"/>
      <c r="BW24" s="843"/>
      <c r="BX24" s="843"/>
      <c r="BY24" s="843"/>
      <c r="BZ24" s="843"/>
      <c r="CA24" s="843"/>
      <c r="CB24" s="843"/>
      <c r="CC24" s="843"/>
      <c r="CD24" s="843"/>
      <c r="CE24" s="843"/>
      <c r="CF24" s="843"/>
      <c r="CG24" s="843"/>
      <c r="CH24" s="843"/>
      <c r="CI24" s="843"/>
      <c r="CJ24" s="844"/>
      <c r="CK24" s="364"/>
      <c r="CL24" s="364"/>
      <c r="CM24" s="364"/>
      <c r="CN24" s="364"/>
      <c r="CO24" s="364"/>
      <c r="CP24" s="364"/>
      <c r="CQ24" s="364"/>
      <c r="CR24" s="804"/>
      <c r="CS24" s="852"/>
      <c r="CT24" s="853"/>
      <c r="CU24" s="853"/>
      <c r="CV24" s="853"/>
      <c r="CW24" s="853"/>
      <c r="CX24" s="853"/>
      <c r="CY24" s="853"/>
      <c r="CZ24" s="853"/>
      <c r="DA24" s="853"/>
      <c r="DC24" s="853"/>
      <c r="DD24" s="853"/>
      <c r="DE24" s="853"/>
      <c r="DF24" s="853"/>
      <c r="DG24" s="853"/>
      <c r="DH24" s="853"/>
      <c r="DI24" s="853"/>
      <c r="DJ24" s="853"/>
      <c r="DK24" s="853"/>
      <c r="DM24" s="853"/>
      <c r="DN24" s="853"/>
      <c r="DO24" s="853"/>
      <c r="DP24" s="853"/>
      <c r="DQ24" s="853"/>
      <c r="DR24" s="853"/>
      <c r="DS24" s="805"/>
      <c r="DT24" s="805"/>
      <c r="DV24" s="806">
        <f t="shared" si="4"/>
        <v>0</v>
      </c>
      <c r="DW24" s="806">
        <f t="shared" si="5"/>
        <v>0</v>
      </c>
      <c r="DX24" s="794">
        <f t="shared" si="6"/>
        <v>0</v>
      </c>
    </row>
    <row r="25" spans="1:128" hidden="1">
      <c r="A25" s="198">
        <v>2254</v>
      </c>
      <c r="B25" s="2">
        <v>103300</v>
      </c>
      <c r="C25" s="2" t="s">
        <v>72</v>
      </c>
      <c r="D25" s="2" t="s">
        <v>73</v>
      </c>
      <c r="E25" s="190" t="s">
        <v>39</v>
      </c>
      <c r="F25" s="211" t="str">
        <f>VLOOKUP(A25,'Summary June 2026'!A:F,6,FALSE)</f>
        <v>Chq Bk</v>
      </c>
      <c r="G25" s="33"/>
      <c r="H25" s="825">
        <v>0</v>
      </c>
      <c r="I25" s="804"/>
      <c r="J25" s="797">
        <v>0</v>
      </c>
      <c r="K25" s="797">
        <v>0</v>
      </c>
      <c r="L25" s="797">
        <v>0</v>
      </c>
      <c r="M25" s="797">
        <v>0</v>
      </c>
      <c r="N25" s="797">
        <v>0</v>
      </c>
      <c r="O25" s="797">
        <v>0</v>
      </c>
      <c r="P25" s="797">
        <v>0</v>
      </c>
      <c r="Q25" s="797">
        <f t="shared" si="7"/>
        <v>0</v>
      </c>
      <c r="R25" s="797">
        <f t="shared" si="1"/>
        <v>0</v>
      </c>
      <c r="S25" s="804"/>
      <c r="T25" s="364">
        <v>0</v>
      </c>
      <c r="U25" s="364">
        <v>0</v>
      </c>
      <c r="V25" s="364">
        <v>0</v>
      </c>
      <c r="W25" s="364">
        <v>0</v>
      </c>
      <c r="X25" s="364">
        <v>0</v>
      </c>
      <c r="Y25" s="364">
        <v>0</v>
      </c>
      <c r="Z25" s="364">
        <v>0</v>
      </c>
      <c r="AA25" s="364">
        <f t="shared" si="2"/>
        <v>0</v>
      </c>
      <c r="AB25" s="364">
        <f t="shared" si="3"/>
        <v>0</v>
      </c>
      <c r="AC25" s="804"/>
      <c r="AD25" s="817"/>
      <c r="AE25" s="817"/>
      <c r="AF25" s="817"/>
      <c r="AG25" s="817"/>
      <c r="AH25" s="817"/>
      <c r="AI25" s="817"/>
      <c r="AJ25" s="817"/>
      <c r="AK25" s="818"/>
      <c r="AL25" s="817"/>
      <c r="AM25" s="275"/>
      <c r="AN25" s="886">
        <v>0</v>
      </c>
      <c r="AO25" s="886">
        <v>0</v>
      </c>
      <c r="AP25" s="275"/>
      <c r="AQ25" s="834"/>
      <c r="AR25" s="834"/>
      <c r="AS25" s="834"/>
      <c r="AT25" s="834"/>
      <c r="AU25" s="834"/>
      <c r="AV25" s="834"/>
      <c r="AW25" s="834"/>
      <c r="AX25" s="834"/>
      <c r="AZ25" s="835"/>
      <c r="BA25" s="835"/>
      <c r="BB25" s="835"/>
      <c r="BC25" s="835"/>
      <c r="BD25" s="835"/>
      <c r="BE25" s="835"/>
      <c r="BF25" s="835"/>
      <c r="BG25" s="835"/>
      <c r="BH25" s="814"/>
      <c r="BI25" s="834"/>
      <c r="BJ25" s="834"/>
      <c r="BK25" s="834"/>
      <c r="BL25" s="834"/>
      <c r="BM25" s="834"/>
      <c r="BN25" s="834"/>
      <c r="BO25" s="834"/>
      <c r="BP25" s="834"/>
      <c r="BQ25" s="275"/>
      <c r="BR25" s="843"/>
      <c r="BS25" s="843"/>
      <c r="BT25" s="843"/>
      <c r="BU25" s="843"/>
      <c r="BV25" s="843"/>
      <c r="BW25" s="843"/>
      <c r="BX25" s="843"/>
      <c r="BY25" s="843"/>
      <c r="BZ25" s="843"/>
      <c r="CA25" s="843"/>
      <c r="CB25" s="843"/>
      <c r="CC25" s="843"/>
      <c r="CD25" s="843"/>
      <c r="CE25" s="843"/>
      <c r="CF25" s="843"/>
      <c r="CG25" s="843"/>
      <c r="CH25" s="843"/>
      <c r="CI25" s="843"/>
      <c r="CJ25" s="844"/>
      <c r="CK25" s="364"/>
      <c r="CL25" s="364"/>
      <c r="CM25" s="364"/>
      <c r="CN25" s="364"/>
      <c r="CO25" s="364"/>
      <c r="CP25" s="364"/>
      <c r="CQ25" s="364"/>
      <c r="CR25" s="804"/>
      <c r="CS25" s="852"/>
      <c r="CT25" s="853"/>
      <c r="CU25" s="853"/>
      <c r="CV25" s="853"/>
      <c r="CW25" s="853"/>
      <c r="CX25" s="853"/>
      <c r="CY25" s="853"/>
      <c r="CZ25" s="853"/>
      <c r="DA25" s="853"/>
      <c r="DC25" s="853"/>
      <c r="DD25" s="853"/>
      <c r="DE25" s="853"/>
      <c r="DF25" s="853"/>
      <c r="DG25" s="853"/>
      <c r="DH25" s="853"/>
      <c r="DI25" s="853"/>
      <c r="DJ25" s="853"/>
      <c r="DK25" s="853"/>
      <c r="DM25" s="853"/>
      <c r="DN25" s="853"/>
      <c r="DO25" s="853"/>
      <c r="DP25" s="853"/>
      <c r="DQ25" s="853"/>
      <c r="DR25" s="853"/>
      <c r="DS25" s="805"/>
      <c r="DT25" s="805"/>
      <c r="DV25" s="806">
        <f t="shared" si="4"/>
        <v>0</v>
      </c>
      <c r="DW25" s="806">
        <f t="shared" si="5"/>
        <v>0</v>
      </c>
      <c r="DX25" s="794">
        <f t="shared" si="6"/>
        <v>0</v>
      </c>
    </row>
    <row r="26" spans="1:128" hidden="1">
      <c r="A26" s="198">
        <v>1025</v>
      </c>
      <c r="B26" s="2">
        <v>103138</v>
      </c>
      <c r="C26" s="2" t="s">
        <v>74</v>
      </c>
      <c r="D26" s="2" t="s">
        <v>75</v>
      </c>
      <c r="E26" s="190" t="s">
        <v>36</v>
      </c>
      <c r="F26" s="211" t="str">
        <f>VLOOKUP(A26,'Summary June 2026'!A:F,6,FALSE)</f>
        <v>Chq Bk</v>
      </c>
      <c r="G26" s="33"/>
      <c r="H26" s="825">
        <v>262624.89848378586</v>
      </c>
      <c r="I26" s="804"/>
      <c r="J26" s="797">
        <v>0</v>
      </c>
      <c r="K26" s="797">
        <v>79563.899999999994</v>
      </c>
      <c r="L26" s="797">
        <v>134706</v>
      </c>
      <c r="M26" s="797">
        <v>22200.75</v>
      </c>
      <c r="N26" s="797">
        <v>6267.4642105263156</v>
      </c>
      <c r="O26" s="797">
        <v>12183.6</v>
      </c>
      <c r="P26" s="797">
        <v>10725</v>
      </c>
      <c r="Q26" s="797">
        <f t="shared" si="7"/>
        <v>265646.71421052632</v>
      </c>
      <c r="R26" s="797">
        <f t="shared" si="1"/>
        <v>212517.37136842107</v>
      </c>
      <c r="S26" s="804"/>
      <c r="T26" s="364">
        <v>0</v>
      </c>
      <c r="U26" s="364">
        <v>91671.45</v>
      </c>
      <c r="V26" s="364">
        <v>72251.399999999994</v>
      </c>
      <c r="W26" s="364">
        <v>14800.499999999998</v>
      </c>
      <c r="X26" s="364">
        <v>4775.4747368421049</v>
      </c>
      <c r="Y26" s="364">
        <v>9012.9</v>
      </c>
      <c r="Z26" s="364">
        <v>2925</v>
      </c>
      <c r="AA26" s="364">
        <f t="shared" si="2"/>
        <v>195436.72473684206</v>
      </c>
      <c r="AB26" s="364">
        <f t="shared" si="3"/>
        <v>156349.37978947366</v>
      </c>
      <c r="AC26" s="804"/>
      <c r="AD26" s="817"/>
      <c r="AE26" s="817"/>
      <c r="AF26" s="817"/>
      <c r="AG26" s="817"/>
      <c r="AH26" s="817"/>
      <c r="AI26" s="817"/>
      <c r="AJ26" s="817"/>
      <c r="AK26" s="818"/>
      <c r="AL26" s="817"/>
      <c r="AM26" s="275"/>
      <c r="AN26" s="886">
        <v>34300.991385041532</v>
      </c>
      <c r="AO26" s="886">
        <v>1127.6786703601106</v>
      </c>
      <c r="AP26" s="275"/>
      <c r="AQ26" s="834"/>
      <c r="AR26" s="834"/>
      <c r="AS26" s="834"/>
      <c r="AT26" s="834"/>
      <c r="AU26" s="834"/>
      <c r="AV26" s="834"/>
      <c r="AW26" s="834"/>
      <c r="AX26" s="834"/>
      <c r="AZ26" s="835"/>
      <c r="BA26" s="835"/>
      <c r="BB26" s="835"/>
      <c r="BC26" s="835"/>
      <c r="BD26" s="835"/>
      <c r="BE26" s="835"/>
      <c r="BF26" s="835"/>
      <c r="BG26" s="835"/>
      <c r="BH26" s="814"/>
      <c r="BI26" s="834"/>
      <c r="BJ26" s="834"/>
      <c r="BK26" s="834"/>
      <c r="BL26" s="834"/>
      <c r="BM26" s="834"/>
      <c r="BN26" s="834"/>
      <c r="BO26" s="834"/>
      <c r="BP26" s="834"/>
      <c r="BQ26" s="275"/>
      <c r="BR26" s="843"/>
      <c r="BS26" s="843"/>
      <c r="BT26" s="843"/>
      <c r="BU26" s="843"/>
      <c r="BV26" s="843"/>
      <c r="BW26" s="843"/>
      <c r="BX26" s="843"/>
      <c r="BY26" s="843"/>
      <c r="BZ26" s="843"/>
      <c r="CA26" s="843"/>
      <c r="CB26" s="843"/>
      <c r="CC26" s="843"/>
      <c r="CD26" s="843"/>
      <c r="CE26" s="843"/>
      <c r="CF26" s="843"/>
      <c r="CG26" s="843"/>
      <c r="CH26" s="843"/>
      <c r="CI26" s="843"/>
      <c r="CJ26" s="844"/>
      <c r="CK26" s="364"/>
      <c r="CL26" s="364"/>
      <c r="CM26" s="364"/>
      <c r="CN26" s="364"/>
      <c r="CO26" s="364"/>
      <c r="CP26" s="364"/>
      <c r="CQ26" s="364"/>
      <c r="CR26" s="804"/>
      <c r="CS26" s="852"/>
      <c r="CT26" s="853"/>
      <c r="CU26" s="853"/>
      <c r="CV26" s="853"/>
      <c r="CW26" s="853"/>
      <c r="CX26" s="853"/>
      <c r="CY26" s="853"/>
      <c r="CZ26" s="853"/>
      <c r="DA26" s="853"/>
      <c r="DC26" s="853"/>
      <c r="DD26" s="853"/>
      <c r="DE26" s="853"/>
      <c r="DF26" s="853"/>
      <c r="DG26" s="853"/>
      <c r="DH26" s="853"/>
      <c r="DI26" s="853"/>
      <c r="DJ26" s="853"/>
      <c r="DK26" s="853"/>
      <c r="DM26" s="853"/>
      <c r="DN26" s="853"/>
      <c r="DO26" s="853"/>
      <c r="DP26" s="853"/>
      <c r="DQ26" s="853"/>
      <c r="DR26" s="853"/>
      <c r="DS26" s="805"/>
      <c r="DT26" s="805"/>
      <c r="DV26" s="806">
        <f t="shared" si="4"/>
        <v>654872.64102672203</v>
      </c>
      <c r="DW26" s="806">
        <f t="shared" si="5"/>
        <v>12047.67867036011</v>
      </c>
      <c r="DX26" s="794">
        <f t="shared" si="6"/>
        <v>666920.31969708216</v>
      </c>
    </row>
    <row r="27" spans="1:128" hidden="1">
      <c r="A27" s="198">
        <v>2402</v>
      </c>
      <c r="B27" s="2">
        <v>103342</v>
      </c>
      <c r="C27" s="2" t="s">
        <v>76</v>
      </c>
      <c r="D27" s="2" t="s">
        <v>77</v>
      </c>
      <c r="E27" s="190" t="s">
        <v>39</v>
      </c>
      <c r="F27" s="211" t="str">
        <f>VLOOKUP(A27,'Summary June 2026'!A:F,6,FALSE)</f>
        <v>Chq Bk</v>
      </c>
      <c r="G27" s="33"/>
      <c r="H27" s="825">
        <v>0</v>
      </c>
      <c r="I27" s="804"/>
      <c r="J27" s="797">
        <v>0</v>
      </c>
      <c r="K27" s="797">
        <v>0</v>
      </c>
      <c r="L27" s="797">
        <v>61230</v>
      </c>
      <c r="M27" s="797">
        <v>1569.7499999999998</v>
      </c>
      <c r="N27" s="797">
        <v>0</v>
      </c>
      <c r="O27" s="797">
        <v>15.6</v>
      </c>
      <c r="P27" s="797">
        <v>0</v>
      </c>
      <c r="Q27" s="797">
        <f t="shared" si="7"/>
        <v>62815.35</v>
      </c>
      <c r="R27" s="797">
        <f t="shared" si="1"/>
        <v>50252.28</v>
      </c>
      <c r="S27" s="804"/>
      <c r="T27" s="364">
        <v>0</v>
      </c>
      <c r="U27" s="364">
        <v>0</v>
      </c>
      <c r="V27" s="364">
        <v>57556.2</v>
      </c>
      <c r="W27" s="364">
        <v>672.75</v>
      </c>
      <c r="X27" s="364">
        <v>74.62</v>
      </c>
      <c r="Y27" s="364">
        <v>310.05</v>
      </c>
      <c r="Z27" s="364">
        <v>0</v>
      </c>
      <c r="AA27" s="364">
        <f t="shared" si="2"/>
        <v>58613.62</v>
      </c>
      <c r="AB27" s="364">
        <f t="shared" si="3"/>
        <v>46890.896000000008</v>
      </c>
      <c r="AC27" s="804"/>
      <c r="AD27" s="817"/>
      <c r="AE27" s="817"/>
      <c r="AF27" s="817"/>
      <c r="AG27" s="817"/>
      <c r="AH27" s="817"/>
      <c r="AI27" s="817"/>
      <c r="AJ27" s="817"/>
      <c r="AK27" s="818"/>
      <c r="AL27" s="817"/>
      <c r="AM27" s="275"/>
      <c r="AN27" s="886">
        <v>8789.6231578947336</v>
      </c>
      <c r="AO27" s="886">
        <v>0</v>
      </c>
      <c r="AP27" s="275"/>
      <c r="AQ27" s="834"/>
      <c r="AR27" s="834"/>
      <c r="AS27" s="834"/>
      <c r="AT27" s="834"/>
      <c r="AU27" s="834"/>
      <c r="AV27" s="834"/>
      <c r="AW27" s="834"/>
      <c r="AX27" s="834"/>
      <c r="AZ27" s="835"/>
      <c r="BA27" s="835"/>
      <c r="BB27" s="835"/>
      <c r="BC27" s="835"/>
      <c r="BD27" s="835"/>
      <c r="BE27" s="835"/>
      <c r="BF27" s="835"/>
      <c r="BG27" s="835"/>
      <c r="BH27" s="814"/>
      <c r="BI27" s="834"/>
      <c r="BJ27" s="834"/>
      <c r="BK27" s="834"/>
      <c r="BL27" s="834"/>
      <c r="BM27" s="834"/>
      <c r="BN27" s="834"/>
      <c r="BO27" s="834"/>
      <c r="BP27" s="834"/>
      <c r="BQ27" s="275"/>
      <c r="BR27" s="843"/>
      <c r="BS27" s="843"/>
      <c r="BT27" s="843"/>
      <c r="BU27" s="843"/>
      <c r="BV27" s="843"/>
      <c r="BW27" s="843"/>
      <c r="BX27" s="843"/>
      <c r="BY27" s="843"/>
      <c r="BZ27" s="843"/>
      <c r="CA27" s="843"/>
      <c r="CB27" s="843"/>
      <c r="CC27" s="843"/>
      <c r="CD27" s="843"/>
      <c r="CE27" s="843"/>
      <c r="CF27" s="843"/>
      <c r="CG27" s="843"/>
      <c r="CH27" s="843"/>
      <c r="CI27" s="843"/>
      <c r="CJ27" s="844"/>
      <c r="CK27" s="364"/>
      <c r="CL27" s="364"/>
      <c r="CM27" s="364"/>
      <c r="CN27" s="364"/>
      <c r="CO27" s="364"/>
      <c r="CP27" s="364"/>
      <c r="CQ27" s="364"/>
      <c r="CR27" s="804"/>
      <c r="CS27" s="852"/>
      <c r="CT27" s="853"/>
      <c r="CU27" s="853"/>
      <c r="CV27" s="853"/>
      <c r="CW27" s="853"/>
      <c r="CX27" s="853"/>
      <c r="CY27" s="853"/>
      <c r="CZ27" s="853"/>
      <c r="DA27" s="853"/>
      <c r="DC27" s="853"/>
      <c r="DD27" s="853"/>
      <c r="DE27" s="853"/>
      <c r="DF27" s="853"/>
      <c r="DG27" s="853"/>
      <c r="DH27" s="853"/>
      <c r="DI27" s="853"/>
      <c r="DJ27" s="853"/>
      <c r="DK27" s="853"/>
      <c r="DM27" s="853"/>
      <c r="DN27" s="853"/>
      <c r="DO27" s="853"/>
      <c r="DP27" s="853"/>
      <c r="DQ27" s="853"/>
      <c r="DR27" s="853"/>
      <c r="DS27" s="805"/>
      <c r="DT27" s="805"/>
      <c r="DV27" s="806">
        <f t="shared" si="4"/>
        <v>105932.79915789473</v>
      </c>
      <c r="DW27" s="806">
        <f t="shared" si="5"/>
        <v>0</v>
      </c>
      <c r="DX27" s="794">
        <f t="shared" si="6"/>
        <v>105932.79915789473</v>
      </c>
    </row>
    <row r="28" spans="1:128" hidden="1">
      <c r="A28" s="198">
        <v>2401</v>
      </c>
      <c r="B28" s="2">
        <v>103341</v>
      </c>
      <c r="C28" s="2" t="s">
        <v>78</v>
      </c>
      <c r="D28" s="2" t="s">
        <v>79</v>
      </c>
      <c r="E28" s="190" t="s">
        <v>39</v>
      </c>
      <c r="F28" s="211" t="str">
        <f>VLOOKUP(A28,'Summary June 2026'!A:F,6,FALSE)</f>
        <v>Chq Bk</v>
      </c>
      <c r="G28" s="33"/>
      <c r="H28" s="825">
        <v>0</v>
      </c>
      <c r="I28" s="804"/>
      <c r="J28" s="797">
        <v>0</v>
      </c>
      <c r="K28" s="797">
        <v>0</v>
      </c>
      <c r="L28" s="797">
        <v>0</v>
      </c>
      <c r="M28" s="797">
        <v>0</v>
      </c>
      <c r="N28" s="797">
        <v>0</v>
      </c>
      <c r="O28" s="797">
        <v>0</v>
      </c>
      <c r="P28" s="797">
        <v>0</v>
      </c>
      <c r="Q28" s="797">
        <f t="shared" si="7"/>
        <v>0</v>
      </c>
      <c r="R28" s="797">
        <f t="shared" si="1"/>
        <v>0</v>
      </c>
      <c r="S28" s="804"/>
      <c r="T28" s="364">
        <v>0</v>
      </c>
      <c r="U28" s="364">
        <v>0</v>
      </c>
      <c r="V28" s="364">
        <v>0</v>
      </c>
      <c r="W28" s="364">
        <v>0</v>
      </c>
      <c r="X28" s="364">
        <v>0</v>
      </c>
      <c r="Y28" s="364">
        <v>0</v>
      </c>
      <c r="Z28" s="364">
        <v>0</v>
      </c>
      <c r="AA28" s="364">
        <f t="shared" si="2"/>
        <v>0</v>
      </c>
      <c r="AB28" s="364">
        <f t="shared" si="3"/>
        <v>0</v>
      </c>
      <c r="AC28" s="804"/>
      <c r="AD28" s="817"/>
      <c r="AE28" s="817"/>
      <c r="AF28" s="817"/>
      <c r="AG28" s="817"/>
      <c r="AH28" s="817"/>
      <c r="AI28" s="817"/>
      <c r="AJ28" s="817"/>
      <c r="AK28" s="818"/>
      <c r="AL28" s="817"/>
      <c r="AM28" s="275"/>
      <c r="AN28" s="886">
        <v>0</v>
      </c>
      <c r="AO28" s="886">
        <v>0</v>
      </c>
      <c r="AP28" s="275"/>
      <c r="AQ28" s="834"/>
      <c r="AR28" s="834"/>
      <c r="AS28" s="834"/>
      <c r="AT28" s="834"/>
      <c r="AU28" s="834"/>
      <c r="AV28" s="834"/>
      <c r="AW28" s="834"/>
      <c r="AX28" s="834"/>
      <c r="AZ28" s="835"/>
      <c r="BA28" s="835"/>
      <c r="BB28" s="835"/>
      <c r="BC28" s="835"/>
      <c r="BD28" s="835"/>
      <c r="BE28" s="835"/>
      <c r="BF28" s="835"/>
      <c r="BG28" s="835"/>
      <c r="BH28" s="814"/>
      <c r="BI28" s="834"/>
      <c r="BJ28" s="834"/>
      <c r="BK28" s="834"/>
      <c r="BL28" s="834"/>
      <c r="BM28" s="834"/>
      <c r="BN28" s="834"/>
      <c r="BO28" s="834"/>
      <c r="BP28" s="834"/>
      <c r="BQ28" s="275"/>
      <c r="BR28" s="843"/>
      <c r="BS28" s="843"/>
      <c r="BT28" s="843"/>
      <c r="BU28" s="843"/>
      <c r="BV28" s="843"/>
      <c r="BW28" s="843"/>
      <c r="BX28" s="843"/>
      <c r="BY28" s="843"/>
      <c r="BZ28" s="843"/>
      <c r="CA28" s="843"/>
      <c r="CB28" s="843"/>
      <c r="CC28" s="843"/>
      <c r="CD28" s="843"/>
      <c r="CE28" s="843"/>
      <c r="CF28" s="843"/>
      <c r="CG28" s="843"/>
      <c r="CH28" s="843"/>
      <c r="CI28" s="843"/>
      <c r="CJ28" s="844"/>
      <c r="CK28" s="364"/>
      <c r="CL28" s="364"/>
      <c r="CM28" s="364"/>
      <c r="CN28" s="364"/>
      <c r="CO28" s="364"/>
      <c r="CP28" s="364"/>
      <c r="CQ28" s="364"/>
      <c r="CR28" s="804"/>
      <c r="CS28" s="852"/>
      <c r="CT28" s="853"/>
      <c r="CU28" s="853"/>
      <c r="CV28" s="853"/>
      <c r="CW28" s="853"/>
      <c r="CX28" s="853"/>
      <c r="CY28" s="853"/>
      <c r="CZ28" s="853"/>
      <c r="DA28" s="853"/>
      <c r="DC28" s="853"/>
      <c r="DD28" s="853"/>
      <c r="DE28" s="853"/>
      <c r="DF28" s="853"/>
      <c r="DG28" s="853"/>
      <c r="DH28" s="853"/>
      <c r="DI28" s="853"/>
      <c r="DJ28" s="853"/>
      <c r="DK28" s="853"/>
      <c r="DM28" s="853"/>
      <c r="DN28" s="853"/>
      <c r="DO28" s="853"/>
      <c r="DP28" s="853"/>
      <c r="DQ28" s="853"/>
      <c r="DR28" s="853"/>
      <c r="DS28" s="805"/>
      <c r="DT28" s="805"/>
      <c r="DV28" s="806">
        <f t="shared" si="4"/>
        <v>0</v>
      </c>
      <c r="DW28" s="806">
        <f t="shared" si="5"/>
        <v>0</v>
      </c>
      <c r="DX28" s="794">
        <f t="shared" si="6"/>
        <v>0</v>
      </c>
    </row>
    <row r="29" spans="1:128" hidden="1">
      <c r="A29" s="198">
        <v>1001</v>
      </c>
      <c r="B29" s="2">
        <v>103120</v>
      </c>
      <c r="C29" s="2" t="s">
        <v>80</v>
      </c>
      <c r="D29" s="2" t="s">
        <v>81</v>
      </c>
      <c r="E29" s="190" t="s">
        <v>36</v>
      </c>
      <c r="F29" s="211" t="str">
        <f>VLOOKUP(A29,'Summary June 2026'!A:F,6,FALSE)</f>
        <v>Chq Bk</v>
      </c>
      <c r="G29" s="33"/>
      <c r="H29" s="825">
        <v>188068.79845434777</v>
      </c>
      <c r="I29" s="804"/>
      <c r="J29" s="797">
        <v>0</v>
      </c>
      <c r="K29" s="797">
        <v>38052.299999999996</v>
      </c>
      <c r="L29" s="797">
        <v>86946.6</v>
      </c>
      <c r="M29" s="797">
        <v>7848.7499999999991</v>
      </c>
      <c r="N29" s="797">
        <v>0</v>
      </c>
      <c r="O29" s="797">
        <v>2053.35</v>
      </c>
      <c r="P29" s="797">
        <v>975</v>
      </c>
      <c r="Q29" s="797">
        <f t="shared" si="7"/>
        <v>135876</v>
      </c>
      <c r="R29" s="797">
        <f t="shared" si="1"/>
        <v>108700.8</v>
      </c>
      <c r="S29" s="804"/>
      <c r="T29" s="364">
        <v>0</v>
      </c>
      <c r="U29" s="364">
        <v>48164.099999999991</v>
      </c>
      <c r="V29" s="364">
        <v>81671.399999999994</v>
      </c>
      <c r="W29" s="364">
        <v>9330</v>
      </c>
      <c r="X29" s="364">
        <v>125.92</v>
      </c>
      <c r="Y29" s="364">
        <v>2178.15</v>
      </c>
      <c r="Z29" s="364">
        <v>0</v>
      </c>
      <c r="AA29" s="364">
        <f t="shared" si="2"/>
        <v>141469.57</v>
      </c>
      <c r="AB29" s="364">
        <f t="shared" si="3"/>
        <v>113175.65600000002</v>
      </c>
      <c r="AC29" s="804"/>
      <c r="AD29" s="817"/>
      <c r="AE29" s="817"/>
      <c r="AF29" s="817"/>
      <c r="AG29" s="817"/>
      <c r="AH29" s="817"/>
      <c r="AI29" s="817"/>
      <c r="AJ29" s="817"/>
      <c r="AK29" s="818"/>
      <c r="AL29" s="817"/>
      <c r="AM29" s="275"/>
      <c r="AN29" s="886">
        <v>37426.357368421042</v>
      </c>
      <c r="AO29" s="886">
        <v>-224.49639889196675</v>
      </c>
      <c r="AP29" s="275"/>
      <c r="AQ29" s="834"/>
      <c r="AR29" s="834"/>
      <c r="AS29" s="834"/>
      <c r="AT29" s="834"/>
      <c r="AU29" s="834"/>
      <c r="AV29" s="834"/>
      <c r="AW29" s="834"/>
      <c r="AX29" s="834"/>
      <c r="AZ29" s="835"/>
      <c r="BA29" s="835"/>
      <c r="BB29" s="835"/>
      <c r="BC29" s="835"/>
      <c r="BD29" s="835"/>
      <c r="BE29" s="835"/>
      <c r="BF29" s="835"/>
      <c r="BG29" s="835"/>
      <c r="BH29" s="814"/>
      <c r="BI29" s="834"/>
      <c r="BJ29" s="834"/>
      <c r="BK29" s="834"/>
      <c r="BL29" s="834"/>
      <c r="BM29" s="834"/>
      <c r="BN29" s="834"/>
      <c r="BO29" s="834"/>
      <c r="BP29" s="834"/>
      <c r="BQ29" s="275"/>
      <c r="BR29" s="843"/>
      <c r="BS29" s="843"/>
      <c r="BT29" s="843"/>
      <c r="BU29" s="843"/>
      <c r="BV29" s="843"/>
      <c r="BW29" s="843"/>
      <c r="BX29" s="843"/>
      <c r="BY29" s="843"/>
      <c r="BZ29" s="843"/>
      <c r="CA29" s="843"/>
      <c r="CB29" s="843"/>
      <c r="CC29" s="843"/>
      <c r="CD29" s="843"/>
      <c r="CE29" s="843"/>
      <c r="CF29" s="843"/>
      <c r="CG29" s="843"/>
      <c r="CH29" s="843"/>
      <c r="CI29" s="843"/>
      <c r="CJ29" s="844"/>
      <c r="CK29" s="364"/>
      <c r="CL29" s="364"/>
      <c r="CM29" s="364"/>
      <c r="CN29" s="364"/>
      <c r="CO29" s="364"/>
      <c r="CP29" s="364"/>
      <c r="CQ29" s="364"/>
      <c r="CR29" s="804"/>
      <c r="CS29" s="852"/>
      <c r="CT29" s="853"/>
      <c r="CU29" s="853"/>
      <c r="CV29" s="853"/>
      <c r="CW29" s="853"/>
      <c r="CX29" s="853"/>
      <c r="CY29" s="853"/>
      <c r="CZ29" s="853"/>
      <c r="DA29" s="853"/>
      <c r="DC29" s="853"/>
      <c r="DD29" s="853"/>
      <c r="DE29" s="853"/>
      <c r="DF29" s="853"/>
      <c r="DG29" s="853"/>
      <c r="DH29" s="853"/>
      <c r="DI29" s="853"/>
      <c r="DJ29" s="853"/>
      <c r="DK29" s="853"/>
      <c r="DM29" s="853"/>
      <c r="DN29" s="853"/>
      <c r="DO29" s="853"/>
      <c r="DP29" s="853"/>
      <c r="DQ29" s="853"/>
      <c r="DR29" s="853"/>
      <c r="DS29" s="805"/>
      <c r="DT29" s="805"/>
      <c r="DV29" s="806">
        <f t="shared" si="4"/>
        <v>446591.61182276881</v>
      </c>
      <c r="DW29" s="806">
        <f t="shared" si="5"/>
        <v>555.50360110803331</v>
      </c>
      <c r="DX29" s="794">
        <f t="shared" si="6"/>
        <v>447147.11542387685</v>
      </c>
    </row>
    <row r="30" spans="1:128" hidden="1">
      <c r="A30" s="198">
        <v>4115</v>
      </c>
      <c r="B30" s="2">
        <v>103493</v>
      </c>
      <c r="C30" s="2" t="s">
        <v>82</v>
      </c>
      <c r="D30" s="2" t="s">
        <v>83</v>
      </c>
      <c r="E30" s="190" t="s">
        <v>71</v>
      </c>
      <c r="F30" s="211" t="str">
        <f>VLOOKUP(A30,'Summary June 2026'!A:F,6,FALSE)</f>
        <v>Chq Bk</v>
      </c>
      <c r="G30" s="33"/>
      <c r="H30" s="825">
        <v>0</v>
      </c>
      <c r="I30" s="804"/>
      <c r="J30" s="797">
        <v>0</v>
      </c>
      <c r="K30" s="797">
        <v>0</v>
      </c>
      <c r="L30" s="797">
        <v>0</v>
      </c>
      <c r="M30" s="797">
        <v>0</v>
      </c>
      <c r="N30" s="797">
        <v>0</v>
      </c>
      <c r="O30" s="797">
        <v>0</v>
      </c>
      <c r="P30" s="797">
        <v>0</v>
      </c>
      <c r="Q30" s="797">
        <f t="shared" si="7"/>
        <v>0</v>
      </c>
      <c r="R30" s="797">
        <f t="shared" si="1"/>
        <v>0</v>
      </c>
      <c r="S30" s="804"/>
      <c r="T30" s="364">
        <v>0</v>
      </c>
      <c r="U30" s="364">
        <v>0</v>
      </c>
      <c r="V30" s="364">
        <v>0</v>
      </c>
      <c r="W30" s="364">
        <v>0</v>
      </c>
      <c r="X30" s="364">
        <v>0</v>
      </c>
      <c r="Y30" s="364">
        <v>0</v>
      </c>
      <c r="Z30" s="364">
        <v>0</v>
      </c>
      <c r="AA30" s="364">
        <f t="shared" si="2"/>
        <v>0</v>
      </c>
      <c r="AB30" s="364">
        <f t="shared" si="3"/>
        <v>0</v>
      </c>
      <c r="AC30" s="804"/>
      <c r="AD30" s="817"/>
      <c r="AE30" s="817"/>
      <c r="AF30" s="817"/>
      <c r="AG30" s="817"/>
      <c r="AH30" s="817"/>
      <c r="AI30" s="817"/>
      <c r="AJ30" s="817"/>
      <c r="AK30" s="818"/>
      <c r="AL30" s="817"/>
      <c r="AM30" s="275"/>
      <c r="AN30" s="886">
        <v>0</v>
      </c>
      <c r="AO30" s="886">
        <v>0</v>
      </c>
      <c r="AP30" s="275"/>
      <c r="AQ30" s="834"/>
      <c r="AR30" s="834"/>
      <c r="AS30" s="834"/>
      <c r="AT30" s="834"/>
      <c r="AU30" s="834"/>
      <c r="AV30" s="834"/>
      <c r="AW30" s="834"/>
      <c r="AX30" s="834"/>
      <c r="AZ30" s="835"/>
      <c r="BA30" s="835"/>
      <c r="BB30" s="835"/>
      <c r="BC30" s="835"/>
      <c r="BD30" s="835"/>
      <c r="BE30" s="835"/>
      <c r="BF30" s="835"/>
      <c r="BG30" s="835"/>
      <c r="BH30" s="814"/>
      <c r="BI30" s="834"/>
      <c r="BJ30" s="834"/>
      <c r="BK30" s="834"/>
      <c r="BL30" s="834"/>
      <c r="BM30" s="834"/>
      <c r="BN30" s="834"/>
      <c r="BO30" s="834"/>
      <c r="BP30" s="834"/>
      <c r="BQ30" s="275"/>
      <c r="BR30" s="843"/>
      <c r="BS30" s="843"/>
      <c r="BT30" s="843"/>
      <c r="BU30" s="843"/>
      <c r="BV30" s="843"/>
      <c r="BW30" s="843"/>
      <c r="BX30" s="843"/>
      <c r="BY30" s="843"/>
      <c r="BZ30" s="843"/>
      <c r="CA30" s="843"/>
      <c r="CB30" s="843"/>
      <c r="CC30" s="843"/>
      <c r="CD30" s="843"/>
      <c r="CE30" s="843"/>
      <c r="CF30" s="843"/>
      <c r="CG30" s="843"/>
      <c r="CH30" s="843"/>
      <c r="CI30" s="843"/>
      <c r="CJ30" s="844"/>
      <c r="CK30" s="364"/>
      <c r="CL30" s="364"/>
      <c r="CM30" s="364"/>
      <c r="CN30" s="364"/>
      <c r="CO30" s="364"/>
      <c r="CP30" s="364"/>
      <c r="CQ30" s="364"/>
      <c r="CR30" s="804"/>
      <c r="CS30" s="852"/>
      <c r="CT30" s="853"/>
      <c r="CU30" s="853"/>
      <c r="CV30" s="853"/>
      <c r="CW30" s="853"/>
      <c r="CX30" s="853"/>
      <c r="CY30" s="853"/>
      <c r="CZ30" s="853"/>
      <c r="DA30" s="853"/>
      <c r="DC30" s="853"/>
      <c r="DD30" s="853"/>
      <c r="DE30" s="853"/>
      <c r="DF30" s="853"/>
      <c r="DG30" s="853"/>
      <c r="DH30" s="853"/>
      <c r="DI30" s="853"/>
      <c r="DJ30" s="853"/>
      <c r="DK30" s="853"/>
      <c r="DM30" s="853"/>
      <c r="DN30" s="853"/>
      <c r="DO30" s="853"/>
      <c r="DP30" s="853"/>
      <c r="DQ30" s="853"/>
      <c r="DR30" s="853"/>
      <c r="DS30" s="805"/>
      <c r="DT30" s="805"/>
      <c r="DV30" s="806">
        <f t="shared" si="4"/>
        <v>0</v>
      </c>
      <c r="DW30" s="806">
        <f t="shared" si="5"/>
        <v>0</v>
      </c>
      <c r="DX30" s="794">
        <f t="shared" si="6"/>
        <v>0</v>
      </c>
    </row>
    <row r="31" spans="1:128" hidden="1">
      <c r="A31" s="198">
        <v>2030</v>
      </c>
      <c r="B31" s="2">
        <v>103172</v>
      </c>
      <c r="C31" s="2" t="s">
        <v>84</v>
      </c>
      <c r="D31" s="2" t="s">
        <v>85</v>
      </c>
      <c r="E31" s="190" t="s">
        <v>39</v>
      </c>
      <c r="F31" s="211" t="str">
        <f>VLOOKUP(A31,'Summary June 2026'!A:F,6,FALSE)</f>
        <v>Chq Bk</v>
      </c>
      <c r="G31" s="33"/>
      <c r="H31" s="825">
        <v>0</v>
      </c>
      <c r="I31" s="804"/>
      <c r="J31" s="797">
        <v>0</v>
      </c>
      <c r="K31" s="797">
        <v>0</v>
      </c>
      <c r="L31" s="797">
        <v>63679.200000000004</v>
      </c>
      <c r="M31" s="797">
        <v>5157.75</v>
      </c>
      <c r="N31" s="797">
        <v>0</v>
      </c>
      <c r="O31" s="797">
        <v>928.2</v>
      </c>
      <c r="P31" s="797">
        <v>0</v>
      </c>
      <c r="Q31" s="797">
        <f t="shared" si="7"/>
        <v>69765.150000000009</v>
      </c>
      <c r="R31" s="797">
        <f t="shared" si="1"/>
        <v>55812.12000000001</v>
      </c>
      <c r="S31" s="804"/>
      <c r="T31" s="364">
        <v>0</v>
      </c>
      <c r="U31" s="364">
        <v>0</v>
      </c>
      <c r="V31" s="364">
        <v>41636.400000000001</v>
      </c>
      <c r="W31" s="364">
        <v>1569.7499999999998</v>
      </c>
      <c r="X31" s="364">
        <v>0</v>
      </c>
      <c r="Y31" s="364">
        <v>534.29999999999995</v>
      </c>
      <c r="Z31" s="364">
        <v>0</v>
      </c>
      <c r="AA31" s="364">
        <f t="shared" si="2"/>
        <v>43740.450000000004</v>
      </c>
      <c r="AB31" s="364">
        <f t="shared" si="3"/>
        <v>34992.360000000008</v>
      </c>
      <c r="AC31" s="804"/>
      <c r="AD31" s="817"/>
      <c r="AE31" s="817"/>
      <c r="AF31" s="817"/>
      <c r="AG31" s="817"/>
      <c r="AH31" s="817"/>
      <c r="AI31" s="817"/>
      <c r="AJ31" s="817"/>
      <c r="AK31" s="818"/>
      <c r="AL31" s="817"/>
      <c r="AM31" s="275"/>
      <c r="AN31" s="886">
        <v>-12483.314736842103</v>
      </c>
      <c r="AO31" s="886">
        <v>0</v>
      </c>
      <c r="AP31" s="275"/>
      <c r="AQ31" s="834"/>
      <c r="AR31" s="834"/>
      <c r="AS31" s="834"/>
      <c r="AT31" s="834"/>
      <c r="AU31" s="834"/>
      <c r="AV31" s="834"/>
      <c r="AW31" s="834"/>
      <c r="AX31" s="834"/>
      <c r="AZ31" s="835"/>
      <c r="BA31" s="835"/>
      <c r="BB31" s="835"/>
      <c r="BC31" s="835"/>
      <c r="BD31" s="835"/>
      <c r="BE31" s="835"/>
      <c r="BF31" s="835"/>
      <c r="BG31" s="835"/>
      <c r="BH31" s="814"/>
      <c r="BI31" s="834"/>
      <c r="BJ31" s="834"/>
      <c r="BK31" s="834"/>
      <c r="BL31" s="834"/>
      <c r="BM31" s="834"/>
      <c r="BN31" s="834"/>
      <c r="BO31" s="834"/>
      <c r="BP31" s="834"/>
      <c r="BQ31" s="275"/>
      <c r="BR31" s="843"/>
      <c r="BS31" s="843"/>
      <c r="BT31" s="843"/>
      <c r="BU31" s="843"/>
      <c r="BV31" s="843"/>
      <c r="BW31" s="843"/>
      <c r="BX31" s="843"/>
      <c r="BY31" s="843"/>
      <c r="BZ31" s="843"/>
      <c r="CA31" s="843"/>
      <c r="CB31" s="843"/>
      <c r="CC31" s="843"/>
      <c r="CD31" s="843"/>
      <c r="CE31" s="843"/>
      <c r="CF31" s="843"/>
      <c r="CG31" s="843"/>
      <c r="CH31" s="843"/>
      <c r="CI31" s="843"/>
      <c r="CJ31" s="844"/>
      <c r="CK31" s="364"/>
      <c r="CL31" s="364"/>
      <c r="CM31" s="364"/>
      <c r="CN31" s="364"/>
      <c r="CO31" s="364"/>
      <c r="CP31" s="364"/>
      <c r="CQ31" s="364"/>
      <c r="CR31" s="804"/>
      <c r="CS31" s="852"/>
      <c r="CT31" s="853"/>
      <c r="CU31" s="853"/>
      <c r="CV31" s="853"/>
      <c r="CW31" s="853"/>
      <c r="CX31" s="853"/>
      <c r="CY31" s="853"/>
      <c r="CZ31" s="853"/>
      <c r="DA31" s="853"/>
      <c r="DC31" s="853"/>
      <c r="DD31" s="853"/>
      <c r="DE31" s="853"/>
      <c r="DF31" s="853"/>
      <c r="DG31" s="853"/>
      <c r="DH31" s="853"/>
      <c r="DI31" s="853"/>
      <c r="DJ31" s="853"/>
      <c r="DK31" s="853"/>
      <c r="DM31" s="853"/>
      <c r="DN31" s="853"/>
      <c r="DO31" s="853"/>
      <c r="DP31" s="853"/>
      <c r="DQ31" s="853"/>
      <c r="DR31" s="853"/>
      <c r="DS31" s="805"/>
      <c r="DT31" s="805"/>
      <c r="DV31" s="806">
        <f t="shared" si="4"/>
        <v>78321.16526315792</v>
      </c>
      <c r="DW31" s="806">
        <f t="shared" si="5"/>
        <v>0</v>
      </c>
      <c r="DX31" s="794">
        <f t="shared" si="6"/>
        <v>78321.16526315792</v>
      </c>
    </row>
    <row r="32" spans="1:128" hidden="1">
      <c r="A32" s="198">
        <v>3353</v>
      </c>
      <c r="B32" s="2">
        <v>103445</v>
      </c>
      <c r="C32" s="2" t="s">
        <v>86</v>
      </c>
      <c r="D32" s="2" t="s">
        <v>87</v>
      </c>
      <c r="E32" s="190" t="s">
        <v>39</v>
      </c>
      <c r="F32" s="211" t="str">
        <f>VLOOKUP(A32,'Summary June 2026'!A:F,6,FALSE)</f>
        <v>Chq Bk</v>
      </c>
      <c r="G32" s="33"/>
      <c r="H32" s="825">
        <v>0</v>
      </c>
      <c r="I32" s="804"/>
      <c r="J32" s="797">
        <v>0</v>
      </c>
      <c r="K32" s="797">
        <v>0</v>
      </c>
      <c r="L32" s="797">
        <v>0</v>
      </c>
      <c r="M32" s="797">
        <v>0</v>
      </c>
      <c r="N32" s="797">
        <v>0</v>
      </c>
      <c r="O32" s="797">
        <v>0</v>
      </c>
      <c r="P32" s="797">
        <v>0</v>
      </c>
      <c r="Q32" s="797">
        <f t="shared" si="7"/>
        <v>0</v>
      </c>
      <c r="R32" s="797">
        <f t="shared" si="1"/>
        <v>0</v>
      </c>
      <c r="S32" s="804"/>
      <c r="T32" s="364">
        <v>0</v>
      </c>
      <c r="U32" s="364">
        <v>0</v>
      </c>
      <c r="V32" s="364">
        <v>0</v>
      </c>
      <c r="W32" s="364">
        <v>0</v>
      </c>
      <c r="X32" s="364">
        <v>0</v>
      </c>
      <c r="Y32" s="364">
        <v>0</v>
      </c>
      <c r="Z32" s="364">
        <v>0</v>
      </c>
      <c r="AA32" s="364">
        <f t="shared" si="2"/>
        <v>0</v>
      </c>
      <c r="AB32" s="364">
        <f t="shared" si="3"/>
        <v>0</v>
      </c>
      <c r="AC32" s="804"/>
      <c r="AD32" s="817"/>
      <c r="AE32" s="817"/>
      <c r="AF32" s="817"/>
      <c r="AG32" s="817"/>
      <c r="AH32" s="817"/>
      <c r="AI32" s="817"/>
      <c r="AJ32" s="817"/>
      <c r="AK32" s="818"/>
      <c r="AL32" s="817"/>
      <c r="AM32" s="275"/>
      <c r="AN32" s="886">
        <v>0</v>
      </c>
      <c r="AO32" s="886">
        <v>0</v>
      </c>
      <c r="AP32" s="275"/>
      <c r="AQ32" s="834"/>
      <c r="AR32" s="834"/>
      <c r="AS32" s="834"/>
      <c r="AT32" s="834"/>
      <c r="AU32" s="834"/>
      <c r="AV32" s="834"/>
      <c r="AW32" s="834"/>
      <c r="AX32" s="834"/>
      <c r="AZ32" s="835"/>
      <c r="BA32" s="835"/>
      <c r="BB32" s="835"/>
      <c r="BC32" s="835"/>
      <c r="BD32" s="835"/>
      <c r="BE32" s="835"/>
      <c r="BF32" s="835"/>
      <c r="BG32" s="835"/>
      <c r="BH32" s="814"/>
      <c r="BI32" s="834"/>
      <c r="BJ32" s="834"/>
      <c r="BK32" s="834"/>
      <c r="BL32" s="834"/>
      <c r="BM32" s="834"/>
      <c r="BN32" s="834"/>
      <c r="BO32" s="834"/>
      <c r="BP32" s="834"/>
      <c r="BQ32" s="275"/>
      <c r="BR32" s="843"/>
      <c r="BS32" s="843"/>
      <c r="BT32" s="843"/>
      <c r="BU32" s="843"/>
      <c r="BV32" s="843"/>
      <c r="BW32" s="843"/>
      <c r="BX32" s="843"/>
      <c r="BY32" s="843"/>
      <c r="BZ32" s="843"/>
      <c r="CA32" s="843"/>
      <c r="CB32" s="843"/>
      <c r="CC32" s="843"/>
      <c r="CD32" s="843"/>
      <c r="CE32" s="843"/>
      <c r="CF32" s="843"/>
      <c r="CG32" s="843"/>
      <c r="CH32" s="843"/>
      <c r="CI32" s="843"/>
      <c r="CJ32" s="844"/>
      <c r="CK32" s="364"/>
      <c r="CL32" s="364"/>
      <c r="CM32" s="364"/>
      <c r="CN32" s="364"/>
      <c r="CO32" s="364"/>
      <c r="CP32" s="364"/>
      <c r="CQ32" s="364"/>
      <c r="CR32" s="804"/>
      <c r="CS32" s="852"/>
      <c r="CT32" s="853"/>
      <c r="CU32" s="853"/>
      <c r="CV32" s="853"/>
      <c r="CW32" s="853"/>
      <c r="CX32" s="853"/>
      <c r="CY32" s="853"/>
      <c r="CZ32" s="853"/>
      <c r="DA32" s="853"/>
      <c r="DC32" s="853"/>
      <c r="DD32" s="853"/>
      <c r="DE32" s="853"/>
      <c r="DF32" s="853"/>
      <c r="DG32" s="853"/>
      <c r="DH32" s="853"/>
      <c r="DI32" s="853"/>
      <c r="DJ32" s="853"/>
      <c r="DK32" s="853"/>
      <c r="DM32" s="853"/>
      <c r="DN32" s="853"/>
      <c r="DO32" s="853"/>
      <c r="DP32" s="853"/>
      <c r="DQ32" s="853"/>
      <c r="DR32" s="853"/>
      <c r="DS32" s="805"/>
      <c r="DT32" s="805"/>
      <c r="DV32" s="806">
        <f t="shared" si="4"/>
        <v>0</v>
      </c>
      <c r="DW32" s="806">
        <f t="shared" si="5"/>
        <v>0</v>
      </c>
      <c r="DX32" s="794">
        <f t="shared" si="6"/>
        <v>0</v>
      </c>
    </row>
    <row r="33" spans="1:128" hidden="1">
      <c r="A33" s="198">
        <v>7030</v>
      </c>
      <c r="B33" s="2">
        <v>103611</v>
      </c>
      <c r="C33" s="2" t="s">
        <v>88</v>
      </c>
      <c r="D33" s="2" t="s">
        <v>89</v>
      </c>
      <c r="E33" s="190" t="s">
        <v>56</v>
      </c>
      <c r="F33" s="211" t="str">
        <f>VLOOKUP(A33,'Summary June 2026'!A:F,6,FALSE)</f>
        <v>Chq Bk</v>
      </c>
      <c r="G33" s="33"/>
      <c r="H33" s="825">
        <v>0</v>
      </c>
      <c r="I33" s="804"/>
      <c r="J33" s="797"/>
      <c r="K33" s="797"/>
      <c r="L33" s="797"/>
      <c r="M33" s="797"/>
      <c r="N33" s="797"/>
      <c r="O33" s="797"/>
      <c r="P33" s="797"/>
      <c r="Q33" s="797"/>
      <c r="R33" s="797"/>
      <c r="S33" s="804"/>
      <c r="T33" s="364"/>
      <c r="U33" s="364"/>
      <c r="V33" s="364"/>
      <c r="W33" s="364"/>
      <c r="X33" s="364"/>
      <c r="Y33" s="364"/>
      <c r="Z33" s="364"/>
      <c r="AA33" s="364"/>
      <c r="AB33" s="364"/>
      <c r="AC33" s="804"/>
      <c r="AD33" s="817"/>
      <c r="AE33" s="817"/>
      <c r="AF33" s="817"/>
      <c r="AG33" s="817"/>
      <c r="AH33" s="817"/>
      <c r="AI33" s="817"/>
      <c r="AJ33" s="817"/>
      <c r="AK33" s="818"/>
      <c r="AL33" s="817"/>
      <c r="AM33" s="275"/>
      <c r="AN33" s="886">
        <v>0</v>
      </c>
      <c r="AO33" s="886">
        <v>0</v>
      </c>
      <c r="AP33" s="275"/>
      <c r="AQ33" s="834"/>
      <c r="AR33" s="834"/>
      <c r="AS33" s="834"/>
      <c r="AT33" s="834"/>
      <c r="AU33" s="834"/>
      <c r="AV33" s="834"/>
      <c r="AW33" s="834"/>
      <c r="AX33" s="834"/>
      <c r="AZ33" s="835"/>
      <c r="BA33" s="835"/>
      <c r="BB33" s="835"/>
      <c r="BC33" s="835"/>
      <c r="BD33" s="835"/>
      <c r="BE33" s="835"/>
      <c r="BF33" s="835"/>
      <c r="BG33" s="835"/>
      <c r="BH33" s="814"/>
      <c r="BI33" s="834"/>
      <c r="BJ33" s="834"/>
      <c r="BK33" s="834"/>
      <c r="BL33" s="834"/>
      <c r="BM33" s="834"/>
      <c r="BN33" s="834"/>
      <c r="BO33" s="834"/>
      <c r="BP33" s="834"/>
      <c r="BQ33" s="275"/>
      <c r="BR33" s="843"/>
      <c r="BS33" s="843"/>
      <c r="BT33" s="843"/>
      <c r="BU33" s="843"/>
      <c r="BV33" s="843"/>
      <c r="BW33" s="843"/>
      <c r="BX33" s="843"/>
      <c r="BY33" s="843"/>
      <c r="BZ33" s="843"/>
      <c r="CA33" s="843"/>
      <c r="CB33" s="843"/>
      <c r="CC33" s="843"/>
      <c r="CD33" s="843"/>
      <c r="CE33" s="843"/>
      <c r="CF33" s="843"/>
      <c r="CG33" s="843"/>
      <c r="CH33" s="843"/>
      <c r="CI33" s="843"/>
      <c r="CJ33" s="844"/>
      <c r="CK33" s="364"/>
      <c r="CL33" s="364"/>
      <c r="CM33" s="364"/>
      <c r="CN33" s="364"/>
      <c r="CO33" s="364"/>
      <c r="CP33" s="364"/>
      <c r="CQ33" s="364"/>
      <c r="CR33" s="804"/>
      <c r="CS33" s="852"/>
      <c r="CT33" s="853"/>
      <c r="CU33" s="853"/>
      <c r="CV33" s="853"/>
      <c r="CW33" s="853"/>
      <c r="CX33" s="853"/>
      <c r="CY33" s="853"/>
      <c r="CZ33" s="853"/>
      <c r="DA33" s="853"/>
      <c r="DC33" s="853"/>
      <c r="DD33" s="853"/>
      <c r="DE33" s="853"/>
      <c r="DF33" s="853"/>
      <c r="DG33" s="853"/>
      <c r="DH33" s="853"/>
      <c r="DI33" s="853"/>
      <c r="DJ33" s="853"/>
      <c r="DK33" s="853"/>
      <c r="DM33" s="853"/>
      <c r="DN33" s="853"/>
      <c r="DO33" s="853"/>
      <c r="DP33" s="853"/>
      <c r="DQ33" s="853"/>
      <c r="DR33" s="853"/>
      <c r="DS33" s="805"/>
      <c r="DT33" s="805"/>
      <c r="DV33" s="806">
        <f t="shared" si="4"/>
        <v>0</v>
      </c>
      <c r="DW33" s="806">
        <f t="shared" si="5"/>
        <v>0</v>
      </c>
      <c r="DX33" s="794">
        <f t="shared" si="6"/>
        <v>0</v>
      </c>
    </row>
    <row r="34" spans="1:128" hidden="1">
      <c r="A34" s="198">
        <v>1002</v>
      </c>
      <c r="B34" s="2">
        <v>103121</v>
      </c>
      <c r="C34" s="2" t="s">
        <v>90</v>
      </c>
      <c r="D34" s="2" t="s">
        <v>91</v>
      </c>
      <c r="E34" s="190" t="s">
        <v>36</v>
      </c>
      <c r="F34" s="211" t="str">
        <f>VLOOKUP(A34,'Summary June 2026'!A:F,6,FALSE)</f>
        <v>Chq Bk</v>
      </c>
      <c r="G34" s="33"/>
      <c r="H34" s="825">
        <v>232395.26932939101</v>
      </c>
      <c r="I34" s="804"/>
      <c r="J34" s="797">
        <v>0</v>
      </c>
      <c r="K34" s="797">
        <v>60537.749999999993</v>
      </c>
      <c r="L34" s="797">
        <v>113887.8</v>
      </c>
      <c r="M34" s="797">
        <v>17715.75</v>
      </c>
      <c r="N34" s="797">
        <v>5894.9800000000005</v>
      </c>
      <c r="O34" s="797">
        <v>12600.9</v>
      </c>
      <c r="P34" s="797">
        <v>975</v>
      </c>
      <c r="Q34" s="797">
        <f>SUM(J34:P34)</f>
        <v>211612.18</v>
      </c>
      <c r="R34" s="797">
        <f t="shared" si="1"/>
        <v>169289.74400000001</v>
      </c>
      <c r="S34" s="804"/>
      <c r="T34" s="364">
        <v>0</v>
      </c>
      <c r="U34" s="364">
        <v>62932.649999999994</v>
      </c>
      <c r="V34" s="364">
        <v>66128.399999999994</v>
      </c>
      <c r="W34" s="364">
        <v>11706.75</v>
      </c>
      <c r="X34" s="364">
        <v>3731</v>
      </c>
      <c r="Y34" s="364">
        <v>8435.7000000000007</v>
      </c>
      <c r="Z34" s="364">
        <v>0</v>
      </c>
      <c r="AA34" s="364">
        <f t="shared" si="2"/>
        <v>152934.5</v>
      </c>
      <c r="AB34" s="364">
        <f t="shared" si="3"/>
        <v>122347.6</v>
      </c>
      <c r="AC34" s="804"/>
      <c r="AD34" s="817"/>
      <c r="AE34" s="817"/>
      <c r="AF34" s="817"/>
      <c r="AG34" s="817"/>
      <c r="AH34" s="817"/>
      <c r="AI34" s="817"/>
      <c r="AJ34" s="817"/>
      <c r="AK34" s="818"/>
      <c r="AL34" s="817"/>
      <c r="AM34" s="275"/>
      <c r="AN34" s="886">
        <v>1041.5341551246397</v>
      </c>
      <c r="AO34" s="886">
        <v>-448.9927977839335</v>
      </c>
      <c r="AP34" s="275"/>
      <c r="AQ34" s="834"/>
      <c r="AR34" s="834"/>
      <c r="AS34" s="834"/>
      <c r="AT34" s="834"/>
      <c r="AU34" s="834"/>
      <c r="AV34" s="834"/>
      <c r="AW34" s="834"/>
      <c r="AX34" s="834"/>
      <c r="AZ34" s="835"/>
      <c r="BA34" s="835"/>
      <c r="BB34" s="835"/>
      <c r="BC34" s="835"/>
      <c r="BD34" s="835"/>
      <c r="BE34" s="835"/>
      <c r="BF34" s="835"/>
      <c r="BG34" s="835"/>
      <c r="BH34" s="814"/>
      <c r="BI34" s="834"/>
      <c r="BJ34" s="834"/>
      <c r="BK34" s="834"/>
      <c r="BL34" s="834"/>
      <c r="BM34" s="834"/>
      <c r="BN34" s="834"/>
      <c r="BO34" s="834"/>
      <c r="BP34" s="834"/>
      <c r="BQ34" s="275"/>
      <c r="BR34" s="843"/>
      <c r="BS34" s="843"/>
      <c r="BT34" s="843"/>
      <c r="BU34" s="843"/>
      <c r="BV34" s="843"/>
      <c r="BW34" s="843"/>
      <c r="BX34" s="843"/>
      <c r="BY34" s="843"/>
      <c r="BZ34" s="843"/>
      <c r="CA34" s="843"/>
      <c r="CB34" s="843"/>
      <c r="CC34" s="843"/>
      <c r="CD34" s="843"/>
      <c r="CE34" s="843"/>
      <c r="CF34" s="843"/>
      <c r="CG34" s="843"/>
      <c r="CH34" s="843"/>
      <c r="CI34" s="843"/>
      <c r="CJ34" s="844"/>
      <c r="CK34" s="364"/>
      <c r="CL34" s="364"/>
      <c r="CM34" s="364"/>
      <c r="CN34" s="364"/>
      <c r="CO34" s="364"/>
      <c r="CP34" s="364"/>
      <c r="CQ34" s="364"/>
      <c r="CR34" s="804"/>
      <c r="CS34" s="852"/>
      <c r="CT34" s="853"/>
      <c r="CU34" s="853"/>
      <c r="CV34" s="853"/>
      <c r="CW34" s="853"/>
      <c r="CX34" s="853"/>
      <c r="CY34" s="853"/>
      <c r="CZ34" s="853"/>
      <c r="DA34" s="853"/>
      <c r="DC34" s="853"/>
      <c r="DD34" s="853"/>
      <c r="DE34" s="853"/>
      <c r="DF34" s="853"/>
      <c r="DG34" s="853"/>
      <c r="DH34" s="853"/>
      <c r="DI34" s="853"/>
      <c r="DJ34" s="853"/>
      <c r="DK34" s="853"/>
      <c r="DM34" s="853"/>
      <c r="DN34" s="853"/>
      <c r="DO34" s="853"/>
      <c r="DP34" s="853"/>
      <c r="DQ34" s="853"/>
      <c r="DR34" s="853"/>
      <c r="DS34" s="805"/>
      <c r="DT34" s="805"/>
      <c r="DV34" s="806">
        <f t="shared" si="4"/>
        <v>524294.14748451568</v>
      </c>
      <c r="DW34" s="806">
        <f t="shared" si="5"/>
        <v>331.0072022160665</v>
      </c>
      <c r="DX34" s="794">
        <f t="shared" si="6"/>
        <v>524625.15468673175</v>
      </c>
    </row>
    <row r="35" spans="1:128" hidden="1">
      <c r="A35" s="198">
        <v>2465</v>
      </c>
      <c r="B35" s="2">
        <v>103391</v>
      </c>
      <c r="C35" s="2" t="s">
        <v>92</v>
      </c>
      <c r="D35" s="2" t="s">
        <v>93</v>
      </c>
      <c r="E35" s="190" t="s">
        <v>39</v>
      </c>
      <c r="F35" s="211" t="str">
        <f>VLOOKUP(A35,'Summary June 2026'!A:F,6,FALSE)</f>
        <v>Chq Bk</v>
      </c>
      <c r="G35" s="33"/>
      <c r="H35" s="825">
        <v>0</v>
      </c>
      <c r="I35" s="804"/>
      <c r="J35" s="797">
        <v>0</v>
      </c>
      <c r="K35" s="797">
        <v>0</v>
      </c>
      <c r="L35" s="797">
        <v>36738</v>
      </c>
      <c r="M35" s="797">
        <v>1793.9999999999998</v>
      </c>
      <c r="N35" s="797">
        <v>0</v>
      </c>
      <c r="O35" s="797">
        <v>56.55</v>
      </c>
      <c r="P35" s="797">
        <v>0</v>
      </c>
      <c r="Q35" s="797">
        <f>SUM(J35:P35)</f>
        <v>38588.550000000003</v>
      </c>
      <c r="R35" s="797">
        <f t="shared" si="1"/>
        <v>30870.840000000004</v>
      </c>
      <c r="S35" s="804"/>
      <c r="T35" s="364">
        <v>0</v>
      </c>
      <c r="U35" s="364">
        <v>0</v>
      </c>
      <c r="V35" s="364">
        <v>59025.72</v>
      </c>
      <c r="W35" s="364">
        <v>3139.4999999999995</v>
      </c>
      <c r="X35" s="364">
        <v>1491.9894736842107</v>
      </c>
      <c r="Y35" s="364">
        <v>2651.9999999999995</v>
      </c>
      <c r="Z35" s="364">
        <v>0</v>
      </c>
      <c r="AA35" s="364">
        <f t="shared" si="2"/>
        <v>66309.209473684212</v>
      </c>
      <c r="AB35" s="364">
        <f t="shared" si="3"/>
        <v>53047.367578947371</v>
      </c>
      <c r="AC35" s="804"/>
      <c r="AD35" s="817"/>
      <c r="AE35" s="817"/>
      <c r="AF35" s="817"/>
      <c r="AG35" s="817"/>
      <c r="AH35" s="817"/>
      <c r="AI35" s="817"/>
      <c r="AJ35" s="817"/>
      <c r="AK35" s="818"/>
      <c r="AL35" s="817"/>
      <c r="AM35" s="275"/>
      <c r="AN35" s="886">
        <v>-4510.6052631579014</v>
      </c>
      <c r="AO35" s="886">
        <v>0</v>
      </c>
      <c r="AP35" s="275"/>
      <c r="AQ35" s="834"/>
      <c r="AR35" s="834"/>
      <c r="AS35" s="834"/>
      <c r="AT35" s="834"/>
      <c r="AU35" s="834"/>
      <c r="AV35" s="834"/>
      <c r="AW35" s="834"/>
      <c r="AX35" s="834"/>
      <c r="AZ35" s="835"/>
      <c r="BA35" s="835"/>
      <c r="BB35" s="835"/>
      <c r="BC35" s="835"/>
      <c r="BD35" s="835"/>
      <c r="BE35" s="835"/>
      <c r="BF35" s="835"/>
      <c r="BG35" s="835"/>
      <c r="BH35" s="814"/>
      <c r="BI35" s="834"/>
      <c r="BJ35" s="834"/>
      <c r="BK35" s="834"/>
      <c r="BL35" s="834"/>
      <c r="BM35" s="834"/>
      <c r="BN35" s="834"/>
      <c r="BO35" s="834"/>
      <c r="BP35" s="834"/>
      <c r="BQ35" s="275"/>
      <c r="BR35" s="843"/>
      <c r="BS35" s="843"/>
      <c r="BT35" s="843"/>
      <c r="BU35" s="843"/>
      <c r="BV35" s="843"/>
      <c r="BW35" s="843"/>
      <c r="BX35" s="843"/>
      <c r="BY35" s="843"/>
      <c r="BZ35" s="843"/>
      <c r="CA35" s="843"/>
      <c r="CB35" s="843"/>
      <c r="CC35" s="843"/>
      <c r="CD35" s="843"/>
      <c r="CE35" s="843"/>
      <c r="CF35" s="843"/>
      <c r="CG35" s="843"/>
      <c r="CH35" s="843"/>
      <c r="CI35" s="843"/>
      <c r="CJ35" s="844"/>
      <c r="CK35" s="364"/>
      <c r="CL35" s="364"/>
      <c r="CM35" s="364"/>
      <c r="CN35" s="364"/>
      <c r="CO35" s="364"/>
      <c r="CP35" s="364"/>
      <c r="CQ35" s="364"/>
      <c r="CR35" s="804"/>
      <c r="CS35" s="852"/>
      <c r="CT35" s="853"/>
      <c r="CU35" s="853"/>
      <c r="CV35" s="853"/>
      <c r="CW35" s="853"/>
      <c r="CX35" s="853"/>
      <c r="CY35" s="853"/>
      <c r="CZ35" s="853"/>
      <c r="DA35" s="853"/>
      <c r="DC35" s="853"/>
      <c r="DD35" s="853"/>
      <c r="DE35" s="853"/>
      <c r="DF35" s="853"/>
      <c r="DG35" s="853"/>
      <c r="DH35" s="853"/>
      <c r="DI35" s="853"/>
      <c r="DJ35" s="853"/>
      <c r="DK35" s="853"/>
      <c r="DM35" s="853"/>
      <c r="DN35" s="853"/>
      <c r="DO35" s="853"/>
      <c r="DP35" s="853"/>
      <c r="DQ35" s="853"/>
      <c r="DR35" s="853"/>
      <c r="DS35" s="805"/>
      <c r="DT35" s="805"/>
      <c r="DV35" s="806">
        <f t="shared" si="4"/>
        <v>79407.602315789467</v>
      </c>
      <c r="DW35" s="806">
        <f t="shared" si="5"/>
        <v>0</v>
      </c>
      <c r="DX35" s="794">
        <f t="shared" si="6"/>
        <v>79407.602315789467</v>
      </c>
    </row>
    <row r="36" spans="1:128" hidden="1">
      <c r="A36" s="198">
        <v>4801</v>
      </c>
      <c r="B36" s="2">
        <v>103539</v>
      </c>
      <c r="C36" s="2" t="s">
        <v>94</v>
      </c>
      <c r="D36" s="2" t="s">
        <v>95</v>
      </c>
      <c r="E36" s="190" t="s">
        <v>71</v>
      </c>
      <c r="F36" s="211" t="str">
        <f>VLOOKUP(A36,'Summary June 2026'!A:F,6,FALSE)</f>
        <v>Chq Bk</v>
      </c>
      <c r="G36" s="33"/>
      <c r="H36" s="825">
        <v>0</v>
      </c>
      <c r="I36" s="804"/>
      <c r="J36" s="797">
        <v>0</v>
      </c>
      <c r="K36" s="797">
        <v>0</v>
      </c>
      <c r="L36" s="797">
        <v>0</v>
      </c>
      <c r="M36" s="797">
        <v>0</v>
      </c>
      <c r="N36" s="797">
        <v>0</v>
      </c>
      <c r="O36" s="797">
        <v>0</v>
      </c>
      <c r="P36" s="797">
        <v>0</v>
      </c>
      <c r="Q36" s="797">
        <f>SUM(J36:P36)</f>
        <v>0</v>
      </c>
      <c r="R36" s="797">
        <f t="shared" si="1"/>
        <v>0</v>
      </c>
      <c r="S36" s="804"/>
      <c r="T36" s="364">
        <v>0</v>
      </c>
      <c r="U36" s="364">
        <v>0</v>
      </c>
      <c r="V36" s="364">
        <v>0</v>
      </c>
      <c r="W36" s="364">
        <v>0</v>
      </c>
      <c r="X36" s="364">
        <v>0</v>
      </c>
      <c r="Y36" s="364">
        <v>0</v>
      </c>
      <c r="Z36" s="364">
        <v>0</v>
      </c>
      <c r="AA36" s="364">
        <f t="shared" si="2"/>
        <v>0</v>
      </c>
      <c r="AB36" s="364">
        <f t="shared" si="3"/>
        <v>0</v>
      </c>
      <c r="AC36" s="804"/>
      <c r="AD36" s="817"/>
      <c r="AE36" s="817"/>
      <c r="AF36" s="817"/>
      <c r="AG36" s="817"/>
      <c r="AH36" s="817"/>
      <c r="AI36" s="817"/>
      <c r="AJ36" s="817"/>
      <c r="AK36" s="818"/>
      <c r="AL36" s="817"/>
      <c r="AM36" s="275"/>
      <c r="AN36" s="886">
        <v>0</v>
      </c>
      <c r="AO36" s="886">
        <v>0</v>
      </c>
      <c r="AP36" s="275"/>
      <c r="AQ36" s="834"/>
      <c r="AR36" s="834"/>
      <c r="AS36" s="834"/>
      <c r="AT36" s="834"/>
      <c r="AU36" s="834"/>
      <c r="AV36" s="834"/>
      <c r="AW36" s="834"/>
      <c r="AX36" s="834"/>
      <c r="AZ36" s="835"/>
      <c r="BA36" s="835"/>
      <c r="BB36" s="835"/>
      <c r="BC36" s="835"/>
      <c r="BD36" s="835"/>
      <c r="BE36" s="835"/>
      <c r="BF36" s="835"/>
      <c r="BG36" s="835"/>
      <c r="BH36" s="814"/>
      <c r="BI36" s="834"/>
      <c r="BJ36" s="834"/>
      <c r="BK36" s="834"/>
      <c r="BL36" s="834"/>
      <c r="BM36" s="834"/>
      <c r="BN36" s="834"/>
      <c r="BO36" s="834"/>
      <c r="BP36" s="834"/>
      <c r="BQ36" s="275"/>
      <c r="BR36" s="843"/>
      <c r="BS36" s="843"/>
      <c r="BT36" s="843"/>
      <c r="BU36" s="843"/>
      <c r="BV36" s="843"/>
      <c r="BW36" s="843"/>
      <c r="BX36" s="843"/>
      <c r="BY36" s="843"/>
      <c r="BZ36" s="843"/>
      <c r="CA36" s="843"/>
      <c r="CB36" s="843"/>
      <c r="CC36" s="843"/>
      <c r="CD36" s="843"/>
      <c r="CE36" s="843"/>
      <c r="CF36" s="843"/>
      <c r="CG36" s="843"/>
      <c r="CH36" s="843"/>
      <c r="CI36" s="843"/>
      <c r="CJ36" s="844"/>
      <c r="CK36" s="364"/>
      <c r="CL36" s="364"/>
      <c r="CM36" s="364"/>
      <c r="CN36" s="364"/>
      <c r="CO36" s="364"/>
      <c r="CP36" s="364"/>
      <c r="CQ36" s="364"/>
      <c r="CR36" s="804"/>
      <c r="CS36" s="852"/>
      <c r="CT36" s="853"/>
      <c r="CU36" s="853"/>
      <c r="CV36" s="853"/>
      <c r="CW36" s="853"/>
      <c r="CX36" s="853"/>
      <c r="CY36" s="853"/>
      <c r="CZ36" s="853"/>
      <c r="DA36" s="853"/>
      <c r="DC36" s="853"/>
      <c r="DD36" s="853"/>
      <c r="DE36" s="853"/>
      <c r="DF36" s="853"/>
      <c r="DG36" s="853"/>
      <c r="DH36" s="853"/>
      <c r="DI36" s="853"/>
      <c r="DJ36" s="853"/>
      <c r="DK36" s="853"/>
      <c r="DM36" s="853"/>
      <c r="DN36" s="853"/>
      <c r="DO36" s="853"/>
      <c r="DP36" s="853"/>
      <c r="DQ36" s="853"/>
      <c r="DR36" s="853"/>
      <c r="DS36" s="805"/>
      <c r="DT36" s="805"/>
      <c r="DV36" s="806">
        <f t="shared" si="4"/>
        <v>0</v>
      </c>
      <c r="DW36" s="806">
        <f t="shared" si="5"/>
        <v>0</v>
      </c>
      <c r="DX36" s="794">
        <f t="shared" si="6"/>
        <v>0</v>
      </c>
    </row>
    <row r="37" spans="1:128" hidden="1">
      <c r="A37" s="198">
        <v>1048</v>
      </c>
      <c r="B37" s="2">
        <v>103144</v>
      </c>
      <c r="C37" s="2" t="s">
        <v>96</v>
      </c>
      <c r="D37" s="2" t="s">
        <v>97</v>
      </c>
      <c r="E37" s="190" t="s">
        <v>36</v>
      </c>
      <c r="F37" s="211" t="str">
        <f>VLOOKUP(A37,'Summary June 2026'!A:F,6,FALSE)</f>
        <v>Chq Bk</v>
      </c>
      <c r="G37" s="33"/>
      <c r="H37" s="825">
        <v>315465.2898387289</v>
      </c>
      <c r="I37" s="804"/>
      <c r="J37" s="797">
        <v>0</v>
      </c>
      <c r="K37" s="797">
        <v>65726.7</v>
      </c>
      <c r="L37" s="797">
        <v>189813</v>
      </c>
      <c r="M37" s="797">
        <v>19734</v>
      </c>
      <c r="N37" s="797">
        <v>7573.0063157894747</v>
      </c>
      <c r="O37" s="797">
        <v>12801.749999999998</v>
      </c>
      <c r="P37" s="797">
        <v>8775</v>
      </c>
      <c r="Q37" s="797">
        <f>SUM(J37:P37)</f>
        <v>304423.45631578949</v>
      </c>
      <c r="R37" s="797">
        <f t="shared" si="1"/>
        <v>243538.76505263161</v>
      </c>
      <c r="S37" s="804"/>
      <c r="T37" s="364">
        <v>0</v>
      </c>
      <c r="U37" s="364">
        <v>72645.299999999988</v>
      </c>
      <c r="V37" s="364">
        <v>145727.4</v>
      </c>
      <c r="W37" s="364">
        <v>12109.499999999998</v>
      </c>
      <c r="X37" s="364">
        <v>1044.2694736842104</v>
      </c>
      <c r="Y37" s="364">
        <v>13716.3</v>
      </c>
      <c r="Z37" s="364">
        <v>1950</v>
      </c>
      <c r="AA37" s="364">
        <f t="shared" si="2"/>
        <v>247192.76947368419</v>
      </c>
      <c r="AB37" s="364">
        <f t="shared" si="3"/>
        <v>197754.21557894736</v>
      </c>
      <c r="AC37" s="804"/>
      <c r="AD37" s="817"/>
      <c r="AE37" s="817"/>
      <c r="AF37" s="817"/>
      <c r="AG37" s="817"/>
      <c r="AH37" s="817"/>
      <c r="AI37" s="817"/>
      <c r="AJ37" s="817"/>
      <c r="AK37" s="818"/>
      <c r="AL37" s="817"/>
      <c r="AM37" s="275"/>
      <c r="AN37" s="886">
        <v>25348.173739612204</v>
      </c>
      <c r="AO37" s="886">
        <v>379.35734072022137</v>
      </c>
      <c r="AP37" s="275"/>
      <c r="AQ37" s="834"/>
      <c r="AR37" s="834"/>
      <c r="AS37" s="834"/>
      <c r="AT37" s="834"/>
      <c r="AU37" s="834"/>
      <c r="AV37" s="834"/>
      <c r="AW37" s="834"/>
      <c r="AX37" s="834"/>
      <c r="AZ37" s="835"/>
      <c r="BA37" s="835"/>
      <c r="BB37" s="835"/>
      <c r="BC37" s="835"/>
      <c r="BD37" s="835"/>
      <c r="BE37" s="835"/>
      <c r="BF37" s="835"/>
      <c r="BG37" s="835"/>
      <c r="BH37" s="814"/>
      <c r="BI37" s="834"/>
      <c r="BJ37" s="834"/>
      <c r="BK37" s="834"/>
      <c r="BL37" s="834"/>
      <c r="BM37" s="834"/>
      <c r="BN37" s="834"/>
      <c r="BO37" s="834"/>
      <c r="BP37" s="834"/>
      <c r="BQ37" s="275"/>
      <c r="BR37" s="843"/>
      <c r="BS37" s="843"/>
      <c r="BT37" s="843"/>
      <c r="BU37" s="843"/>
      <c r="BV37" s="843"/>
      <c r="BW37" s="843"/>
      <c r="BX37" s="843"/>
      <c r="BY37" s="843"/>
      <c r="BZ37" s="843"/>
      <c r="CA37" s="843"/>
      <c r="CB37" s="843"/>
      <c r="CC37" s="843"/>
      <c r="CD37" s="843"/>
      <c r="CE37" s="843"/>
      <c r="CF37" s="843"/>
      <c r="CG37" s="843"/>
      <c r="CH37" s="843"/>
      <c r="CI37" s="843"/>
      <c r="CJ37" s="844"/>
      <c r="CK37" s="364"/>
      <c r="CL37" s="364"/>
      <c r="CM37" s="364"/>
      <c r="CN37" s="364"/>
      <c r="CO37" s="364"/>
      <c r="CP37" s="364"/>
      <c r="CQ37" s="364"/>
      <c r="CR37" s="804"/>
      <c r="CS37" s="852"/>
      <c r="CT37" s="853"/>
      <c r="CU37" s="853"/>
      <c r="CV37" s="853"/>
      <c r="CW37" s="853"/>
      <c r="CX37" s="853"/>
      <c r="CY37" s="853"/>
      <c r="CZ37" s="853"/>
      <c r="DA37" s="853"/>
      <c r="DC37" s="853"/>
      <c r="DD37" s="853"/>
      <c r="DE37" s="853"/>
      <c r="DF37" s="853"/>
      <c r="DG37" s="853"/>
      <c r="DH37" s="853"/>
      <c r="DI37" s="853"/>
      <c r="DJ37" s="853"/>
      <c r="DK37" s="853"/>
      <c r="DM37" s="853"/>
      <c r="DN37" s="853"/>
      <c r="DO37" s="853"/>
      <c r="DP37" s="853"/>
      <c r="DQ37" s="853"/>
      <c r="DR37" s="853"/>
      <c r="DS37" s="805"/>
      <c r="DT37" s="805"/>
      <c r="DV37" s="806">
        <f t="shared" si="4"/>
        <v>773526.44420992013</v>
      </c>
      <c r="DW37" s="806">
        <f t="shared" si="5"/>
        <v>8959.3573407202221</v>
      </c>
      <c r="DX37" s="794">
        <f t="shared" si="6"/>
        <v>782485.80155064038</v>
      </c>
    </row>
    <row r="38" spans="1:128" hidden="1">
      <c r="A38" s="198">
        <v>2312</v>
      </c>
      <c r="B38" s="2">
        <v>103332</v>
      </c>
      <c r="C38" s="2" t="s">
        <v>98</v>
      </c>
      <c r="D38" s="2" t="s">
        <v>99</v>
      </c>
      <c r="E38" s="190" t="s">
        <v>39</v>
      </c>
      <c r="F38" s="211" t="str">
        <f>VLOOKUP(A38,'Summary June 2026'!A:F,6,FALSE)</f>
        <v>Chq Bk</v>
      </c>
      <c r="G38" s="33"/>
      <c r="H38" s="825">
        <v>0</v>
      </c>
      <c r="I38" s="804"/>
      <c r="J38" s="797">
        <v>0</v>
      </c>
      <c r="K38" s="797">
        <v>0</v>
      </c>
      <c r="L38" s="797">
        <v>0</v>
      </c>
      <c r="M38" s="797">
        <v>0</v>
      </c>
      <c r="N38" s="797">
        <v>0</v>
      </c>
      <c r="O38" s="797">
        <v>0</v>
      </c>
      <c r="P38" s="797">
        <v>0</v>
      </c>
      <c r="Q38" s="797">
        <f>SUM(J38:P38)</f>
        <v>0</v>
      </c>
      <c r="R38" s="797">
        <f t="shared" si="1"/>
        <v>0</v>
      </c>
      <c r="S38" s="804"/>
      <c r="T38" s="364">
        <v>0</v>
      </c>
      <c r="U38" s="364">
        <v>0</v>
      </c>
      <c r="V38" s="364">
        <v>0</v>
      </c>
      <c r="W38" s="364">
        <v>0</v>
      </c>
      <c r="X38" s="364">
        <v>0</v>
      </c>
      <c r="Y38" s="364">
        <v>0</v>
      </c>
      <c r="Z38" s="364">
        <v>0</v>
      </c>
      <c r="AA38" s="364">
        <f t="shared" si="2"/>
        <v>0</v>
      </c>
      <c r="AB38" s="364">
        <f t="shared" si="3"/>
        <v>0</v>
      </c>
      <c r="AC38" s="804"/>
      <c r="AD38" s="817"/>
      <c r="AE38" s="817"/>
      <c r="AF38" s="817"/>
      <c r="AG38" s="817"/>
      <c r="AH38" s="817"/>
      <c r="AI38" s="817"/>
      <c r="AJ38" s="817"/>
      <c r="AK38" s="818"/>
      <c r="AL38" s="817"/>
      <c r="AM38" s="275"/>
      <c r="AN38" s="886">
        <v>0</v>
      </c>
      <c r="AO38" s="886">
        <v>0</v>
      </c>
      <c r="AP38" s="275"/>
      <c r="AQ38" s="834"/>
      <c r="AR38" s="834"/>
      <c r="AS38" s="834"/>
      <c r="AT38" s="834"/>
      <c r="AU38" s="834"/>
      <c r="AV38" s="834"/>
      <c r="AW38" s="834"/>
      <c r="AX38" s="834"/>
      <c r="AZ38" s="835"/>
      <c r="BA38" s="835"/>
      <c r="BB38" s="835"/>
      <c r="BC38" s="835"/>
      <c r="BD38" s="835"/>
      <c r="BE38" s="835"/>
      <c r="BF38" s="835"/>
      <c r="BG38" s="835"/>
      <c r="BH38" s="814"/>
      <c r="BI38" s="834"/>
      <c r="BJ38" s="834"/>
      <c r="BK38" s="834"/>
      <c r="BL38" s="834"/>
      <c r="BM38" s="834"/>
      <c r="BN38" s="834"/>
      <c r="BO38" s="834"/>
      <c r="BP38" s="834"/>
      <c r="BQ38" s="275"/>
      <c r="BR38" s="843"/>
      <c r="BS38" s="843"/>
      <c r="BT38" s="843"/>
      <c r="BU38" s="843"/>
      <c r="BV38" s="843"/>
      <c r="BW38" s="843"/>
      <c r="BX38" s="843"/>
      <c r="BY38" s="843"/>
      <c r="BZ38" s="843"/>
      <c r="CA38" s="843"/>
      <c r="CB38" s="843"/>
      <c r="CC38" s="843"/>
      <c r="CD38" s="843"/>
      <c r="CE38" s="843"/>
      <c r="CF38" s="843"/>
      <c r="CG38" s="843"/>
      <c r="CH38" s="843"/>
      <c r="CI38" s="843"/>
      <c r="CJ38" s="844"/>
      <c r="CK38" s="364"/>
      <c r="CL38" s="364"/>
      <c r="CM38" s="364"/>
      <c r="CN38" s="364"/>
      <c r="CO38" s="364"/>
      <c r="CP38" s="364"/>
      <c r="CQ38" s="364"/>
      <c r="CR38" s="804"/>
      <c r="CS38" s="852"/>
      <c r="CT38" s="853"/>
      <c r="CU38" s="853"/>
      <c r="CV38" s="853"/>
      <c r="CW38" s="853"/>
      <c r="CX38" s="853"/>
      <c r="CY38" s="853"/>
      <c r="CZ38" s="853"/>
      <c r="DA38" s="853"/>
      <c r="DC38" s="853"/>
      <c r="DD38" s="853"/>
      <c r="DE38" s="853"/>
      <c r="DF38" s="853"/>
      <c r="DG38" s="853"/>
      <c r="DH38" s="853"/>
      <c r="DI38" s="853"/>
      <c r="DJ38" s="853"/>
      <c r="DK38" s="853"/>
      <c r="DM38" s="853"/>
      <c r="DN38" s="853"/>
      <c r="DO38" s="853"/>
      <c r="DP38" s="853"/>
      <c r="DQ38" s="853"/>
      <c r="DR38" s="853"/>
      <c r="DS38" s="805"/>
      <c r="DT38" s="805"/>
      <c r="DV38" s="806">
        <f t="shared" si="4"/>
        <v>0</v>
      </c>
      <c r="DW38" s="806">
        <f t="shared" si="5"/>
        <v>0</v>
      </c>
      <c r="DX38" s="794">
        <f t="shared" si="6"/>
        <v>0</v>
      </c>
    </row>
    <row r="39" spans="1:128" hidden="1">
      <c r="A39" s="198">
        <v>7051</v>
      </c>
      <c r="B39" s="2">
        <v>103626</v>
      </c>
      <c r="C39" s="2" t="s">
        <v>100</v>
      </c>
      <c r="D39" s="2" t="s">
        <v>101</v>
      </c>
      <c r="E39" s="190" t="s">
        <v>56</v>
      </c>
      <c r="F39" s="211" t="str">
        <f>VLOOKUP(A39,'Summary June 2026'!A:F,6,FALSE)</f>
        <v>Chq Bk</v>
      </c>
      <c r="G39" s="33"/>
      <c r="H39" s="825">
        <v>0</v>
      </c>
      <c r="I39" s="804"/>
      <c r="J39" s="797"/>
      <c r="K39" s="797"/>
      <c r="L39" s="797"/>
      <c r="M39" s="797"/>
      <c r="N39" s="797"/>
      <c r="O39" s="797"/>
      <c r="P39" s="797"/>
      <c r="Q39" s="797"/>
      <c r="R39" s="797"/>
      <c r="S39" s="804"/>
      <c r="T39" s="364"/>
      <c r="U39" s="364"/>
      <c r="V39" s="364"/>
      <c r="W39" s="364"/>
      <c r="X39" s="364"/>
      <c r="Y39" s="364"/>
      <c r="Z39" s="364"/>
      <c r="AA39" s="364"/>
      <c r="AB39" s="364"/>
      <c r="AC39" s="804"/>
      <c r="AD39" s="817"/>
      <c r="AE39" s="817"/>
      <c r="AF39" s="817"/>
      <c r="AG39" s="817"/>
      <c r="AH39" s="817"/>
      <c r="AI39" s="817"/>
      <c r="AJ39" s="817"/>
      <c r="AK39" s="818"/>
      <c r="AL39" s="817"/>
      <c r="AM39" s="275"/>
      <c r="AN39" s="886">
        <v>0</v>
      </c>
      <c r="AO39" s="886">
        <v>0</v>
      </c>
      <c r="AP39" s="275"/>
      <c r="AQ39" s="834"/>
      <c r="AR39" s="834"/>
      <c r="AS39" s="834"/>
      <c r="AT39" s="834"/>
      <c r="AU39" s="834"/>
      <c r="AV39" s="834"/>
      <c r="AW39" s="834"/>
      <c r="AX39" s="834"/>
      <c r="AZ39" s="835"/>
      <c r="BA39" s="835"/>
      <c r="BB39" s="835"/>
      <c r="BC39" s="835"/>
      <c r="BD39" s="835"/>
      <c r="BE39" s="835"/>
      <c r="BF39" s="835"/>
      <c r="BG39" s="835"/>
      <c r="BH39" s="814"/>
      <c r="BI39" s="834"/>
      <c r="BJ39" s="834"/>
      <c r="BK39" s="834"/>
      <c r="BL39" s="834"/>
      <c r="BM39" s="834"/>
      <c r="BN39" s="834"/>
      <c r="BO39" s="834"/>
      <c r="BP39" s="834"/>
      <c r="BQ39" s="275"/>
      <c r="BR39" s="843"/>
      <c r="BS39" s="843"/>
      <c r="BT39" s="843"/>
      <c r="BU39" s="843"/>
      <c r="BV39" s="843"/>
      <c r="BW39" s="843"/>
      <c r="BX39" s="843"/>
      <c r="BY39" s="843"/>
      <c r="BZ39" s="843"/>
      <c r="CA39" s="843"/>
      <c r="CB39" s="843"/>
      <c r="CC39" s="843"/>
      <c r="CD39" s="843"/>
      <c r="CE39" s="843"/>
      <c r="CF39" s="843"/>
      <c r="CG39" s="843"/>
      <c r="CH39" s="843"/>
      <c r="CI39" s="843"/>
      <c r="CJ39" s="844"/>
      <c r="CK39" s="364"/>
      <c r="CL39" s="364"/>
      <c r="CM39" s="364"/>
      <c r="CN39" s="364"/>
      <c r="CO39" s="364"/>
      <c r="CP39" s="364"/>
      <c r="CQ39" s="364"/>
      <c r="CR39" s="804"/>
      <c r="CS39" s="852"/>
      <c r="CT39" s="853"/>
      <c r="CU39" s="853"/>
      <c r="CV39" s="853"/>
      <c r="CW39" s="853"/>
      <c r="CX39" s="853"/>
      <c r="CY39" s="853"/>
      <c r="CZ39" s="853"/>
      <c r="DA39" s="853"/>
      <c r="DC39" s="853"/>
      <c r="DD39" s="853"/>
      <c r="DE39" s="853"/>
      <c r="DF39" s="853"/>
      <c r="DG39" s="853"/>
      <c r="DH39" s="853"/>
      <c r="DI39" s="853"/>
      <c r="DJ39" s="853"/>
      <c r="DK39" s="853"/>
      <c r="DM39" s="853"/>
      <c r="DN39" s="853"/>
      <c r="DO39" s="853"/>
      <c r="DP39" s="853"/>
      <c r="DQ39" s="853"/>
      <c r="DR39" s="853"/>
      <c r="DS39" s="805"/>
      <c r="DT39" s="805"/>
      <c r="DV39" s="806">
        <f t="shared" si="4"/>
        <v>0</v>
      </c>
      <c r="DW39" s="806">
        <f t="shared" si="5"/>
        <v>0</v>
      </c>
      <c r="DX39" s="794">
        <f t="shared" si="6"/>
        <v>0</v>
      </c>
    </row>
    <row r="40" spans="1:128" hidden="1">
      <c r="A40" s="198">
        <v>2040</v>
      </c>
      <c r="B40" s="2">
        <v>103178</v>
      </c>
      <c r="C40" s="2" t="s">
        <v>102</v>
      </c>
      <c r="D40" s="2" t="s">
        <v>103</v>
      </c>
      <c r="E40" s="190" t="s">
        <v>39</v>
      </c>
      <c r="F40" s="211" t="str">
        <f>VLOOKUP(A40,'Summary June 2026'!A:F,6,FALSE)</f>
        <v>Chq Bk</v>
      </c>
      <c r="G40" s="33"/>
      <c r="H40" s="825">
        <v>0</v>
      </c>
      <c r="I40" s="804"/>
      <c r="J40" s="797">
        <v>0</v>
      </c>
      <c r="K40" s="797">
        <v>0</v>
      </c>
      <c r="L40" s="797">
        <v>31839.600000000002</v>
      </c>
      <c r="M40" s="797">
        <v>672.75</v>
      </c>
      <c r="N40" s="797">
        <v>149.24</v>
      </c>
      <c r="O40" s="797">
        <v>87.75</v>
      </c>
      <c r="P40" s="797">
        <v>0</v>
      </c>
      <c r="Q40" s="797">
        <f t="shared" ref="Q40:Q60" si="8">SUM(J40:P40)</f>
        <v>32749.340000000004</v>
      </c>
      <c r="R40" s="797">
        <f t="shared" si="1"/>
        <v>26199.472000000005</v>
      </c>
      <c r="S40" s="804"/>
      <c r="T40" s="364">
        <v>0</v>
      </c>
      <c r="U40" s="364">
        <v>0</v>
      </c>
      <c r="V40" s="364">
        <v>25716.600000000002</v>
      </c>
      <c r="W40" s="364">
        <v>224.24999999999997</v>
      </c>
      <c r="X40" s="364">
        <v>0</v>
      </c>
      <c r="Y40" s="364">
        <v>56.55</v>
      </c>
      <c r="Z40" s="364">
        <v>0</v>
      </c>
      <c r="AA40" s="364">
        <f t="shared" si="2"/>
        <v>25997.4</v>
      </c>
      <c r="AB40" s="364">
        <f t="shared" si="3"/>
        <v>20797.920000000002</v>
      </c>
      <c r="AC40" s="804"/>
      <c r="AD40" s="817"/>
      <c r="AE40" s="817"/>
      <c r="AF40" s="817"/>
      <c r="AG40" s="817"/>
      <c r="AH40" s="817"/>
      <c r="AI40" s="817"/>
      <c r="AJ40" s="817"/>
      <c r="AK40" s="818"/>
      <c r="AL40" s="817"/>
      <c r="AM40" s="275"/>
      <c r="AN40" s="886">
        <v>1081.00988919667</v>
      </c>
      <c r="AO40" s="886">
        <v>0</v>
      </c>
      <c r="AP40" s="275"/>
      <c r="AQ40" s="834"/>
      <c r="AR40" s="834"/>
      <c r="AS40" s="834"/>
      <c r="AT40" s="834"/>
      <c r="AU40" s="834"/>
      <c r="AV40" s="834"/>
      <c r="AW40" s="834"/>
      <c r="AX40" s="834"/>
      <c r="AZ40" s="835"/>
      <c r="BA40" s="835"/>
      <c r="BB40" s="835"/>
      <c r="BC40" s="835"/>
      <c r="BD40" s="835"/>
      <c r="BE40" s="835"/>
      <c r="BF40" s="835"/>
      <c r="BG40" s="835"/>
      <c r="BH40" s="814"/>
      <c r="BI40" s="834"/>
      <c r="BJ40" s="834"/>
      <c r="BK40" s="834"/>
      <c r="BL40" s="834"/>
      <c r="BM40" s="834"/>
      <c r="BN40" s="834"/>
      <c r="BO40" s="834"/>
      <c r="BP40" s="834"/>
      <c r="BQ40" s="275"/>
      <c r="BR40" s="843"/>
      <c r="BS40" s="843"/>
      <c r="BT40" s="843"/>
      <c r="BU40" s="843"/>
      <c r="BV40" s="843"/>
      <c r="BW40" s="843"/>
      <c r="BX40" s="843"/>
      <c r="BY40" s="843"/>
      <c r="BZ40" s="843"/>
      <c r="CA40" s="843"/>
      <c r="CB40" s="843"/>
      <c r="CC40" s="843"/>
      <c r="CD40" s="843"/>
      <c r="CE40" s="843"/>
      <c r="CF40" s="843"/>
      <c r="CG40" s="843"/>
      <c r="CH40" s="843"/>
      <c r="CI40" s="843"/>
      <c r="CJ40" s="844"/>
      <c r="CK40" s="364"/>
      <c r="CL40" s="364"/>
      <c r="CM40" s="364"/>
      <c r="CN40" s="364"/>
      <c r="CO40" s="364"/>
      <c r="CP40" s="364"/>
      <c r="CQ40" s="364"/>
      <c r="CR40" s="804"/>
      <c r="CS40" s="852"/>
      <c r="CT40" s="853"/>
      <c r="CU40" s="853"/>
      <c r="CV40" s="853"/>
      <c r="CW40" s="853"/>
      <c r="CX40" s="853"/>
      <c r="CY40" s="853"/>
      <c r="CZ40" s="853"/>
      <c r="DA40" s="853"/>
      <c r="DC40" s="853"/>
      <c r="DD40" s="853"/>
      <c r="DE40" s="853"/>
      <c r="DF40" s="853"/>
      <c r="DG40" s="853"/>
      <c r="DH40" s="853"/>
      <c r="DI40" s="853"/>
      <c r="DJ40" s="853"/>
      <c r="DK40" s="853"/>
      <c r="DM40" s="853"/>
      <c r="DN40" s="853"/>
      <c r="DO40" s="853"/>
      <c r="DP40" s="853"/>
      <c r="DQ40" s="853"/>
      <c r="DR40" s="853"/>
      <c r="DS40" s="805"/>
      <c r="DT40" s="805"/>
      <c r="DV40" s="806">
        <f t="shared" si="4"/>
        <v>48078.401889196677</v>
      </c>
      <c r="DW40" s="806">
        <f t="shared" si="5"/>
        <v>0</v>
      </c>
      <c r="DX40" s="794">
        <f t="shared" si="6"/>
        <v>48078.401889196677</v>
      </c>
    </row>
    <row r="41" spans="1:128" hidden="1">
      <c r="A41" s="198">
        <v>2251</v>
      </c>
      <c r="B41" s="2">
        <v>103298</v>
      </c>
      <c r="C41" s="2" t="s">
        <v>104</v>
      </c>
      <c r="D41" s="2" t="s">
        <v>105</v>
      </c>
      <c r="E41" s="190" t="s">
        <v>39</v>
      </c>
      <c r="F41" s="211" t="str">
        <f>VLOOKUP(A41,'Summary June 2026'!A:F,6,FALSE)</f>
        <v>Chq Bk</v>
      </c>
      <c r="G41" s="33"/>
      <c r="H41" s="825">
        <v>0</v>
      </c>
      <c r="I41" s="804"/>
      <c r="J41" s="797">
        <v>0</v>
      </c>
      <c r="K41" s="797">
        <v>0</v>
      </c>
      <c r="L41" s="797">
        <v>55107</v>
      </c>
      <c r="M41" s="797">
        <v>448.49999999999994</v>
      </c>
      <c r="N41" s="797">
        <v>372.89473684210526</v>
      </c>
      <c r="O41" s="797">
        <v>15.6</v>
      </c>
      <c r="P41" s="797">
        <v>0</v>
      </c>
      <c r="Q41" s="797">
        <f t="shared" si="8"/>
        <v>55943.994736842105</v>
      </c>
      <c r="R41" s="797">
        <f t="shared" si="1"/>
        <v>44755.195789473684</v>
      </c>
      <c r="S41" s="804"/>
      <c r="T41" s="364">
        <v>0</v>
      </c>
      <c r="U41" s="364">
        <v>0</v>
      </c>
      <c r="V41" s="364">
        <v>61230</v>
      </c>
      <c r="W41" s="364">
        <v>672.75</v>
      </c>
      <c r="X41" s="364">
        <v>149.24</v>
      </c>
      <c r="Y41" s="364">
        <v>56.55</v>
      </c>
      <c r="Z41" s="364">
        <v>0</v>
      </c>
      <c r="AA41" s="364">
        <f t="shared" si="2"/>
        <v>62108.54</v>
      </c>
      <c r="AB41" s="364">
        <f t="shared" si="3"/>
        <v>49686.832000000002</v>
      </c>
      <c r="AC41" s="804"/>
      <c r="AD41" s="817"/>
      <c r="AE41" s="817"/>
      <c r="AF41" s="817"/>
      <c r="AG41" s="817"/>
      <c r="AH41" s="817"/>
      <c r="AI41" s="817"/>
      <c r="AJ41" s="817"/>
      <c r="AK41" s="818"/>
      <c r="AL41" s="817"/>
      <c r="AM41" s="275"/>
      <c r="AN41" s="886">
        <v>12273.372077562333</v>
      </c>
      <c r="AO41" s="886">
        <v>-74.832132963988926</v>
      </c>
      <c r="AP41" s="275"/>
      <c r="AQ41" s="834"/>
      <c r="AR41" s="834"/>
      <c r="AS41" s="834"/>
      <c r="AT41" s="834"/>
      <c r="AU41" s="834"/>
      <c r="AV41" s="834"/>
      <c r="AW41" s="834"/>
      <c r="AX41" s="834"/>
      <c r="AZ41" s="835"/>
      <c r="BA41" s="835"/>
      <c r="BB41" s="835"/>
      <c r="BC41" s="835"/>
      <c r="BD41" s="835"/>
      <c r="BE41" s="835"/>
      <c r="BF41" s="835"/>
      <c r="BG41" s="835"/>
      <c r="BH41" s="814"/>
      <c r="BI41" s="834"/>
      <c r="BJ41" s="834"/>
      <c r="BK41" s="834"/>
      <c r="BL41" s="834"/>
      <c r="BM41" s="834"/>
      <c r="BN41" s="834"/>
      <c r="BO41" s="834"/>
      <c r="BP41" s="834"/>
      <c r="BQ41" s="275"/>
      <c r="BR41" s="843"/>
      <c r="BS41" s="843"/>
      <c r="BT41" s="843"/>
      <c r="BU41" s="843"/>
      <c r="BV41" s="843"/>
      <c r="BW41" s="843"/>
      <c r="BX41" s="843"/>
      <c r="BY41" s="843"/>
      <c r="BZ41" s="843"/>
      <c r="CA41" s="843"/>
      <c r="CB41" s="843"/>
      <c r="CC41" s="843"/>
      <c r="CD41" s="843"/>
      <c r="CE41" s="843"/>
      <c r="CF41" s="843"/>
      <c r="CG41" s="843"/>
      <c r="CH41" s="843"/>
      <c r="CI41" s="843"/>
      <c r="CJ41" s="844"/>
      <c r="CK41" s="364"/>
      <c r="CL41" s="364"/>
      <c r="CM41" s="364"/>
      <c r="CN41" s="364"/>
      <c r="CO41" s="364"/>
      <c r="CP41" s="364"/>
      <c r="CQ41" s="364"/>
      <c r="CR41" s="804"/>
      <c r="CS41" s="852"/>
      <c r="CT41" s="853"/>
      <c r="CU41" s="853"/>
      <c r="CV41" s="853"/>
      <c r="CW41" s="853"/>
      <c r="CX41" s="853"/>
      <c r="CY41" s="853"/>
      <c r="CZ41" s="853"/>
      <c r="DA41" s="853"/>
      <c r="DC41" s="853"/>
      <c r="DD41" s="853"/>
      <c r="DE41" s="853"/>
      <c r="DF41" s="853"/>
      <c r="DG41" s="853"/>
      <c r="DH41" s="853"/>
      <c r="DI41" s="853"/>
      <c r="DJ41" s="853"/>
      <c r="DK41" s="853"/>
      <c r="DM41" s="853"/>
      <c r="DN41" s="853"/>
      <c r="DO41" s="853"/>
      <c r="DP41" s="853"/>
      <c r="DQ41" s="853"/>
      <c r="DR41" s="853"/>
      <c r="DS41" s="805"/>
      <c r="DT41" s="805"/>
      <c r="DV41" s="806">
        <f t="shared" si="4"/>
        <v>106715.39986703605</v>
      </c>
      <c r="DW41" s="806">
        <f t="shared" si="5"/>
        <v>-74.832132963988926</v>
      </c>
      <c r="DX41" s="794">
        <f t="shared" si="6"/>
        <v>106640.56773407206</v>
      </c>
    </row>
    <row r="42" spans="1:128" hidden="1">
      <c r="A42" s="198">
        <v>3002</v>
      </c>
      <c r="B42" s="2">
        <v>103397</v>
      </c>
      <c r="C42" s="2" t="s">
        <v>106</v>
      </c>
      <c r="D42" s="2" t="s">
        <v>107</v>
      </c>
      <c r="E42" s="190" t="s">
        <v>39</v>
      </c>
      <c r="F42" s="211" t="str">
        <f>VLOOKUP(A42,'Summary June 2026'!A:F,6,FALSE)</f>
        <v>Chq Bk</v>
      </c>
      <c r="G42" s="33"/>
      <c r="H42" s="825">
        <v>0</v>
      </c>
      <c r="I42" s="804"/>
      <c r="J42" s="797">
        <v>0</v>
      </c>
      <c r="K42" s="797">
        <v>0</v>
      </c>
      <c r="L42" s="797">
        <v>19593.600000000002</v>
      </c>
      <c r="M42" s="797">
        <v>2018.2499999999998</v>
      </c>
      <c r="N42" s="797">
        <v>671.58</v>
      </c>
      <c r="O42" s="797">
        <v>1515.1499999999999</v>
      </c>
      <c r="P42" s="797">
        <v>0</v>
      </c>
      <c r="Q42" s="797">
        <f t="shared" si="8"/>
        <v>23798.580000000005</v>
      </c>
      <c r="R42" s="797">
        <f t="shared" si="1"/>
        <v>19038.864000000005</v>
      </c>
      <c r="S42" s="804"/>
      <c r="T42" s="364">
        <v>0</v>
      </c>
      <c r="U42" s="364">
        <v>0</v>
      </c>
      <c r="V42" s="364">
        <v>11021.4</v>
      </c>
      <c r="W42" s="364">
        <v>448.49999999999994</v>
      </c>
      <c r="X42" s="364">
        <v>149.24</v>
      </c>
      <c r="Y42" s="364">
        <v>1070.55</v>
      </c>
      <c r="Z42" s="364">
        <v>0</v>
      </c>
      <c r="AA42" s="364">
        <f t="shared" si="2"/>
        <v>12689.689999999999</v>
      </c>
      <c r="AB42" s="364">
        <f t="shared" si="3"/>
        <v>10151.752</v>
      </c>
      <c r="AC42" s="804"/>
      <c r="AD42" s="817"/>
      <c r="AE42" s="817"/>
      <c r="AF42" s="817"/>
      <c r="AG42" s="817"/>
      <c r="AH42" s="817"/>
      <c r="AI42" s="817"/>
      <c r="AJ42" s="817"/>
      <c r="AK42" s="818"/>
      <c r="AL42" s="817"/>
      <c r="AM42" s="275"/>
      <c r="AN42" s="886">
        <v>-7863.5967922437658</v>
      </c>
      <c r="AO42" s="886">
        <v>0</v>
      </c>
      <c r="AP42" s="275"/>
      <c r="AQ42" s="834"/>
      <c r="AR42" s="834"/>
      <c r="AS42" s="834"/>
      <c r="AT42" s="834"/>
      <c r="AU42" s="834"/>
      <c r="AV42" s="834"/>
      <c r="AW42" s="834"/>
      <c r="AX42" s="834"/>
      <c r="AZ42" s="835"/>
      <c r="BA42" s="835"/>
      <c r="BB42" s="835"/>
      <c r="BC42" s="835"/>
      <c r="BD42" s="835"/>
      <c r="BE42" s="835"/>
      <c r="BF42" s="835"/>
      <c r="BG42" s="835"/>
      <c r="BH42" s="814"/>
      <c r="BI42" s="834"/>
      <c r="BJ42" s="834"/>
      <c r="BK42" s="834"/>
      <c r="BL42" s="834"/>
      <c r="BM42" s="834"/>
      <c r="BN42" s="834"/>
      <c r="BO42" s="834"/>
      <c r="BP42" s="834"/>
      <c r="BQ42" s="275"/>
      <c r="BR42" s="843"/>
      <c r="BS42" s="843"/>
      <c r="BT42" s="843"/>
      <c r="BU42" s="843"/>
      <c r="BV42" s="843"/>
      <c r="BW42" s="843"/>
      <c r="BX42" s="843"/>
      <c r="BY42" s="843"/>
      <c r="BZ42" s="843"/>
      <c r="CA42" s="843"/>
      <c r="CB42" s="843"/>
      <c r="CC42" s="843"/>
      <c r="CD42" s="843"/>
      <c r="CE42" s="843"/>
      <c r="CF42" s="843"/>
      <c r="CG42" s="843"/>
      <c r="CH42" s="843"/>
      <c r="CI42" s="843"/>
      <c r="CJ42" s="844"/>
      <c r="CK42" s="364"/>
      <c r="CL42" s="364"/>
      <c r="CM42" s="364"/>
      <c r="CN42" s="364"/>
      <c r="CO42" s="364"/>
      <c r="CP42" s="364"/>
      <c r="CQ42" s="364"/>
      <c r="CR42" s="804"/>
      <c r="CS42" s="852"/>
      <c r="CT42" s="853"/>
      <c r="CU42" s="853"/>
      <c r="CV42" s="853"/>
      <c r="CW42" s="853"/>
      <c r="CX42" s="853"/>
      <c r="CY42" s="853"/>
      <c r="CZ42" s="853"/>
      <c r="DA42" s="853"/>
      <c r="DC42" s="853"/>
      <c r="DD42" s="853"/>
      <c r="DE42" s="853"/>
      <c r="DF42" s="853"/>
      <c r="DG42" s="853"/>
      <c r="DH42" s="853"/>
      <c r="DI42" s="853"/>
      <c r="DJ42" s="853"/>
      <c r="DK42" s="853"/>
      <c r="DM42" s="853"/>
      <c r="DN42" s="853"/>
      <c r="DO42" s="853"/>
      <c r="DP42" s="853"/>
      <c r="DQ42" s="853"/>
      <c r="DR42" s="853"/>
      <c r="DS42" s="805"/>
      <c r="DT42" s="805"/>
      <c r="DV42" s="806">
        <f t="shared" si="4"/>
        <v>21327.019207756239</v>
      </c>
      <c r="DW42" s="806">
        <f t="shared" si="5"/>
        <v>0</v>
      </c>
      <c r="DX42" s="794">
        <f t="shared" si="6"/>
        <v>21327.019207756239</v>
      </c>
    </row>
    <row r="43" spans="1:128" hidden="1">
      <c r="A43" s="198">
        <v>3319</v>
      </c>
      <c r="B43" s="2">
        <v>103423</v>
      </c>
      <c r="C43" s="2" t="s">
        <v>108</v>
      </c>
      <c r="D43" s="2" t="s">
        <v>109</v>
      </c>
      <c r="E43" s="190" t="s">
        <v>39</v>
      </c>
      <c r="F43" s="211" t="str">
        <f>VLOOKUP(A43,'Summary June 2026'!A:F,6,FALSE)</f>
        <v>Chq Bk</v>
      </c>
      <c r="G43" s="33"/>
      <c r="H43" s="825">
        <v>0</v>
      </c>
      <c r="I43" s="804"/>
      <c r="J43" s="797">
        <v>0</v>
      </c>
      <c r="K43" s="797">
        <v>0</v>
      </c>
      <c r="L43" s="797">
        <v>55107</v>
      </c>
      <c r="M43" s="797">
        <v>4485</v>
      </c>
      <c r="N43" s="797">
        <v>2051.5368421052635</v>
      </c>
      <c r="O43" s="797">
        <v>2646.1499999999996</v>
      </c>
      <c r="P43" s="797">
        <v>0</v>
      </c>
      <c r="Q43" s="797">
        <f t="shared" si="8"/>
        <v>64289.686842105264</v>
      </c>
      <c r="R43" s="797">
        <f t="shared" si="1"/>
        <v>51431.749473684213</v>
      </c>
      <c r="S43" s="804"/>
      <c r="T43" s="364">
        <v>0</v>
      </c>
      <c r="U43" s="364">
        <v>0</v>
      </c>
      <c r="V43" s="364">
        <v>17144.400000000001</v>
      </c>
      <c r="W43" s="364">
        <v>1569.7499999999998</v>
      </c>
      <c r="X43" s="364">
        <v>0</v>
      </c>
      <c r="Y43" s="364">
        <v>1255.7999999999997</v>
      </c>
      <c r="Z43" s="364">
        <v>0</v>
      </c>
      <c r="AA43" s="364">
        <f t="shared" si="2"/>
        <v>19969.95</v>
      </c>
      <c r="AB43" s="364">
        <f t="shared" si="3"/>
        <v>15975.960000000001</v>
      </c>
      <c r="AC43" s="804"/>
      <c r="AD43" s="817"/>
      <c r="AE43" s="817"/>
      <c r="AF43" s="817"/>
      <c r="AG43" s="817"/>
      <c r="AH43" s="817"/>
      <c r="AI43" s="817"/>
      <c r="AJ43" s="817"/>
      <c r="AK43" s="818"/>
      <c r="AL43" s="817"/>
      <c r="AM43" s="275"/>
      <c r="AN43" s="886">
        <v>10919.003822714678</v>
      </c>
      <c r="AO43" s="886">
        <v>0</v>
      </c>
      <c r="AP43" s="275"/>
      <c r="AQ43" s="834"/>
      <c r="AR43" s="834"/>
      <c r="AS43" s="834"/>
      <c r="AT43" s="834"/>
      <c r="AU43" s="834"/>
      <c r="AV43" s="834"/>
      <c r="AW43" s="834"/>
      <c r="AX43" s="834"/>
      <c r="AZ43" s="835"/>
      <c r="BA43" s="835"/>
      <c r="BB43" s="835"/>
      <c r="BC43" s="835"/>
      <c r="BD43" s="835"/>
      <c r="BE43" s="835"/>
      <c r="BF43" s="835"/>
      <c r="BG43" s="835"/>
      <c r="BH43" s="814"/>
      <c r="BI43" s="834"/>
      <c r="BJ43" s="834"/>
      <c r="BK43" s="834"/>
      <c r="BL43" s="834"/>
      <c r="BM43" s="834"/>
      <c r="BN43" s="834"/>
      <c r="BO43" s="834"/>
      <c r="BP43" s="834"/>
      <c r="BQ43" s="275"/>
      <c r="BR43" s="843"/>
      <c r="BS43" s="843"/>
      <c r="BT43" s="843"/>
      <c r="BU43" s="843"/>
      <c r="BV43" s="843"/>
      <c r="BW43" s="843"/>
      <c r="BX43" s="843"/>
      <c r="BY43" s="843"/>
      <c r="BZ43" s="843"/>
      <c r="CA43" s="843"/>
      <c r="CB43" s="843"/>
      <c r="CC43" s="843"/>
      <c r="CD43" s="843"/>
      <c r="CE43" s="843"/>
      <c r="CF43" s="843"/>
      <c r="CG43" s="843"/>
      <c r="CH43" s="843"/>
      <c r="CI43" s="843"/>
      <c r="CJ43" s="844"/>
      <c r="CK43" s="364"/>
      <c r="CL43" s="364"/>
      <c r="CM43" s="364"/>
      <c r="CN43" s="364"/>
      <c r="CO43" s="364"/>
      <c r="CP43" s="364"/>
      <c r="CQ43" s="364"/>
      <c r="CR43" s="804"/>
      <c r="CS43" s="852"/>
      <c r="CT43" s="853"/>
      <c r="CU43" s="853"/>
      <c r="CV43" s="853"/>
      <c r="CW43" s="853"/>
      <c r="CX43" s="853"/>
      <c r="CY43" s="853"/>
      <c r="CZ43" s="853"/>
      <c r="DA43" s="853"/>
      <c r="DC43" s="853"/>
      <c r="DD43" s="853"/>
      <c r="DE43" s="853"/>
      <c r="DF43" s="853"/>
      <c r="DG43" s="853"/>
      <c r="DH43" s="853"/>
      <c r="DI43" s="853"/>
      <c r="DJ43" s="853"/>
      <c r="DK43" s="853"/>
      <c r="DM43" s="853"/>
      <c r="DN43" s="853"/>
      <c r="DO43" s="853"/>
      <c r="DP43" s="853"/>
      <c r="DQ43" s="853"/>
      <c r="DR43" s="853"/>
      <c r="DS43" s="805"/>
      <c r="DT43" s="805"/>
      <c r="DV43" s="806">
        <f t="shared" si="4"/>
        <v>78326.713296398884</v>
      </c>
      <c r="DW43" s="806">
        <f t="shared" si="5"/>
        <v>0</v>
      </c>
      <c r="DX43" s="794">
        <f t="shared" si="6"/>
        <v>78326.713296398884</v>
      </c>
    </row>
    <row r="44" spans="1:128" hidden="1">
      <c r="A44" s="198">
        <v>1100</v>
      </c>
      <c r="B44" s="2">
        <v>103146</v>
      </c>
      <c r="C44" s="2" t="s">
        <v>110</v>
      </c>
      <c r="D44" s="2" t="s">
        <v>111</v>
      </c>
      <c r="E44" s="190" t="s">
        <v>112</v>
      </c>
      <c r="F44" s="211" t="str">
        <f>VLOOKUP(A44,'Summary June 2026'!A:F,6,FALSE)</f>
        <v>Chq Bk</v>
      </c>
      <c r="G44" s="33"/>
      <c r="H44" s="825">
        <v>0</v>
      </c>
      <c r="I44" s="804"/>
      <c r="J44" s="797">
        <v>0</v>
      </c>
      <c r="K44" s="797">
        <v>0</v>
      </c>
      <c r="L44" s="797">
        <v>0</v>
      </c>
      <c r="M44" s="797">
        <v>0</v>
      </c>
      <c r="N44" s="797">
        <v>0</v>
      </c>
      <c r="O44" s="797">
        <v>0</v>
      </c>
      <c r="P44" s="797">
        <v>0</v>
      </c>
      <c r="Q44" s="797">
        <f t="shared" si="8"/>
        <v>0</v>
      </c>
      <c r="R44" s="797">
        <f t="shared" si="1"/>
        <v>0</v>
      </c>
      <c r="S44" s="804"/>
      <c r="T44" s="364">
        <v>0</v>
      </c>
      <c r="U44" s="364">
        <v>0</v>
      </c>
      <c r="V44" s="364">
        <v>0</v>
      </c>
      <c r="W44" s="364">
        <v>0</v>
      </c>
      <c r="X44" s="364">
        <v>0</v>
      </c>
      <c r="Y44" s="364">
        <v>0</v>
      </c>
      <c r="Z44" s="364">
        <v>0</v>
      </c>
      <c r="AA44" s="364">
        <f t="shared" si="2"/>
        <v>0</v>
      </c>
      <c r="AB44" s="364">
        <f t="shared" si="3"/>
        <v>0</v>
      </c>
      <c r="AC44" s="804"/>
      <c r="AD44" s="817"/>
      <c r="AE44" s="817"/>
      <c r="AF44" s="817"/>
      <c r="AG44" s="817"/>
      <c r="AH44" s="817"/>
      <c r="AI44" s="817"/>
      <c r="AJ44" s="817"/>
      <c r="AK44" s="818"/>
      <c r="AL44" s="817"/>
      <c r="AM44" s="275"/>
      <c r="AN44" s="886">
        <v>0</v>
      </c>
      <c r="AO44" s="886">
        <v>0</v>
      </c>
      <c r="AP44" s="275"/>
      <c r="AQ44" s="834"/>
      <c r="AR44" s="834"/>
      <c r="AS44" s="834"/>
      <c r="AT44" s="834"/>
      <c r="AU44" s="834"/>
      <c r="AV44" s="834"/>
      <c r="AW44" s="834"/>
      <c r="AX44" s="834"/>
      <c r="AZ44" s="835"/>
      <c r="BA44" s="835"/>
      <c r="BB44" s="835"/>
      <c r="BC44" s="835"/>
      <c r="BD44" s="835"/>
      <c r="BE44" s="835"/>
      <c r="BF44" s="835"/>
      <c r="BG44" s="835"/>
      <c r="BH44" s="814"/>
      <c r="BI44" s="834"/>
      <c r="BJ44" s="834"/>
      <c r="BK44" s="834"/>
      <c r="BL44" s="834"/>
      <c r="BM44" s="834"/>
      <c r="BN44" s="834"/>
      <c r="BO44" s="834"/>
      <c r="BP44" s="834"/>
      <c r="BQ44" s="275"/>
      <c r="BR44" s="843"/>
      <c r="BS44" s="843"/>
      <c r="BT44" s="843"/>
      <c r="BU44" s="843"/>
      <c r="BV44" s="843"/>
      <c r="BW44" s="843"/>
      <c r="BX44" s="843"/>
      <c r="BY44" s="843"/>
      <c r="BZ44" s="843"/>
      <c r="CA44" s="843"/>
      <c r="CB44" s="843"/>
      <c r="CC44" s="843"/>
      <c r="CD44" s="843"/>
      <c r="CE44" s="843"/>
      <c r="CF44" s="843"/>
      <c r="CG44" s="843"/>
      <c r="CH44" s="843"/>
      <c r="CI44" s="843"/>
      <c r="CJ44" s="844"/>
      <c r="CK44" s="364"/>
      <c r="CL44" s="364"/>
      <c r="CM44" s="364"/>
      <c r="CN44" s="364"/>
      <c r="CO44" s="364"/>
      <c r="CP44" s="364"/>
      <c r="CQ44" s="364"/>
      <c r="CR44" s="804"/>
      <c r="CS44" s="852"/>
      <c r="CT44" s="853"/>
      <c r="CU44" s="853"/>
      <c r="CV44" s="853"/>
      <c r="CW44" s="853"/>
      <c r="CX44" s="853"/>
      <c r="CY44" s="853"/>
      <c r="CZ44" s="853"/>
      <c r="DA44" s="853"/>
      <c r="DC44" s="853"/>
      <c r="DD44" s="853"/>
      <c r="DE44" s="853"/>
      <c r="DF44" s="853"/>
      <c r="DG44" s="853"/>
      <c r="DH44" s="853"/>
      <c r="DI44" s="853"/>
      <c r="DJ44" s="853"/>
      <c r="DK44" s="853"/>
      <c r="DM44" s="853"/>
      <c r="DN44" s="853"/>
      <c r="DO44" s="853"/>
      <c r="DP44" s="853"/>
      <c r="DQ44" s="853"/>
      <c r="DR44" s="853"/>
      <c r="DS44" s="805"/>
      <c r="DT44" s="805"/>
      <c r="DV44" s="806">
        <f t="shared" si="4"/>
        <v>0</v>
      </c>
      <c r="DW44" s="806">
        <f t="shared" si="5"/>
        <v>0</v>
      </c>
      <c r="DX44" s="794">
        <f t="shared" si="6"/>
        <v>0</v>
      </c>
    </row>
    <row r="45" spans="1:128" hidden="1">
      <c r="A45" s="198">
        <v>3432</v>
      </c>
      <c r="B45" s="2">
        <v>134840</v>
      </c>
      <c r="C45" s="2" t="s">
        <v>113</v>
      </c>
      <c r="D45" s="2" t="s">
        <v>114</v>
      </c>
      <c r="E45" s="190" t="s">
        <v>39</v>
      </c>
      <c r="F45" s="211" t="str">
        <f>VLOOKUP(A45,'Summary June 2026'!A:F,6,FALSE)</f>
        <v>Chq Bk</v>
      </c>
      <c r="G45" s="33"/>
      <c r="H45" s="825">
        <v>0</v>
      </c>
      <c r="I45" s="804"/>
      <c r="J45" s="797">
        <v>0</v>
      </c>
      <c r="K45" s="797">
        <v>0</v>
      </c>
      <c r="L45" s="797">
        <v>116149.22800000002</v>
      </c>
      <c r="M45" s="797">
        <v>7175.9999999999991</v>
      </c>
      <c r="N45" s="797">
        <v>0</v>
      </c>
      <c r="O45" s="797">
        <v>6800.3389999999999</v>
      </c>
      <c r="P45" s="797">
        <v>0</v>
      </c>
      <c r="Q45" s="797">
        <f t="shared" si="8"/>
        <v>130125.56700000001</v>
      </c>
      <c r="R45" s="797">
        <f t="shared" si="1"/>
        <v>104100.45360000001</v>
      </c>
      <c r="S45" s="804"/>
      <c r="T45" s="364">
        <v>0</v>
      </c>
      <c r="U45" s="364">
        <v>0</v>
      </c>
      <c r="V45" s="364">
        <v>58886.931999999993</v>
      </c>
      <c r="W45" s="364">
        <v>2466.75</v>
      </c>
      <c r="X45" s="364">
        <v>410.30736842105262</v>
      </c>
      <c r="Y45" s="364">
        <v>3694.3009999999999</v>
      </c>
      <c r="Z45" s="364">
        <v>0</v>
      </c>
      <c r="AA45" s="364">
        <f t="shared" si="2"/>
        <v>65458.290368421047</v>
      </c>
      <c r="AB45" s="364">
        <f t="shared" si="3"/>
        <v>52366.632294736839</v>
      </c>
      <c r="AC45" s="804"/>
      <c r="AD45" s="817"/>
      <c r="AE45" s="817"/>
      <c r="AF45" s="817"/>
      <c r="AG45" s="817"/>
      <c r="AH45" s="817"/>
      <c r="AI45" s="817"/>
      <c r="AJ45" s="817"/>
      <c r="AK45" s="818"/>
      <c r="AL45" s="817"/>
      <c r="AM45" s="275"/>
      <c r="AN45" s="886">
        <v>-9342.3619529085699</v>
      </c>
      <c r="AO45" s="886">
        <v>-3430</v>
      </c>
      <c r="AP45" s="275"/>
      <c r="AQ45" s="834"/>
      <c r="AR45" s="834"/>
      <c r="AS45" s="834"/>
      <c r="AT45" s="834"/>
      <c r="AU45" s="834"/>
      <c r="AV45" s="834"/>
      <c r="AW45" s="834"/>
      <c r="AX45" s="834"/>
      <c r="AZ45" s="835"/>
      <c r="BA45" s="835"/>
      <c r="BB45" s="835"/>
      <c r="BC45" s="835"/>
      <c r="BD45" s="835"/>
      <c r="BE45" s="835"/>
      <c r="BF45" s="835"/>
      <c r="BG45" s="835"/>
      <c r="BH45" s="814"/>
      <c r="BI45" s="834"/>
      <c r="BJ45" s="834"/>
      <c r="BK45" s="834"/>
      <c r="BL45" s="834"/>
      <c r="BM45" s="834"/>
      <c r="BN45" s="834"/>
      <c r="BO45" s="834"/>
      <c r="BP45" s="834"/>
      <c r="BQ45" s="275"/>
      <c r="BR45" s="843"/>
      <c r="BS45" s="843"/>
      <c r="BT45" s="843"/>
      <c r="BU45" s="843"/>
      <c r="BV45" s="843"/>
      <c r="BW45" s="843"/>
      <c r="BX45" s="843"/>
      <c r="BY45" s="843"/>
      <c r="BZ45" s="843"/>
      <c r="CA45" s="843"/>
      <c r="CB45" s="843"/>
      <c r="CC45" s="843"/>
      <c r="CD45" s="843"/>
      <c r="CE45" s="843"/>
      <c r="CF45" s="843"/>
      <c r="CG45" s="843"/>
      <c r="CH45" s="843"/>
      <c r="CI45" s="843"/>
      <c r="CJ45" s="844"/>
      <c r="CK45" s="364"/>
      <c r="CL45" s="364"/>
      <c r="CM45" s="364"/>
      <c r="CN45" s="364"/>
      <c r="CO45" s="364"/>
      <c r="CP45" s="364"/>
      <c r="CQ45" s="364"/>
      <c r="CR45" s="804"/>
      <c r="CS45" s="852"/>
      <c r="CT45" s="853"/>
      <c r="CU45" s="853"/>
      <c r="CV45" s="853"/>
      <c r="CW45" s="853"/>
      <c r="CX45" s="853"/>
      <c r="CY45" s="853"/>
      <c r="CZ45" s="853"/>
      <c r="DA45" s="853"/>
      <c r="DC45" s="853"/>
      <c r="DD45" s="853"/>
      <c r="DE45" s="853"/>
      <c r="DF45" s="853"/>
      <c r="DG45" s="853"/>
      <c r="DH45" s="853"/>
      <c r="DI45" s="853"/>
      <c r="DJ45" s="853"/>
      <c r="DK45" s="853"/>
      <c r="DM45" s="853"/>
      <c r="DN45" s="853"/>
      <c r="DO45" s="853"/>
      <c r="DP45" s="853"/>
      <c r="DQ45" s="853"/>
      <c r="DR45" s="853"/>
      <c r="DS45" s="805"/>
      <c r="DT45" s="805"/>
      <c r="DV45" s="806">
        <f t="shared" si="4"/>
        <v>147124.7239418283</v>
      </c>
      <c r="DW45" s="806">
        <f t="shared" si="5"/>
        <v>-3430</v>
      </c>
      <c r="DX45" s="794">
        <f t="shared" si="6"/>
        <v>143694.7239418283</v>
      </c>
    </row>
    <row r="46" spans="1:128" hidden="1">
      <c r="A46" s="198">
        <v>2289</v>
      </c>
      <c r="B46" s="2">
        <v>103315</v>
      </c>
      <c r="C46" s="2" t="s">
        <v>115</v>
      </c>
      <c r="D46" s="2" t="s">
        <v>116</v>
      </c>
      <c r="E46" s="190" t="s">
        <v>39</v>
      </c>
      <c r="F46" s="211" t="str">
        <f>VLOOKUP(A46,'Summary June 2026'!A:F,6,FALSE)</f>
        <v>Chq Bk</v>
      </c>
      <c r="G46" s="33"/>
      <c r="H46" s="825">
        <v>0</v>
      </c>
      <c r="I46" s="804"/>
      <c r="J46" s="797">
        <v>0</v>
      </c>
      <c r="K46" s="797">
        <v>0</v>
      </c>
      <c r="L46" s="797">
        <v>0</v>
      </c>
      <c r="M46" s="797">
        <v>0</v>
      </c>
      <c r="N46" s="797">
        <v>0</v>
      </c>
      <c r="O46" s="797">
        <v>0</v>
      </c>
      <c r="P46" s="797">
        <v>0</v>
      </c>
      <c r="Q46" s="797">
        <f t="shared" si="8"/>
        <v>0</v>
      </c>
      <c r="R46" s="797">
        <f t="shared" si="1"/>
        <v>0</v>
      </c>
      <c r="S46" s="804"/>
      <c r="T46" s="364">
        <v>0</v>
      </c>
      <c r="U46" s="364">
        <v>0</v>
      </c>
      <c r="V46" s="364">
        <v>0</v>
      </c>
      <c r="W46" s="364">
        <v>0</v>
      </c>
      <c r="X46" s="364">
        <v>0</v>
      </c>
      <c r="Y46" s="364">
        <v>0</v>
      </c>
      <c r="Z46" s="364">
        <v>0</v>
      </c>
      <c r="AA46" s="364">
        <f t="shared" si="2"/>
        <v>0</v>
      </c>
      <c r="AB46" s="364">
        <f t="shared" si="3"/>
        <v>0</v>
      </c>
      <c r="AC46" s="804"/>
      <c r="AD46" s="817"/>
      <c r="AE46" s="817"/>
      <c r="AF46" s="817"/>
      <c r="AG46" s="817"/>
      <c r="AH46" s="817"/>
      <c r="AI46" s="817"/>
      <c r="AJ46" s="817"/>
      <c r="AK46" s="818"/>
      <c r="AL46" s="817"/>
      <c r="AM46" s="275"/>
      <c r="AN46" s="886">
        <v>0</v>
      </c>
      <c r="AO46" s="886">
        <v>0</v>
      </c>
      <c r="AP46" s="275"/>
      <c r="AQ46" s="834"/>
      <c r="AR46" s="834"/>
      <c r="AS46" s="834"/>
      <c r="AT46" s="834"/>
      <c r="AU46" s="834"/>
      <c r="AV46" s="834"/>
      <c r="AW46" s="834"/>
      <c r="AX46" s="834"/>
      <c r="AZ46" s="835"/>
      <c r="BA46" s="835"/>
      <c r="BB46" s="835"/>
      <c r="BC46" s="835"/>
      <c r="BD46" s="835"/>
      <c r="BE46" s="835"/>
      <c r="BF46" s="835"/>
      <c r="BG46" s="835"/>
      <c r="BH46" s="814"/>
      <c r="BI46" s="834"/>
      <c r="BJ46" s="834"/>
      <c r="BK46" s="834"/>
      <c r="BL46" s="834"/>
      <c r="BM46" s="834"/>
      <c r="BN46" s="834"/>
      <c r="BO46" s="834"/>
      <c r="BP46" s="834"/>
      <c r="BQ46" s="275"/>
      <c r="BR46" s="843"/>
      <c r="BS46" s="843"/>
      <c r="BT46" s="843"/>
      <c r="BU46" s="843"/>
      <c r="BV46" s="843"/>
      <c r="BW46" s="843"/>
      <c r="BX46" s="843"/>
      <c r="BY46" s="843"/>
      <c r="BZ46" s="843"/>
      <c r="CA46" s="843"/>
      <c r="CB46" s="843"/>
      <c r="CC46" s="843"/>
      <c r="CD46" s="843"/>
      <c r="CE46" s="843"/>
      <c r="CF46" s="843"/>
      <c r="CG46" s="843"/>
      <c r="CH46" s="843"/>
      <c r="CI46" s="843"/>
      <c r="CJ46" s="844"/>
      <c r="CK46" s="364"/>
      <c r="CL46" s="364"/>
      <c r="CM46" s="364"/>
      <c r="CN46" s="364"/>
      <c r="CO46" s="364"/>
      <c r="CP46" s="364"/>
      <c r="CQ46" s="364"/>
      <c r="CR46" s="804"/>
      <c r="CS46" s="852"/>
      <c r="CT46" s="853"/>
      <c r="CU46" s="853"/>
      <c r="CV46" s="853"/>
      <c r="CW46" s="853"/>
      <c r="CX46" s="853"/>
      <c r="CY46" s="853"/>
      <c r="CZ46" s="853"/>
      <c r="DA46" s="853"/>
      <c r="DC46" s="853"/>
      <c r="DD46" s="853"/>
      <c r="DE46" s="853"/>
      <c r="DF46" s="853"/>
      <c r="DG46" s="853"/>
      <c r="DH46" s="853"/>
      <c r="DI46" s="853"/>
      <c r="DJ46" s="853"/>
      <c r="DK46" s="853"/>
      <c r="DM46" s="853"/>
      <c r="DN46" s="853"/>
      <c r="DO46" s="853"/>
      <c r="DP46" s="853"/>
      <c r="DQ46" s="853"/>
      <c r="DR46" s="853"/>
      <c r="DS46" s="805"/>
      <c r="DT46" s="805"/>
      <c r="DV46" s="806">
        <f t="shared" si="4"/>
        <v>0</v>
      </c>
      <c r="DW46" s="806">
        <f t="shared" si="5"/>
        <v>0</v>
      </c>
      <c r="DX46" s="794">
        <f t="shared" si="6"/>
        <v>0</v>
      </c>
    </row>
    <row r="47" spans="1:128" hidden="1">
      <c r="A47" s="198">
        <v>2185</v>
      </c>
      <c r="B47" s="2">
        <v>103263</v>
      </c>
      <c r="C47" s="2" t="s">
        <v>117</v>
      </c>
      <c r="D47" s="2" t="s">
        <v>118</v>
      </c>
      <c r="E47" s="190" t="s">
        <v>39</v>
      </c>
      <c r="F47" s="211" t="str">
        <f>VLOOKUP(A47,'Summary June 2026'!A:F,6,FALSE)</f>
        <v>Chq Bk</v>
      </c>
      <c r="G47" s="33"/>
      <c r="H47" s="825">
        <v>0</v>
      </c>
      <c r="I47" s="804"/>
      <c r="J47" s="797">
        <v>0</v>
      </c>
      <c r="K47" s="797">
        <v>0</v>
      </c>
      <c r="L47" s="797">
        <v>51433.2</v>
      </c>
      <c r="M47" s="797">
        <v>2242.5</v>
      </c>
      <c r="N47" s="797">
        <v>186.44736842105263</v>
      </c>
      <c r="O47" s="797">
        <v>72.149999999999991</v>
      </c>
      <c r="P47" s="797">
        <v>0</v>
      </c>
      <c r="Q47" s="797">
        <f t="shared" si="8"/>
        <v>53934.297368421052</v>
      </c>
      <c r="R47" s="797">
        <f t="shared" si="1"/>
        <v>43147.437894736846</v>
      </c>
      <c r="S47" s="804"/>
      <c r="T47" s="364">
        <v>0</v>
      </c>
      <c r="U47" s="364">
        <v>0</v>
      </c>
      <c r="V47" s="364">
        <v>61230</v>
      </c>
      <c r="W47" s="364">
        <v>672.75</v>
      </c>
      <c r="X47" s="364">
        <v>74.62</v>
      </c>
      <c r="Y47" s="364">
        <v>113.1</v>
      </c>
      <c r="Z47" s="364">
        <v>0</v>
      </c>
      <c r="AA47" s="364">
        <f t="shared" si="2"/>
        <v>62090.47</v>
      </c>
      <c r="AB47" s="364">
        <f t="shared" si="3"/>
        <v>49672.376000000004</v>
      </c>
      <c r="AC47" s="804"/>
      <c r="AD47" s="817"/>
      <c r="AE47" s="817"/>
      <c r="AF47" s="817"/>
      <c r="AG47" s="817"/>
      <c r="AH47" s="817"/>
      <c r="AI47" s="817"/>
      <c r="AJ47" s="817"/>
      <c r="AK47" s="818"/>
      <c r="AL47" s="817"/>
      <c r="AM47" s="275"/>
      <c r="AN47" s="886">
        <v>9419.2136842105228</v>
      </c>
      <c r="AO47" s="886">
        <v>0</v>
      </c>
      <c r="AP47" s="275"/>
      <c r="AQ47" s="834"/>
      <c r="AR47" s="834"/>
      <c r="AS47" s="834"/>
      <c r="AT47" s="834"/>
      <c r="AU47" s="834"/>
      <c r="AV47" s="834"/>
      <c r="AW47" s="834"/>
      <c r="AX47" s="834"/>
      <c r="AZ47" s="835"/>
      <c r="BA47" s="835"/>
      <c r="BB47" s="835"/>
      <c r="BC47" s="835"/>
      <c r="BD47" s="835"/>
      <c r="BE47" s="835"/>
      <c r="BF47" s="835"/>
      <c r="BG47" s="835"/>
      <c r="BH47" s="814"/>
      <c r="BI47" s="834"/>
      <c r="BJ47" s="834"/>
      <c r="BK47" s="834"/>
      <c r="BL47" s="834"/>
      <c r="BM47" s="834"/>
      <c r="BN47" s="834"/>
      <c r="BO47" s="834"/>
      <c r="BP47" s="834"/>
      <c r="BQ47" s="275"/>
      <c r="BR47" s="843"/>
      <c r="BS47" s="843"/>
      <c r="BT47" s="843"/>
      <c r="BU47" s="843"/>
      <c r="BV47" s="843"/>
      <c r="BW47" s="843"/>
      <c r="BX47" s="843"/>
      <c r="BY47" s="843"/>
      <c r="BZ47" s="843"/>
      <c r="CA47" s="843"/>
      <c r="CB47" s="843"/>
      <c r="CC47" s="843"/>
      <c r="CD47" s="843"/>
      <c r="CE47" s="843"/>
      <c r="CF47" s="843"/>
      <c r="CG47" s="843"/>
      <c r="CH47" s="843"/>
      <c r="CI47" s="843"/>
      <c r="CJ47" s="844"/>
      <c r="CK47" s="364"/>
      <c r="CL47" s="364"/>
      <c r="CM47" s="364"/>
      <c r="CN47" s="364"/>
      <c r="CO47" s="364"/>
      <c r="CP47" s="364"/>
      <c r="CQ47" s="364"/>
      <c r="CR47" s="804"/>
      <c r="CS47" s="852"/>
      <c r="CT47" s="853"/>
      <c r="CU47" s="853"/>
      <c r="CV47" s="853"/>
      <c r="CW47" s="853"/>
      <c r="CX47" s="853"/>
      <c r="CY47" s="853"/>
      <c r="CZ47" s="853"/>
      <c r="DA47" s="853"/>
      <c r="DC47" s="853"/>
      <c r="DD47" s="853"/>
      <c r="DE47" s="853"/>
      <c r="DF47" s="853"/>
      <c r="DG47" s="853"/>
      <c r="DH47" s="853"/>
      <c r="DI47" s="853"/>
      <c r="DJ47" s="853"/>
      <c r="DK47" s="853"/>
      <c r="DM47" s="853"/>
      <c r="DN47" s="853"/>
      <c r="DO47" s="853"/>
      <c r="DP47" s="853"/>
      <c r="DQ47" s="853"/>
      <c r="DR47" s="853"/>
      <c r="DS47" s="805"/>
      <c r="DT47" s="805"/>
      <c r="DV47" s="806">
        <f t="shared" si="4"/>
        <v>102239.02757894737</v>
      </c>
      <c r="DW47" s="806">
        <f t="shared" si="5"/>
        <v>0</v>
      </c>
      <c r="DX47" s="794">
        <f t="shared" si="6"/>
        <v>102239.02757894737</v>
      </c>
    </row>
    <row r="48" spans="1:128" hidden="1">
      <c r="A48" s="198">
        <v>5416</v>
      </c>
      <c r="B48" s="2">
        <v>103563</v>
      </c>
      <c r="C48" s="2" t="s">
        <v>119</v>
      </c>
      <c r="D48" s="2" t="s">
        <v>120</v>
      </c>
      <c r="E48" s="190" t="s">
        <v>71</v>
      </c>
      <c r="F48" s="211" t="str">
        <f>VLOOKUP(A48,'Summary June 2026'!A:F,6,FALSE)</f>
        <v>Chq Bk</v>
      </c>
      <c r="G48" s="33"/>
      <c r="H48" s="825">
        <v>0</v>
      </c>
      <c r="I48" s="804"/>
      <c r="J48" s="797">
        <v>0</v>
      </c>
      <c r="K48" s="797">
        <v>0</v>
      </c>
      <c r="L48" s="797">
        <v>0</v>
      </c>
      <c r="M48" s="797">
        <v>0</v>
      </c>
      <c r="N48" s="797">
        <v>0</v>
      </c>
      <c r="O48" s="797">
        <v>0</v>
      </c>
      <c r="P48" s="797">
        <v>0</v>
      </c>
      <c r="Q48" s="797">
        <f t="shared" si="8"/>
        <v>0</v>
      </c>
      <c r="R48" s="797">
        <f t="shared" si="1"/>
        <v>0</v>
      </c>
      <c r="S48" s="804"/>
      <c r="T48" s="364">
        <v>0</v>
      </c>
      <c r="U48" s="364">
        <v>0</v>
      </c>
      <c r="V48" s="364">
        <v>0</v>
      </c>
      <c r="W48" s="364">
        <v>0</v>
      </c>
      <c r="X48" s="364">
        <v>0</v>
      </c>
      <c r="Y48" s="364">
        <v>0</v>
      </c>
      <c r="Z48" s="364">
        <v>0</v>
      </c>
      <c r="AA48" s="364">
        <f t="shared" si="2"/>
        <v>0</v>
      </c>
      <c r="AB48" s="364">
        <f t="shared" si="3"/>
        <v>0</v>
      </c>
      <c r="AC48" s="804"/>
      <c r="AD48" s="817"/>
      <c r="AE48" s="817"/>
      <c r="AF48" s="817"/>
      <c r="AG48" s="817"/>
      <c r="AH48" s="817"/>
      <c r="AI48" s="817"/>
      <c r="AJ48" s="817"/>
      <c r="AK48" s="818"/>
      <c r="AL48" s="817"/>
      <c r="AM48" s="275"/>
      <c r="AN48" s="886">
        <v>0</v>
      </c>
      <c r="AO48" s="886">
        <v>0</v>
      </c>
      <c r="AP48" s="275"/>
      <c r="AQ48" s="834"/>
      <c r="AR48" s="834"/>
      <c r="AS48" s="834"/>
      <c r="AT48" s="834"/>
      <c r="AU48" s="834"/>
      <c r="AV48" s="834"/>
      <c r="AW48" s="834"/>
      <c r="AX48" s="834"/>
      <c r="AZ48" s="835"/>
      <c r="BA48" s="835"/>
      <c r="BB48" s="835"/>
      <c r="BC48" s="835"/>
      <c r="BD48" s="835"/>
      <c r="BE48" s="835"/>
      <c r="BF48" s="835"/>
      <c r="BG48" s="835"/>
      <c r="BH48" s="814"/>
      <c r="BI48" s="834"/>
      <c r="BJ48" s="834"/>
      <c r="BK48" s="834"/>
      <c r="BL48" s="834"/>
      <c r="BM48" s="834"/>
      <c r="BN48" s="834"/>
      <c r="BO48" s="834"/>
      <c r="BP48" s="834"/>
      <c r="BQ48" s="275"/>
      <c r="BR48" s="843"/>
      <c r="BS48" s="843"/>
      <c r="BT48" s="843"/>
      <c r="BU48" s="843"/>
      <c r="BV48" s="843"/>
      <c r="BW48" s="843"/>
      <c r="BX48" s="843"/>
      <c r="BY48" s="843"/>
      <c r="BZ48" s="843"/>
      <c r="CA48" s="843"/>
      <c r="CB48" s="843"/>
      <c r="CC48" s="843"/>
      <c r="CD48" s="843"/>
      <c r="CE48" s="843"/>
      <c r="CF48" s="843"/>
      <c r="CG48" s="843"/>
      <c r="CH48" s="843"/>
      <c r="CI48" s="843"/>
      <c r="CJ48" s="844"/>
      <c r="CK48" s="364"/>
      <c r="CL48" s="364"/>
      <c r="CM48" s="364"/>
      <c r="CN48" s="364"/>
      <c r="CO48" s="364"/>
      <c r="CP48" s="364"/>
      <c r="CQ48" s="364"/>
      <c r="CR48" s="804"/>
      <c r="CS48" s="852"/>
      <c r="CT48" s="853"/>
      <c r="CU48" s="853"/>
      <c r="CV48" s="853"/>
      <c r="CW48" s="853"/>
      <c r="CX48" s="853"/>
      <c r="CY48" s="853"/>
      <c r="CZ48" s="853"/>
      <c r="DA48" s="853"/>
      <c r="DC48" s="853"/>
      <c r="DD48" s="853"/>
      <c r="DE48" s="853"/>
      <c r="DF48" s="853"/>
      <c r="DG48" s="853"/>
      <c r="DH48" s="853"/>
      <c r="DI48" s="853"/>
      <c r="DJ48" s="853"/>
      <c r="DK48" s="853"/>
      <c r="DM48" s="853"/>
      <c r="DN48" s="853"/>
      <c r="DO48" s="853"/>
      <c r="DP48" s="853"/>
      <c r="DQ48" s="853"/>
      <c r="DR48" s="853"/>
      <c r="DS48" s="805"/>
      <c r="DT48" s="805"/>
      <c r="DV48" s="806">
        <f t="shared" si="4"/>
        <v>0</v>
      </c>
      <c r="DW48" s="806">
        <f t="shared" si="5"/>
        <v>0</v>
      </c>
      <c r="DX48" s="794">
        <f t="shared" si="6"/>
        <v>0</v>
      </c>
    </row>
    <row r="49" spans="1:128" hidden="1">
      <c r="A49" s="198">
        <v>2054</v>
      </c>
      <c r="B49" s="2">
        <v>103189</v>
      </c>
      <c r="C49" s="2" t="s">
        <v>121</v>
      </c>
      <c r="D49" s="2" t="s">
        <v>122</v>
      </c>
      <c r="E49" s="190" t="s">
        <v>39</v>
      </c>
      <c r="F49" s="211" t="str">
        <f>VLOOKUP(A49,'Summary June 2026'!A:F,6,FALSE)</f>
        <v>Chq Bk</v>
      </c>
      <c r="G49" s="33"/>
      <c r="H49" s="825">
        <v>0</v>
      </c>
      <c r="I49" s="804"/>
      <c r="J49" s="797">
        <v>0</v>
      </c>
      <c r="K49" s="797">
        <v>0</v>
      </c>
      <c r="L49" s="797">
        <v>61230</v>
      </c>
      <c r="M49" s="797">
        <v>1793.9999999999998</v>
      </c>
      <c r="N49" s="797">
        <v>261.06736842105261</v>
      </c>
      <c r="O49" s="797">
        <v>1127.1000000000001</v>
      </c>
      <c r="P49" s="797">
        <v>0</v>
      </c>
      <c r="Q49" s="797">
        <f t="shared" si="8"/>
        <v>64412.167368421055</v>
      </c>
      <c r="R49" s="797">
        <f t="shared" si="1"/>
        <v>51529.733894736848</v>
      </c>
      <c r="S49" s="804"/>
      <c r="T49" s="364">
        <v>0</v>
      </c>
      <c r="U49" s="364">
        <v>0</v>
      </c>
      <c r="V49" s="364">
        <v>58780.800000000003</v>
      </c>
      <c r="W49" s="364">
        <v>1569.7499999999998</v>
      </c>
      <c r="X49" s="364">
        <v>634.16736842105263</v>
      </c>
      <c r="Y49" s="364">
        <v>698.09999999999991</v>
      </c>
      <c r="Z49" s="364">
        <v>975</v>
      </c>
      <c r="AA49" s="364">
        <f t="shared" si="2"/>
        <v>62657.817368421056</v>
      </c>
      <c r="AB49" s="364">
        <f t="shared" si="3"/>
        <v>50126.253894736845</v>
      </c>
      <c r="AC49" s="804"/>
      <c r="AD49" s="817"/>
      <c r="AE49" s="817"/>
      <c r="AF49" s="817"/>
      <c r="AG49" s="817"/>
      <c r="AH49" s="817"/>
      <c r="AI49" s="817"/>
      <c r="AJ49" s="817"/>
      <c r="AK49" s="818"/>
      <c r="AL49" s="817"/>
      <c r="AM49" s="275"/>
      <c r="AN49" s="886">
        <v>4973.3118282548521</v>
      </c>
      <c r="AO49" s="886">
        <v>-74.832132963988926</v>
      </c>
      <c r="AP49" s="275"/>
      <c r="AQ49" s="834"/>
      <c r="AR49" s="834"/>
      <c r="AS49" s="834"/>
      <c r="AT49" s="834"/>
      <c r="AU49" s="834"/>
      <c r="AV49" s="834"/>
      <c r="AW49" s="834"/>
      <c r="AX49" s="834"/>
      <c r="AZ49" s="835"/>
      <c r="BA49" s="835"/>
      <c r="BB49" s="835"/>
      <c r="BC49" s="835"/>
      <c r="BD49" s="835"/>
      <c r="BE49" s="835"/>
      <c r="BF49" s="835"/>
      <c r="BG49" s="835"/>
      <c r="BH49" s="814"/>
      <c r="BI49" s="834"/>
      <c r="BJ49" s="834"/>
      <c r="BK49" s="834"/>
      <c r="BL49" s="834"/>
      <c r="BM49" s="834"/>
      <c r="BN49" s="834"/>
      <c r="BO49" s="834"/>
      <c r="BP49" s="834"/>
      <c r="BQ49" s="275"/>
      <c r="BR49" s="843"/>
      <c r="BS49" s="843"/>
      <c r="BT49" s="843"/>
      <c r="BU49" s="843"/>
      <c r="BV49" s="843"/>
      <c r="BW49" s="843"/>
      <c r="BX49" s="843"/>
      <c r="BY49" s="843"/>
      <c r="BZ49" s="843"/>
      <c r="CA49" s="843"/>
      <c r="CB49" s="843"/>
      <c r="CC49" s="843"/>
      <c r="CD49" s="843"/>
      <c r="CE49" s="843"/>
      <c r="CF49" s="843"/>
      <c r="CG49" s="843"/>
      <c r="CH49" s="843"/>
      <c r="CI49" s="843"/>
      <c r="CJ49" s="844"/>
      <c r="CK49" s="364"/>
      <c r="CL49" s="364"/>
      <c r="CM49" s="364"/>
      <c r="CN49" s="364"/>
      <c r="CO49" s="364"/>
      <c r="CP49" s="364"/>
      <c r="CQ49" s="364"/>
      <c r="CR49" s="804"/>
      <c r="CS49" s="852"/>
      <c r="CT49" s="853"/>
      <c r="CU49" s="853"/>
      <c r="CV49" s="853"/>
      <c r="CW49" s="853"/>
      <c r="CX49" s="853"/>
      <c r="CY49" s="853"/>
      <c r="CZ49" s="853"/>
      <c r="DA49" s="853"/>
      <c r="DC49" s="853"/>
      <c r="DD49" s="853"/>
      <c r="DE49" s="853"/>
      <c r="DF49" s="853"/>
      <c r="DG49" s="853"/>
      <c r="DH49" s="853"/>
      <c r="DI49" s="853"/>
      <c r="DJ49" s="853"/>
      <c r="DK49" s="853"/>
      <c r="DM49" s="853"/>
      <c r="DN49" s="853"/>
      <c r="DO49" s="853"/>
      <c r="DP49" s="853"/>
      <c r="DQ49" s="853"/>
      <c r="DR49" s="853"/>
      <c r="DS49" s="805"/>
      <c r="DT49" s="805"/>
      <c r="DV49" s="806">
        <f t="shared" si="4"/>
        <v>105849.29961772855</v>
      </c>
      <c r="DW49" s="806">
        <f t="shared" si="5"/>
        <v>705.1678670360111</v>
      </c>
      <c r="DX49" s="794">
        <f t="shared" si="6"/>
        <v>106554.46748476457</v>
      </c>
    </row>
    <row r="50" spans="1:128" hidden="1">
      <c r="A50" s="198">
        <v>2053</v>
      </c>
      <c r="B50" s="2">
        <v>103188</v>
      </c>
      <c r="C50" s="2" t="s">
        <v>123</v>
      </c>
      <c r="D50" s="2" t="s">
        <v>124</v>
      </c>
      <c r="E50" s="190" t="s">
        <v>39</v>
      </c>
      <c r="F50" s="211" t="str">
        <f>VLOOKUP(A50,'Summary June 2026'!A:F,6,FALSE)</f>
        <v>Chq Bk</v>
      </c>
      <c r="G50" s="33"/>
      <c r="H50" s="825">
        <v>0</v>
      </c>
      <c r="I50" s="804"/>
      <c r="J50" s="797">
        <v>0</v>
      </c>
      <c r="K50" s="797">
        <v>0</v>
      </c>
      <c r="L50" s="797">
        <v>0</v>
      </c>
      <c r="M50" s="797">
        <v>0</v>
      </c>
      <c r="N50" s="797">
        <v>0</v>
      </c>
      <c r="O50" s="797">
        <v>0</v>
      </c>
      <c r="P50" s="797">
        <v>0</v>
      </c>
      <c r="Q50" s="797">
        <f t="shared" si="8"/>
        <v>0</v>
      </c>
      <c r="R50" s="797">
        <f t="shared" si="1"/>
        <v>0</v>
      </c>
      <c r="S50" s="804"/>
      <c r="T50" s="364">
        <v>0</v>
      </c>
      <c r="U50" s="364">
        <v>0</v>
      </c>
      <c r="V50" s="364">
        <v>0</v>
      </c>
      <c r="W50" s="364">
        <v>0</v>
      </c>
      <c r="X50" s="364">
        <v>0</v>
      </c>
      <c r="Y50" s="364">
        <v>0</v>
      </c>
      <c r="Z50" s="364">
        <v>0</v>
      </c>
      <c r="AA50" s="364">
        <f t="shared" si="2"/>
        <v>0</v>
      </c>
      <c r="AB50" s="364">
        <f t="shared" si="3"/>
        <v>0</v>
      </c>
      <c r="AC50" s="804"/>
      <c r="AD50" s="817"/>
      <c r="AE50" s="817"/>
      <c r="AF50" s="817"/>
      <c r="AG50" s="817"/>
      <c r="AH50" s="817"/>
      <c r="AI50" s="817"/>
      <c r="AJ50" s="817"/>
      <c r="AK50" s="818"/>
      <c r="AL50" s="817"/>
      <c r="AM50" s="275"/>
      <c r="AN50" s="886">
        <v>0</v>
      </c>
      <c r="AO50" s="886">
        <v>0</v>
      </c>
      <c r="AP50" s="275"/>
      <c r="AQ50" s="834"/>
      <c r="AR50" s="834"/>
      <c r="AS50" s="834"/>
      <c r="AT50" s="834"/>
      <c r="AU50" s="834"/>
      <c r="AV50" s="834"/>
      <c r="AW50" s="834"/>
      <c r="AX50" s="834"/>
      <c r="AZ50" s="835"/>
      <c r="BA50" s="835"/>
      <c r="BB50" s="835"/>
      <c r="BC50" s="835"/>
      <c r="BD50" s="835"/>
      <c r="BE50" s="835"/>
      <c r="BF50" s="835"/>
      <c r="BG50" s="835"/>
      <c r="BH50" s="814"/>
      <c r="BI50" s="834"/>
      <c r="BJ50" s="834"/>
      <c r="BK50" s="834"/>
      <c r="BL50" s="834"/>
      <c r="BM50" s="834"/>
      <c r="BN50" s="834"/>
      <c r="BO50" s="834"/>
      <c r="BP50" s="834"/>
      <c r="BQ50" s="275"/>
      <c r="BR50" s="843"/>
      <c r="BS50" s="843"/>
      <c r="BT50" s="843"/>
      <c r="BU50" s="843"/>
      <c r="BV50" s="843"/>
      <c r="BW50" s="843"/>
      <c r="BX50" s="843"/>
      <c r="BY50" s="843"/>
      <c r="BZ50" s="843"/>
      <c r="CA50" s="843"/>
      <c r="CB50" s="843"/>
      <c r="CC50" s="843"/>
      <c r="CD50" s="843"/>
      <c r="CE50" s="843"/>
      <c r="CF50" s="843"/>
      <c r="CG50" s="843"/>
      <c r="CH50" s="843"/>
      <c r="CI50" s="843"/>
      <c r="CJ50" s="844"/>
      <c r="CK50" s="364"/>
      <c r="CL50" s="364"/>
      <c r="CM50" s="364"/>
      <c r="CN50" s="364"/>
      <c r="CO50" s="364"/>
      <c r="CP50" s="364"/>
      <c r="CQ50" s="364"/>
      <c r="CR50" s="804"/>
      <c r="CS50" s="852"/>
      <c r="CT50" s="853"/>
      <c r="CU50" s="853"/>
      <c r="CV50" s="853"/>
      <c r="CW50" s="853"/>
      <c r="CX50" s="853"/>
      <c r="CY50" s="853"/>
      <c r="CZ50" s="853"/>
      <c r="DA50" s="853"/>
      <c r="DC50" s="853"/>
      <c r="DD50" s="853"/>
      <c r="DE50" s="853"/>
      <c r="DF50" s="853"/>
      <c r="DG50" s="853"/>
      <c r="DH50" s="853"/>
      <c r="DI50" s="853"/>
      <c r="DJ50" s="853"/>
      <c r="DK50" s="853"/>
      <c r="DM50" s="853"/>
      <c r="DN50" s="853"/>
      <c r="DO50" s="853"/>
      <c r="DP50" s="853"/>
      <c r="DQ50" s="853"/>
      <c r="DR50" s="853"/>
      <c r="DS50" s="805"/>
      <c r="DT50" s="805"/>
      <c r="DV50" s="806">
        <f t="shared" si="4"/>
        <v>0</v>
      </c>
      <c r="DW50" s="806">
        <f t="shared" si="5"/>
        <v>0</v>
      </c>
      <c r="DX50" s="794">
        <f t="shared" si="6"/>
        <v>0</v>
      </c>
    </row>
    <row r="51" spans="1:128" hidden="1">
      <c r="A51" s="198">
        <v>2464</v>
      </c>
      <c r="B51" s="2">
        <v>103390</v>
      </c>
      <c r="C51" s="2" t="s">
        <v>125</v>
      </c>
      <c r="D51" s="2" t="s">
        <v>126</v>
      </c>
      <c r="E51" s="190" t="s">
        <v>39</v>
      </c>
      <c r="F51" s="211" t="str">
        <f>VLOOKUP(A51,'Summary June 2026'!A:F,6,FALSE)</f>
        <v>Chq Bk</v>
      </c>
      <c r="G51" s="33"/>
      <c r="H51" s="825">
        <v>0</v>
      </c>
      <c r="I51" s="804"/>
      <c r="J51" s="797">
        <v>0</v>
      </c>
      <c r="K51" s="797">
        <v>0</v>
      </c>
      <c r="L51" s="797">
        <v>0</v>
      </c>
      <c r="M51" s="797">
        <v>0</v>
      </c>
      <c r="N51" s="797">
        <v>0</v>
      </c>
      <c r="O51" s="797">
        <v>0</v>
      </c>
      <c r="P51" s="797">
        <v>0</v>
      </c>
      <c r="Q51" s="797">
        <f t="shared" si="8"/>
        <v>0</v>
      </c>
      <c r="R51" s="797">
        <f t="shared" si="1"/>
        <v>0</v>
      </c>
      <c r="S51" s="804"/>
      <c r="T51" s="364">
        <v>0</v>
      </c>
      <c r="U51" s="364">
        <v>0</v>
      </c>
      <c r="V51" s="364">
        <v>0</v>
      </c>
      <c r="W51" s="364">
        <v>0</v>
      </c>
      <c r="X51" s="364">
        <v>0</v>
      </c>
      <c r="Y51" s="364">
        <v>0</v>
      </c>
      <c r="Z51" s="364">
        <v>0</v>
      </c>
      <c r="AA51" s="364">
        <f t="shared" si="2"/>
        <v>0</v>
      </c>
      <c r="AB51" s="364">
        <f t="shared" si="3"/>
        <v>0</v>
      </c>
      <c r="AC51" s="804"/>
      <c r="AD51" s="817"/>
      <c r="AE51" s="817"/>
      <c r="AF51" s="817"/>
      <c r="AG51" s="817"/>
      <c r="AH51" s="817"/>
      <c r="AI51" s="817"/>
      <c r="AJ51" s="817"/>
      <c r="AK51" s="818"/>
      <c r="AL51" s="817"/>
      <c r="AM51" s="275"/>
      <c r="AN51" s="886">
        <v>0</v>
      </c>
      <c r="AO51" s="886">
        <v>0</v>
      </c>
      <c r="AP51" s="275"/>
      <c r="AQ51" s="834"/>
      <c r="AR51" s="834"/>
      <c r="AS51" s="834"/>
      <c r="AT51" s="834"/>
      <c r="AU51" s="834"/>
      <c r="AV51" s="834"/>
      <c r="AW51" s="834"/>
      <c r="AX51" s="834"/>
      <c r="AZ51" s="835"/>
      <c r="BA51" s="835"/>
      <c r="BB51" s="835"/>
      <c r="BC51" s="835"/>
      <c r="BD51" s="835"/>
      <c r="BE51" s="835"/>
      <c r="BF51" s="835"/>
      <c r="BG51" s="835"/>
      <c r="BH51" s="814"/>
      <c r="BI51" s="834"/>
      <c r="BJ51" s="834"/>
      <c r="BK51" s="834"/>
      <c r="BL51" s="834"/>
      <c r="BM51" s="834"/>
      <c r="BN51" s="834"/>
      <c r="BO51" s="834"/>
      <c r="BP51" s="834"/>
      <c r="BQ51" s="275"/>
      <c r="BR51" s="843"/>
      <c r="BS51" s="843"/>
      <c r="BT51" s="843"/>
      <c r="BU51" s="843"/>
      <c r="BV51" s="843"/>
      <c r="BW51" s="843"/>
      <c r="BX51" s="843"/>
      <c r="BY51" s="843"/>
      <c r="BZ51" s="843"/>
      <c r="CA51" s="843"/>
      <c r="CB51" s="843"/>
      <c r="CC51" s="843"/>
      <c r="CD51" s="843"/>
      <c r="CE51" s="843"/>
      <c r="CF51" s="843"/>
      <c r="CG51" s="843"/>
      <c r="CH51" s="843"/>
      <c r="CI51" s="843"/>
      <c r="CJ51" s="844"/>
      <c r="CK51" s="364"/>
      <c r="CL51" s="364"/>
      <c r="CM51" s="364"/>
      <c r="CN51" s="364"/>
      <c r="CO51" s="364"/>
      <c r="CP51" s="364"/>
      <c r="CQ51" s="364"/>
      <c r="CR51" s="804"/>
      <c r="CS51" s="852"/>
      <c r="CT51" s="853"/>
      <c r="CU51" s="853"/>
      <c r="CV51" s="853"/>
      <c r="CW51" s="853"/>
      <c r="CX51" s="853"/>
      <c r="CY51" s="853"/>
      <c r="CZ51" s="853"/>
      <c r="DA51" s="853"/>
      <c r="DC51" s="853"/>
      <c r="DD51" s="853"/>
      <c r="DE51" s="853"/>
      <c r="DF51" s="853"/>
      <c r="DG51" s="853"/>
      <c r="DH51" s="853"/>
      <c r="DI51" s="853"/>
      <c r="DJ51" s="853"/>
      <c r="DK51" s="853"/>
      <c r="DM51" s="853"/>
      <c r="DN51" s="853"/>
      <c r="DO51" s="853"/>
      <c r="DP51" s="853"/>
      <c r="DQ51" s="853"/>
      <c r="DR51" s="853"/>
      <c r="DS51" s="805"/>
      <c r="DT51" s="805"/>
      <c r="DV51" s="806">
        <f t="shared" si="4"/>
        <v>0</v>
      </c>
      <c r="DW51" s="806">
        <f t="shared" si="5"/>
        <v>0</v>
      </c>
      <c r="DX51" s="794">
        <f t="shared" si="6"/>
        <v>0</v>
      </c>
    </row>
    <row r="52" spans="1:128" hidden="1">
      <c r="A52" s="198">
        <v>3320</v>
      </c>
      <c r="B52" s="2">
        <v>103424</v>
      </c>
      <c r="C52" s="2" t="s">
        <v>127</v>
      </c>
      <c r="D52" s="2" t="s">
        <v>128</v>
      </c>
      <c r="E52" s="190" t="s">
        <v>39</v>
      </c>
      <c r="F52" s="211" t="str">
        <f>VLOOKUP(A52,'Summary June 2026'!A:F,6,FALSE)</f>
        <v>Chq Bk</v>
      </c>
      <c r="G52" s="33"/>
      <c r="H52" s="825">
        <v>0</v>
      </c>
      <c r="I52" s="804"/>
      <c r="J52" s="797">
        <v>0</v>
      </c>
      <c r="K52" s="797">
        <v>0</v>
      </c>
      <c r="L52" s="797">
        <v>0</v>
      </c>
      <c r="M52" s="797">
        <v>0</v>
      </c>
      <c r="N52" s="797">
        <v>0</v>
      </c>
      <c r="O52" s="797">
        <v>0</v>
      </c>
      <c r="P52" s="797">
        <v>0</v>
      </c>
      <c r="Q52" s="797">
        <f t="shared" si="8"/>
        <v>0</v>
      </c>
      <c r="R52" s="797">
        <f t="shared" si="1"/>
        <v>0</v>
      </c>
      <c r="S52" s="804"/>
      <c r="T52" s="364">
        <v>0</v>
      </c>
      <c r="U52" s="364">
        <v>0</v>
      </c>
      <c r="V52" s="364">
        <v>0</v>
      </c>
      <c r="W52" s="364">
        <v>0</v>
      </c>
      <c r="X52" s="364">
        <v>0</v>
      </c>
      <c r="Y52" s="364">
        <v>0</v>
      </c>
      <c r="Z52" s="364">
        <v>0</v>
      </c>
      <c r="AA52" s="364">
        <f t="shared" si="2"/>
        <v>0</v>
      </c>
      <c r="AB52" s="364">
        <f t="shared" si="3"/>
        <v>0</v>
      </c>
      <c r="AC52" s="804"/>
      <c r="AD52" s="817"/>
      <c r="AE52" s="817"/>
      <c r="AF52" s="817"/>
      <c r="AG52" s="817"/>
      <c r="AH52" s="817"/>
      <c r="AI52" s="817"/>
      <c r="AJ52" s="817"/>
      <c r="AK52" s="818"/>
      <c r="AL52" s="817"/>
      <c r="AM52" s="275"/>
      <c r="AN52" s="886">
        <v>0</v>
      </c>
      <c r="AO52" s="886">
        <v>0</v>
      </c>
      <c r="AP52" s="275"/>
      <c r="AQ52" s="834"/>
      <c r="AR52" s="834"/>
      <c r="AS52" s="834"/>
      <c r="AT52" s="834"/>
      <c r="AU52" s="834"/>
      <c r="AV52" s="834"/>
      <c r="AW52" s="834"/>
      <c r="AX52" s="834"/>
      <c r="AZ52" s="835"/>
      <c r="BA52" s="835"/>
      <c r="BB52" s="835"/>
      <c r="BC52" s="835"/>
      <c r="BD52" s="835"/>
      <c r="BE52" s="835"/>
      <c r="BF52" s="835"/>
      <c r="BG52" s="835"/>
      <c r="BH52" s="814"/>
      <c r="BI52" s="834"/>
      <c r="BJ52" s="834"/>
      <c r="BK52" s="834"/>
      <c r="BL52" s="834"/>
      <c r="BM52" s="834"/>
      <c r="BN52" s="834"/>
      <c r="BO52" s="834"/>
      <c r="BP52" s="834"/>
      <c r="BQ52" s="275"/>
      <c r="BR52" s="843"/>
      <c r="BS52" s="843"/>
      <c r="BT52" s="843"/>
      <c r="BU52" s="843"/>
      <c r="BV52" s="843"/>
      <c r="BW52" s="843"/>
      <c r="BX52" s="843"/>
      <c r="BY52" s="843"/>
      <c r="BZ52" s="843"/>
      <c r="CA52" s="843"/>
      <c r="CB52" s="843"/>
      <c r="CC52" s="843"/>
      <c r="CD52" s="843"/>
      <c r="CE52" s="843"/>
      <c r="CF52" s="843"/>
      <c r="CG52" s="843"/>
      <c r="CH52" s="843"/>
      <c r="CI52" s="843"/>
      <c r="CJ52" s="844"/>
      <c r="CK52" s="364"/>
      <c r="CL52" s="364"/>
      <c r="CM52" s="364"/>
      <c r="CN52" s="364"/>
      <c r="CO52" s="364"/>
      <c r="CP52" s="364"/>
      <c r="CQ52" s="364"/>
      <c r="CR52" s="804"/>
      <c r="CS52" s="852"/>
      <c r="CT52" s="853"/>
      <c r="CU52" s="853"/>
      <c r="CV52" s="853"/>
      <c r="CW52" s="853"/>
      <c r="CX52" s="853"/>
      <c r="CY52" s="853"/>
      <c r="CZ52" s="853"/>
      <c r="DA52" s="853"/>
      <c r="DC52" s="853"/>
      <c r="DD52" s="853"/>
      <c r="DE52" s="853"/>
      <c r="DF52" s="853"/>
      <c r="DG52" s="853"/>
      <c r="DH52" s="853"/>
      <c r="DI52" s="853"/>
      <c r="DJ52" s="853"/>
      <c r="DK52" s="853"/>
      <c r="DM52" s="853"/>
      <c r="DN52" s="853"/>
      <c r="DO52" s="853"/>
      <c r="DP52" s="853"/>
      <c r="DQ52" s="853"/>
      <c r="DR52" s="853"/>
      <c r="DS52" s="805"/>
      <c r="DT52" s="805"/>
      <c r="DV52" s="806">
        <f t="shared" si="4"/>
        <v>0</v>
      </c>
      <c r="DW52" s="806">
        <f t="shared" si="5"/>
        <v>0</v>
      </c>
      <c r="DX52" s="794">
        <f t="shared" si="6"/>
        <v>0</v>
      </c>
    </row>
    <row r="53" spans="1:128" hidden="1">
      <c r="A53" s="198">
        <v>2055</v>
      </c>
      <c r="B53" s="2">
        <v>103190</v>
      </c>
      <c r="C53" s="2" t="s">
        <v>129</v>
      </c>
      <c r="D53" s="2" t="s">
        <v>130</v>
      </c>
      <c r="E53" s="190" t="s">
        <v>39</v>
      </c>
      <c r="F53" s="211" t="str">
        <f>VLOOKUP(A53,'Summary June 2026'!A:F,6,FALSE)</f>
        <v>Chq Bk</v>
      </c>
      <c r="G53" s="33"/>
      <c r="H53" s="825">
        <v>0</v>
      </c>
      <c r="I53" s="804"/>
      <c r="J53" s="797">
        <v>0</v>
      </c>
      <c r="K53" s="797">
        <v>0</v>
      </c>
      <c r="L53" s="797">
        <v>60005.399999999994</v>
      </c>
      <c r="M53" s="797">
        <v>448.49999999999994</v>
      </c>
      <c r="N53" s="797">
        <v>0</v>
      </c>
      <c r="O53" s="797">
        <v>547.95000000000005</v>
      </c>
      <c r="P53" s="797">
        <v>0</v>
      </c>
      <c r="Q53" s="797">
        <f t="shared" si="8"/>
        <v>61001.849999999991</v>
      </c>
      <c r="R53" s="797">
        <f t="shared" si="1"/>
        <v>48801.479999999996</v>
      </c>
      <c r="S53" s="804"/>
      <c r="T53" s="364">
        <v>0</v>
      </c>
      <c r="U53" s="364">
        <v>0</v>
      </c>
      <c r="V53" s="364">
        <v>52657.8</v>
      </c>
      <c r="W53" s="364">
        <v>1345.5</v>
      </c>
      <c r="X53" s="364">
        <v>0</v>
      </c>
      <c r="Y53" s="364">
        <v>466.04999999999995</v>
      </c>
      <c r="Z53" s="364">
        <v>0</v>
      </c>
      <c r="AA53" s="364">
        <f t="shared" si="2"/>
        <v>54469.350000000006</v>
      </c>
      <c r="AB53" s="364">
        <f t="shared" si="3"/>
        <v>43575.48000000001</v>
      </c>
      <c r="AC53" s="804"/>
      <c r="AD53" s="817"/>
      <c r="AE53" s="817"/>
      <c r="AF53" s="817"/>
      <c r="AG53" s="817"/>
      <c r="AH53" s="817"/>
      <c r="AI53" s="817"/>
      <c r="AJ53" s="817"/>
      <c r="AK53" s="818"/>
      <c r="AL53" s="817"/>
      <c r="AM53" s="275"/>
      <c r="AN53" s="886">
        <v>11799.112842105258</v>
      </c>
      <c r="AO53" s="886">
        <v>0</v>
      </c>
      <c r="AP53" s="275"/>
      <c r="AQ53" s="834"/>
      <c r="AR53" s="834"/>
      <c r="AS53" s="834"/>
      <c r="AT53" s="834"/>
      <c r="AU53" s="834"/>
      <c r="AV53" s="834"/>
      <c r="AW53" s="834"/>
      <c r="AX53" s="834"/>
      <c r="AZ53" s="835"/>
      <c r="BA53" s="835"/>
      <c r="BB53" s="835"/>
      <c r="BC53" s="835"/>
      <c r="BD53" s="835"/>
      <c r="BE53" s="835"/>
      <c r="BF53" s="835"/>
      <c r="BG53" s="835"/>
      <c r="BH53" s="814"/>
      <c r="BI53" s="834"/>
      <c r="BJ53" s="834"/>
      <c r="BK53" s="834"/>
      <c r="BL53" s="834"/>
      <c r="BM53" s="834"/>
      <c r="BN53" s="834"/>
      <c r="BO53" s="834"/>
      <c r="BP53" s="834"/>
      <c r="BQ53" s="275"/>
      <c r="BR53" s="843"/>
      <c r="BS53" s="843"/>
      <c r="BT53" s="843"/>
      <c r="BU53" s="843"/>
      <c r="BV53" s="843"/>
      <c r="BW53" s="843"/>
      <c r="BX53" s="843"/>
      <c r="BY53" s="843"/>
      <c r="BZ53" s="843"/>
      <c r="CA53" s="843"/>
      <c r="CB53" s="843"/>
      <c r="CC53" s="843"/>
      <c r="CD53" s="843"/>
      <c r="CE53" s="843"/>
      <c r="CF53" s="843"/>
      <c r="CG53" s="843"/>
      <c r="CH53" s="843"/>
      <c r="CI53" s="843"/>
      <c r="CJ53" s="844"/>
      <c r="CK53" s="364"/>
      <c r="CL53" s="364"/>
      <c r="CM53" s="364"/>
      <c r="CN53" s="364"/>
      <c r="CO53" s="364"/>
      <c r="CP53" s="364"/>
      <c r="CQ53" s="364"/>
      <c r="CR53" s="804"/>
      <c r="CS53" s="852"/>
      <c r="CT53" s="853"/>
      <c r="CU53" s="853"/>
      <c r="CV53" s="853"/>
      <c r="CW53" s="853"/>
      <c r="CX53" s="853"/>
      <c r="CY53" s="853"/>
      <c r="CZ53" s="853"/>
      <c r="DA53" s="853"/>
      <c r="DC53" s="853"/>
      <c r="DD53" s="853"/>
      <c r="DE53" s="853"/>
      <c r="DF53" s="853"/>
      <c r="DG53" s="853"/>
      <c r="DH53" s="853"/>
      <c r="DI53" s="853"/>
      <c r="DJ53" s="853"/>
      <c r="DK53" s="853"/>
      <c r="DM53" s="853"/>
      <c r="DN53" s="853"/>
      <c r="DO53" s="853"/>
      <c r="DP53" s="853"/>
      <c r="DQ53" s="853"/>
      <c r="DR53" s="853"/>
      <c r="DS53" s="805"/>
      <c r="DT53" s="805"/>
      <c r="DV53" s="806">
        <f t="shared" si="4"/>
        <v>104176.07284210526</v>
      </c>
      <c r="DW53" s="806">
        <f t="shared" si="5"/>
        <v>0</v>
      </c>
      <c r="DX53" s="794">
        <f t="shared" si="6"/>
        <v>104176.07284210526</v>
      </c>
    </row>
    <row r="54" spans="1:128" hidden="1">
      <c r="A54" s="198">
        <v>1802</v>
      </c>
      <c r="B54" s="2">
        <v>103150</v>
      </c>
      <c r="C54" s="2" t="s">
        <v>131</v>
      </c>
      <c r="D54" s="2" t="s">
        <v>132</v>
      </c>
      <c r="E54" s="190" t="s">
        <v>36</v>
      </c>
      <c r="F54" s="211" t="str">
        <f>VLOOKUP(A54,'Summary June 2026'!A:F,6,FALSE)</f>
        <v>Chq Bk</v>
      </c>
      <c r="G54" s="33"/>
      <c r="H54" s="825">
        <v>196022.72237407637</v>
      </c>
      <c r="I54" s="804"/>
      <c r="J54" s="797">
        <v>0</v>
      </c>
      <c r="K54" s="797">
        <v>65561.717999999993</v>
      </c>
      <c r="L54" s="797">
        <v>90416.928</v>
      </c>
      <c r="M54" s="797">
        <v>11885.249999999998</v>
      </c>
      <c r="N54" s="797">
        <v>4290.3421052631584</v>
      </c>
      <c r="O54" s="797">
        <v>6637.7999999999993</v>
      </c>
      <c r="P54" s="797">
        <v>975</v>
      </c>
      <c r="Q54" s="797">
        <f t="shared" si="8"/>
        <v>179767.03810526314</v>
      </c>
      <c r="R54" s="797">
        <f t="shared" si="1"/>
        <v>143813.63048421053</v>
      </c>
      <c r="S54" s="804"/>
      <c r="T54" s="364">
        <v>0</v>
      </c>
      <c r="U54" s="364">
        <v>64396.2</v>
      </c>
      <c r="V54" s="364">
        <v>69519.600000000006</v>
      </c>
      <c r="W54" s="364">
        <v>9642.75</v>
      </c>
      <c r="X54" s="364">
        <v>3767.7968421052633</v>
      </c>
      <c r="Y54" s="364">
        <v>4859.3999999999996</v>
      </c>
      <c r="Z54" s="364">
        <v>3900</v>
      </c>
      <c r="AA54" s="364">
        <f t="shared" si="2"/>
        <v>156085.74684210523</v>
      </c>
      <c r="AB54" s="364">
        <f t="shared" si="3"/>
        <v>124868.59747368419</v>
      </c>
      <c r="AC54" s="804"/>
      <c r="AD54" s="817"/>
      <c r="AE54" s="817"/>
      <c r="AF54" s="817"/>
      <c r="AG54" s="817"/>
      <c r="AH54" s="817"/>
      <c r="AI54" s="817"/>
      <c r="AJ54" s="817"/>
      <c r="AK54" s="818"/>
      <c r="AL54" s="817"/>
      <c r="AM54" s="275"/>
      <c r="AN54" s="886">
        <v>56220.014709141258</v>
      </c>
      <c r="AO54" s="886">
        <v>1726.3357340720222</v>
      </c>
      <c r="AP54" s="275"/>
      <c r="AQ54" s="834"/>
      <c r="AR54" s="834"/>
      <c r="AS54" s="834"/>
      <c r="AT54" s="834"/>
      <c r="AU54" s="834"/>
      <c r="AV54" s="834"/>
      <c r="AW54" s="834"/>
      <c r="AX54" s="834"/>
      <c r="AZ54" s="835"/>
      <c r="BA54" s="835"/>
      <c r="BB54" s="835"/>
      <c r="BC54" s="835"/>
      <c r="BD54" s="835"/>
      <c r="BE54" s="835"/>
      <c r="BF54" s="835"/>
      <c r="BG54" s="835"/>
      <c r="BH54" s="814"/>
      <c r="BI54" s="834"/>
      <c r="BJ54" s="834"/>
      <c r="BK54" s="834"/>
      <c r="BL54" s="834"/>
      <c r="BM54" s="834"/>
      <c r="BN54" s="834"/>
      <c r="BO54" s="834"/>
      <c r="BP54" s="834"/>
      <c r="BQ54" s="275"/>
      <c r="BR54" s="843"/>
      <c r="BS54" s="843"/>
      <c r="BT54" s="843"/>
      <c r="BU54" s="843"/>
      <c r="BV54" s="843"/>
      <c r="BW54" s="843"/>
      <c r="BX54" s="843"/>
      <c r="BY54" s="843"/>
      <c r="BZ54" s="843"/>
      <c r="CA54" s="843"/>
      <c r="CB54" s="843"/>
      <c r="CC54" s="843"/>
      <c r="CD54" s="843"/>
      <c r="CE54" s="843"/>
      <c r="CF54" s="843"/>
      <c r="CG54" s="843"/>
      <c r="CH54" s="843"/>
      <c r="CI54" s="843"/>
      <c r="CJ54" s="844"/>
      <c r="CK54" s="364"/>
      <c r="CL54" s="364"/>
      <c r="CM54" s="364"/>
      <c r="CN54" s="364"/>
      <c r="CO54" s="364"/>
      <c r="CP54" s="364"/>
      <c r="CQ54" s="364"/>
      <c r="CR54" s="804"/>
      <c r="CS54" s="852"/>
      <c r="CT54" s="853"/>
      <c r="CU54" s="853"/>
      <c r="CV54" s="853"/>
      <c r="CW54" s="853"/>
      <c r="CX54" s="853"/>
      <c r="CY54" s="853"/>
      <c r="CZ54" s="853"/>
      <c r="DA54" s="853"/>
      <c r="DC54" s="853"/>
      <c r="DD54" s="853"/>
      <c r="DE54" s="853"/>
      <c r="DF54" s="853"/>
      <c r="DG54" s="853"/>
      <c r="DH54" s="853"/>
      <c r="DI54" s="853"/>
      <c r="DJ54" s="853"/>
      <c r="DK54" s="853"/>
      <c r="DM54" s="853"/>
      <c r="DN54" s="853"/>
      <c r="DO54" s="853"/>
      <c r="DP54" s="853"/>
      <c r="DQ54" s="853"/>
      <c r="DR54" s="853"/>
      <c r="DS54" s="805"/>
      <c r="DT54" s="805"/>
      <c r="DV54" s="806">
        <f t="shared" si="4"/>
        <v>517024.96504111245</v>
      </c>
      <c r="DW54" s="806">
        <f t="shared" si="5"/>
        <v>5626.3357340720222</v>
      </c>
      <c r="DX54" s="794">
        <f t="shared" si="6"/>
        <v>522651.30077518447</v>
      </c>
    </row>
    <row r="55" spans="1:128" hidden="1">
      <c r="A55" s="198">
        <v>2454</v>
      </c>
      <c r="B55" s="2">
        <v>103381</v>
      </c>
      <c r="C55" s="2" t="s">
        <v>133</v>
      </c>
      <c r="D55" s="2" t="s">
        <v>134</v>
      </c>
      <c r="E55" s="190" t="s">
        <v>39</v>
      </c>
      <c r="F55" s="211" t="str">
        <f>VLOOKUP(A55,'Summary June 2026'!A:F,6,FALSE)</f>
        <v>Chq Bk</v>
      </c>
      <c r="G55" s="33"/>
      <c r="H55" s="825">
        <v>0</v>
      </c>
      <c r="I55" s="804"/>
      <c r="J55" s="797">
        <v>0</v>
      </c>
      <c r="K55" s="797">
        <v>0</v>
      </c>
      <c r="L55" s="797">
        <v>73476</v>
      </c>
      <c r="M55" s="797">
        <v>3587.9999999999995</v>
      </c>
      <c r="N55" s="797">
        <v>1305.7473684210529</v>
      </c>
      <c r="O55" s="797">
        <v>3837.6</v>
      </c>
      <c r="P55" s="797">
        <v>0</v>
      </c>
      <c r="Q55" s="797">
        <f t="shared" si="8"/>
        <v>82207.347368421062</v>
      </c>
      <c r="R55" s="797">
        <f t="shared" si="1"/>
        <v>65765.877894736856</v>
      </c>
      <c r="S55" s="804"/>
      <c r="T55" s="364">
        <v>0</v>
      </c>
      <c r="U55" s="364">
        <v>0</v>
      </c>
      <c r="V55" s="364">
        <v>30615.000000000004</v>
      </c>
      <c r="W55" s="364">
        <v>448.49999999999994</v>
      </c>
      <c r="X55" s="364">
        <v>149.24</v>
      </c>
      <c r="Y55" s="364">
        <v>719.55</v>
      </c>
      <c r="Z55" s="364">
        <v>0</v>
      </c>
      <c r="AA55" s="364">
        <f t="shared" si="2"/>
        <v>31932.290000000005</v>
      </c>
      <c r="AB55" s="364">
        <f t="shared" si="3"/>
        <v>25545.832000000006</v>
      </c>
      <c r="AC55" s="804"/>
      <c r="AD55" s="817"/>
      <c r="AE55" s="817"/>
      <c r="AF55" s="817"/>
      <c r="AG55" s="817"/>
      <c r="AH55" s="817"/>
      <c r="AI55" s="817"/>
      <c r="AJ55" s="817"/>
      <c r="AK55" s="818"/>
      <c r="AL55" s="817"/>
      <c r="AM55" s="275"/>
      <c r="AN55" s="886">
        <v>-3289.5454847645465</v>
      </c>
      <c r="AO55" s="886">
        <v>0</v>
      </c>
      <c r="AP55" s="275"/>
      <c r="AQ55" s="834"/>
      <c r="AR55" s="834"/>
      <c r="AS55" s="834"/>
      <c r="AT55" s="834"/>
      <c r="AU55" s="834"/>
      <c r="AV55" s="834"/>
      <c r="AW55" s="834"/>
      <c r="AX55" s="834"/>
      <c r="AZ55" s="835"/>
      <c r="BA55" s="835"/>
      <c r="BB55" s="835"/>
      <c r="BC55" s="835"/>
      <c r="BD55" s="835"/>
      <c r="BE55" s="835"/>
      <c r="BF55" s="835"/>
      <c r="BG55" s="835"/>
      <c r="BH55" s="814"/>
      <c r="BI55" s="834"/>
      <c r="BJ55" s="834"/>
      <c r="BK55" s="834"/>
      <c r="BL55" s="834"/>
      <c r="BM55" s="834"/>
      <c r="BN55" s="834"/>
      <c r="BO55" s="834"/>
      <c r="BP55" s="834"/>
      <c r="BQ55" s="275"/>
      <c r="BR55" s="843"/>
      <c r="BS55" s="843"/>
      <c r="BT55" s="843"/>
      <c r="BU55" s="843"/>
      <c r="BV55" s="843"/>
      <c r="BW55" s="843"/>
      <c r="BX55" s="843"/>
      <c r="BY55" s="843"/>
      <c r="BZ55" s="843"/>
      <c r="CA55" s="843"/>
      <c r="CB55" s="843"/>
      <c r="CC55" s="843"/>
      <c r="CD55" s="843"/>
      <c r="CE55" s="843"/>
      <c r="CF55" s="843"/>
      <c r="CG55" s="843"/>
      <c r="CH55" s="843"/>
      <c r="CI55" s="843"/>
      <c r="CJ55" s="844"/>
      <c r="CK55" s="364"/>
      <c r="CL55" s="364"/>
      <c r="CM55" s="364"/>
      <c r="CN55" s="364"/>
      <c r="CO55" s="364"/>
      <c r="CP55" s="364"/>
      <c r="CQ55" s="364"/>
      <c r="CR55" s="804"/>
      <c r="CS55" s="852"/>
      <c r="CT55" s="853"/>
      <c r="CU55" s="853"/>
      <c r="CV55" s="853"/>
      <c r="CW55" s="853"/>
      <c r="CX55" s="853"/>
      <c r="CY55" s="853"/>
      <c r="CZ55" s="853"/>
      <c r="DA55" s="853"/>
      <c r="DC55" s="853"/>
      <c r="DD55" s="853"/>
      <c r="DE55" s="853"/>
      <c r="DF55" s="853"/>
      <c r="DG55" s="853"/>
      <c r="DH55" s="853"/>
      <c r="DI55" s="853"/>
      <c r="DJ55" s="853"/>
      <c r="DK55" s="853"/>
      <c r="DM55" s="853"/>
      <c r="DN55" s="853"/>
      <c r="DO55" s="853"/>
      <c r="DP55" s="853"/>
      <c r="DQ55" s="853"/>
      <c r="DR55" s="853"/>
      <c r="DS55" s="805"/>
      <c r="DT55" s="805"/>
      <c r="DV55" s="806">
        <f t="shared" si="4"/>
        <v>88022.16440997232</v>
      </c>
      <c r="DW55" s="806">
        <f t="shared" si="5"/>
        <v>0</v>
      </c>
      <c r="DX55" s="794">
        <f t="shared" si="6"/>
        <v>88022.16440997232</v>
      </c>
    </row>
    <row r="56" spans="1:128" hidden="1">
      <c r="A56" s="198">
        <v>3321</v>
      </c>
      <c r="B56" s="2">
        <v>103425</v>
      </c>
      <c r="C56" s="2" t="s">
        <v>135</v>
      </c>
      <c r="D56" s="2" t="s">
        <v>136</v>
      </c>
      <c r="E56" s="190" t="s">
        <v>39</v>
      </c>
      <c r="F56" s="211" t="str">
        <f>VLOOKUP(A56,'Summary June 2026'!A:F,6,FALSE)</f>
        <v>Chq Bk</v>
      </c>
      <c r="G56" s="33"/>
      <c r="H56" s="825">
        <v>0</v>
      </c>
      <c r="I56" s="804"/>
      <c r="J56" s="797">
        <v>0</v>
      </c>
      <c r="K56" s="797">
        <v>0</v>
      </c>
      <c r="L56" s="797">
        <v>0</v>
      </c>
      <c r="M56" s="797">
        <v>0</v>
      </c>
      <c r="N56" s="797">
        <v>0</v>
      </c>
      <c r="O56" s="797">
        <v>0</v>
      </c>
      <c r="P56" s="797">
        <v>0</v>
      </c>
      <c r="Q56" s="797">
        <f t="shared" si="8"/>
        <v>0</v>
      </c>
      <c r="R56" s="797">
        <f t="shared" si="1"/>
        <v>0</v>
      </c>
      <c r="S56" s="804"/>
      <c r="T56" s="364">
        <v>0</v>
      </c>
      <c r="U56" s="364">
        <v>0</v>
      </c>
      <c r="V56" s="364">
        <v>0</v>
      </c>
      <c r="W56" s="364">
        <v>0</v>
      </c>
      <c r="X56" s="364">
        <v>0</v>
      </c>
      <c r="Y56" s="364">
        <v>0</v>
      </c>
      <c r="Z56" s="364">
        <v>0</v>
      </c>
      <c r="AA56" s="364">
        <f t="shared" si="2"/>
        <v>0</v>
      </c>
      <c r="AB56" s="364">
        <f t="shared" si="3"/>
        <v>0</v>
      </c>
      <c r="AC56" s="804"/>
      <c r="AD56" s="817"/>
      <c r="AE56" s="817"/>
      <c r="AF56" s="817"/>
      <c r="AG56" s="817"/>
      <c r="AH56" s="817"/>
      <c r="AI56" s="817"/>
      <c r="AJ56" s="817"/>
      <c r="AK56" s="818"/>
      <c r="AL56" s="817"/>
      <c r="AM56" s="275"/>
      <c r="AN56" s="886">
        <v>0</v>
      </c>
      <c r="AO56" s="886">
        <v>0</v>
      </c>
      <c r="AP56" s="275"/>
      <c r="AQ56" s="834"/>
      <c r="AR56" s="834"/>
      <c r="AS56" s="834"/>
      <c r="AT56" s="834"/>
      <c r="AU56" s="834"/>
      <c r="AV56" s="834"/>
      <c r="AW56" s="834"/>
      <c r="AX56" s="834"/>
      <c r="AZ56" s="835"/>
      <c r="BA56" s="835"/>
      <c r="BB56" s="835"/>
      <c r="BC56" s="835"/>
      <c r="BD56" s="835"/>
      <c r="BE56" s="835"/>
      <c r="BF56" s="835"/>
      <c r="BG56" s="835"/>
      <c r="BH56" s="814"/>
      <c r="BI56" s="834"/>
      <c r="BJ56" s="834"/>
      <c r="BK56" s="834"/>
      <c r="BL56" s="834"/>
      <c r="BM56" s="834"/>
      <c r="BN56" s="834"/>
      <c r="BO56" s="834"/>
      <c r="BP56" s="834"/>
      <c r="BQ56" s="275"/>
      <c r="BR56" s="843"/>
      <c r="BS56" s="843"/>
      <c r="BT56" s="843"/>
      <c r="BU56" s="843"/>
      <c r="BV56" s="843"/>
      <c r="BW56" s="843"/>
      <c r="BX56" s="843"/>
      <c r="BY56" s="843"/>
      <c r="BZ56" s="843"/>
      <c r="CA56" s="843"/>
      <c r="CB56" s="843"/>
      <c r="CC56" s="843"/>
      <c r="CD56" s="843"/>
      <c r="CE56" s="843"/>
      <c r="CF56" s="843"/>
      <c r="CG56" s="843"/>
      <c r="CH56" s="843"/>
      <c r="CI56" s="843"/>
      <c r="CJ56" s="844"/>
      <c r="CK56" s="364"/>
      <c r="CL56" s="364"/>
      <c r="CM56" s="364"/>
      <c r="CN56" s="364"/>
      <c r="CO56" s="364"/>
      <c r="CP56" s="364"/>
      <c r="CQ56" s="364"/>
      <c r="CR56" s="804"/>
      <c r="CS56" s="852"/>
      <c r="CT56" s="853"/>
      <c r="CU56" s="853"/>
      <c r="CV56" s="853"/>
      <c r="CW56" s="853"/>
      <c r="CX56" s="853"/>
      <c r="CY56" s="853"/>
      <c r="CZ56" s="853"/>
      <c r="DA56" s="853"/>
      <c r="DC56" s="853"/>
      <c r="DD56" s="853"/>
      <c r="DE56" s="853"/>
      <c r="DF56" s="853"/>
      <c r="DG56" s="853"/>
      <c r="DH56" s="853"/>
      <c r="DI56" s="853"/>
      <c r="DJ56" s="853"/>
      <c r="DK56" s="853"/>
      <c r="DM56" s="853"/>
      <c r="DN56" s="853"/>
      <c r="DO56" s="853"/>
      <c r="DP56" s="853"/>
      <c r="DQ56" s="853"/>
      <c r="DR56" s="853"/>
      <c r="DS56" s="805"/>
      <c r="DT56" s="805"/>
      <c r="DV56" s="806">
        <f t="shared" si="4"/>
        <v>0</v>
      </c>
      <c r="DW56" s="806">
        <f t="shared" si="5"/>
        <v>0</v>
      </c>
      <c r="DX56" s="794">
        <f t="shared" si="6"/>
        <v>0</v>
      </c>
    </row>
    <row r="57" spans="1:128" hidden="1">
      <c r="A57" s="198">
        <v>1026</v>
      </c>
      <c r="B57" s="2">
        <v>103139</v>
      </c>
      <c r="C57" s="2" t="s">
        <v>137</v>
      </c>
      <c r="D57" s="2" t="s">
        <v>138</v>
      </c>
      <c r="E57" s="190" t="s">
        <v>36</v>
      </c>
      <c r="F57" s="211" t="str">
        <f>VLOOKUP(A57,'Summary June 2026'!A:F,6,FALSE)</f>
        <v>Chq Bk</v>
      </c>
      <c r="G57" s="33"/>
      <c r="H57" s="825">
        <v>245660.02426565258</v>
      </c>
      <c r="I57" s="804"/>
      <c r="J57" s="797">
        <v>0</v>
      </c>
      <c r="K57" s="797">
        <v>38052.299999999996</v>
      </c>
      <c r="L57" s="797">
        <v>155524.20000000001</v>
      </c>
      <c r="M57" s="797">
        <v>13454.999999999998</v>
      </c>
      <c r="N57" s="797">
        <v>2872.1515789473688</v>
      </c>
      <c r="O57" s="797">
        <v>2572.0499999999997</v>
      </c>
      <c r="P57" s="797">
        <v>4875</v>
      </c>
      <c r="Q57" s="797">
        <f t="shared" si="8"/>
        <v>217350.70157894737</v>
      </c>
      <c r="R57" s="797">
        <f t="shared" si="1"/>
        <v>173880.5612631579</v>
      </c>
      <c r="S57" s="804"/>
      <c r="T57" s="364">
        <v>0</v>
      </c>
      <c r="U57" s="364">
        <v>67855.5</v>
      </c>
      <c r="V57" s="364">
        <v>87040.8</v>
      </c>
      <c r="W57" s="364">
        <v>10629.75</v>
      </c>
      <c r="X57" s="364">
        <v>1342.7494736842104</v>
      </c>
      <c r="Y57" s="364">
        <v>2164.5</v>
      </c>
      <c r="Z57" s="364">
        <v>1950</v>
      </c>
      <c r="AA57" s="364">
        <f t="shared" si="2"/>
        <v>170983.29947368419</v>
      </c>
      <c r="AB57" s="364">
        <f t="shared" si="3"/>
        <v>136786.63957894736</v>
      </c>
      <c r="AC57" s="804"/>
      <c r="AD57" s="817"/>
      <c r="AE57" s="817"/>
      <c r="AF57" s="817"/>
      <c r="AG57" s="817"/>
      <c r="AH57" s="817"/>
      <c r="AI57" s="817"/>
      <c r="AJ57" s="817"/>
      <c r="AK57" s="818"/>
      <c r="AL57" s="817"/>
      <c r="AM57" s="275"/>
      <c r="AN57" s="886">
        <v>37846.027537396112</v>
      </c>
      <c r="AO57" s="886">
        <v>1127.6786703601106</v>
      </c>
      <c r="AP57" s="275"/>
      <c r="AQ57" s="834"/>
      <c r="AR57" s="834"/>
      <c r="AS57" s="834"/>
      <c r="AT57" s="834"/>
      <c r="AU57" s="834"/>
      <c r="AV57" s="834"/>
      <c r="AW57" s="834"/>
      <c r="AX57" s="834"/>
      <c r="AZ57" s="835"/>
      <c r="BA57" s="835"/>
      <c r="BB57" s="835"/>
      <c r="BC57" s="835"/>
      <c r="BD57" s="835"/>
      <c r="BE57" s="835"/>
      <c r="BF57" s="835"/>
      <c r="BG57" s="835"/>
      <c r="BH57" s="814"/>
      <c r="BI57" s="834"/>
      <c r="BJ57" s="834"/>
      <c r="BK57" s="834"/>
      <c r="BL57" s="834"/>
      <c r="BM57" s="834"/>
      <c r="BN57" s="834"/>
      <c r="BO57" s="834"/>
      <c r="BP57" s="834"/>
      <c r="BQ57" s="275"/>
      <c r="BR57" s="843"/>
      <c r="BS57" s="843"/>
      <c r="BT57" s="843"/>
      <c r="BU57" s="843"/>
      <c r="BV57" s="843"/>
      <c r="BW57" s="843"/>
      <c r="BX57" s="843"/>
      <c r="BY57" s="843"/>
      <c r="BZ57" s="843"/>
      <c r="CA57" s="843"/>
      <c r="CB57" s="843"/>
      <c r="CC57" s="843"/>
      <c r="CD57" s="843"/>
      <c r="CE57" s="843"/>
      <c r="CF57" s="843"/>
      <c r="CG57" s="843"/>
      <c r="CH57" s="843"/>
      <c r="CI57" s="843"/>
      <c r="CJ57" s="844"/>
      <c r="CK57" s="364"/>
      <c r="CL57" s="364"/>
      <c r="CM57" s="364"/>
      <c r="CN57" s="364"/>
      <c r="CO57" s="364"/>
      <c r="CP57" s="364"/>
      <c r="CQ57" s="364"/>
      <c r="CR57" s="804"/>
      <c r="CS57" s="852"/>
      <c r="CT57" s="853"/>
      <c r="CU57" s="853"/>
      <c r="CV57" s="853"/>
      <c r="CW57" s="853"/>
      <c r="CX57" s="853"/>
      <c r="CY57" s="853"/>
      <c r="CZ57" s="853"/>
      <c r="DA57" s="853"/>
      <c r="DC57" s="853"/>
      <c r="DD57" s="853"/>
      <c r="DE57" s="853"/>
      <c r="DF57" s="853"/>
      <c r="DG57" s="853"/>
      <c r="DH57" s="853"/>
      <c r="DI57" s="853"/>
      <c r="DJ57" s="853"/>
      <c r="DK57" s="853"/>
      <c r="DM57" s="853"/>
      <c r="DN57" s="853"/>
      <c r="DO57" s="853"/>
      <c r="DP57" s="853"/>
      <c r="DQ57" s="853"/>
      <c r="DR57" s="853"/>
      <c r="DS57" s="805"/>
      <c r="DT57" s="805"/>
      <c r="DV57" s="806">
        <f t="shared" si="4"/>
        <v>588713.2526451539</v>
      </c>
      <c r="DW57" s="806">
        <f t="shared" si="5"/>
        <v>6587.6786703601101</v>
      </c>
      <c r="DX57" s="794">
        <f t="shared" si="6"/>
        <v>595300.93131551403</v>
      </c>
    </row>
    <row r="58" spans="1:128" hidden="1">
      <c r="A58" s="198">
        <v>2294</v>
      </c>
      <c r="B58" s="2">
        <v>103318</v>
      </c>
      <c r="C58" s="2" t="s">
        <v>139</v>
      </c>
      <c r="D58" s="2" t="s">
        <v>140</v>
      </c>
      <c r="E58" s="190" t="s">
        <v>39</v>
      </c>
      <c r="F58" s="211" t="str">
        <f>VLOOKUP(A58,'Summary June 2026'!A:F,6,FALSE)</f>
        <v>Chq Bk</v>
      </c>
      <c r="G58" s="33"/>
      <c r="H58" s="825">
        <v>0</v>
      </c>
      <c r="I58" s="804"/>
      <c r="J58" s="797">
        <v>0</v>
      </c>
      <c r="K58" s="797">
        <v>0</v>
      </c>
      <c r="L58" s="797">
        <v>0</v>
      </c>
      <c r="M58" s="797">
        <v>0</v>
      </c>
      <c r="N58" s="797">
        <v>0</v>
      </c>
      <c r="O58" s="797">
        <v>0</v>
      </c>
      <c r="P58" s="797">
        <v>0</v>
      </c>
      <c r="Q58" s="797">
        <f t="shared" si="8"/>
        <v>0</v>
      </c>
      <c r="R58" s="797">
        <f t="shared" si="1"/>
        <v>0</v>
      </c>
      <c r="S58" s="804"/>
      <c r="T58" s="364">
        <v>0</v>
      </c>
      <c r="U58" s="364">
        <v>0</v>
      </c>
      <c r="V58" s="364">
        <v>0</v>
      </c>
      <c r="W58" s="364">
        <v>0</v>
      </c>
      <c r="X58" s="364">
        <v>0</v>
      </c>
      <c r="Y58" s="364">
        <v>0</v>
      </c>
      <c r="Z58" s="364">
        <v>0</v>
      </c>
      <c r="AA58" s="364">
        <f t="shared" si="2"/>
        <v>0</v>
      </c>
      <c r="AB58" s="364">
        <f t="shared" si="3"/>
        <v>0</v>
      </c>
      <c r="AC58" s="804"/>
      <c r="AD58" s="817"/>
      <c r="AE58" s="817"/>
      <c r="AF58" s="817"/>
      <c r="AG58" s="817"/>
      <c r="AH58" s="817"/>
      <c r="AI58" s="817"/>
      <c r="AJ58" s="817"/>
      <c r="AK58" s="818"/>
      <c r="AL58" s="817"/>
      <c r="AM58" s="275"/>
      <c r="AN58" s="886">
        <v>0</v>
      </c>
      <c r="AO58" s="886">
        <v>0</v>
      </c>
      <c r="AP58" s="275"/>
      <c r="AQ58" s="834"/>
      <c r="AR58" s="834"/>
      <c r="AS58" s="834"/>
      <c r="AT58" s="834"/>
      <c r="AU58" s="834"/>
      <c r="AV58" s="834"/>
      <c r="AW58" s="834"/>
      <c r="AX58" s="834"/>
      <c r="AZ58" s="835"/>
      <c r="BA58" s="835"/>
      <c r="BB58" s="835"/>
      <c r="BC58" s="835"/>
      <c r="BD58" s="835"/>
      <c r="BE58" s="835"/>
      <c r="BF58" s="835"/>
      <c r="BG58" s="835"/>
      <c r="BH58" s="814"/>
      <c r="BI58" s="834"/>
      <c r="BJ58" s="834"/>
      <c r="BK58" s="834"/>
      <c r="BL58" s="834"/>
      <c r="BM58" s="834"/>
      <c r="BN58" s="834"/>
      <c r="BO58" s="834"/>
      <c r="BP58" s="834"/>
      <c r="BQ58" s="275"/>
      <c r="BR58" s="843"/>
      <c r="BS58" s="843"/>
      <c r="BT58" s="843"/>
      <c r="BU58" s="843"/>
      <c r="BV58" s="843"/>
      <c r="BW58" s="843"/>
      <c r="BX58" s="843"/>
      <c r="BY58" s="843"/>
      <c r="BZ58" s="843"/>
      <c r="CA58" s="843"/>
      <c r="CB58" s="843"/>
      <c r="CC58" s="843"/>
      <c r="CD58" s="843"/>
      <c r="CE58" s="843"/>
      <c r="CF58" s="843"/>
      <c r="CG58" s="843"/>
      <c r="CH58" s="843"/>
      <c r="CI58" s="843"/>
      <c r="CJ58" s="844"/>
      <c r="CK58" s="364"/>
      <c r="CL58" s="364"/>
      <c r="CM58" s="364"/>
      <c r="CN58" s="364"/>
      <c r="CO58" s="364"/>
      <c r="CP58" s="364"/>
      <c r="CQ58" s="364"/>
      <c r="CR58" s="804"/>
      <c r="CS58" s="852"/>
      <c r="CT58" s="853"/>
      <c r="CU58" s="853"/>
      <c r="CV58" s="853"/>
      <c r="CW58" s="853"/>
      <c r="CX58" s="853"/>
      <c r="CY58" s="853"/>
      <c r="CZ58" s="853"/>
      <c r="DA58" s="853"/>
      <c r="DC58" s="853"/>
      <c r="DD58" s="853"/>
      <c r="DE58" s="853"/>
      <c r="DF58" s="853"/>
      <c r="DG58" s="853"/>
      <c r="DH58" s="853"/>
      <c r="DI58" s="853"/>
      <c r="DJ58" s="853"/>
      <c r="DK58" s="853"/>
      <c r="DM58" s="853"/>
      <c r="DN58" s="853"/>
      <c r="DO58" s="853"/>
      <c r="DP58" s="853"/>
      <c r="DQ58" s="853"/>
      <c r="DR58" s="853"/>
      <c r="DS58" s="805"/>
      <c r="DT58" s="805"/>
      <c r="DV58" s="806">
        <f t="shared" si="4"/>
        <v>0</v>
      </c>
      <c r="DW58" s="806">
        <f t="shared" si="5"/>
        <v>0</v>
      </c>
      <c r="DX58" s="794">
        <f t="shared" si="6"/>
        <v>0</v>
      </c>
    </row>
    <row r="59" spans="1:128" hidden="1">
      <c r="A59" s="198">
        <v>2486</v>
      </c>
      <c r="B59" s="2">
        <v>133759</v>
      </c>
      <c r="C59" s="2" t="s">
        <v>141</v>
      </c>
      <c r="D59" s="2" t="s">
        <v>142</v>
      </c>
      <c r="E59" s="190" t="s">
        <v>39</v>
      </c>
      <c r="F59" s="211" t="str">
        <f>VLOOKUP(A59,'Summary June 2026'!A:F,6,FALSE)</f>
        <v>Chq Bk</v>
      </c>
      <c r="G59" s="33"/>
      <c r="H59" s="825">
        <v>0</v>
      </c>
      <c r="I59" s="804"/>
      <c r="J59" s="797">
        <v>0</v>
      </c>
      <c r="K59" s="797">
        <v>0</v>
      </c>
      <c r="L59" s="797">
        <v>22042.799999999999</v>
      </c>
      <c r="M59" s="797">
        <v>2018.2499999999998</v>
      </c>
      <c r="N59" s="797">
        <v>671.58</v>
      </c>
      <c r="O59" s="797">
        <v>2016.3</v>
      </c>
      <c r="P59" s="797">
        <v>0</v>
      </c>
      <c r="Q59" s="797">
        <f t="shared" si="8"/>
        <v>26748.93</v>
      </c>
      <c r="R59" s="797">
        <f t="shared" si="1"/>
        <v>21399.144</v>
      </c>
      <c r="S59" s="804"/>
      <c r="T59" s="364">
        <v>0</v>
      </c>
      <c r="U59" s="364">
        <v>0</v>
      </c>
      <c r="V59" s="364">
        <v>14695.2</v>
      </c>
      <c r="W59" s="364">
        <v>1569.7499999999998</v>
      </c>
      <c r="X59" s="364">
        <v>447.71999999999997</v>
      </c>
      <c r="Y59" s="364">
        <v>1365</v>
      </c>
      <c r="Z59" s="364">
        <v>0</v>
      </c>
      <c r="AA59" s="364">
        <f t="shared" si="2"/>
        <v>18077.670000000002</v>
      </c>
      <c r="AB59" s="364">
        <f t="shared" si="3"/>
        <v>14462.136000000002</v>
      </c>
      <c r="AC59" s="804"/>
      <c r="AD59" s="817"/>
      <c r="AE59" s="817"/>
      <c r="AF59" s="817"/>
      <c r="AG59" s="817"/>
      <c r="AH59" s="817"/>
      <c r="AI59" s="817"/>
      <c r="AJ59" s="817"/>
      <c r="AK59" s="818"/>
      <c r="AL59" s="817"/>
      <c r="AM59" s="275"/>
      <c r="AN59" s="886">
        <v>279.81335180055692</v>
      </c>
      <c r="AO59" s="886">
        <v>0</v>
      </c>
      <c r="AP59" s="275"/>
      <c r="AQ59" s="834"/>
      <c r="AR59" s="834"/>
      <c r="AS59" s="834"/>
      <c r="AT59" s="834"/>
      <c r="AU59" s="834"/>
      <c r="AV59" s="834"/>
      <c r="AW59" s="834"/>
      <c r="AX59" s="834"/>
      <c r="AZ59" s="835"/>
      <c r="BA59" s="835"/>
      <c r="BB59" s="835"/>
      <c r="BC59" s="835"/>
      <c r="BD59" s="835"/>
      <c r="BE59" s="835"/>
      <c r="BF59" s="835"/>
      <c r="BG59" s="835"/>
      <c r="BH59" s="814"/>
      <c r="BI59" s="834"/>
      <c r="BJ59" s="834"/>
      <c r="BK59" s="834"/>
      <c r="BL59" s="834"/>
      <c r="BM59" s="834"/>
      <c r="BN59" s="834"/>
      <c r="BO59" s="834"/>
      <c r="BP59" s="834"/>
      <c r="BQ59" s="275"/>
      <c r="BR59" s="843"/>
      <c r="BS59" s="843"/>
      <c r="BT59" s="843"/>
      <c r="BU59" s="843"/>
      <c r="BV59" s="843"/>
      <c r="BW59" s="843"/>
      <c r="BX59" s="843"/>
      <c r="BY59" s="843"/>
      <c r="BZ59" s="843"/>
      <c r="CA59" s="843"/>
      <c r="CB59" s="843"/>
      <c r="CC59" s="843"/>
      <c r="CD59" s="843"/>
      <c r="CE59" s="843"/>
      <c r="CF59" s="843"/>
      <c r="CG59" s="843"/>
      <c r="CH59" s="843"/>
      <c r="CI59" s="843"/>
      <c r="CJ59" s="844"/>
      <c r="CK59" s="364"/>
      <c r="CL59" s="364"/>
      <c r="CM59" s="364"/>
      <c r="CN59" s="364"/>
      <c r="CO59" s="364"/>
      <c r="CP59" s="364"/>
      <c r="CQ59" s="364"/>
      <c r="CR59" s="804"/>
      <c r="CS59" s="852"/>
      <c r="CT59" s="853"/>
      <c r="CU59" s="853"/>
      <c r="CV59" s="853"/>
      <c r="CW59" s="853"/>
      <c r="CX59" s="853"/>
      <c r="CY59" s="853"/>
      <c r="CZ59" s="853"/>
      <c r="DA59" s="853"/>
      <c r="DC59" s="853"/>
      <c r="DD59" s="853"/>
      <c r="DE59" s="853"/>
      <c r="DF59" s="853"/>
      <c r="DG59" s="853"/>
      <c r="DH59" s="853"/>
      <c r="DI59" s="853"/>
      <c r="DJ59" s="853"/>
      <c r="DK59" s="853"/>
      <c r="DM59" s="853"/>
      <c r="DN59" s="853"/>
      <c r="DO59" s="853"/>
      <c r="DP59" s="853"/>
      <c r="DQ59" s="853"/>
      <c r="DR59" s="853"/>
      <c r="DS59" s="805"/>
      <c r="DT59" s="805"/>
      <c r="DV59" s="806">
        <f t="shared" si="4"/>
        <v>36141.093351800562</v>
      </c>
      <c r="DW59" s="806">
        <f t="shared" si="5"/>
        <v>0</v>
      </c>
      <c r="DX59" s="794">
        <f t="shared" si="6"/>
        <v>36141.093351800562</v>
      </c>
    </row>
    <row r="60" spans="1:128" hidden="1">
      <c r="A60" s="198">
        <v>3435</v>
      </c>
      <c r="B60" s="2">
        <v>131920</v>
      </c>
      <c r="C60" s="2" t="s">
        <v>143</v>
      </c>
      <c r="D60" s="2" t="s">
        <v>144</v>
      </c>
      <c r="E60" s="190" t="s">
        <v>39</v>
      </c>
      <c r="F60" s="211" t="str">
        <f>VLOOKUP(A60,'Summary June 2026'!A:F,6,FALSE)</f>
        <v>Chq Bk</v>
      </c>
      <c r="G60" s="33"/>
      <c r="H60" s="825">
        <v>0</v>
      </c>
      <c r="I60" s="804"/>
      <c r="J60" s="797">
        <v>0</v>
      </c>
      <c r="K60" s="797">
        <v>0</v>
      </c>
      <c r="L60" s="797">
        <v>0</v>
      </c>
      <c r="M60" s="797">
        <v>0</v>
      </c>
      <c r="N60" s="797">
        <v>0</v>
      </c>
      <c r="O60" s="797">
        <v>0</v>
      </c>
      <c r="P60" s="797">
        <v>0</v>
      </c>
      <c r="Q60" s="797">
        <f t="shared" si="8"/>
        <v>0</v>
      </c>
      <c r="R60" s="797">
        <f t="shared" si="1"/>
        <v>0</v>
      </c>
      <c r="S60" s="804"/>
      <c r="T60" s="364">
        <v>0</v>
      </c>
      <c r="U60" s="364">
        <v>0</v>
      </c>
      <c r="V60" s="364">
        <v>0</v>
      </c>
      <c r="W60" s="364">
        <v>0</v>
      </c>
      <c r="X60" s="364">
        <v>0</v>
      </c>
      <c r="Y60" s="364">
        <v>0</v>
      </c>
      <c r="Z60" s="364">
        <v>0</v>
      </c>
      <c r="AA60" s="364">
        <f t="shared" si="2"/>
        <v>0</v>
      </c>
      <c r="AB60" s="364">
        <f t="shared" si="3"/>
        <v>0</v>
      </c>
      <c r="AC60" s="804"/>
      <c r="AD60" s="817"/>
      <c r="AE60" s="817"/>
      <c r="AF60" s="817"/>
      <c r="AG60" s="817"/>
      <c r="AH60" s="817"/>
      <c r="AI60" s="817"/>
      <c r="AJ60" s="817"/>
      <c r="AK60" s="818"/>
      <c r="AL60" s="817"/>
      <c r="AM60" s="275"/>
      <c r="AN60" s="886">
        <v>0</v>
      </c>
      <c r="AO60" s="886">
        <v>0</v>
      </c>
      <c r="AP60" s="275"/>
      <c r="AQ60" s="834"/>
      <c r="AR60" s="834"/>
      <c r="AS60" s="834"/>
      <c r="AT60" s="834"/>
      <c r="AU60" s="834"/>
      <c r="AV60" s="834"/>
      <c r="AW60" s="834"/>
      <c r="AX60" s="834"/>
      <c r="AZ60" s="835"/>
      <c r="BA60" s="835"/>
      <c r="BB60" s="835"/>
      <c r="BC60" s="835"/>
      <c r="BD60" s="835"/>
      <c r="BE60" s="835"/>
      <c r="BF60" s="835"/>
      <c r="BG60" s="835"/>
      <c r="BH60" s="814"/>
      <c r="BI60" s="834"/>
      <c r="BJ60" s="834"/>
      <c r="BK60" s="834"/>
      <c r="BL60" s="834"/>
      <c r="BM60" s="834"/>
      <c r="BN60" s="834"/>
      <c r="BO60" s="834"/>
      <c r="BP60" s="834"/>
      <c r="BQ60" s="275"/>
      <c r="BR60" s="843"/>
      <c r="BS60" s="843"/>
      <c r="BT60" s="843"/>
      <c r="BU60" s="843"/>
      <c r="BV60" s="843"/>
      <c r="BW60" s="843"/>
      <c r="BX60" s="843"/>
      <c r="BY60" s="843"/>
      <c r="BZ60" s="843"/>
      <c r="CA60" s="843"/>
      <c r="CB60" s="843"/>
      <c r="CC60" s="843"/>
      <c r="CD60" s="843"/>
      <c r="CE60" s="843"/>
      <c r="CF60" s="843"/>
      <c r="CG60" s="843"/>
      <c r="CH60" s="843"/>
      <c r="CI60" s="843"/>
      <c r="CJ60" s="844"/>
      <c r="CK60" s="364"/>
      <c r="CL60" s="364"/>
      <c r="CM60" s="364"/>
      <c r="CN60" s="364"/>
      <c r="CO60" s="364"/>
      <c r="CP60" s="364"/>
      <c r="CQ60" s="364"/>
      <c r="CR60" s="804"/>
      <c r="CS60" s="852"/>
      <c r="CT60" s="853"/>
      <c r="CU60" s="853"/>
      <c r="CV60" s="853"/>
      <c r="CW60" s="853"/>
      <c r="CX60" s="853"/>
      <c r="CY60" s="853"/>
      <c r="CZ60" s="853"/>
      <c r="DA60" s="853"/>
      <c r="DC60" s="853"/>
      <c r="DD60" s="853"/>
      <c r="DE60" s="853"/>
      <c r="DF60" s="853"/>
      <c r="DG60" s="853"/>
      <c r="DH60" s="853"/>
      <c r="DI60" s="853"/>
      <c r="DJ60" s="853"/>
      <c r="DK60" s="853"/>
      <c r="DM60" s="853"/>
      <c r="DN60" s="853"/>
      <c r="DO60" s="853"/>
      <c r="DP60" s="853"/>
      <c r="DQ60" s="853"/>
      <c r="DR60" s="853"/>
      <c r="DS60" s="805"/>
      <c r="DT60" s="805"/>
      <c r="DV60" s="806">
        <f t="shared" si="4"/>
        <v>0</v>
      </c>
      <c r="DW60" s="806">
        <f t="shared" si="5"/>
        <v>0</v>
      </c>
      <c r="DX60" s="794">
        <f t="shared" si="6"/>
        <v>0</v>
      </c>
    </row>
    <row r="61" spans="1:128" hidden="1">
      <c r="A61" s="198">
        <v>7050</v>
      </c>
      <c r="B61" s="2">
        <v>103625</v>
      </c>
      <c r="C61" s="2" t="s">
        <v>145</v>
      </c>
      <c r="D61" s="2" t="s">
        <v>146</v>
      </c>
      <c r="E61" s="190" t="s">
        <v>56</v>
      </c>
      <c r="F61" s="211" t="str">
        <f>VLOOKUP(A61,'Summary June 2026'!A:F,6,FALSE)</f>
        <v>Chq Bk</v>
      </c>
      <c r="G61" s="33"/>
      <c r="H61" s="825">
        <v>0</v>
      </c>
      <c r="I61" s="804"/>
      <c r="J61" s="797"/>
      <c r="K61" s="797"/>
      <c r="L61" s="797"/>
      <c r="M61" s="797"/>
      <c r="N61" s="797"/>
      <c r="O61" s="797"/>
      <c r="P61" s="797"/>
      <c r="Q61" s="797"/>
      <c r="R61" s="797"/>
      <c r="S61" s="804"/>
      <c r="T61" s="364"/>
      <c r="U61" s="364"/>
      <c r="V61" s="364"/>
      <c r="W61" s="364"/>
      <c r="X61" s="364"/>
      <c r="Y61" s="364"/>
      <c r="Z61" s="364"/>
      <c r="AA61" s="364"/>
      <c r="AB61" s="364"/>
      <c r="AC61" s="804"/>
      <c r="AD61" s="817"/>
      <c r="AE61" s="817"/>
      <c r="AF61" s="817"/>
      <c r="AG61" s="817"/>
      <c r="AH61" s="817"/>
      <c r="AI61" s="817"/>
      <c r="AJ61" s="817"/>
      <c r="AK61" s="818"/>
      <c r="AL61" s="817"/>
      <c r="AM61" s="275"/>
      <c r="AN61" s="886">
        <v>0</v>
      </c>
      <c r="AO61" s="886">
        <v>0</v>
      </c>
      <c r="AP61" s="275"/>
      <c r="AQ61" s="834"/>
      <c r="AR61" s="834"/>
      <c r="AS61" s="834"/>
      <c r="AT61" s="834"/>
      <c r="AU61" s="834"/>
      <c r="AV61" s="834"/>
      <c r="AW61" s="834"/>
      <c r="AX61" s="834"/>
      <c r="AZ61" s="835"/>
      <c r="BA61" s="835"/>
      <c r="BB61" s="835"/>
      <c r="BC61" s="835"/>
      <c r="BD61" s="835"/>
      <c r="BE61" s="835"/>
      <c r="BF61" s="835"/>
      <c r="BG61" s="835"/>
      <c r="BH61" s="814"/>
      <c r="BI61" s="834"/>
      <c r="BJ61" s="834"/>
      <c r="BK61" s="834"/>
      <c r="BL61" s="834"/>
      <c r="BM61" s="834"/>
      <c r="BN61" s="834"/>
      <c r="BO61" s="834"/>
      <c r="BP61" s="834"/>
      <c r="BQ61" s="275"/>
      <c r="BR61" s="843"/>
      <c r="BS61" s="843"/>
      <c r="BT61" s="843"/>
      <c r="BU61" s="843"/>
      <c r="BV61" s="843"/>
      <c r="BW61" s="843"/>
      <c r="BX61" s="843"/>
      <c r="BY61" s="843"/>
      <c r="BZ61" s="843"/>
      <c r="CA61" s="843"/>
      <c r="CB61" s="843"/>
      <c r="CC61" s="843"/>
      <c r="CD61" s="843"/>
      <c r="CE61" s="843"/>
      <c r="CF61" s="843"/>
      <c r="CG61" s="843"/>
      <c r="CH61" s="843"/>
      <c r="CI61" s="843"/>
      <c r="CJ61" s="844"/>
      <c r="CK61" s="364"/>
      <c r="CL61" s="364"/>
      <c r="CM61" s="364"/>
      <c r="CN61" s="364"/>
      <c r="CO61" s="364"/>
      <c r="CP61" s="364"/>
      <c r="CQ61" s="364"/>
      <c r="CR61" s="804"/>
      <c r="CS61" s="852"/>
      <c r="CT61" s="853"/>
      <c r="CU61" s="853"/>
      <c r="CV61" s="853"/>
      <c r="CW61" s="853"/>
      <c r="CX61" s="853"/>
      <c r="CY61" s="853"/>
      <c r="CZ61" s="853"/>
      <c r="DA61" s="853"/>
      <c r="DC61" s="853"/>
      <c r="DD61" s="853"/>
      <c r="DE61" s="853"/>
      <c r="DF61" s="853"/>
      <c r="DG61" s="853"/>
      <c r="DH61" s="853"/>
      <c r="DI61" s="853"/>
      <c r="DJ61" s="853"/>
      <c r="DK61" s="853"/>
      <c r="DM61" s="853"/>
      <c r="DN61" s="853"/>
      <c r="DO61" s="853"/>
      <c r="DP61" s="853"/>
      <c r="DQ61" s="853"/>
      <c r="DR61" s="853"/>
      <c r="DS61" s="805"/>
      <c r="DT61" s="805"/>
      <c r="DV61" s="806">
        <f t="shared" si="4"/>
        <v>0</v>
      </c>
      <c r="DW61" s="806">
        <f t="shared" si="5"/>
        <v>0</v>
      </c>
      <c r="DX61" s="794">
        <f t="shared" si="6"/>
        <v>0</v>
      </c>
    </row>
    <row r="62" spans="1:128" hidden="1">
      <c r="A62" s="198">
        <v>1006</v>
      </c>
      <c r="B62" s="2">
        <v>103122</v>
      </c>
      <c r="C62" s="2" t="s">
        <v>147</v>
      </c>
      <c r="D62" s="2" t="s">
        <v>148</v>
      </c>
      <c r="E62" s="190" t="s">
        <v>36</v>
      </c>
      <c r="F62" s="211" t="str">
        <f>VLOOKUP(A62,'Summary June 2026'!A:F,6,FALSE)</f>
        <v>Chq Bk</v>
      </c>
      <c r="G62" s="33"/>
      <c r="H62" s="825">
        <v>213410.2130828732</v>
      </c>
      <c r="I62" s="804"/>
      <c r="J62" s="797">
        <v>0</v>
      </c>
      <c r="K62" s="797">
        <v>0</v>
      </c>
      <c r="L62" s="797">
        <v>129807.6</v>
      </c>
      <c r="M62" s="797">
        <v>5157.75</v>
      </c>
      <c r="N62" s="797">
        <v>372.89473684210526</v>
      </c>
      <c r="O62" s="797">
        <v>2987.4</v>
      </c>
      <c r="P62" s="797">
        <v>8775</v>
      </c>
      <c r="Q62" s="797">
        <f t="shared" ref="Q62:Q72" si="9">SUM(J62:P62)</f>
        <v>147100.64473684211</v>
      </c>
      <c r="R62" s="797">
        <f t="shared" si="1"/>
        <v>117680.51578947369</v>
      </c>
      <c r="S62" s="804"/>
      <c r="T62" s="364">
        <v>0</v>
      </c>
      <c r="U62" s="364">
        <v>17296.5</v>
      </c>
      <c r="V62" s="364">
        <v>115112.40000000001</v>
      </c>
      <c r="W62" s="364">
        <v>3139.4999999999995</v>
      </c>
      <c r="X62" s="364">
        <v>372.89473684210526</v>
      </c>
      <c r="Y62" s="364">
        <v>1710.15</v>
      </c>
      <c r="Z62" s="364">
        <v>7800</v>
      </c>
      <c r="AA62" s="364">
        <f t="shared" si="2"/>
        <v>145431.44473684212</v>
      </c>
      <c r="AB62" s="364">
        <f t="shared" si="3"/>
        <v>116345.15578947371</v>
      </c>
      <c r="AC62" s="804"/>
      <c r="AD62" s="817"/>
      <c r="AE62" s="817"/>
      <c r="AF62" s="817"/>
      <c r="AG62" s="817"/>
      <c r="AH62" s="817"/>
      <c r="AI62" s="817"/>
      <c r="AJ62" s="817"/>
      <c r="AK62" s="818"/>
      <c r="AL62" s="817"/>
      <c r="AM62" s="275"/>
      <c r="AN62" s="886">
        <v>22572.480914127416</v>
      </c>
      <c r="AO62" s="886">
        <v>2330.1894736842105</v>
      </c>
      <c r="AP62" s="275"/>
      <c r="AQ62" s="834"/>
      <c r="AR62" s="834"/>
      <c r="AS62" s="834"/>
      <c r="AT62" s="834"/>
      <c r="AU62" s="834"/>
      <c r="AV62" s="834"/>
      <c r="AW62" s="834"/>
      <c r="AX62" s="834"/>
      <c r="AZ62" s="835"/>
      <c r="BA62" s="835"/>
      <c r="BB62" s="835"/>
      <c r="BC62" s="835"/>
      <c r="BD62" s="835"/>
      <c r="BE62" s="835"/>
      <c r="BF62" s="835"/>
      <c r="BG62" s="835"/>
      <c r="BH62" s="814"/>
      <c r="BI62" s="834"/>
      <c r="BJ62" s="834"/>
      <c r="BK62" s="834"/>
      <c r="BL62" s="834"/>
      <c r="BM62" s="834"/>
      <c r="BN62" s="834"/>
      <c r="BO62" s="834"/>
      <c r="BP62" s="834"/>
      <c r="BQ62" s="275"/>
      <c r="BR62" s="843"/>
      <c r="BS62" s="843"/>
      <c r="BT62" s="843"/>
      <c r="BU62" s="843"/>
      <c r="BV62" s="843"/>
      <c r="BW62" s="843"/>
      <c r="BX62" s="843"/>
      <c r="BY62" s="843"/>
      <c r="BZ62" s="843"/>
      <c r="CA62" s="843"/>
      <c r="CB62" s="843"/>
      <c r="CC62" s="843"/>
      <c r="CD62" s="843"/>
      <c r="CE62" s="843"/>
      <c r="CF62" s="843"/>
      <c r="CG62" s="843"/>
      <c r="CH62" s="843"/>
      <c r="CI62" s="843"/>
      <c r="CJ62" s="844"/>
      <c r="CK62" s="364"/>
      <c r="CL62" s="364"/>
      <c r="CM62" s="364"/>
      <c r="CN62" s="364"/>
      <c r="CO62" s="364"/>
      <c r="CP62" s="364"/>
      <c r="CQ62" s="364"/>
      <c r="CR62" s="804"/>
      <c r="CS62" s="852"/>
      <c r="CT62" s="853"/>
      <c r="CU62" s="853"/>
      <c r="CV62" s="853"/>
      <c r="CW62" s="853"/>
      <c r="CX62" s="853"/>
      <c r="CY62" s="853"/>
      <c r="CZ62" s="853"/>
      <c r="DA62" s="853"/>
      <c r="DC62" s="853"/>
      <c r="DD62" s="853"/>
      <c r="DE62" s="853"/>
      <c r="DF62" s="853"/>
      <c r="DG62" s="853"/>
      <c r="DH62" s="853"/>
      <c r="DI62" s="853"/>
      <c r="DJ62" s="853"/>
      <c r="DK62" s="853"/>
      <c r="DM62" s="853"/>
      <c r="DN62" s="853"/>
      <c r="DO62" s="853"/>
      <c r="DP62" s="853"/>
      <c r="DQ62" s="853"/>
      <c r="DR62" s="853"/>
      <c r="DS62" s="805"/>
      <c r="DT62" s="805"/>
      <c r="DV62" s="806">
        <f t="shared" si="4"/>
        <v>456748.36557594803</v>
      </c>
      <c r="DW62" s="806">
        <f t="shared" si="5"/>
        <v>15590.189473684211</v>
      </c>
      <c r="DX62" s="794">
        <f t="shared" si="6"/>
        <v>472338.55504963227</v>
      </c>
    </row>
    <row r="63" spans="1:128" hidden="1">
      <c r="A63" s="198">
        <v>2079</v>
      </c>
      <c r="B63" s="2">
        <v>103200</v>
      </c>
      <c r="C63" s="2" t="s">
        <v>149</v>
      </c>
      <c r="D63" s="2" t="s">
        <v>150</v>
      </c>
      <c r="E63" s="190" t="s">
        <v>39</v>
      </c>
      <c r="F63" s="211" t="str">
        <f>VLOOKUP(A63,'Summary June 2026'!A:F,6,FALSE)</f>
        <v>Chq Bk</v>
      </c>
      <c r="G63" s="33"/>
      <c r="H63" s="825">
        <v>0</v>
      </c>
      <c r="I63" s="804"/>
      <c r="J63" s="797">
        <v>0</v>
      </c>
      <c r="K63" s="797">
        <v>0</v>
      </c>
      <c r="L63" s="797">
        <v>0</v>
      </c>
      <c r="M63" s="797">
        <v>0</v>
      </c>
      <c r="N63" s="797">
        <v>0</v>
      </c>
      <c r="O63" s="797">
        <v>0</v>
      </c>
      <c r="P63" s="797">
        <v>0</v>
      </c>
      <c r="Q63" s="797">
        <f t="shared" si="9"/>
        <v>0</v>
      </c>
      <c r="R63" s="797">
        <f t="shared" si="1"/>
        <v>0</v>
      </c>
      <c r="S63" s="804"/>
      <c r="T63" s="364">
        <v>0</v>
      </c>
      <c r="U63" s="364">
        <v>0</v>
      </c>
      <c r="V63" s="364">
        <v>0</v>
      </c>
      <c r="W63" s="364">
        <v>0</v>
      </c>
      <c r="X63" s="364">
        <v>0</v>
      </c>
      <c r="Y63" s="364">
        <v>0</v>
      </c>
      <c r="Z63" s="364">
        <v>0</v>
      </c>
      <c r="AA63" s="364">
        <f t="shared" si="2"/>
        <v>0</v>
      </c>
      <c r="AB63" s="364">
        <f t="shared" si="3"/>
        <v>0</v>
      </c>
      <c r="AC63" s="804"/>
      <c r="AD63" s="817"/>
      <c r="AE63" s="817"/>
      <c r="AF63" s="817"/>
      <c r="AG63" s="817"/>
      <c r="AH63" s="817"/>
      <c r="AI63" s="817"/>
      <c r="AJ63" s="817"/>
      <c r="AK63" s="818"/>
      <c r="AL63" s="817"/>
      <c r="AM63" s="275"/>
      <c r="AN63" s="886">
        <v>0</v>
      </c>
      <c r="AO63" s="886">
        <v>0</v>
      </c>
      <c r="AP63" s="275"/>
      <c r="AQ63" s="834"/>
      <c r="AR63" s="834"/>
      <c r="AS63" s="834"/>
      <c r="AT63" s="834"/>
      <c r="AU63" s="834"/>
      <c r="AV63" s="834"/>
      <c r="AW63" s="834"/>
      <c r="AX63" s="834"/>
      <c r="AZ63" s="835"/>
      <c r="BA63" s="835"/>
      <c r="BB63" s="835"/>
      <c r="BC63" s="835"/>
      <c r="BD63" s="835"/>
      <c r="BE63" s="835"/>
      <c r="BF63" s="835"/>
      <c r="BG63" s="835"/>
      <c r="BH63" s="814"/>
      <c r="BI63" s="834"/>
      <c r="BJ63" s="834"/>
      <c r="BK63" s="834"/>
      <c r="BL63" s="834"/>
      <c r="BM63" s="834"/>
      <c r="BN63" s="834"/>
      <c r="BO63" s="834"/>
      <c r="BP63" s="834"/>
      <c r="BQ63" s="275"/>
      <c r="BR63" s="843"/>
      <c r="BS63" s="843"/>
      <c r="BT63" s="843"/>
      <c r="BU63" s="843"/>
      <c r="BV63" s="843"/>
      <c r="BW63" s="843"/>
      <c r="BX63" s="843"/>
      <c r="BY63" s="843"/>
      <c r="BZ63" s="843"/>
      <c r="CA63" s="843"/>
      <c r="CB63" s="843"/>
      <c r="CC63" s="843"/>
      <c r="CD63" s="843"/>
      <c r="CE63" s="843"/>
      <c r="CF63" s="843"/>
      <c r="CG63" s="843"/>
      <c r="CH63" s="843"/>
      <c r="CI63" s="843"/>
      <c r="CJ63" s="844"/>
      <c r="CK63" s="364"/>
      <c r="CL63" s="364"/>
      <c r="CM63" s="364"/>
      <c r="CN63" s="364"/>
      <c r="CO63" s="364"/>
      <c r="CP63" s="364"/>
      <c r="CQ63" s="364"/>
      <c r="CR63" s="804"/>
      <c r="CS63" s="852"/>
      <c r="CT63" s="853"/>
      <c r="CU63" s="853"/>
      <c r="CV63" s="853"/>
      <c r="CW63" s="853"/>
      <c r="CX63" s="853"/>
      <c r="CY63" s="853"/>
      <c r="CZ63" s="853"/>
      <c r="DA63" s="853"/>
      <c r="DC63" s="853"/>
      <c r="DD63" s="853"/>
      <c r="DE63" s="853"/>
      <c r="DF63" s="853"/>
      <c r="DG63" s="853"/>
      <c r="DH63" s="853"/>
      <c r="DI63" s="853"/>
      <c r="DJ63" s="853"/>
      <c r="DK63" s="853"/>
      <c r="DM63" s="853"/>
      <c r="DN63" s="853"/>
      <c r="DO63" s="853"/>
      <c r="DP63" s="853"/>
      <c r="DQ63" s="853"/>
      <c r="DR63" s="853"/>
      <c r="DS63" s="805"/>
      <c r="DT63" s="805"/>
      <c r="DV63" s="806">
        <f t="shared" si="4"/>
        <v>0</v>
      </c>
      <c r="DW63" s="806">
        <f t="shared" si="5"/>
        <v>0</v>
      </c>
      <c r="DX63" s="794">
        <f t="shared" si="6"/>
        <v>0</v>
      </c>
    </row>
    <row r="64" spans="1:128" hidden="1">
      <c r="A64" s="198">
        <v>2081</v>
      </c>
      <c r="B64" s="2">
        <v>103201</v>
      </c>
      <c r="C64" s="2" t="s">
        <v>151</v>
      </c>
      <c r="D64" s="2" t="s">
        <v>152</v>
      </c>
      <c r="E64" s="190" t="s">
        <v>39</v>
      </c>
      <c r="F64" s="211" t="str">
        <f>VLOOKUP(A64,'Summary June 2026'!A:F,6,FALSE)</f>
        <v>Chq Bk</v>
      </c>
      <c r="G64" s="33"/>
      <c r="H64" s="825">
        <v>0</v>
      </c>
      <c r="I64" s="804"/>
      <c r="J64" s="797">
        <v>0</v>
      </c>
      <c r="K64" s="797">
        <v>0</v>
      </c>
      <c r="L64" s="797">
        <v>0</v>
      </c>
      <c r="M64" s="797">
        <v>0</v>
      </c>
      <c r="N64" s="797">
        <v>0</v>
      </c>
      <c r="O64" s="797">
        <v>0</v>
      </c>
      <c r="P64" s="797">
        <v>0</v>
      </c>
      <c r="Q64" s="797">
        <f t="shared" si="9"/>
        <v>0</v>
      </c>
      <c r="R64" s="797">
        <f t="shared" si="1"/>
        <v>0</v>
      </c>
      <c r="S64" s="804"/>
      <c r="T64" s="364">
        <v>0</v>
      </c>
      <c r="U64" s="364">
        <v>0</v>
      </c>
      <c r="V64" s="364">
        <v>0</v>
      </c>
      <c r="W64" s="364">
        <v>0</v>
      </c>
      <c r="X64" s="364">
        <v>0</v>
      </c>
      <c r="Y64" s="364">
        <v>0</v>
      </c>
      <c r="Z64" s="364">
        <v>0</v>
      </c>
      <c r="AA64" s="364">
        <f t="shared" si="2"/>
        <v>0</v>
      </c>
      <c r="AB64" s="364">
        <f t="shared" si="3"/>
        <v>0</v>
      </c>
      <c r="AC64" s="804"/>
      <c r="AD64" s="817"/>
      <c r="AE64" s="817"/>
      <c r="AF64" s="817"/>
      <c r="AG64" s="817"/>
      <c r="AH64" s="817"/>
      <c r="AI64" s="817"/>
      <c r="AJ64" s="817"/>
      <c r="AK64" s="818"/>
      <c r="AL64" s="817"/>
      <c r="AM64" s="275"/>
      <c r="AN64" s="886">
        <v>0</v>
      </c>
      <c r="AO64" s="886">
        <v>0</v>
      </c>
      <c r="AP64" s="275"/>
      <c r="AQ64" s="834"/>
      <c r="AR64" s="834"/>
      <c r="AS64" s="834"/>
      <c r="AT64" s="834"/>
      <c r="AU64" s="834"/>
      <c r="AV64" s="834"/>
      <c r="AW64" s="834"/>
      <c r="AX64" s="834"/>
      <c r="AZ64" s="835"/>
      <c r="BA64" s="835"/>
      <c r="BB64" s="835"/>
      <c r="BC64" s="835"/>
      <c r="BD64" s="835"/>
      <c r="BE64" s="835"/>
      <c r="BF64" s="835"/>
      <c r="BG64" s="835"/>
      <c r="BH64" s="814"/>
      <c r="BI64" s="834"/>
      <c r="BJ64" s="834"/>
      <c r="BK64" s="834"/>
      <c r="BL64" s="834"/>
      <c r="BM64" s="834"/>
      <c r="BN64" s="834"/>
      <c r="BO64" s="834"/>
      <c r="BP64" s="834"/>
      <c r="BQ64" s="275"/>
      <c r="BR64" s="843"/>
      <c r="BS64" s="843"/>
      <c r="BT64" s="843"/>
      <c r="BU64" s="843"/>
      <c r="BV64" s="843"/>
      <c r="BW64" s="843"/>
      <c r="BX64" s="843"/>
      <c r="BY64" s="843"/>
      <c r="BZ64" s="843"/>
      <c r="CA64" s="843"/>
      <c r="CB64" s="843"/>
      <c r="CC64" s="843"/>
      <c r="CD64" s="843"/>
      <c r="CE64" s="843"/>
      <c r="CF64" s="843"/>
      <c r="CG64" s="843"/>
      <c r="CH64" s="843"/>
      <c r="CI64" s="843"/>
      <c r="CJ64" s="844"/>
      <c r="CK64" s="364"/>
      <c r="CL64" s="364"/>
      <c r="CM64" s="364"/>
      <c r="CN64" s="364"/>
      <c r="CO64" s="364"/>
      <c r="CP64" s="364"/>
      <c r="CQ64" s="364"/>
      <c r="CR64" s="804"/>
      <c r="CS64" s="852"/>
      <c r="CT64" s="853"/>
      <c r="CU64" s="853"/>
      <c r="CV64" s="853"/>
      <c r="CW64" s="853"/>
      <c r="CX64" s="853"/>
      <c r="CY64" s="853"/>
      <c r="CZ64" s="853"/>
      <c r="DA64" s="853"/>
      <c r="DC64" s="853"/>
      <c r="DD64" s="853"/>
      <c r="DE64" s="853"/>
      <c r="DF64" s="853"/>
      <c r="DG64" s="853"/>
      <c r="DH64" s="853"/>
      <c r="DI64" s="853"/>
      <c r="DJ64" s="853"/>
      <c r="DK64" s="853"/>
      <c r="DM64" s="853"/>
      <c r="DN64" s="853"/>
      <c r="DO64" s="853"/>
      <c r="DP64" s="853"/>
      <c r="DQ64" s="853"/>
      <c r="DR64" s="853"/>
      <c r="DS64" s="805"/>
      <c r="DT64" s="805"/>
      <c r="DV64" s="806">
        <f t="shared" si="4"/>
        <v>0</v>
      </c>
      <c r="DW64" s="806">
        <f t="shared" si="5"/>
        <v>0</v>
      </c>
      <c r="DX64" s="794">
        <f t="shared" si="6"/>
        <v>0</v>
      </c>
    </row>
    <row r="65" spans="1:128" hidden="1">
      <c r="A65" s="198">
        <v>2296</v>
      </c>
      <c r="B65" s="2">
        <v>103320</v>
      </c>
      <c r="C65" s="2" t="s">
        <v>153</v>
      </c>
      <c r="D65" s="2" t="s">
        <v>154</v>
      </c>
      <c r="E65" s="190" t="s">
        <v>39</v>
      </c>
      <c r="F65" s="211" t="str">
        <f>VLOOKUP(A65,'Summary June 2026'!A:F,6,FALSE)</f>
        <v>Chq bk</v>
      </c>
      <c r="G65" s="33"/>
      <c r="H65" s="825">
        <v>0</v>
      </c>
      <c r="I65" s="804"/>
      <c r="J65" s="797">
        <v>0</v>
      </c>
      <c r="K65" s="797">
        <v>0</v>
      </c>
      <c r="L65" s="797">
        <v>0</v>
      </c>
      <c r="M65" s="797">
        <v>0</v>
      </c>
      <c r="N65" s="797">
        <v>0</v>
      </c>
      <c r="O65" s="797">
        <v>0</v>
      </c>
      <c r="P65" s="797">
        <v>0</v>
      </c>
      <c r="Q65" s="797">
        <f t="shared" si="9"/>
        <v>0</v>
      </c>
      <c r="R65" s="797">
        <f t="shared" si="1"/>
        <v>0</v>
      </c>
      <c r="S65" s="804"/>
      <c r="T65" s="364">
        <v>0</v>
      </c>
      <c r="U65" s="364">
        <v>0</v>
      </c>
      <c r="V65" s="364">
        <v>0</v>
      </c>
      <c r="W65" s="364">
        <v>0</v>
      </c>
      <c r="X65" s="364">
        <v>0</v>
      </c>
      <c r="Y65" s="364">
        <v>0</v>
      </c>
      <c r="Z65" s="364">
        <v>0</v>
      </c>
      <c r="AA65" s="364">
        <f t="shared" si="2"/>
        <v>0</v>
      </c>
      <c r="AB65" s="364">
        <f t="shared" si="3"/>
        <v>0</v>
      </c>
      <c r="AC65" s="804"/>
      <c r="AD65" s="817"/>
      <c r="AE65" s="817"/>
      <c r="AF65" s="817"/>
      <c r="AG65" s="817"/>
      <c r="AH65" s="817"/>
      <c r="AI65" s="817"/>
      <c r="AJ65" s="817"/>
      <c r="AK65" s="818"/>
      <c r="AL65" s="817"/>
      <c r="AM65" s="275"/>
      <c r="AN65" s="886">
        <v>0</v>
      </c>
      <c r="AO65" s="886">
        <v>0</v>
      </c>
      <c r="AP65" s="275"/>
      <c r="AQ65" s="834"/>
      <c r="AR65" s="834"/>
      <c r="AS65" s="834"/>
      <c r="AT65" s="834"/>
      <c r="AU65" s="834"/>
      <c r="AV65" s="834"/>
      <c r="AW65" s="834"/>
      <c r="AX65" s="834"/>
      <c r="AZ65" s="835"/>
      <c r="BA65" s="835"/>
      <c r="BB65" s="835"/>
      <c r="BC65" s="835"/>
      <c r="BD65" s="835"/>
      <c r="BE65" s="835"/>
      <c r="BF65" s="835"/>
      <c r="BG65" s="835"/>
      <c r="BH65" s="814"/>
      <c r="BI65" s="834"/>
      <c r="BJ65" s="834"/>
      <c r="BK65" s="834"/>
      <c r="BL65" s="834"/>
      <c r="BM65" s="834"/>
      <c r="BN65" s="834"/>
      <c r="BO65" s="834"/>
      <c r="BP65" s="834"/>
      <c r="BQ65" s="275"/>
      <c r="BR65" s="843"/>
      <c r="BS65" s="843"/>
      <c r="BT65" s="843"/>
      <c r="BU65" s="843"/>
      <c r="BV65" s="843"/>
      <c r="BW65" s="843"/>
      <c r="BX65" s="843"/>
      <c r="BY65" s="843"/>
      <c r="BZ65" s="843"/>
      <c r="CA65" s="843"/>
      <c r="CB65" s="843"/>
      <c r="CC65" s="843"/>
      <c r="CD65" s="843"/>
      <c r="CE65" s="843"/>
      <c r="CF65" s="843"/>
      <c r="CG65" s="843"/>
      <c r="CH65" s="843"/>
      <c r="CI65" s="843"/>
      <c r="CJ65" s="844"/>
      <c r="CK65" s="364"/>
      <c r="CL65" s="364"/>
      <c r="CM65" s="364"/>
      <c r="CN65" s="364"/>
      <c r="CO65" s="364"/>
      <c r="CP65" s="364"/>
      <c r="CQ65" s="364"/>
      <c r="CR65" s="804"/>
      <c r="CS65" s="852"/>
      <c r="CT65" s="853"/>
      <c r="CU65" s="853"/>
      <c r="CV65" s="853"/>
      <c r="CW65" s="853"/>
      <c r="CX65" s="853"/>
      <c r="CY65" s="853"/>
      <c r="CZ65" s="853"/>
      <c r="DA65" s="853"/>
      <c r="DC65" s="853"/>
      <c r="DD65" s="853"/>
      <c r="DE65" s="853"/>
      <c r="DF65" s="853"/>
      <c r="DG65" s="853"/>
      <c r="DH65" s="853"/>
      <c r="DI65" s="853"/>
      <c r="DJ65" s="853"/>
      <c r="DK65" s="853"/>
      <c r="DM65" s="853"/>
      <c r="DN65" s="853"/>
      <c r="DO65" s="853"/>
      <c r="DP65" s="853"/>
      <c r="DQ65" s="853"/>
      <c r="DR65" s="853"/>
      <c r="DS65" s="805"/>
      <c r="DT65" s="805"/>
      <c r="DV65" s="806">
        <f t="shared" si="4"/>
        <v>0</v>
      </c>
      <c r="DW65" s="806">
        <f t="shared" si="5"/>
        <v>0</v>
      </c>
      <c r="DX65" s="794">
        <f t="shared" si="6"/>
        <v>0</v>
      </c>
    </row>
    <row r="66" spans="1:128" hidden="1">
      <c r="A66" s="198">
        <v>1015</v>
      </c>
      <c r="B66" s="2">
        <v>103128</v>
      </c>
      <c r="C66" s="2" t="s">
        <v>155</v>
      </c>
      <c r="D66" s="2" t="s">
        <v>156</v>
      </c>
      <c r="E66" s="190" t="s">
        <v>36</v>
      </c>
      <c r="F66" s="211" t="str">
        <f>VLOOKUP(A66,'Summary June 2026'!A:F,6,FALSE)</f>
        <v>Chq Bk</v>
      </c>
      <c r="G66" s="33"/>
      <c r="H66" s="825">
        <v>256422.92704347361</v>
      </c>
      <c r="I66" s="804"/>
      <c r="J66" s="797">
        <v>0</v>
      </c>
      <c r="K66" s="797">
        <v>19026.150000000001</v>
      </c>
      <c r="L66" s="797">
        <v>162871.79999999999</v>
      </c>
      <c r="M66" s="797">
        <v>10315.5</v>
      </c>
      <c r="N66" s="797">
        <v>4327.1389473684212</v>
      </c>
      <c r="O66" s="797">
        <v>2638.35</v>
      </c>
      <c r="P66" s="797">
        <v>9750</v>
      </c>
      <c r="Q66" s="797">
        <f t="shared" si="9"/>
        <v>208928.93894736841</v>
      </c>
      <c r="R66" s="797">
        <f t="shared" si="1"/>
        <v>167143.15115789475</v>
      </c>
      <c r="S66" s="804"/>
      <c r="T66" s="364">
        <v>0</v>
      </c>
      <c r="U66" s="364">
        <v>72645.299999999988</v>
      </c>
      <c r="V66" s="364">
        <v>127358.39999999999</v>
      </c>
      <c r="W66" s="364">
        <v>9194.25</v>
      </c>
      <c r="X66" s="364">
        <v>4736.8305263157899</v>
      </c>
      <c r="Y66" s="364">
        <v>2412.1499999999996</v>
      </c>
      <c r="Z66" s="364">
        <v>5850</v>
      </c>
      <c r="AA66" s="364">
        <f t="shared" si="2"/>
        <v>222196.93052631576</v>
      </c>
      <c r="AB66" s="364">
        <f t="shared" si="3"/>
        <v>177757.54442105262</v>
      </c>
      <c r="AC66" s="804"/>
      <c r="AD66" s="817"/>
      <c r="AE66" s="817"/>
      <c r="AF66" s="817"/>
      <c r="AG66" s="817"/>
      <c r="AH66" s="817"/>
      <c r="AI66" s="817"/>
      <c r="AJ66" s="817"/>
      <c r="AK66" s="818"/>
      <c r="AL66" s="817"/>
      <c r="AM66" s="275"/>
      <c r="AN66" s="886">
        <v>39699.307617728511</v>
      </c>
      <c r="AO66" s="886">
        <v>903.18227146814388</v>
      </c>
      <c r="AP66" s="275"/>
      <c r="AQ66" s="834"/>
      <c r="AR66" s="834"/>
      <c r="AS66" s="834"/>
      <c r="AT66" s="834"/>
      <c r="AU66" s="834"/>
      <c r="AV66" s="834"/>
      <c r="AW66" s="834"/>
      <c r="AX66" s="834"/>
      <c r="AZ66" s="835"/>
      <c r="BA66" s="835"/>
      <c r="BB66" s="835"/>
      <c r="BC66" s="835"/>
      <c r="BD66" s="835"/>
      <c r="BE66" s="835"/>
      <c r="BF66" s="835"/>
      <c r="BG66" s="835"/>
      <c r="BH66" s="814"/>
      <c r="BI66" s="834"/>
      <c r="BJ66" s="834"/>
      <c r="BK66" s="834"/>
      <c r="BL66" s="834"/>
      <c r="BM66" s="834"/>
      <c r="BN66" s="834"/>
      <c r="BO66" s="834"/>
      <c r="BP66" s="834"/>
      <c r="BQ66" s="275"/>
      <c r="BR66" s="843"/>
      <c r="BS66" s="843"/>
      <c r="BT66" s="843"/>
      <c r="BU66" s="843"/>
      <c r="BV66" s="843"/>
      <c r="BW66" s="843"/>
      <c r="BX66" s="843"/>
      <c r="BY66" s="843"/>
      <c r="BZ66" s="843"/>
      <c r="CA66" s="843"/>
      <c r="CB66" s="843"/>
      <c r="CC66" s="843"/>
      <c r="CD66" s="843"/>
      <c r="CE66" s="843"/>
      <c r="CF66" s="843"/>
      <c r="CG66" s="843"/>
      <c r="CH66" s="843"/>
      <c r="CI66" s="843"/>
      <c r="CJ66" s="844"/>
      <c r="CK66" s="364"/>
      <c r="CL66" s="364"/>
      <c r="CM66" s="364"/>
      <c r="CN66" s="364"/>
      <c r="CO66" s="364"/>
      <c r="CP66" s="364"/>
      <c r="CQ66" s="364"/>
      <c r="CR66" s="804"/>
      <c r="CS66" s="852"/>
      <c r="CT66" s="853"/>
      <c r="CU66" s="853"/>
      <c r="CV66" s="853"/>
      <c r="CW66" s="853"/>
      <c r="CX66" s="853"/>
      <c r="CY66" s="853"/>
      <c r="CZ66" s="853"/>
      <c r="DA66" s="853"/>
      <c r="DC66" s="853"/>
      <c r="DD66" s="853"/>
      <c r="DE66" s="853"/>
      <c r="DF66" s="853"/>
      <c r="DG66" s="853"/>
      <c r="DH66" s="853"/>
      <c r="DI66" s="853"/>
      <c r="DJ66" s="853"/>
      <c r="DK66" s="853"/>
      <c r="DM66" s="853"/>
      <c r="DN66" s="853"/>
      <c r="DO66" s="853"/>
      <c r="DP66" s="853"/>
      <c r="DQ66" s="853"/>
      <c r="DR66" s="853"/>
      <c r="DS66" s="805"/>
      <c r="DT66" s="805"/>
      <c r="DV66" s="806">
        <f t="shared" si="4"/>
        <v>628542.93024014949</v>
      </c>
      <c r="DW66" s="806">
        <f t="shared" si="5"/>
        <v>13383.182271468144</v>
      </c>
      <c r="DX66" s="794">
        <f t="shared" si="6"/>
        <v>641926.1125116176</v>
      </c>
    </row>
    <row r="67" spans="1:128" hidden="1">
      <c r="A67" s="198">
        <v>1022</v>
      </c>
      <c r="B67" s="2">
        <v>103135</v>
      </c>
      <c r="C67" s="2" t="s">
        <v>157</v>
      </c>
      <c r="D67" s="2" t="s">
        <v>158</v>
      </c>
      <c r="E67" s="190" t="s">
        <v>36</v>
      </c>
      <c r="F67" s="211" t="str">
        <f>VLOOKUP(A67,'Summary June 2026'!A:F,6,FALSE)</f>
        <v>Chq Bk</v>
      </c>
      <c r="G67" s="33"/>
      <c r="H67" s="825">
        <v>211539.98053096584</v>
      </c>
      <c r="I67" s="804"/>
      <c r="J67" s="797">
        <v>0</v>
      </c>
      <c r="K67" s="797">
        <v>48430.2</v>
      </c>
      <c r="L67" s="797">
        <v>117561.60000000001</v>
      </c>
      <c r="M67" s="797">
        <v>9867</v>
      </c>
      <c r="N67" s="797">
        <v>1939.504210526316</v>
      </c>
      <c r="O67" s="797">
        <v>5598.45</v>
      </c>
      <c r="P67" s="797">
        <v>4875</v>
      </c>
      <c r="Q67" s="797">
        <f t="shared" si="9"/>
        <v>188271.75421052633</v>
      </c>
      <c r="R67" s="797">
        <f t="shared" si="1"/>
        <v>150617.40336842107</v>
      </c>
      <c r="S67" s="804"/>
      <c r="T67" s="364">
        <v>14379.3</v>
      </c>
      <c r="U67" s="364">
        <v>67589.399999999994</v>
      </c>
      <c r="V67" s="364">
        <v>74700.600000000006</v>
      </c>
      <c r="W67" s="364">
        <v>7983.7499999999991</v>
      </c>
      <c r="X67" s="364">
        <v>1491.7842105263157</v>
      </c>
      <c r="Y67" s="364">
        <v>4011.1499999999996</v>
      </c>
      <c r="Z67" s="364">
        <v>2925</v>
      </c>
      <c r="AA67" s="364">
        <f t="shared" si="2"/>
        <v>173080.98421052631</v>
      </c>
      <c r="AB67" s="364">
        <f t="shared" si="3"/>
        <v>138464.78736842106</v>
      </c>
      <c r="AC67" s="804"/>
      <c r="AD67" s="817"/>
      <c r="AE67" s="817"/>
      <c r="AF67" s="817"/>
      <c r="AG67" s="817"/>
      <c r="AH67" s="817"/>
      <c r="AI67" s="817"/>
      <c r="AJ67" s="817"/>
      <c r="AK67" s="818"/>
      <c r="AL67" s="817"/>
      <c r="AM67" s="275"/>
      <c r="AN67" s="886">
        <v>45451.06</v>
      </c>
      <c r="AO67" s="886">
        <v>-1571.4747922437675</v>
      </c>
      <c r="AP67" s="275"/>
      <c r="AQ67" s="834"/>
      <c r="AR67" s="834"/>
      <c r="AS67" s="834"/>
      <c r="AT67" s="834"/>
      <c r="AU67" s="834"/>
      <c r="AV67" s="834"/>
      <c r="AW67" s="834"/>
      <c r="AX67" s="834"/>
      <c r="AZ67" s="835"/>
      <c r="BA67" s="835"/>
      <c r="BB67" s="835"/>
      <c r="BC67" s="835"/>
      <c r="BD67" s="835"/>
      <c r="BE67" s="835"/>
      <c r="BF67" s="835"/>
      <c r="BG67" s="835"/>
      <c r="BH67" s="814"/>
      <c r="BI67" s="834"/>
      <c r="BJ67" s="834"/>
      <c r="BK67" s="834"/>
      <c r="BL67" s="834"/>
      <c r="BM67" s="834"/>
      <c r="BN67" s="834"/>
      <c r="BO67" s="834"/>
      <c r="BP67" s="834"/>
      <c r="BQ67" s="275"/>
      <c r="BR67" s="843"/>
      <c r="BS67" s="843"/>
      <c r="BT67" s="843"/>
      <c r="BU67" s="843"/>
      <c r="BV67" s="843"/>
      <c r="BW67" s="843"/>
      <c r="BX67" s="843"/>
      <c r="BY67" s="843"/>
      <c r="BZ67" s="843"/>
      <c r="CA67" s="843"/>
      <c r="CB67" s="843"/>
      <c r="CC67" s="843"/>
      <c r="CD67" s="843"/>
      <c r="CE67" s="843"/>
      <c r="CF67" s="843"/>
      <c r="CG67" s="843"/>
      <c r="CH67" s="843"/>
      <c r="CI67" s="843"/>
      <c r="CJ67" s="844"/>
      <c r="CK67" s="364"/>
      <c r="CL67" s="364"/>
      <c r="CM67" s="364"/>
      <c r="CN67" s="364"/>
      <c r="CO67" s="364"/>
      <c r="CP67" s="364"/>
      <c r="CQ67" s="364"/>
      <c r="CR67" s="804"/>
      <c r="CS67" s="852"/>
      <c r="CT67" s="853"/>
      <c r="CU67" s="853"/>
      <c r="CV67" s="853"/>
      <c r="CW67" s="853"/>
      <c r="CX67" s="853"/>
      <c r="CY67" s="853"/>
      <c r="CZ67" s="853"/>
      <c r="DA67" s="853"/>
      <c r="DC67" s="853"/>
      <c r="DD67" s="853"/>
      <c r="DE67" s="853"/>
      <c r="DF67" s="853"/>
      <c r="DG67" s="853"/>
      <c r="DH67" s="853"/>
      <c r="DI67" s="853"/>
      <c r="DJ67" s="853"/>
      <c r="DK67" s="853"/>
      <c r="DM67" s="853"/>
      <c r="DN67" s="853"/>
      <c r="DO67" s="853"/>
      <c r="DP67" s="853"/>
      <c r="DQ67" s="853"/>
      <c r="DR67" s="853"/>
      <c r="DS67" s="805"/>
      <c r="DT67" s="805"/>
      <c r="DV67" s="806">
        <f t="shared" si="4"/>
        <v>539833.23126780801</v>
      </c>
      <c r="DW67" s="806">
        <f t="shared" si="5"/>
        <v>4668.5252077562327</v>
      </c>
      <c r="DX67" s="794">
        <f t="shared" si="6"/>
        <v>544501.75647556421</v>
      </c>
    </row>
    <row r="68" spans="1:128" hidden="1">
      <c r="A68" s="198">
        <v>2087</v>
      </c>
      <c r="B68" s="2">
        <v>103205</v>
      </c>
      <c r="C68" s="2" t="s">
        <v>159</v>
      </c>
      <c r="D68" s="2" t="s">
        <v>160</v>
      </c>
      <c r="E68" s="190" t="s">
        <v>39</v>
      </c>
      <c r="F68" s="211" t="str">
        <f>VLOOKUP(A68,'Summary June 2026'!A:F,6,FALSE)</f>
        <v>Chq Bk</v>
      </c>
      <c r="G68" s="33"/>
      <c r="H68" s="825">
        <v>0</v>
      </c>
      <c r="I68" s="804"/>
      <c r="J68" s="797">
        <v>0</v>
      </c>
      <c r="K68" s="797">
        <v>0</v>
      </c>
      <c r="L68" s="797">
        <v>0</v>
      </c>
      <c r="M68" s="797">
        <v>0</v>
      </c>
      <c r="N68" s="797">
        <v>0</v>
      </c>
      <c r="O68" s="797">
        <v>0</v>
      </c>
      <c r="P68" s="797">
        <v>0</v>
      </c>
      <c r="Q68" s="797">
        <f t="shared" si="9"/>
        <v>0</v>
      </c>
      <c r="R68" s="797">
        <f t="shared" si="1"/>
        <v>0</v>
      </c>
      <c r="S68" s="804"/>
      <c r="T68" s="364">
        <v>0</v>
      </c>
      <c r="U68" s="364">
        <v>0</v>
      </c>
      <c r="V68" s="364">
        <v>0</v>
      </c>
      <c r="W68" s="364">
        <v>0</v>
      </c>
      <c r="X68" s="364">
        <v>0</v>
      </c>
      <c r="Y68" s="364">
        <v>0</v>
      </c>
      <c r="Z68" s="364">
        <v>0</v>
      </c>
      <c r="AA68" s="364">
        <f t="shared" si="2"/>
        <v>0</v>
      </c>
      <c r="AB68" s="364">
        <f t="shared" si="3"/>
        <v>0</v>
      </c>
      <c r="AC68" s="804"/>
      <c r="AD68" s="817"/>
      <c r="AE68" s="817"/>
      <c r="AF68" s="817"/>
      <c r="AG68" s="817"/>
      <c r="AH68" s="817"/>
      <c r="AI68" s="817"/>
      <c r="AJ68" s="817"/>
      <c r="AK68" s="818"/>
      <c r="AL68" s="817"/>
      <c r="AM68" s="275"/>
      <c r="AN68" s="886">
        <v>0</v>
      </c>
      <c r="AO68" s="886">
        <v>0</v>
      </c>
      <c r="AP68" s="275"/>
      <c r="AQ68" s="834"/>
      <c r="AR68" s="834"/>
      <c r="AS68" s="834"/>
      <c r="AT68" s="834"/>
      <c r="AU68" s="834"/>
      <c r="AV68" s="834"/>
      <c r="AW68" s="834"/>
      <c r="AX68" s="834"/>
      <c r="AZ68" s="835"/>
      <c r="BA68" s="835"/>
      <c r="BB68" s="835"/>
      <c r="BC68" s="835"/>
      <c r="BD68" s="835"/>
      <c r="BE68" s="835"/>
      <c r="BF68" s="835"/>
      <c r="BG68" s="835"/>
      <c r="BH68" s="814"/>
      <c r="BI68" s="834"/>
      <c r="BJ68" s="834"/>
      <c r="BK68" s="834"/>
      <c r="BL68" s="834"/>
      <c r="BM68" s="834"/>
      <c r="BN68" s="834"/>
      <c r="BO68" s="834"/>
      <c r="BP68" s="834"/>
      <c r="BQ68" s="275"/>
      <c r="BR68" s="843"/>
      <c r="BS68" s="843"/>
      <c r="BT68" s="843"/>
      <c r="BU68" s="843"/>
      <c r="BV68" s="843"/>
      <c r="BW68" s="843"/>
      <c r="BX68" s="843"/>
      <c r="BY68" s="843"/>
      <c r="BZ68" s="843"/>
      <c r="CA68" s="843"/>
      <c r="CB68" s="843"/>
      <c r="CC68" s="843"/>
      <c r="CD68" s="843"/>
      <c r="CE68" s="843"/>
      <c r="CF68" s="843"/>
      <c r="CG68" s="843"/>
      <c r="CH68" s="843"/>
      <c r="CI68" s="843"/>
      <c r="CJ68" s="844"/>
      <c r="CK68" s="364"/>
      <c r="CL68" s="364"/>
      <c r="CM68" s="364"/>
      <c r="CN68" s="364"/>
      <c r="CO68" s="364"/>
      <c r="CP68" s="364"/>
      <c r="CQ68" s="364"/>
      <c r="CR68" s="804"/>
      <c r="CS68" s="852"/>
      <c r="CT68" s="853"/>
      <c r="CU68" s="853"/>
      <c r="CV68" s="853"/>
      <c r="CW68" s="853"/>
      <c r="CX68" s="853"/>
      <c r="CY68" s="853"/>
      <c r="CZ68" s="853"/>
      <c r="DA68" s="853"/>
      <c r="DC68" s="853"/>
      <c r="DD68" s="853"/>
      <c r="DE68" s="853"/>
      <c r="DF68" s="853"/>
      <c r="DG68" s="853"/>
      <c r="DH68" s="853"/>
      <c r="DI68" s="853"/>
      <c r="DJ68" s="853"/>
      <c r="DK68" s="853"/>
      <c r="DM68" s="853"/>
      <c r="DN68" s="853"/>
      <c r="DO68" s="853"/>
      <c r="DP68" s="853"/>
      <c r="DQ68" s="853"/>
      <c r="DR68" s="853"/>
      <c r="DS68" s="805"/>
      <c r="DT68" s="805"/>
      <c r="DV68" s="806">
        <f t="shared" si="4"/>
        <v>0</v>
      </c>
      <c r="DW68" s="806">
        <f t="shared" si="5"/>
        <v>0</v>
      </c>
      <c r="DX68" s="794">
        <f t="shared" si="6"/>
        <v>0</v>
      </c>
    </row>
    <row r="69" spans="1:128" hidden="1">
      <c r="A69" s="198">
        <v>2466</v>
      </c>
      <c r="B69" s="2">
        <v>103392</v>
      </c>
      <c r="C69" s="2" t="s">
        <v>161</v>
      </c>
      <c r="D69" s="2" t="s">
        <v>162</v>
      </c>
      <c r="E69" s="190" t="s">
        <v>39</v>
      </c>
      <c r="F69" s="211" t="str">
        <f>VLOOKUP(A69,'Summary June 2026'!A:F,6,FALSE)</f>
        <v>Chq Bk</v>
      </c>
      <c r="G69" s="33"/>
      <c r="H69" s="825">
        <v>0</v>
      </c>
      <c r="I69" s="804"/>
      <c r="J69" s="797">
        <v>0</v>
      </c>
      <c r="K69" s="797">
        <v>0</v>
      </c>
      <c r="L69" s="797">
        <v>62454.6</v>
      </c>
      <c r="M69" s="797">
        <v>3363.7499999999995</v>
      </c>
      <c r="N69" s="797">
        <v>0</v>
      </c>
      <c r="O69" s="797">
        <v>1220.7</v>
      </c>
      <c r="P69" s="797">
        <v>0</v>
      </c>
      <c r="Q69" s="797">
        <f t="shared" si="9"/>
        <v>67039.049999999988</v>
      </c>
      <c r="R69" s="797">
        <f t="shared" si="1"/>
        <v>53631.239999999991</v>
      </c>
      <c r="S69" s="804"/>
      <c r="T69" s="364">
        <v>0</v>
      </c>
      <c r="U69" s="364">
        <v>0</v>
      </c>
      <c r="V69" s="364">
        <v>51433.200000000004</v>
      </c>
      <c r="W69" s="364">
        <v>2466.75</v>
      </c>
      <c r="X69" s="364">
        <v>74.62</v>
      </c>
      <c r="Y69" s="364">
        <v>1068.5999999999999</v>
      </c>
      <c r="Z69" s="364">
        <v>0</v>
      </c>
      <c r="AA69" s="364">
        <f t="shared" si="2"/>
        <v>55043.170000000006</v>
      </c>
      <c r="AB69" s="364">
        <f t="shared" si="3"/>
        <v>44034.536000000007</v>
      </c>
      <c r="AC69" s="804"/>
      <c r="AD69" s="817"/>
      <c r="AE69" s="817"/>
      <c r="AF69" s="817"/>
      <c r="AG69" s="817"/>
      <c r="AH69" s="817"/>
      <c r="AI69" s="817"/>
      <c r="AJ69" s="817"/>
      <c r="AK69" s="818"/>
      <c r="AL69" s="817"/>
      <c r="AM69" s="275"/>
      <c r="AN69" s="886">
        <v>4288.7380055401491</v>
      </c>
      <c r="AO69" s="886">
        <v>0</v>
      </c>
      <c r="AP69" s="275"/>
      <c r="AQ69" s="834"/>
      <c r="AR69" s="834"/>
      <c r="AS69" s="834"/>
      <c r="AT69" s="834"/>
      <c r="AU69" s="834"/>
      <c r="AV69" s="834"/>
      <c r="AW69" s="834"/>
      <c r="AX69" s="834"/>
      <c r="AZ69" s="835"/>
      <c r="BA69" s="835"/>
      <c r="BB69" s="835"/>
      <c r="BC69" s="835"/>
      <c r="BD69" s="835"/>
      <c r="BE69" s="835"/>
      <c r="BF69" s="835"/>
      <c r="BG69" s="835"/>
      <c r="BH69" s="814"/>
      <c r="BI69" s="834"/>
      <c r="BJ69" s="834"/>
      <c r="BK69" s="834"/>
      <c r="BL69" s="834"/>
      <c r="BM69" s="834"/>
      <c r="BN69" s="834"/>
      <c r="BO69" s="834"/>
      <c r="BP69" s="834"/>
      <c r="BQ69" s="275"/>
      <c r="BR69" s="843"/>
      <c r="BS69" s="843"/>
      <c r="BT69" s="843"/>
      <c r="BU69" s="843"/>
      <c r="BV69" s="843"/>
      <c r="BW69" s="843"/>
      <c r="BX69" s="843"/>
      <c r="BY69" s="843"/>
      <c r="BZ69" s="843"/>
      <c r="CA69" s="843"/>
      <c r="CB69" s="843"/>
      <c r="CC69" s="843"/>
      <c r="CD69" s="843"/>
      <c r="CE69" s="843"/>
      <c r="CF69" s="843"/>
      <c r="CG69" s="843"/>
      <c r="CH69" s="843"/>
      <c r="CI69" s="843"/>
      <c r="CJ69" s="844"/>
      <c r="CK69" s="364"/>
      <c r="CL69" s="364"/>
      <c r="CM69" s="364"/>
      <c r="CN69" s="364"/>
      <c r="CO69" s="364"/>
      <c r="CP69" s="364"/>
      <c r="CQ69" s="364"/>
      <c r="CR69" s="804"/>
      <c r="CS69" s="852"/>
      <c r="CT69" s="853"/>
      <c r="CU69" s="853"/>
      <c r="CV69" s="853"/>
      <c r="CW69" s="853"/>
      <c r="CX69" s="853"/>
      <c r="CY69" s="853"/>
      <c r="CZ69" s="853"/>
      <c r="DA69" s="853"/>
      <c r="DC69" s="853"/>
      <c r="DD69" s="853"/>
      <c r="DE69" s="853"/>
      <c r="DF69" s="853"/>
      <c r="DG69" s="853"/>
      <c r="DH69" s="853"/>
      <c r="DI69" s="853"/>
      <c r="DJ69" s="853"/>
      <c r="DK69" s="853"/>
      <c r="DM69" s="853"/>
      <c r="DN69" s="853"/>
      <c r="DO69" s="853"/>
      <c r="DP69" s="853"/>
      <c r="DQ69" s="853"/>
      <c r="DR69" s="853"/>
      <c r="DS69" s="805"/>
      <c r="DT69" s="805"/>
      <c r="DV69" s="806">
        <f t="shared" si="4"/>
        <v>101954.51400554016</v>
      </c>
      <c r="DW69" s="806">
        <f t="shared" si="5"/>
        <v>0</v>
      </c>
      <c r="DX69" s="794">
        <f t="shared" si="6"/>
        <v>101954.51400554016</v>
      </c>
    </row>
    <row r="70" spans="1:128" hidden="1">
      <c r="A70" s="198">
        <v>2091</v>
      </c>
      <c r="B70" s="2">
        <v>103208</v>
      </c>
      <c r="C70" s="2" t="s">
        <v>163</v>
      </c>
      <c r="D70" s="2" t="s">
        <v>164</v>
      </c>
      <c r="E70" s="190" t="s">
        <v>39</v>
      </c>
      <c r="F70" s="211" t="str">
        <f>VLOOKUP(A70,'Summary June 2026'!A:F,6,FALSE)</f>
        <v>Chq Bk</v>
      </c>
      <c r="G70" s="33"/>
      <c r="H70" s="825">
        <v>0</v>
      </c>
      <c r="I70" s="804"/>
      <c r="J70" s="797">
        <v>0</v>
      </c>
      <c r="K70" s="797">
        <v>0</v>
      </c>
      <c r="L70" s="797">
        <v>0</v>
      </c>
      <c r="M70" s="797">
        <v>0</v>
      </c>
      <c r="N70" s="797">
        <v>0</v>
      </c>
      <c r="O70" s="797">
        <v>0</v>
      </c>
      <c r="P70" s="797">
        <v>0</v>
      </c>
      <c r="Q70" s="797">
        <f t="shared" si="9"/>
        <v>0</v>
      </c>
      <c r="R70" s="797">
        <f t="shared" si="1"/>
        <v>0</v>
      </c>
      <c r="S70" s="804"/>
      <c r="T70" s="364">
        <v>0</v>
      </c>
      <c r="U70" s="364">
        <v>0</v>
      </c>
      <c r="V70" s="364">
        <v>0</v>
      </c>
      <c r="W70" s="364">
        <v>0</v>
      </c>
      <c r="X70" s="364">
        <v>0</v>
      </c>
      <c r="Y70" s="364">
        <v>0</v>
      </c>
      <c r="Z70" s="364">
        <v>0</v>
      </c>
      <c r="AA70" s="364">
        <f t="shared" si="2"/>
        <v>0</v>
      </c>
      <c r="AB70" s="364">
        <f t="shared" si="3"/>
        <v>0</v>
      </c>
      <c r="AC70" s="804"/>
      <c r="AD70" s="817"/>
      <c r="AE70" s="817"/>
      <c r="AF70" s="817"/>
      <c r="AG70" s="817"/>
      <c r="AH70" s="817"/>
      <c r="AI70" s="817"/>
      <c r="AJ70" s="817"/>
      <c r="AK70" s="818"/>
      <c r="AL70" s="817"/>
      <c r="AM70" s="275"/>
      <c r="AN70" s="886">
        <v>0</v>
      </c>
      <c r="AO70" s="886">
        <v>0</v>
      </c>
      <c r="AP70" s="275"/>
      <c r="AQ70" s="834"/>
      <c r="AR70" s="834"/>
      <c r="AS70" s="834"/>
      <c r="AT70" s="834"/>
      <c r="AU70" s="834"/>
      <c r="AV70" s="834"/>
      <c r="AW70" s="834"/>
      <c r="AX70" s="834"/>
      <c r="AZ70" s="835"/>
      <c r="BA70" s="835"/>
      <c r="BB70" s="835"/>
      <c r="BC70" s="835"/>
      <c r="BD70" s="835"/>
      <c r="BE70" s="835"/>
      <c r="BF70" s="835"/>
      <c r="BG70" s="835"/>
      <c r="BH70" s="814"/>
      <c r="BI70" s="834"/>
      <c r="BJ70" s="834"/>
      <c r="BK70" s="834"/>
      <c r="BL70" s="834"/>
      <c r="BM70" s="834"/>
      <c r="BN70" s="834"/>
      <c r="BO70" s="834"/>
      <c r="BP70" s="834"/>
      <c r="BQ70" s="275"/>
      <c r="BR70" s="843"/>
      <c r="BS70" s="843"/>
      <c r="BT70" s="843"/>
      <c r="BU70" s="843"/>
      <c r="BV70" s="843"/>
      <c r="BW70" s="843"/>
      <c r="BX70" s="843"/>
      <c r="BY70" s="843"/>
      <c r="BZ70" s="843"/>
      <c r="CA70" s="843"/>
      <c r="CB70" s="843"/>
      <c r="CC70" s="843"/>
      <c r="CD70" s="843"/>
      <c r="CE70" s="843"/>
      <c r="CF70" s="843"/>
      <c r="CG70" s="843"/>
      <c r="CH70" s="843"/>
      <c r="CI70" s="843"/>
      <c r="CJ70" s="844"/>
      <c r="CK70" s="364"/>
      <c r="CL70" s="364"/>
      <c r="CM70" s="364"/>
      <c r="CN70" s="364"/>
      <c r="CO70" s="364"/>
      <c r="CP70" s="364"/>
      <c r="CQ70" s="364"/>
      <c r="CR70" s="804"/>
      <c r="CS70" s="852"/>
      <c r="CT70" s="853"/>
      <c r="CU70" s="853"/>
      <c r="CV70" s="853"/>
      <c r="CW70" s="853"/>
      <c r="CX70" s="853"/>
      <c r="CY70" s="853"/>
      <c r="CZ70" s="853"/>
      <c r="DA70" s="853"/>
      <c r="DC70" s="853"/>
      <c r="DD70" s="853"/>
      <c r="DE70" s="853"/>
      <c r="DF70" s="853"/>
      <c r="DG70" s="853"/>
      <c r="DH70" s="853"/>
      <c r="DI70" s="853"/>
      <c r="DJ70" s="853"/>
      <c r="DK70" s="853"/>
      <c r="DM70" s="853"/>
      <c r="DN70" s="853"/>
      <c r="DO70" s="853"/>
      <c r="DP70" s="853"/>
      <c r="DQ70" s="853"/>
      <c r="DR70" s="853"/>
      <c r="DS70" s="805"/>
      <c r="DT70" s="805"/>
      <c r="DV70" s="806">
        <f t="shared" si="4"/>
        <v>0</v>
      </c>
      <c r="DW70" s="806">
        <f t="shared" si="5"/>
        <v>0</v>
      </c>
      <c r="DX70" s="794">
        <f t="shared" si="6"/>
        <v>0</v>
      </c>
    </row>
    <row r="71" spans="1:128" hidden="1">
      <c r="A71" s="198">
        <v>2093</v>
      </c>
      <c r="B71" s="2">
        <v>103210</v>
      </c>
      <c r="C71" s="2" t="s">
        <v>165</v>
      </c>
      <c r="D71" s="2" t="s">
        <v>166</v>
      </c>
      <c r="E71" s="190" t="s">
        <v>39</v>
      </c>
      <c r="F71" s="211" t="str">
        <f>VLOOKUP(A71,'Summary June 2026'!A:F,6,FALSE)</f>
        <v>Chq Bk</v>
      </c>
      <c r="G71" s="33"/>
      <c r="H71" s="825">
        <v>0</v>
      </c>
      <c r="I71" s="804"/>
      <c r="J71" s="797">
        <v>0</v>
      </c>
      <c r="K71" s="797">
        <v>0</v>
      </c>
      <c r="L71" s="797">
        <v>62454.600000000006</v>
      </c>
      <c r="M71" s="797">
        <v>3363.7499999999995</v>
      </c>
      <c r="N71" s="797">
        <v>1119.3000000000002</v>
      </c>
      <c r="O71" s="797">
        <v>222.3</v>
      </c>
      <c r="P71" s="797">
        <v>0</v>
      </c>
      <c r="Q71" s="797">
        <f t="shared" si="9"/>
        <v>67159.950000000012</v>
      </c>
      <c r="R71" s="797">
        <f t="shared" si="1"/>
        <v>53727.960000000014</v>
      </c>
      <c r="S71" s="804"/>
      <c r="T71" s="364">
        <v>0</v>
      </c>
      <c r="U71" s="364">
        <v>0</v>
      </c>
      <c r="V71" s="364">
        <v>61230</v>
      </c>
      <c r="W71" s="364">
        <v>2242.5</v>
      </c>
      <c r="X71" s="364">
        <v>671.58</v>
      </c>
      <c r="Y71" s="364">
        <v>159.9</v>
      </c>
      <c r="Z71" s="364">
        <v>0</v>
      </c>
      <c r="AA71" s="364">
        <f t="shared" si="2"/>
        <v>64303.98</v>
      </c>
      <c r="AB71" s="364">
        <f t="shared" si="3"/>
        <v>51443.184000000008</v>
      </c>
      <c r="AC71" s="804"/>
      <c r="AD71" s="817"/>
      <c r="AE71" s="817"/>
      <c r="AF71" s="817"/>
      <c r="AG71" s="817"/>
      <c r="AH71" s="817"/>
      <c r="AI71" s="817"/>
      <c r="AJ71" s="817"/>
      <c r="AK71" s="818"/>
      <c r="AL71" s="817"/>
      <c r="AM71" s="275"/>
      <c r="AN71" s="886">
        <v>5912.3130193905872</v>
      </c>
      <c r="AO71" s="886">
        <v>0</v>
      </c>
      <c r="AP71" s="275"/>
      <c r="AQ71" s="834"/>
      <c r="AR71" s="834"/>
      <c r="AS71" s="834"/>
      <c r="AT71" s="834"/>
      <c r="AU71" s="834"/>
      <c r="AV71" s="834"/>
      <c r="AW71" s="834"/>
      <c r="AX71" s="834"/>
      <c r="AZ71" s="835"/>
      <c r="BA71" s="835"/>
      <c r="BB71" s="835"/>
      <c r="BC71" s="835"/>
      <c r="BD71" s="835"/>
      <c r="BE71" s="835"/>
      <c r="BF71" s="835"/>
      <c r="BG71" s="835"/>
      <c r="BH71" s="814"/>
      <c r="BI71" s="834"/>
      <c r="BJ71" s="834"/>
      <c r="BK71" s="834"/>
      <c r="BL71" s="834"/>
      <c r="BM71" s="834"/>
      <c r="BN71" s="834"/>
      <c r="BO71" s="834"/>
      <c r="BP71" s="834"/>
      <c r="BQ71" s="275"/>
      <c r="BR71" s="843"/>
      <c r="BS71" s="843"/>
      <c r="BT71" s="843"/>
      <c r="BU71" s="843"/>
      <c r="BV71" s="843"/>
      <c r="BW71" s="843"/>
      <c r="BX71" s="843"/>
      <c r="BY71" s="843"/>
      <c r="BZ71" s="843"/>
      <c r="CA71" s="843"/>
      <c r="CB71" s="843"/>
      <c r="CC71" s="843"/>
      <c r="CD71" s="843"/>
      <c r="CE71" s="843"/>
      <c r="CF71" s="843"/>
      <c r="CG71" s="843"/>
      <c r="CH71" s="843"/>
      <c r="CI71" s="843"/>
      <c r="CJ71" s="844"/>
      <c r="CK71" s="364"/>
      <c r="CL71" s="364"/>
      <c r="CM71" s="364"/>
      <c r="CN71" s="364"/>
      <c r="CO71" s="364"/>
      <c r="CP71" s="364"/>
      <c r="CQ71" s="364"/>
      <c r="CR71" s="804"/>
      <c r="CS71" s="852"/>
      <c r="CT71" s="853"/>
      <c r="CU71" s="853"/>
      <c r="CV71" s="853"/>
      <c r="CW71" s="853"/>
      <c r="CX71" s="853"/>
      <c r="CY71" s="853"/>
      <c r="CZ71" s="853"/>
      <c r="DA71" s="853"/>
      <c r="DC71" s="853"/>
      <c r="DD71" s="853"/>
      <c r="DE71" s="853"/>
      <c r="DF71" s="853"/>
      <c r="DG71" s="853"/>
      <c r="DH71" s="853"/>
      <c r="DI71" s="853"/>
      <c r="DJ71" s="853"/>
      <c r="DK71" s="853"/>
      <c r="DM71" s="853"/>
      <c r="DN71" s="853"/>
      <c r="DO71" s="853"/>
      <c r="DP71" s="853"/>
      <c r="DQ71" s="853"/>
      <c r="DR71" s="853"/>
      <c r="DS71" s="805"/>
      <c r="DT71" s="805"/>
      <c r="DV71" s="806">
        <f t="shared" si="4"/>
        <v>111083.45701939058</v>
      </c>
      <c r="DW71" s="806">
        <f t="shared" si="5"/>
        <v>0</v>
      </c>
      <c r="DX71" s="794">
        <f t="shared" si="6"/>
        <v>111083.45701939058</v>
      </c>
    </row>
    <row r="72" spans="1:128" hidden="1">
      <c r="A72" s="198">
        <v>2092</v>
      </c>
      <c r="B72" s="2">
        <v>103209</v>
      </c>
      <c r="C72" s="2" t="s">
        <v>167</v>
      </c>
      <c r="D72" s="2" t="s">
        <v>168</v>
      </c>
      <c r="E72" s="190" t="s">
        <v>39</v>
      </c>
      <c r="F72" s="211" t="str">
        <f>VLOOKUP(A72,'Summary June 2026'!A:F,6,FALSE)</f>
        <v>Chq Bk</v>
      </c>
      <c r="G72" s="33"/>
      <c r="H72" s="825">
        <v>0</v>
      </c>
      <c r="I72" s="804"/>
      <c r="J72" s="797">
        <v>0</v>
      </c>
      <c r="K72" s="797">
        <v>0</v>
      </c>
      <c r="L72" s="797">
        <v>0</v>
      </c>
      <c r="M72" s="797">
        <v>0</v>
      </c>
      <c r="N72" s="797">
        <v>0</v>
      </c>
      <c r="O72" s="797">
        <v>0</v>
      </c>
      <c r="P72" s="797">
        <v>0</v>
      </c>
      <c r="Q72" s="797">
        <f t="shared" si="9"/>
        <v>0</v>
      </c>
      <c r="R72" s="797">
        <f t="shared" si="1"/>
        <v>0</v>
      </c>
      <c r="S72" s="804"/>
      <c r="T72" s="364">
        <v>0</v>
      </c>
      <c r="U72" s="364">
        <v>0</v>
      </c>
      <c r="V72" s="364">
        <v>0</v>
      </c>
      <c r="W72" s="364">
        <v>0</v>
      </c>
      <c r="X72" s="364">
        <v>0</v>
      </c>
      <c r="Y72" s="364">
        <v>0</v>
      </c>
      <c r="Z72" s="364">
        <v>0</v>
      </c>
      <c r="AA72" s="364">
        <f t="shared" si="2"/>
        <v>0</v>
      </c>
      <c r="AB72" s="364">
        <f t="shared" si="3"/>
        <v>0</v>
      </c>
      <c r="AC72" s="804"/>
      <c r="AD72" s="817"/>
      <c r="AE72" s="817"/>
      <c r="AF72" s="817"/>
      <c r="AG72" s="817"/>
      <c r="AH72" s="817"/>
      <c r="AI72" s="817"/>
      <c r="AJ72" s="817"/>
      <c r="AK72" s="818"/>
      <c r="AL72" s="817"/>
      <c r="AM72" s="275"/>
      <c r="AN72" s="886">
        <v>0</v>
      </c>
      <c r="AO72" s="886">
        <v>0</v>
      </c>
      <c r="AP72" s="275"/>
      <c r="AQ72" s="834"/>
      <c r="AR72" s="834"/>
      <c r="AS72" s="834"/>
      <c r="AT72" s="834"/>
      <c r="AU72" s="834"/>
      <c r="AV72" s="834"/>
      <c r="AW72" s="834"/>
      <c r="AX72" s="834"/>
      <c r="AZ72" s="835"/>
      <c r="BA72" s="835"/>
      <c r="BB72" s="835"/>
      <c r="BC72" s="835"/>
      <c r="BD72" s="835"/>
      <c r="BE72" s="835"/>
      <c r="BF72" s="835"/>
      <c r="BG72" s="835"/>
      <c r="BH72" s="814"/>
      <c r="BI72" s="834"/>
      <c r="BJ72" s="834"/>
      <c r="BK72" s="834"/>
      <c r="BL72" s="834"/>
      <c r="BM72" s="834"/>
      <c r="BN72" s="834"/>
      <c r="BO72" s="834"/>
      <c r="BP72" s="834"/>
      <c r="BQ72" s="275"/>
      <c r="BR72" s="843"/>
      <c r="BS72" s="843"/>
      <c r="BT72" s="843"/>
      <c r="BU72" s="843"/>
      <c r="BV72" s="843"/>
      <c r="BW72" s="843"/>
      <c r="BX72" s="843"/>
      <c r="BY72" s="843"/>
      <c r="BZ72" s="843"/>
      <c r="CA72" s="843"/>
      <c r="CB72" s="843"/>
      <c r="CC72" s="843"/>
      <c r="CD72" s="843"/>
      <c r="CE72" s="843"/>
      <c r="CF72" s="843"/>
      <c r="CG72" s="843"/>
      <c r="CH72" s="843"/>
      <c r="CI72" s="843"/>
      <c r="CJ72" s="844"/>
      <c r="CK72" s="364"/>
      <c r="CL72" s="364"/>
      <c r="CM72" s="364"/>
      <c r="CN72" s="364"/>
      <c r="CO72" s="364"/>
      <c r="CP72" s="364"/>
      <c r="CQ72" s="364"/>
      <c r="CR72" s="804"/>
      <c r="CS72" s="852"/>
      <c r="CT72" s="853"/>
      <c r="CU72" s="853"/>
      <c r="CV72" s="853"/>
      <c r="CW72" s="853"/>
      <c r="CX72" s="853"/>
      <c r="CY72" s="853"/>
      <c r="CZ72" s="853"/>
      <c r="DA72" s="853"/>
      <c r="DC72" s="853"/>
      <c r="DD72" s="853"/>
      <c r="DE72" s="853"/>
      <c r="DF72" s="853"/>
      <c r="DG72" s="853"/>
      <c r="DH72" s="853"/>
      <c r="DI72" s="853"/>
      <c r="DJ72" s="853"/>
      <c r="DK72" s="853"/>
      <c r="DM72" s="853"/>
      <c r="DN72" s="853"/>
      <c r="DO72" s="853"/>
      <c r="DP72" s="853"/>
      <c r="DQ72" s="853"/>
      <c r="DR72" s="853"/>
      <c r="DS72" s="805"/>
      <c r="DT72" s="805"/>
      <c r="DV72" s="806">
        <f t="shared" si="4"/>
        <v>0</v>
      </c>
      <c r="DW72" s="806">
        <f t="shared" si="5"/>
        <v>0</v>
      </c>
      <c r="DX72" s="794">
        <f t="shared" si="6"/>
        <v>0</v>
      </c>
    </row>
    <row r="73" spans="1:128" hidden="1">
      <c r="A73" s="198">
        <v>7006</v>
      </c>
      <c r="B73" s="2">
        <v>103600</v>
      </c>
      <c r="C73" s="2" t="s">
        <v>169</v>
      </c>
      <c r="D73" s="2" t="s">
        <v>170</v>
      </c>
      <c r="E73" s="190" t="s">
        <v>56</v>
      </c>
      <c r="F73" s="211" t="str">
        <f>VLOOKUP(A73,'Summary June 2026'!A:F,6,FALSE)</f>
        <v>Chq Bk</v>
      </c>
      <c r="G73" s="33"/>
      <c r="H73" s="825">
        <v>0</v>
      </c>
      <c r="I73" s="804"/>
      <c r="J73" s="797"/>
      <c r="K73" s="797"/>
      <c r="L73" s="797"/>
      <c r="M73" s="797"/>
      <c r="N73" s="797"/>
      <c r="O73" s="797"/>
      <c r="P73" s="797"/>
      <c r="Q73" s="797"/>
      <c r="R73" s="797"/>
      <c r="S73" s="804"/>
      <c r="T73" s="364"/>
      <c r="U73" s="364"/>
      <c r="V73" s="364"/>
      <c r="W73" s="364"/>
      <c r="X73" s="364"/>
      <c r="Y73" s="364"/>
      <c r="Z73" s="364"/>
      <c r="AA73" s="364"/>
      <c r="AB73" s="364"/>
      <c r="AC73" s="804"/>
      <c r="AD73" s="817"/>
      <c r="AE73" s="817"/>
      <c r="AF73" s="817"/>
      <c r="AG73" s="817"/>
      <c r="AH73" s="817"/>
      <c r="AI73" s="817"/>
      <c r="AJ73" s="817"/>
      <c r="AK73" s="818"/>
      <c r="AL73" s="817"/>
      <c r="AM73" s="275"/>
      <c r="AN73" s="886">
        <v>0</v>
      </c>
      <c r="AO73" s="886">
        <v>0</v>
      </c>
      <c r="AP73" s="275"/>
      <c r="AQ73" s="834"/>
      <c r="AR73" s="834"/>
      <c r="AS73" s="834"/>
      <c r="AT73" s="834"/>
      <c r="AU73" s="834"/>
      <c r="AV73" s="834"/>
      <c r="AW73" s="834"/>
      <c r="AX73" s="834"/>
      <c r="AZ73" s="835"/>
      <c r="BA73" s="835"/>
      <c r="BB73" s="835"/>
      <c r="BC73" s="835"/>
      <c r="BD73" s="835"/>
      <c r="BE73" s="835"/>
      <c r="BF73" s="835"/>
      <c r="BG73" s="835"/>
      <c r="BH73" s="814"/>
      <c r="BI73" s="834"/>
      <c r="BJ73" s="834"/>
      <c r="BK73" s="834"/>
      <c r="BL73" s="834"/>
      <c r="BM73" s="834"/>
      <c r="BN73" s="834"/>
      <c r="BO73" s="834"/>
      <c r="BP73" s="834"/>
      <c r="BQ73" s="275"/>
      <c r="BR73" s="843"/>
      <c r="BS73" s="843"/>
      <c r="BT73" s="843"/>
      <c r="BU73" s="843"/>
      <c r="BV73" s="843"/>
      <c r="BW73" s="843"/>
      <c r="BX73" s="843"/>
      <c r="BY73" s="843"/>
      <c r="BZ73" s="843"/>
      <c r="CA73" s="843"/>
      <c r="CB73" s="843"/>
      <c r="CC73" s="843"/>
      <c r="CD73" s="843"/>
      <c r="CE73" s="843"/>
      <c r="CF73" s="843"/>
      <c r="CG73" s="843"/>
      <c r="CH73" s="843"/>
      <c r="CI73" s="843"/>
      <c r="CJ73" s="844"/>
      <c r="CK73" s="364"/>
      <c r="CL73" s="364"/>
      <c r="CM73" s="364"/>
      <c r="CN73" s="364"/>
      <c r="CO73" s="364"/>
      <c r="CP73" s="364"/>
      <c r="CQ73" s="364"/>
      <c r="CR73" s="804"/>
      <c r="CS73" s="852"/>
      <c r="CT73" s="853"/>
      <c r="CU73" s="853"/>
      <c r="CV73" s="853"/>
      <c r="CW73" s="853"/>
      <c r="CX73" s="853"/>
      <c r="CY73" s="853"/>
      <c r="CZ73" s="853"/>
      <c r="DA73" s="853"/>
      <c r="DC73" s="853"/>
      <c r="DD73" s="853"/>
      <c r="DE73" s="853"/>
      <c r="DF73" s="853"/>
      <c r="DG73" s="853"/>
      <c r="DH73" s="853"/>
      <c r="DI73" s="853"/>
      <c r="DJ73" s="853"/>
      <c r="DK73" s="853"/>
      <c r="DM73" s="853"/>
      <c r="DN73" s="853"/>
      <c r="DO73" s="853"/>
      <c r="DP73" s="853"/>
      <c r="DQ73" s="853"/>
      <c r="DR73" s="853"/>
      <c r="DS73" s="805"/>
      <c r="DT73" s="805"/>
      <c r="DV73" s="806">
        <f t="shared" ref="DV73:DV136" si="10">H73+((SUMIFS($J73:$AL73,$J$3:$AL$3,$DV$7)*80%))+(SUMIFS($AN73:$AO73,$AN$3:$AO$3,$DV$7))</f>
        <v>0</v>
      </c>
      <c r="DW73" s="806">
        <f t="shared" ref="DW73:DW136" si="11">(SUMIFS($J73:$AL73,$J$3:$AL$3,$DW$7)*80%)+(SUMIFS($AN73:$AO73,$AN$3:$AO$3,$DW$7))</f>
        <v>0</v>
      </c>
      <c r="DX73" s="794">
        <f t="shared" ref="DX73:DX136" si="12">DV73+DW73</f>
        <v>0</v>
      </c>
    </row>
    <row r="74" spans="1:128" hidden="1">
      <c r="A74" s="198">
        <v>2477</v>
      </c>
      <c r="B74" s="2">
        <v>132261</v>
      </c>
      <c r="C74" s="2" t="s">
        <v>171</v>
      </c>
      <c r="D74" s="2" t="s">
        <v>172</v>
      </c>
      <c r="E74" s="190" t="s">
        <v>39</v>
      </c>
      <c r="F74" s="211" t="str">
        <f>VLOOKUP(A74,'Summary June 2026'!A:F,6,FALSE)</f>
        <v>Chq Bk</v>
      </c>
      <c r="G74" s="33"/>
      <c r="H74" s="825">
        <v>0</v>
      </c>
      <c r="I74" s="804"/>
      <c r="J74" s="797">
        <v>0</v>
      </c>
      <c r="K74" s="797">
        <v>0</v>
      </c>
      <c r="L74" s="797">
        <v>0</v>
      </c>
      <c r="M74" s="797">
        <v>0</v>
      </c>
      <c r="N74" s="797">
        <v>0</v>
      </c>
      <c r="O74" s="797">
        <v>0</v>
      </c>
      <c r="P74" s="797">
        <v>0</v>
      </c>
      <c r="Q74" s="797">
        <f t="shared" ref="Q74:Q94" si="13">SUM(J74:P74)</f>
        <v>0</v>
      </c>
      <c r="R74" s="797">
        <f t="shared" ref="R74:R136" si="14">Q74*80%</f>
        <v>0</v>
      </c>
      <c r="S74" s="804"/>
      <c r="T74" s="364">
        <v>0</v>
      </c>
      <c r="U74" s="364">
        <v>0</v>
      </c>
      <c r="V74" s="364">
        <v>0</v>
      </c>
      <c r="W74" s="364">
        <v>0</v>
      </c>
      <c r="X74" s="364">
        <v>0</v>
      </c>
      <c r="Y74" s="364">
        <v>0</v>
      </c>
      <c r="Z74" s="364">
        <v>0</v>
      </c>
      <c r="AA74" s="364">
        <f t="shared" ref="AA74:AA136" si="15">SUM(T74:Z74)</f>
        <v>0</v>
      </c>
      <c r="AB74" s="364">
        <f t="shared" ref="AB74:AB136" si="16">AA74*80%</f>
        <v>0</v>
      </c>
      <c r="AC74" s="804"/>
      <c r="AD74" s="817"/>
      <c r="AE74" s="817"/>
      <c r="AF74" s="817"/>
      <c r="AG74" s="817"/>
      <c r="AH74" s="817"/>
      <c r="AI74" s="817"/>
      <c r="AJ74" s="817"/>
      <c r="AK74" s="818"/>
      <c r="AL74" s="817"/>
      <c r="AM74" s="275"/>
      <c r="AN74" s="886">
        <v>0</v>
      </c>
      <c r="AO74" s="886">
        <v>0</v>
      </c>
      <c r="AP74" s="275"/>
      <c r="AQ74" s="834"/>
      <c r="AR74" s="834"/>
      <c r="AS74" s="834"/>
      <c r="AT74" s="834"/>
      <c r="AU74" s="834"/>
      <c r="AV74" s="834"/>
      <c r="AW74" s="834"/>
      <c r="AX74" s="834"/>
      <c r="AZ74" s="835"/>
      <c r="BA74" s="835"/>
      <c r="BB74" s="835"/>
      <c r="BC74" s="835"/>
      <c r="BD74" s="835"/>
      <c r="BE74" s="835"/>
      <c r="BF74" s="835"/>
      <c r="BG74" s="835"/>
      <c r="BH74" s="814"/>
      <c r="BI74" s="834"/>
      <c r="BJ74" s="834"/>
      <c r="BK74" s="834"/>
      <c r="BL74" s="834"/>
      <c r="BM74" s="834"/>
      <c r="BN74" s="834"/>
      <c r="BO74" s="834"/>
      <c r="BP74" s="834"/>
      <c r="BQ74" s="275"/>
      <c r="BR74" s="843"/>
      <c r="BS74" s="843"/>
      <c r="BT74" s="843"/>
      <c r="BU74" s="843"/>
      <c r="BV74" s="843"/>
      <c r="BW74" s="843"/>
      <c r="BX74" s="843"/>
      <c r="BY74" s="843"/>
      <c r="BZ74" s="843"/>
      <c r="CA74" s="843"/>
      <c r="CB74" s="843"/>
      <c r="CC74" s="843"/>
      <c r="CD74" s="843"/>
      <c r="CE74" s="843"/>
      <c r="CF74" s="843"/>
      <c r="CG74" s="843"/>
      <c r="CH74" s="843"/>
      <c r="CI74" s="843"/>
      <c r="CJ74" s="844"/>
      <c r="CK74" s="364"/>
      <c r="CL74" s="364"/>
      <c r="CM74" s="364"/>
      <c r="CN74" s="364"/>
      <c r="CO74" s="364"/>
      <c r="CP74" s="364"/>
      <c r="CQ74" s="364"/>
      <c r="CR74" s="804"/>
      <c r="CS74" s="852"/>
      <c r="CT74" s="853"/>
      <c r="CU74" s="853"/>
      <c r="CV74" s="853"/>
      <c r="CW74" s="853"/>
      <c r="CX74" s="853"/>
      <c r="CY74" s="853"/>
      <c r="CZ74" s="853"/>
      <c r="DA74" s="853"/>
      <c r="DC74" s="853"/>
      <c r="DD74" s="853"/>
      <c r="DE74" s="853"/>
      <c r="DF74" s="853"/>
      <c r="DG74" s="853"/>
      <c r="DH74" s="853"/>
      <c r="DI74" s="853"/>
      <c r="DJ74" s="853"/>
      <c r="DK74" s="853"/>
      <c r="DM74" s="853"/>
      <c r="DN74" s="853"/>
      <c r="DO74" s="853"/>
      <c r="DP74" s="853"/>
      <c r="DQ74" s="853"/>
      <c r="DR74" s="853"/>
      <c r="DS74" s="805"/>
      <c r="DT74" s="805"/>
      <c r="DV74" s="806">
        <f t="shared" si="10"/>
        <v>0</v>
      </c>
      <c r="DW74" s="806">
        <f t="shared" si="11"/>
        <v>0</v>
      </c>
      <c r="DX74" s="794">
        <f t="shared" si="12"/>
        <v>0</v>
      </c>
    </row>
    <row r="75" spans="1:128" hidden="1">
      <c r="A75" s="198">
        <v>3436</v>
      </c>
      <c r="B75" s="2">
        <v>136440</v>
      </c>
      <c r="C75" s="2" t="s">
        <v>173</v>
      </c>
      <c r="D75" s="2" t="s">
        <v>174</v>
      </c>
      <c r="E75" s="190" t="s">
        <v>39</v>
      </c>
      <c r="F75" s="211" t="str">
        <f>VLOOKUP(A75,'Summary June 2026'!A:F,6,FALSE)</f>
        <v>Chq Bk</v>
      </c>
      <c r="G75" s="33"/>
      <c r="H75" s="825">
        <v>0</v>
      </c>
      <c r="I75" s="804"/>
      <c r="J75" s="797">
        <v>0</v>
      </c>
      <c r="K75" s="797">
        <v>0</v>
      </c>
      <c r="L75" s="797">
        <v>0</v>
      </c>
      <c r="M75" s="797">
        <v>0</v>
      </c>
      <c r="N75" s="797">
        <v>0</v>
      </c>
      <c r="O75" s="797">
        <v>0</v>
      </c>
      <c r="P75" s="797">
        <v>0</v>
      </c>
      <c r="Q75" s="797">
        <f t="shared" si="13"/>
        <v>0</v>
      </c>
      <c r="R75" s="797">
        <f t="shared" si="14"/>
        <v>0</v>
      </c>
      <c r="S75" s="804"/>
      <c r="T75" s="364">
        <v>0</v>
      </c>
      <c r="U75" s="364">
        <v>0</v>
      </c>
      <c r="V75" s="364">
        <v>0</v>
      </c>
      <c r="W75" s="364">
        <v>0</v>
      </c>
      <c r="X75" s="364">
        <v>0</v>
      </c>
      <c r="Y75" s="364">
        <v>0</v>
      </c>
      <c r="Z75" s="364">
        <v>0</v>
      </c>
      <c r="AA75" s="364">
        <f t="shared" si="15"/>
        <v>0</v>
      </c>
      <c r="AB75" s="364">
        <f t="shared" si="16"/>
        <v>0</v>
      </c>
      <c r="AC75" s="804"/>
      <c r="AD75" s="817"/>
      <c r="AE75" s="817"/>
      <c r="AF75" s="817"/>
      <c r="AG75" s="817"/>
      <c r="AH75" s="817"/>
      <c r="AI75" s="817"/>
      <c r="AJ75" s="817"/>
      <c r="AK75" s="818"/>
      <c r="AL75" s="817"/>
      <c r="AM75" s="275"/>
      <c r="AN75" s="886">
        <v>0</v>
      </c>
      <c r="AO75" s="886">
        <v>0</v>
      </c>
      <c r="AP75" s="275"/>
      <c r="AQ75" s="834"/>
      <c r="AR75" s="834"/>
      <c r="AS75" s="834"/>
      <c r="AT75" s="834"/>
      <c r="AU75" s="834"/>
      <c r="AV75" s="834"/>
      <c r="AW75" s="834"/>
      <c r="AX75" s="834"/>
      <c r="AZ75" s="835"/>
      <c r="BA75" s="835"/>
      <c r="BB75" s="835"/>
      <c r="BC75" s="835"/>
      <c r="BD75" s="835"/>
      <c r="BE75" s="835"/>
      <c r="BF75" s="835"/>
      <c r="BG75" s="835"/>
      <c r="BH75" s="814"/>
      <c r="BI75" s="834"/>
      <c r="BJ75" s="834"/>
      <c r="BK75" s="834"/>
      <c r="BL75" s="834"/>
      <c r="BM75" s="834"/>
      <c r="BN75" s="834"/>
      <c r="BO75" s="834"/>
      <c r="BP75" s="834"/>
      <c r="BQ75" s="275"/>
      <c r="BR75" s="843"/>
      <c r="BS75" s="843"/>
      <c r="BT75" s="843"/>
      <c r="BU75" s="843"/>
      <c r="BV75" s="843"/>
      <c r="BW75" s="843"/>
      <c r="BX75" s="843"/>
      <c r="BY75" s="843"/>
      <c r="BZ75" s="843"/>
      <c r="CA75" s="843"/>
      <c r="CB75" s="843"/>
      <c r="CC75" s="843"/>
      <c r="CD75" s="843"/>
      <c r="CE75" s="843"/>
      <c r="CF75" s="843"/>
      <c r="CG75" s="843"/>
      <c r="CH75" s="843"/>
      <c r="CI75" s="843"/>
      <c r="CJ75" s="844"/>
      <c r="CK75" s="364"/>
      <c r="CL75" s="364"/>
      <c r="CM75" s="364"/>
      <c r="CN75" s="364"/>
      <c r="CO75" s="364"/>
      <c r="CP75" s="364"/>
      <c r="CQ75" s="364"/>
      <c r="CR75" s="804"/>
      <c r="CS75" s="852"/>
      <c r="CT75" s="853"/>
      <c r="CU75" s="853"/>
      <c r="CV75" s="853"/>
      <c r="CW75" s="853"/>
      <c r="CX75" s="853"/>
      <c r="CY75" s="853"/>
      <c r="CZ75" s="853"/>
      <c r="DA75" s="853"/>
      <c r="DC75" s="853"/>
      <c r="DD75" s="853"/>
      <c r="DE75" s="853"/>
      <c r="DF75" s="853"/>
      <c r="DG75" s="853"/>
      <c r="DH75" s="853"/>
      <c r="DI75" s="853"/>
      <c r="DJ75" s="853"/>
      <c r="DK75" s="853"/>
      <c r="DM75" s="853"/>
      <c r="DN75" s="853"/>
      <c r="DO75" s="853"/>
      <c r="DP75" s="853"/>
      <c r="DQ75" s="853"/>
      <c r="DR75" s="853"/>
      <c r="DS75" s="805"/>
      <c r="DT75" s="805"/>
      <c r="DV75" s="806">
        <f t="shared" si="10"/>
        <v>0</v>
      </c>
      <c r="DW75" s="806">
        <f t="shared" si="11"/>
        <v>0</v>
      </c>
      <c r="DX75" s="794">
        <f t="shared" si="12"/>
        <v>0</v>
      </c>
    </row>
    <row r="76" spans="1:128" hidden="1">
      <c r="A76" s="198">
        <v>2099</v>
      </c>
      <c r="B76" s="2">
        <v>103214</v>
      </c>
      <c r="C76" s="2" t="s">
        <v>175</v>
      </c>
      <c r="D76" s="2" t="s">
        <v>176</v>
      </c>
      <c r="E76" s="190" t="s">
        <v>39</v>
      </c>
      <c r="F76" s="211" t="str">
        <f>VLOOKUP(A76,'Summary June 2026'!A:F,6,FALSE)</f>
        <v>Chq Bk</v>
      </c>
      <c r="G76" s="33"/>
      <c r="H76" s="825">
        <v>0</v>
      </c>
      <c r="I76" s="804"/>
      <c r="J76" s="797">
        <v>0</v>
      </c>
      <c r="K76" s="797">
        <v>0</v>
      </c>
      <c r="L76" s="797">
        <v>31839.600000000002</v>
      </c>
      <c r="M76" s="797">
        <v>1345.5</v>
      </c>
      <c r="N76" s="797">
        <v>0</v>
      </c>
      <c r="O76" s="797">
        <v>1762.8</v>
      </c>
      <c r="P76" s="797">
        <v>0</v>
      </c>
      <c r="Q76" s="797">
        <f t="shared" si="13"/>
        <v>34947.900000000009</v>
      </c>
      <c r="R76" s="797">
        <f t="shared" si="14"/>
        <v>27958.320000000007</v>
      </c>
      <c r="S76" s="804"/>
      <c r="T76" s="364">
        <v>0</v>
      </c>
      <c r="U76" s="364">
        <v>0</v>
      </c>
      <c r="V76" s="364">
        <v>14695.2</v>
      </c>
      <c r="W76" s="364">
        <v>1121.25</v>
      </c>
      <c r="X76" s="364">
        <v>373.1</v>
      </c>
      <c r="Y76" s="364">
        <v>817.04999999999984</v>
      </c>
      <c r="Z76" s="364">
        <v>0</v>
      </c>
      <c r="AA76" s="364">
        <f t="shared" si="15"/>
        <v>17006.600000000002</v>
      </c>
      <c r="AB76" s="364">
        <f t="shared" si="16"/>
        <v>13605.280000000002</v>
      </c>
      <c r="AC76" s="804"/>
      <c r="AD76" s="817"/>
      <c r="AE76" s="817"/>
      <c r="AF76" s="817"/>
      <c r="AG76" s="817"/>
      <c r="AH76" s="817"/>
      <c r="AI76" s="817"/>
      <c r="AJ76" s="817"/>
      <c r="AK76" s="818"/>
      <c r="AL76" s="817"/>
      <c r="AM76" s="275"/>
      <c r="AN76" s="886">
        <v>-4266.0248476454262</v>
      </c>
      <c r="AO76" s="886">
        <v>0</v>
      </c>
      <c r="AP76" s="275"/>
      <c r="AQ76" s="834"/>
      <c r="AR76" s="834"/>
      <c r="AS76" s="834"/>
      <c r="AT76" s="834"/>
      <c r="AU76" s="834"/>
      <c r="AV76" s="834"/>
      <c r="AW76" s="834"/>
      <c r="AX76" s="834"/>
      <c r="AZ76" s="835"/>
      <c r="BA76" s="835"/>
      <c r="BB76" s="835"/>
      <c r="BC76" s="835"/>
      <c r="BD76" s="835"/>
      <c r="BE76" s="835"/>
      <c r="BF76" s="835"/>
      <c r="BG76" s="835"/>
      <c r="BH76" s="814"/>
      <c r="BI76" s="834"/>
      <c r="BJ76" s="834"/>
      <c r="BK76" s="834"/>
      <c r="BL76" s="834"/>
      <c r="BM76" s="834"/>
      <c r="BN76" s="834"/>
      <c r="BO76" s="834"/>
      <c r="BP76" s="834"/>
      <c r="BQ76" s="275"/>
      <c r="BR76" s="843"/>
      <c r="BS76" s="843"/>
      <c r="BT76" s="843"/>
      <c r="BU76" s="843"/>
      <c r="BV76" s="843"/>
      <c r="BW76" s="843"/>
      <c r="BX76" s="843"/>
      <c r="BY76" s="843"/>
      <c r="BZ76" s="843"/>
      <c r="CA76" s="843"/>
      <c r="CB76" s="843"/>
      <c r="CC76" s="843"/>
      <c r="CD76" s="843"/>
      <c r="CE76" s="843"/>
      <c r="CF76" s="843"/>
      <c r="CG76" s="843"/>
      <c r="CH76" s="843"/>
      <c r="CI76" s="843"/>
      <c r="CJ76" s="844"/>
      <c r="CK76" s="364"/>
      <c r="CL76" s="364"/>
      <c r="CM76" s="364"/>
      <c r="CN76" s="364"/>
      <c r="CO76" s="364"/>
      <c r="CP76" s="364"/>
      <c r="CQ76" s="364"/>
      <c r="CR76" s="804"/>
      <c r="CS76" s="852"/>
      <c r="CT76" s="853"/>
      <c r="CU76" s="853"/>
      <c r="CV76" s="853"/>
      <c r="CW76" s="853"/>
      <c r="CX76" s="853"/>
      <c r="CY76" s="853"/>
      <c r="CZ76" s="853"/>
      <c r="DA76" s="853"/>
      <c r="DC76" s="853"/>
      <c r="DD76" s="853"/>
      <c r="DE76" s="853"/>
      <c r="DF76" s="853"/>
      <c r="DG76" s="853"/>
      <c r="DH76" s="853"/>
      <c r="DI76" s="853"/>
      <c r="DJ76" s="853"/>
      <c r="DK76" s="853"/>
      <c r="DM76" s="853"/>
      <c r="DN76" s="853"/>
      <c r="DO76" s="853"/>
      <c r="DP76" s="853"/>
      <c r="DQ76" s="853"/>
      <c r="DR76" s="853"/>
      <c r="DS76" s="805"/>
      <c r="DT76" s="805"/>
      <c r="DV76" s="806">
        <f t="shared" si="10"/>
        <v>37297.575152354577</v>
      </c>
      <c r="DW76" s="806">
        <f t="shared" si="11"/>
        <v>0</v>
      </c>
      <c r="DX76" s="794">
        <f t="shared" si="12"/>
        <v>37297.575152354577</v>
      </c>
    </row>
    <row r="77" spans="1:128" hidden="1">
      <c r="A77" s="198">
        <v>1010</v>
      </c>
      <c r="B77" s="2">
        <v>103125</v>
      </c>
      <c r="C77" s="2" t="s">
        <v>177</v>
      </c>
      <c r="D77" s="2" t="s">
        <v>178</v>
      </c>
      <c r="E77" s="190" t="s">
        <v>36</v>
      </c>
      <c r="F77" s="211" t="str">
        <f>VLOOKUP(A77,'Summary June 2026'!A:F,6,FALSE)</f>
        <v>Chq Bk</v>
      </c>
      <c r="G77" s="33"/>
      <c r="H77" s="825">
        <v>297611.59087246738</v>
      </c>
      <c r="I77" s="804"/>
      <c r="J77" s="797">
        <v>0</v>
      </c>
      <c r="K77" s="797">
        <v>77834.25</v>
      </c>
      <c r="L77" s="797">
        <v>189813</v>
      </c>
      <c r="M77" s="797">
        <v>12333.749999999998</v>
      </c>
      <c r="N77" s="797">
        <v>1790.4694736842107</v>
      </c>
      <c r="O77" s="797">
        <v>5378.0999999999995</v>
      </c>
      <c r="P77" s="797">
        <v>10725</v>
      </c>
      <c r="Q77" s="797">
        <f t="shared" si="13"/>
        <v>297874.56947368418</v>
      </c>
      <c r="R77" s="797">
        <f t="shared" si="14"/>
        <v>238299.65557894736</v>
      </c>
      <c r="S77" s="804"/>
      <c r="T77" s="364">
        <v>0</v>
      </c>
      <c r="U77" s="364">
        <v>100319.7</v>
      </c>
      <c r="V77" s="364">
        <v>106540.20000000001</v>
      </c>
      <c r="W77" s="364">
        <v>8745.75</v>
      </c>
      <c r="X77" s="364">
        <v>1529.1968421052634</v>
      </c>
      <c r="Y77" s="364">
        <v>3599.7</v>
      </c>
      <c r="Z77" s="364">
        <v>3900</v>
      </c>
      <c r="AA77" s="364">
        <f t="shared" si="15"/>
        <v>224634.54684210531</v>
      </c>
      <c r="AB77" s="364">
        <f t="shared" si="16"/>
        <v>179707.63747368427</v>
      </c>
      <c r="AC77" s="804"/>
      <c r="AD77" s="817"/>
      <c r="AE77" s="817"/>
      <c r="AF77" s="817"/>
      <c r="AG77" s="817"/>
      <c r="AH77" s="817"/>
      <c r="AI77" s="817"/>
      <c r="AJ77" s="817"/>
      <c r="AK77" s="818"/>
      <c r="AL77" s="817"/>
      <c r="AM77" s="275"/>
      <c r="AN77" s="886">
        <v>53470.768836565097</v>
      </c>
      <c r="AO77" s="886">
        <v>154.86094182825468</v>
      </c>
      <c r="AP77" s="275"/>
      <c r="AQ77" s="834"/>
      <c r="AR77" s="834"/>
      <c r="AS77" s="834"/>
      <c r="AT77" s="834"/>
      <c r="AU77" s="834"/>
      <c r="AV77" s="834"/>
      <c r="AW77" s="834"/>
      <c r="AX77" s="834"/>
      <c r="AZ77" s="835"/>
      <c r="BA77" s="835"/>
      <c r="BB77" s="835"/>
      <c r="BC77" s="835"/>
      <c r="BD77" s="835"/>
      <c r="BE77" s="835"/>
      <c r="BF77" s="835"/>
      <c r="BG77" s="835"/>
      <c r="BH77" s="814"/>
      <c r="BI77" s="834"/>
      <c r="BJ77" s="834"/>
      <c r="BK77" s="834"/>
      <c r="BL77" s="834"/>
      <c r="BM77" s="834"/>
      <c r="BN77" s="834"/>
      <c r="BO77" s="834"/>
      <c r="BP77" s="834"/>
      <c r="BQ77" s="275"/>
      <c r="BR77" s="843"/>
      <c r="BS77" s="843"/>
      <c r="BT77" s="843"/>
      <c r="BU77" s="843"/>
      <c r="BV77" s="843"/>
      <c r="BW77" s="843"/>
      <c r="BX77" s="843"/>
      <c r="BY77" s="843"/>
      <c r="BZ77" s="843"/>
      <c r="CA77" s="843"/>
      <c r="CB77" s="843"/>
      <c r="CC77" s="843"/>
      <c r="CD77" s="843"/>
      <c r="CE77" s="843"/>
      <c r="CF77" s="843"/>
      <c r="CG77" s="843"/>
      <c r="CH77" s="843"/>
      <c r="CI77" s="843"/>
      <c r="CJ77" s="844"/>
      <c r="CK77" s="364"/>
      <c r="CL77" s="364"/>
      <c r="CM77" s="364"/>
      <c r="CN77" s="364"/>
      <c r="CO77" s="364"/>
      <c r="CP77" s="364"/>
      <c r="CQ77" s="364"/>
      <c r="CR77" s="804"/>
      <c r="CS77" s="852"/>
      <c r="CT77" s="853"/>
      <c r="CU77" s="853"/>
      <c r="CV77" s="853"/>
      <c r="CW77" s="853"/>
      <c r="CX77" s="853"/>
      <c r="CY77" s="853"/>
      <c r="CZ77" s="853"/>
      <c r="DA77" s="853"/>
      <c r="DC77" s="853"/>
      <c r="DD77" s="853"/>
      <c r="DE77" s="853"/>
      <c r="DF77" s="853"/>
      <c r="DG77" s="853"/>
      <c r="DH77" s="853"/>
      <c r="DI77" s="853"/>
      <c r="DJ77" s="853"/>
      <c r="DK77" s="853"/>
      <c r="DM77" s="853"/>
      <c r="DN77" s="853"/>
      <c r="DO77" s="853"/>
      <c r="DP77" s="853"/>
      <c r="DQ77" s="853"/>
      <c r="DR77" s="853"/>
      <c r="DS77" s="805"/>
      <c r="DT77" s="805"/>
      <c r="DV77" s="806">
        <f t="shared" si="10"/>
        <v>757389.65276166401</v>
      </c>
      <c r="DW77" s="806">
        <f t="shared" si="11"/>
        <v>11854.860941828254</v>
      </c>
      <c r="DX77" s="794">
        <f t="shared" si="12"/>
        <v>769244.51370349224</v>
      </c>
    </row>
    <row r="78" spans="1:128" hidden="1">
      <c r="A78" s="198">
        <v>1021</v>
      </c>
      <c r="B78" s="2">
        <v>103134</v>
      </c>
      <c r="C78" s="2" t="s">
        <v>179</v>
      </c>
      <c r="D78" s="2" t="s">
        <v>180</v>
      </c>
      <c r="E78" s="190" t="s">
        <v>36</v>
      </c>
      <c r="F78" s="211" t="str">
        <f>VLOOKUP(A78,'Summary June 2026'!A:F,6,FALSE)</f>
        <v>Chq Bk</v>
      </c>
      <c r="G78" s="33"/>
      <c r="H78" s="825">
        <v>167619.81357651984</v>
      </c>
      <c r="I78" s="804"/>
      <c r="J78" s="797">
        <v>0</v>
      </c>
      <c r="K78" s="797">
        <v>50159.849999999991</v>
      </c>
      <c r="L78" s="797">
        <v>64903.8</v>
      </c>
      <c r="M78" s="797">
        <v>7400.2499999999991</v>
      </c>
      <c r="N78" s="797">
        <v>2499.6673684210523</v>
      </c>
      <c r="O78" s="797">
        <v>2148.9</v>
      </c>
      <c r="P78" s="797">
        <v>0</v>
      </c>
      <c r="Q78" s="797">
        <f t="shared" si="13"/>
        <v>127112.46736842104</v>
      </c>
      <c r="R78" s="797">
        <f t="shared" si="14"/>
        <v>101689.97389473685</v>
      </c>
      <c r="S78" s="804"/>
      <c r="T78" s="364">
        <v>0</v>
      </c>
      <c r="U78" s="364">
        <v>70915.649999999994</v>
      </c>
      <c r="V78" s="364">
        <v>39187.200000000004</v>
      </c>
      <c r="W78" s="364">
        <v>6727.4999999999991</v>
      </c>
      <c r="X78" s="364">
        <v>2462.2547368421056</v>
      </c>
      <c r="Y78" s="364">
        <v>1864.1999999999998</v>
      </c>
      <c r="Z78" s="364">
        <v>975</v>
      </c>
      <c r="AA78" s="364">
        <f t="shared" si="15"/>
        <v>122131.80473684211</v>
      </c>
      <c r="AB78" s="364">
        <f t="shared" si="16"/>
        <v>97705.443789473691</v>
      </c>
      <c r="AC78" s="804"/>
      <c r="AD78" s="817"/>
      <c r="AE78" s="817"/>
      <c r="AF78" s="817"/>
      <c r="AG78" s="817"/>
      <c r="AH78" s="817"/>
      <c r="AI78" s="817"/>
      <c r="AJ78" s="817"/>
      <c r="AK78" s="818"/>
      <c r="AL78" s="817"/>
      <c r="AM78" s="275"/>
      <c r="AN78" s="886">
        <v>44412.544265927987</v>
      </c>
      <c r="AO78" s="886">
        <v>1876</v>
      </c>
      <c r="AP78" s="275"/>
      <c r="AQ78" s="834"/>
      <c r="AR78" s="834"/>
      <c r="AS78" s="834"/>
      <c r="AT78" s="834"/>
      <c r="AU78" s="834"/>
      <c r="AV78" s="834"/>
      <c r="AW78" s="834"/>
      <c r="AX78" s="834"/>
      <c r="AZ78" s="835"/>
      <c r="BA78" s="835"/>
      <c r="BB78" s="835"/>
      <c r="BC78" s="835"/>
      <c r="BD78" s="835"/>
      <c r="BE78" s="835"/>
      <c r="BF78" s="835"/>
      <c r="BG78" s="835"/>
      <c r="BH78" s="814"/>
      <c r="BI78" s="834"/>
      <c r="BJ78" s="834"/>
      <c r="BK78" s="834"/>
      <c r="BL78" s="834"/>
      <c r="BM78" s="834"/>
      <c r="BN78" s="834"/>
      <c r="BO78" s="834"/>
      <c r="BP78" s="834"/>
      <c r="BQ78" s="275"/>
      <c r="BR78" s="843"/>
      <c r="BS78" s="843"/>
      <c r="BT78" s="843"/>
      <c r="BU78" s="843"/>
      <c r="BV78" s="843"/>
      <c r="BW78" s="843"/>
      <c r="BX78" s="843"/>
      <c r="BY78" s="843"/>
      <c r="BZ78" s="843"/>
      <c r="CA78" s="843"/>
      <c r="CB78" s="843"/>
      <c r="CC78" s="843"/>
      <c r="CD78" s="843"/>
      <c r="CE78" s="843"/>
      <c r="CF78" s="843"/>
      <c r="CG78" s="843"/>
      <c r="CH78" s="843"/>
      <c r="CI78" s="843"/>
      <c r="CJ78" s="844"/>
      <c r="CK78" s="364"/>
      <c r="CL78" s="364"/>
      <c r="CM78" s="364"/>
      <c r="CN78" s="364"/>
      <c r="CO78" s="364"/>
      <c r="CP78" s="364"/>
      <c r="CQ78" s="364"/>
      <c r="CR78" s="804"/>
      <c r="CS78" s="852"/>
      <c r="CT78" s="853"/>
      <c r="CU78" s="853"/>
      <c r="CV78" s="853"/>
      <c r="CW78" s="853"/>
      <c r="CX78" s="853"/>
      <c r="CY78" s="853"/>
      <c r="CZ78" s="853"/>
      <c r="DA78" s="853"/>
      <c r="DC78" s="853"/>
      <c r="DD78" s="853"/>
      <c r="DE78" s="853"/>
      <c r="DF78" s="853"/>
      <c r="DG78" s="853"/>
      <c r="DH78" s="853"/>
      <c r="DI78" s="853"/>
      <c r="DJ78" s="853"/>
      <c r="DK78" s="853"/>
      <c r="DM78" s="853"/>
      <c r="DN78" s="853"/>
      <c r="DO78" s="853"/>
      <c r="DP78" s="853"/>
      <c r="DQ78" s="853"/>
      <c r="DR78" s="853"/>
      <c r="DS78" s="805"/>
      <c r="DT78" s="805"/>
      <c r="DV78" s="806">
        <f t="shared" si="10"/>
        <v>410647.7755266584</v>
      </c>
      <c r="DW78" s="806">
        <f t="shared" si="11"/>
        <v>2656</v>
      </c>
      <c r="DX78" s="794">
        <f t="shared" si="12"/>
        <v>413303.7755266584</v>
      </c>
    </row>
    <row r="79" spans="1:128" hidden="1">
      <c r="A79" s="198">
        <v>4201</v>
      </c>
      <c r="B79" s="2">
        <v>103503</v>
      </c>
      <c r="C79" s="2" t="s">
        <v>181</v>
      </c>
      <c r="D79" s="2" t="s">
        <v>182</v>
      </c>
      <c r="E79" s="190" t="s">
        <v>71</v>
      </c>
      <c r="F79" s="211" t="str">
        <f>VLOOKUP(A79,'Summary June 2026'!A:F,6,FALSE)</f>
        <v>Chq Bk</v>
      </c>
      <c r="G79" s="33"/>
      <c r="H79" s="825">
        <v>0</v>
      </c>
      <c r="I79" s="804"/>
      <c r="J79" s="797">
        <v>0</v>
      </c>
      <c r="K79" s="797">
        <v>0</v>
      </c>
      <c r="L79" s="797">
        <v>0</v>
      </c>
      <c r="M79" s="797">
        <v>0</v>
      </c>
      <c r="N79" s="797">
        <v>0</v>
      </c>
      <c r="O79" s="797">
        <v>0</v>
      </c>
      <c r="P79" s="797">
        <v>0</v>
      </c>
      <c r="Q79" s="797">
        <f t="shared" si="13"/>
        <v>0</v>
      </c>
      <c r="R79" s="797">
        <f t="shared" si="14"/>
        <v>0</v>
      </c>
      <c r="S79" s="804"/>
      <c r="T79" s="364">
        <v>0</v>
      </c>
      <c r="U79" s="364">
        <v>0</v>
      </c>
      <c r="V79" s="364">
        <v>0</v>
      </c>
      <c r="W79" s="364">
        <v>0</v>
      </c>
      <c r="X79" s="364">
        <v>0</v>
      </c>
      <c r="Y79" s="364">
        <v>0</v>
      </c>
      <c r="Z79" s="364">
        <v>0</v>
      </c>
      <c r="AA79" s="364">
        <f t="shared" si="15"/>
        <v>0</v>
      </c>
      <c r="AB79" s="364">
        <f t="shared" si="16"/>
        <v>0</v>
      </c>
      <c r="AC79" s="804"/>
      <c r="AD79" s="817"/>
      <c r="AE79" s="817"/>
      <c r="AF79" s="817"/>
      <c r="AG79" s="817"/>
      <c r="AH79" s="817"/>
      <c r="AI79" s="817"/>
      <c r="AJ79" s="817"/>
      <c r="AK79" s="818"/>
      <c r="AL79" s="817"/>
      <c r="AM79" s="275"/>
      <c r="AN79" s="886">
        <v>0</v>
      </c>
      <c r="AO79" s="886">
        <v>0</v>
      </c>
      <c r="AP79" s="275"/>
      <c r="AQ79" s="834"/>
      <c r="AR79" s="834"/>
      <c r="AS79" s="834"/>
      <c r="AT79" s="834"/>
      <c r="AU79" s="834"/>
      <c r="AV79" s="834"/>
      <c r="AW79" s="834"/>
      <c r="AX79" s="834"/>
      <c r="AZ79" s="835"/>
      <c r="BA79" s="835"/>
      <c r="BB79" s="835"/>
      <c r="BC79" s="835"/>
      <c r="BD79" s="835"/>
      <c r="BE79" s="835"/>
      <c r="BF79" s="835"/>
      <c r="BG79" s="835"/>
      <c r="BH79" s="814"/>
      <c r="BI79" s="834"/>
      <c r="BJ79" s="834"/>
      <c r="BK79" s="834"/>
      <c r="BL79" s="834"/>
      <c r="BM79" s="834"/>
      <c r="BN79" s="834"/>
      <c r="BO79" s="834"/>
      <c r="BP79" s="834"/>
      <c r="BQ79" s="275"/>
      <c r="BR79" s="843"/>
      <c r="BS79" s="843"/>
      <c r="BT79" s="843"/>
      <c r="BU79" s="843"/>
      <c r="BV79" s="843"/>
      <c r="BW79" s="843"/>
      <c r="BX79" s="843"/>
      <c r="BY79" s="843"/>
      <c r="BZ79" s="843"/>
      <c r="CA79" s="843"/>
      <c r="CB79" s="843"/>
      <c r="CC79" s="843"/>
      <c r="CD79" s="843"/>
      <c r="CE79" s="843"/>
      <c r="CF79" s="843"/>
      <c r="CG79" s="843"/>
      <c r="CH79" s="843"/>
      <c r="CI79" s="843"/>
      <c r="CJ79" s="844"/>
      <c r="CK79" s="364"/>
      <c r="CL79" s="364"/>
      <c r="CM79" s="364"/>
      <c r="CN79" s="364"/>
      <c r="CO79" s="364"/>
      <c r="CP79" s="364"/>
      <c r="CQ79" s="364"/>
      <c r="CR79" s="804"/>
      <c r="CS79" s="852"/>
      <c r="CT79" s="853"/>
      <c r="CU79" s="853"/>
      <c r="CV79" s="853"/>
      <c r="CW79" s="853"/>
      <c r="CX79" s="853"/>
      <c r="CY79" s="853"/>
      <c r="CZ79" s="853"/>
      <c r="DA79" s="853"/>
      <c r="DC79" s="853"/>
      <c r="DD79" s="853"/>
      <c r="DE79" s="853"/>
      <c r="DF79" s="853"/>
      <c r="DG79" s="853"/>
      <c r="DH79" s="853"/>
      <c r="DI79" s="853"/>
      <c r="DJ79" s="853"/>
      <c r="DK79" s="853"/>
      <c r="DM79" s="853"/>
      <c r="DN79" s="853"/>
      <c r="DO79" s="853"/>
      <c r="DP79" s="853"/>
      <c r="DQ79" s="853"/>
      <c r="DR79" s="853"/>
      <c r="DS79" s="805"/>
      <c r="DT79" s="805"/>
      <c r="DV79" s="806">
        <f t="shared" si="10"/>
        <v>0</v>
      </c>
      <c r="DW79" s="806">
        <f t="shared" si="11"/>
        <v>0</v>
      </c>
      <c r="DX79" s="794">
        <f t="shared" si="12"/>
        <v>0</v>
      </c>
    </row>
    <row r="80" spans="1:128" hidden="1">
      <c r="A80" s="198">
        <v>4015</v>
      </c>
      <c r="B80" s="2">
        <v>103483</v>
      </c>
      <c r="C80" s="2" t="s">
        <v>183</v>
      </c>
      <c r="D80" s="2" t="s">
        <v>184</v>
      </c>
      <c r="E80" s="190" t="s">
        <v>71</v>
      </c>
      <c r="F80" s="211" t="str">
        <f>VLOOKUP(A80,'Summary June 2026'!A:F,6,FALSE)</f>
        <v>Chq Bk</v>
      </c>
      <c r="G80" s="33"/>
      <c r="H80" s="825">
        <v>0</v>
      </c>
      <c r="I80" s="804"/>
      <c r="J80" s="797">
        <v>0</v>
      </c>
      <c r="K80" s="797">
        <v>0</v>
      </c>
      <c r="L80" s="797">
        <v>0</v>
      </c>
      <c r="M80" s="797">
        <v>0</v>
      </c>
      <c r="N80" s="797">
        <v>0</v>
      </c>
      <c r="O80" s="797">
        <v>0</v>
      </c>
      <c r="P80" s="797">
        <v>0</v>
      </c>
      <c r="Q80" s="797">
        <f t="shared" si="13"/>
        <v>0</v>
      </c>
      <c r="R80" s="797">
        <f t="shared" si="14"/>
        <v>0</v>
      </c>
      <c r="S80" s="804"/>
      <c r="T80" s="364">
        <v>0</v>
      </c>
      <c r="U80" s="364">
        <v>0</v>
      </c>
      <c r="V80" s="364">
        <v>0</v>
      </c>
      <c r="W80" s="364">
        <v>0</v>
      </c>
      <c r="X80" s="364">
        <v>0</v>
      </c>
      <c r="Y80" s="364">
        <v>0</v>
      </c>
      <c r="Z80" s="364">
        <v>0</v>
      </c>
      <c r="AA80" s="364">
        <f t="shared" si="15"/>
        <v>0</v>
      </c>
      <c r="AB80" s="364">
        <f t="shared" si="16"/>
        <v>0</v>
      </c>
      <c r="AC80" s="804"/>
      <c r="AD80" s="817"/>
      <c r="AE80" s="817"/>
      <c r="AF80" s="817"/>
      <c r="AG80" s="817"/>
      <c r="AH80" s="817"/>
      <c r="AI80" s="817"/>
      <c r="AJ80" s="817"/>
      <c r="AK80" s="818"/>
      <c r="AL80" s="817"/>
      <c r="AM80" s="275"/>
      <c r="AN80" s="886">
        <v>0</v>
      </c>
      <c r="AO80" s="886">
        <v>0</v>
      </c>
      <c r="AP80" s="275"/>
      <c r="AQ80" s="834"/>
      <c r="AR80" s="834"/>
      <c r="AS80" s="834"/>
      <c r="AT80" s="834"/>
      <c r="AU80" s="834"/>
      <c r="AV80" s="834"/>
      <c r="AW80" s="834"/>
      <c r="AX80" s="834"/>
      <c r="AZ80" s="835"/>
      <c r="BA80" s="835"/>
      <c r="BB80" s="835"/>
      <c r="BC80" s="835"/>
      <c r="BD80" s="835"/>
      <c r="BE80" s="835"/>
      <c r="BF80" s="835"/>
      <c r="BG80" s="835"/>
      <c r="BH80" s="814"/>
      <c r="BI80" s="834"/>
      <c r="BJ80" s="834"/>
      <c r="BK80" s="834"/>
      <c r="BL80" s="834"/>
      <c r="BM80" s="834"/>
      <c r="BN80" s="834"/>
      <c r="BO80" s="834"/>
      <c r="BP80" s="834"/>
      <c r="BQ80" s="275"/>
      <c r="BR80" s="843"/>
      <c r="BS80" s="843"/>
      <c r="BT80" s="843"/>
      <c r="BU80" s="843"/>
      <c r="BV80" s="843"/>
      <c r="BW80" s="843"/>
      <c r="BX80" s="843"/>
      <c r="BY80" s="843"/>
      <c r="BZ80" s="843"/>
      <c r="CA80" s="843"/>
      <c r="CB80" s="843"/>
      <c r="CC80" s="843"/>
      <c r="CD80" s="843"/>
      <c r="CE80" s="843"/>
      <c r="CF80" s="843"/>
      <c r="CG80" s="843"/>
      <c r="CH80" s="843"/>
      <c r="CI80" s="843"/>
      <c r="CJ80" s="844"/>
      <c r="CK80" s="364"/>
      <c r="CL80" s="364"/>
      <c r="CM80" s="364"/>
      <c r="CN80" s="364"/>
      <c r="CO80" s="364"/>
      <c r="CP80" s="364"/>
      <c r="CQ80" s="364"/>
      <c r="CR80" s="804"/>
      <c r="CS80" s="852"/>
      <c r="CT80" s="853"/>
      <c r="CU80" s="853"/>
      <c r="CV80" s="853"/>
      <c r="CW80" s="853"/>
      <c r="CX80" s="853"/>
      <c r="CY80" s="853"/>
      <c r="CZ80" s="853"/>
      <c r="DA80" s="853"/>
      <c r="DC80" s="853"/>
      <c r="DD80" s="853"/>
      <c r="DE80" s="853"/>
      <c r="DF80" s="853"/>
      <c r="DG80" s="853"/>
      <c r="DH80" s="853"/>
      <c r="DI80" s="853"/>
      <c r="DJ80" s="853"/>
      <c r="DK80" s="853"/>
      <c r="DM80" s="853"/>
      <c r="DN80" s="853"/>
      <c r="DO80" s="853"/>
      <c r="DP80" s="853"/>
      <c r="DQ80" s="853"/>
      <c r="DR80" s="853"/>
      <c r="DS80" s="805"/>
      <c r="DT80" s="805"/>
      <c r="DV80" s="806">
        <f t="shared" si="10"/>
        <v>0</v>
      </c>
      <c r="DW80" s="806">
        <f t="shared" si="11"/>
        <v>0</v>
      </c>
      <c r="DX80" s="794">
        <f t="shared" si="12"/>
        <v>0</v>
      </c>
    </row>
    <row r="81" spans="1:128" hidden="1">
      <c r="A81" s="198">
        <v>3411</v>
      </c>
      <c r="B81" s="2">
        <v>103479</v>
      </c>
      <c r="C81" s="2" t="s">
        <v>185</v>
      </c>
      <c r="D81" s="2" t="s">
        <v>186</v>
      </c>
      <c r="E81" s="190" t="s">
        <v>39</v>
      </c>
      <c r="F81" s="211" t="str">
        <f>VLOOKUP(A81,'Summary June 2026'!A:F,6,FALSE)</f>
        <v>Chq Bk</v>
      </c>
      <c r="G81" s="33"/>
      <c r="H81" s="825">
        <v>0</v>
      </c>
      <c r="I81" s="804"/>
      <c r="J81" s="797">
        <v>0</v>
      </c>
      <c r="K81" s="797">
        <v>0</v>
      </c>
      <c r="L81" s="797">
        <v>60005.4</v>
      </c>
      <c r="M81" s="797">
        <v>7175.9999999999991</v>
      </c>
      <c r="N81" s="797">
        <v>2872.3568421052632</v>
      </c>
      <c r="O81" s="797">
        <v>5222.0999999999995</v>
      </c>
      <c r="P81" s="797">
        <v>0</v>
      </c>
      <c r="Q81" s="797">
        <f t="shared" si="13"/>
        <v>75275.856842105262</v>
      </c>
      <c r="R81" s="797">
        <f t="shared" si="14"/>
        <v>60220.685473684214</v>
      </c>
      <c r="S81" s="804"/>
      <c r="T81" s="364">
        <v>0</v>
      </c>
      <c r="U81" s="364">
        <v>0</v>
      </c>
      <c r="V81" s="364">
        <v>56331.6</v>
      </c>
      <c r="W81" s="364">
        <v>4933.5</v>
      </c>
      <c r="X81" s="364">
        <v>2088.9494736842107</v>
      </c>
      <c r="Y81" s="364">
        <v>4746.2999999999993</v>
      </c>
      <c r="Z81" s="364">
        <v>0</v>
      </c>
      <c r="AA81" s="364">
        <f t="shared" si="15"/>
        <v>68100.349473684211</v>
      </c>
      <c r="AB81" s="364">
        <f t="shared" si="16"/>
        <v>54480.279578947375</v>
      </c>
      <c r="AC81" s="804"/>
      <c r="AD81" s="817"/>
      <c r="AE81" s="817"/>
      <c r="AF81" s="817"/>
      <c r="AG81" s="817"/>
      <c r="AH81" s="817"/>
      <c r="AI81" s="817"/>
      <c r="AJ81" s="817"/>
      <c r="AK81" s="818"/>
      <c r="AL81" s="817"/>
      <c r="AM81" s="275"/>
      <c r="AN81" s="886">
        <v>21885.337506925207</v>
      </c>
      <c r="AO81" s="886">
        <v>0</v>
      </c>
      <c r="AP81" s="275"/>
      <c r="AQ81" s="834"/>
      <c r="AR81" s="834"/>
      <c r="AS81" s="834"/>
      <c r="AT81" s="834"/>
      <c r="AU81" s="834"/>
      <c r="AV81" s="834"/>
      <c r="AW81" s="834"/>
      <c r="AX81" s="834"/>
      <c r="AZ81" s="835"/>
      <c r="BA81" s="835"/>
      <c r="BB81" s="835"/>
      <c r="BC81" s="835"/>
      <c r="BD81" s="835"/>
      <c r="BE81" s="835"/>
      <c r="BF81" s="835"/>
      <c r="BG81" s="835"/>
      <c r="BH81" s="814"/>
      <c r="BI81" s="834"/>
      <c r="BJ81" s="834"/>
      <c r="BK81" s="834"/>
      <c r="BL81" s="834"/>
      <c r="BM81" s="834"/>
      <c r="BN81" s="834"/>
      <c r="BO81" s="834"/>
      <c r="BP81" s="834"/>
      <c r="BQ81" s="275"/>
      <c r="BR81" s="843"/>
      <c r="BS81" s="843"/>
      <c r="BT81" s="843"/>
      <c r="BU81" s="843"/>
      <c r="BV81" s="843"/>
      <c r="BW81" s="843"/>
      <c r="BX81" s="843"/>
      <c r="BY81" s="843"/>
      <c r="BZ81" s="843"/>
      <c r="CA81" s="843"/>
      <c r="CB81" s="843"/>
      <c r="CC81" s="843"/>
      <c r="CD81" s="843"/>
      <c r="CE81" s="843"/>
      <c r="CF81" s="843"/>
      <c r="CG81" s="843"/>
      <c r="CH81" s="843"/>
      <c r="CI81" s="843"/>
      <c r="CJ81" s="844"/>
      <c r="CK81" s="364"/>
      <c r="CL81" s="364"/>
      <c r="CM81" s="364"/>
      <c r="CN81" s="364"/>
      <c r="CO81" s="364"/>
      <c r="CP81" s="364"/>
      <c r="CQ81" s="364"/>
      <c r="CR81" s="804"/>
      <c r="CS81" s="852"/>
      <c r="CT81" s="853"/>
      <c r="CU81" s="853"/>
      <c r="CV81" s="853"/>
      <c r="CW81" s="853"/>
      <c r="CX81" s="853"/>
      <c r="CY81" s="853"/>
      <c r="CZ81" s="853"/>
      <c r="DA81" s="853"/>
      <c r="DC81" s="853"/>
      <c r="DD81" s="853"/>
      <c r="DE81" s="853"/>
      <c r="DF81" s="853"/>
      <c r="DG81" s="853"/>
      <c r="DH81" s="853"/>
      <c r="DI81" s="853"/>
      <c r="DJ81" s="853"/>
      <c r="DK81" s="853"/>
      <c r="DM81" s="853"/>
      <c r="DN81" s="853"/>
      <c r="DO81" s="853"/>
      <c r="DP81" s="853"/>
      <c r="DQ81" s="853"/>
      <c r="DR81" s="853"/>
      <c r="DS81" s="805"/>
      <c r="DT81" s="805"/>
      <c r="DV81" s="806">
        <f t="shared" si="10"/>
        <v>136586.30255955679</v>
      </c>
      <c r="DW81" s="806">
        <f t="shared" si="11"/>
        <v>0</v>
      </c>
      <c r="DX81" s="794">
        <f t="shared" si="12"/>
        <v>136586.30255955679</v>
      </c>
    </row>
    <row r="82" spans="1:128" hidden="1">
      <c r="A82" s="198">
        <v>2474</v>
      </c>
      <c r="B82" s="2">
        <v>131672</v>
      </c>
      <c r="C82" s="2" t="s">
        <v>187</v>
      </c>
      <c r="D82" s="2" t="s">
        <v>188</v>
      </c>
      <c r="E82" s="190" t="s">
        <v>39</v>
      </c>
      <c r="F82" s="211" t="str">
        <f>VLOOKUP(A82,'Summary June 2026'!A:F,6,FALSE)</f>
        <v>Chq Bk</v>
      </c>
      <c r="G82" s="33"/>
      <c r="H82" s="825">
        <v>0</v>
      </c>
      <c r="I82" s="804"/>
      <c r="J82" s="797">
        <v>0</v>
      </c>
      <c r="K82" s="797">
        <v>0</v>
      </c>
      <c r="L82" s="797">
        <v>0</v>
      </c>
      <c r="M82" s="797">
        <v>0</v>
      </c>
      <c r="N82" s="797">
        <v>0</v>
      </c>
      <c r="O82" s="797">
        <v>0</v>
      </c>
      <c r="P82" s="797">
        <v>0</v>
      </c>
      <c r="Q82" s="797">
        <f t="shared" si="13"/>
        <v>0</v>
      </c>
      <c r="R82" s="797">
        <f t="shared" si="14"/>
        <v>0</v>
      </c>
      <c r="S82" s="804"/>
      <c r="T82" s="364">
        <v>0</v>
      </c>
      <c r="U82" s="364">
        <v>0</v>
      </c>
      <c r="V82" s="364">
        <v>0</v>
      </c>
      <c r="W82" s="364">
        <v>0</v>
      </c>
      <c r="X82" s="364">
        <v>0</v>
      </c>
      <c r="Y82" s="364">
        <v>0</v>
      </c>
      <c r="Z82" s="364">
        <v>0</v>
      </c>
      <c r="AA82" s="364">
        <f t="shared" si="15"/>
        <v>0</v>
      </c>
      <c r="AB82" s="364">
        <f t="shared" si="16"/>
        <v>0</v>
      </c>
      <c r="AC82" s="804"/>
      <c r="AD82" s="817"/>
      <c r="AE82" s="817"/>
      <c r="AF82" s="817"/>
      <c r="AG82" s="817"/>
      <c r="AH82" s="817"/>
      <c r="AI82" s="817"/>
      <c r="AJ82" s="817"/>
      <c r="AK82" s="818"/>
      <c r="AL82" s="817"/>
      <c r="AM82" s="275"/>
      <c r="AN82" s="886">
        <v>0</v>
      </c>
      <c r="AO82" s="886">
        <v>0</v>
      </c>
      <c r="AP82" s="275"/>
      <c r="AQ82" s="834"/>
      <c r="AR82" s="834"/>
      <c r="AS82" s="834"/>
      <c r="AT82" s="834"/>
      <c r="AU82" s="834"/>
      <c r="AV82" s="834"/>
      <c r="AW82" s="834"/>
      <c r="AX82" s="834"/>
      <c r="AZ82" s="835"/>
      <c r="BA82" s="835"/>
      <c r="BB82" s="835"/>
      <c r="BC82" s="835"/>
      <c r="BD82" s="835"/>
      <c r="BE82" s="835"/>
      <c r="BF82" s="835"/>
      <c r="BG82" s="835"/>
      <c r="BH82" s="814"/>
      <c r="BI82" s="834"/>
      <c r="BJ82" s="834"/>
      <c r="BK82" s="834"/>
      <c r="BL82" s="834"/>
      <c r="BM82" s="834"/>
      <c r="BN82" s="834"/>
      <c r="BO82" s="834"/>
      <c r="BP82" s="834"/>
      <c r="BQ82" s="275"/>
      <c r="BR82" s="843"/>
      <c r="BS82" s="843"/>
      <c r="BT82" s="843"/>
      <c r="BU82" s="843"/>
      <c r="BV82" s="843"/>
      <c r="BW82" s="843"/>
      <c r="BX82" s="843"/>
      <c r="BY82" s="843"/>
      <c r="BZ82" s="843"/>
      <c r="CA82" s="843"/>
      <c r="CB82" s="843"/>
      <c r="CC82" s="843"/>
      <c r="CD82" s="843"/>
      <c r="CE82" s="843"/>
      <c r="CF82" s="843"/>
      <c r="CG82" s="843"/>
      <c r="CH82" s="843"/>
      <c r="CI82" s="843"/>
      <c r="CJ82" s="844"/>
      <c r="CK82" s="364"/>
      <c r="CL82" s="364"/>
      <c r="CM82" s="364"/>
      <c r="CN82" s="364"/>
      <c r="CO82" s="364"/>
      <c r="CP82" s="364"/>
      <c r="CQ82" s="364"/>
      <c r="CR82" s="804"/>
      <c r="CS82" s="852"/>
      <c r="CT82" s="853"/>
      <c r="CU82" s="853"/>
      <c r="CV82" s="853"/>
      <c r="CW82" s="853"/>
      <c r="CX82" s="853"/>
      <c r="CY82" s="853"/>
      <c r="CZ82" s="853"/>
      <c r="DA82" s="853"/>
      <c r="DC82" s="853"/>
      <c r="DD82" s="853"/>
      <c r="DE82" s="853"/>
      <c r="DF82" s="853"/>
      <c r="DG82" s="853"/>
      <c r="DH82" s="853"/>
      <c r="DI82" s="853"/>
      <c r="DJ82" s="853"/>
      <c r="DK82" s="853"/>
      <c r="DM82" s="853"/>
      <c r="DN82" s="853"/>
      <c r="DO82" s="853"/>
      <c r="DP82" s="853"/>
      <c r="DQ82" s="853"/>
      <c r="DR82" s="853"/>
      <c r="DS82" s="805"/>
      <c r="DT82" s="805"/>
      <c r="DV82" s="806">
        <f t="shared" si="10"/>
        <v>0</v>
      </c>
      <c r="DW82" s="806">
        <f t="shared" si="11"/>
        <v>0</v>
      </c>
      <c r="DX82" s="794">
        <f t="shared" si="12"/>
        <v>0</v>
      </c>
    </row>
    <row r="83" spans="1:128" hidden="1">
      <c r="A83" s="198">
        <v>4223</v>
      </c>
      <c r="B83" s="2">
        <v>103509</v>
      </c>
      <c r="C83" s="2" t="s">
        <v>189</v>
      </c>
      <c r="D83" s="2" t="s">
        <v>190</v>
      </c>
      <c r="E83" s="190" t="s">
        <v>71</v>
      </c>
      <c r="F83" s="211" t="str">
        <f>VLOOKUP(A83,'Summary June 2026'!A:F,6,FALSE)</f>
        <v>Chq Bk</v>
      </c>
      <c r="G83" s="33"/>
      <c r="H83" s="825">
        <v>0</v>
      </c>
      <c r="I83" s="804"/>
      <c r="J83" s="797">
        <v>0</v>
      </c>
      <c r="K83" s="797">
        <v>0</v>
      </c>
      <c r="L83" s="797">
        <v>0</v>
      </c>
      <c r="M83" s="797">
        <v>0</v>
      </c>
      <c r="N83" s="797">
        <v>0</v>
      </c>
      <c r="O83" s="797">
        <v>0</v>
      </c>
      <c r="P83" s="797">
        <v>0</v>
      </c>
      <c r="Q83" s="797">
        <f t="shared" si="13"/>
        <v>0</v>
      </c>
      <c r="R83" s="797">
        <f t="shared" si="14"/>
        <v>0</v>
      </c>
      <c r="S83" s="804"/>
      <c r="T83" s="364">
        <v>0</v>
      </c>
      <c r="U83" s="364">
        <v>0</v>
      </c>
      <c r="V83" s="364">
        <v>0</v>
      </c>
      <c r="W83" s="364">
        <v>0</v>
      </c>
      <c r="X83" s="364">
        <v>0</v>
      </c>
      <c r="Y83" s="364">
        <v>0</v>
      </c>
      <c r="Z83" s="364">
        <v>0</v>
      </c>
      <c r="AA83" s="364">
        <f t="shared" si="15"/>
        <v>0</v>
      </c>
      <c r="AB83" s="364">
        <f t="shared" si="16"/>
        <v>0</v>
      </c>
      <c r="AC83" s="804"/>
      <c r="AD83" s="817"/>
      <c r="AE83" s="817"/>
      <c r="AF83" s="817"/>
      <c r="AG83" s="817"/>
      <c r="AH83" s="817"/>
      <c r="AI83" s="817"/>
      <c r="AJ83" s="817"/>
      <c r="AK83" s="818"/>
      <c r="AL83" s="817"/>
      <c r="AM83" s="275"/>
      <c r="AN83" s="886">
        <v>0</v>
      </c>
      <c r="AO83" s="886">
        <v>0</v>
      </c>
      <c r="AP83" s="275"/>
      <c r="AQ83" s="834"/>
      <c r="AR83" s="834"/>
      <c r="AS83" s="834"/>
      <c r="AT83" s="834"/>
      <c r="AU83" s="834"/>
      <c r="AV83" s="834"/>
      <c r="AW83" s="834"/>
      <c r="AX83" s="834"/>
      <c r="AZ83" s="835"/>
      <c r="BA83" s="835"/>
      <c r="BB83" s="835"/>
      <c r="BC83" s="835"/>
      <c r="BD83" s="835"/>
      <c r="BE83" s="835"/>
      <c r="BF83" s="835"/>
      <c r="BG83" s="835"/>
      <c r="BH83" s="814"/>
      <c r="BI83" s="834"/>
      <c r="BJ83" s="834"/>
      <c r="BK83" s="834"/>
      <c r="BL83" s="834"/>
      <c r="BM83" s="834"/>
      <c r="BN83" s="834"/>
      <c r="BO83" s="834"/>
      <c r="BP83" s="834"/>
      <c r="BQ83" s="275"/>
      <c r="BR83" s="843"/>
      <c r="BS83" s="843"/>
      <c r="BT83" s="843"/>
      <c r="BU83" s="843"/>
      <c r="BV83" s="843"/>
      <c r="BW83" s="843"/>
      <c r="BX83" s="843"/>
      <c r="BY83" s="843"/>
      <c r="BZ83" s="843"/>
      <c r="CA83" s="843"/>
      <c r="CB83" s="843"/>
      <c r="CC83" s="843"/>
      <c r="CD83" s="843"/>
      <c r="CE83" s="843"/>
      <c r="CF83" s="843"/>
      <c r="CG83" s="843"/>
      <c r="CH83" s="843"/>
      <c r="CI83" s="843"/>
      <c r="CJ83" s="844"/>
      <c r="CK83" s="364"/>
      <c r="CL83" s="364"/>
      <c r="CM83" s="364"/>
      <c r="CN83" s="364"/>
      <c r="CO83" s="364"/>
      <c r="CP83" s="364"/>
      <c r="CQ83" s="364"/>
      <c r="CR83" s="804"/>
      <c r="CS83" s="852"/>
      <c r="CT83" s="853"/>
      <c r="CU83" s="853"/>
      <c r="CV83" s="853"/>
      <c r="CW83" s="853"/>
      <c r="CX83" s="853"/>
      <c r="CY83" s="853"/>
      <c r="CZ83" s="853"/>
      <c r="DA83" s="853"/>
      <c r="DC83" s="853"/>
      <c r="DD83" s="853"/>
      <c r="DE83" s="853"/>
      <c r="DF83" s="853"/>
      <c r="DG83" s="853"/>
      <c r="DH83" s="853"/>
      <c r="DI83" s="853"/>
      <c r="DJ83" s="853"/>
      <c r="DK83" s="853"/>
      <c r="DM83" s="853"/>
      <c r="DN83" s="853"/>
      <c r="DO83" s="853"/>
      <c r="DP83" s="853"/>
      <c r="DQ83" s="853"/>
      <c r="DR83" s="853"/>
      <c r="DS83" s="805"/>
      <c r="DT83" s="805"/>
      <c r="DV83" s="806">
        <f t="shared" si="10"/>
        <v>0</v>
      </c>
      <c r="DW83" s="806">
        <f t="shared" si="11"/>
        <v>0</v>
      </c>
      <c r="DX83" s="794">
        <f t="shared" si="12"/>
        <v>0</v>
      </c>
    </row>
    <row r="84" spans="1:128" hidden="1">
      <c r="A84" s="198">
        <v>3317</v>
      </c>
      <c r="B84" s="2">
        <v>103421</v>
      </c>
      <c r="C84" s="2" t="s">
        <v>191</v>
      </c>
      <c r="D84" s="2" t="s">
        <v>192</v>
      </c>
      <c r="E84" s="190" t="s">
        <v>39</v>
      </c>
      <c r="F84" s="211" t="str">
        <f>VLOOKUP(A84,'Summary June 2026'!A:F,6,FALSE)</f>
        <v>Chq Bk</v>
      </c>
      <c r="G84" s="33"/>
      <c r="H84" s="825">
        <v>0</v>
      </c>
      <c r="I84" s="804"/>
      <c r="J84" s="797">
        <v>0</v>
      </c>
      <c r="K84" s="797">
        <v>0</v>
      </c>
      <c r="L84" s="797">
        <v>34288.800000000003</v>
      </c>
      <c r="M84" s="797">
        <v>3139.4999999999995</v>
      </c>
      <c r="N84" s="797">
        <v>1044.68</v>
      </c>
      <c r="O84" s="797">
        <v>425.1</v>
      </c>
      <c r="P84" s="797">
        <v>0</v>
      </c>
      <c r="Q84" s="797">
        <f t="shared" si="13"/>
        <v>38898.080000000002</v>
      </c>
      <c r="R84" s="797">
        <f t="shared" si="14"/>
        <v>31118.464000000004</v>
      </c>
      <c r="S84" s="804"/>
      <c r="T84" s="364">
        <v>0</v>
      </c>
      <c r="U84" s="364">
        <v>0</v>
      </c>
      <c r="V84" s="364">
        <v>31839.600000000002</v>
      </c>
      <c r="W84" s="364">
        <v>2242.5</v>
      </c>
      <c r="X84" s="364">
        <v>746.2</v>
      </c>
      <c r="Y84" s="364">
        <v>378.3</v>
      </c>
      <c r="Z84" s="364">
        <v>0</v>
      </c>
      <c r="AA84" s="364">
        <f t="shared" si="15"/>
        <v>35206.600000000006</v>
      </c>
      <c r="AB84" s="364">
        <f t="shared" si="16"/>
        <v>28165.280000000006</v>
      </c>
      <c r="AC84" s="804"/>
      <c r="AD84" s="817"/>
      <c r="AE84" s="817"/>
      <c r="AF84" s="817"/>
      <c r="AG84" s="817"/>
      <c r="AH84" s="817"/>
      <c r="AI84" s="817"/>
      <c r="AJ84" s="817"/>
      <c r="AK84" s="818"/>
      <c r="AL84" s="817"/>
      <c r="AM84" s="275"/>
      <c r="AN84" s="886">
        <v>3441.4633795013838</v>
      </c>
      <c r="AO84" s="886">
        <v>0</v>
      </c>
      <c r="AP84" s="275"/>
      <c r="AQ84" s="834"/>
      <c r="AR84" s="834"/>
      <c r="AS84" s="834"/>
      <c r="AT84" s="834"/>
      <c r="AU84" s="834"/>
      <c r="AV84" s="834"/>
      <c r="AW84" s="834"/>
      <c r="AX84" s="834"/>
      <c r="AZ84" s="835"/>
      <c r="BA84" s="835"/>
      <c r="BB84" s="835"/>
      <c r="BC84" s="835"/>
      <c r="BD84" s="835"/>
      <c r="BE84" s="835"/>
      <c r="BF84" s="835"/>
      <c r="BG84" s="835"/>
      <c r="BH84" s="814"/>
      <c r="BI84" s="834"/>
      <c r="BJ84" s="834"/>
      <c r="BK84" s="834"/>
      <c r="BL84" s="834"/>
      <c r="BM84" s="834"/>
      <c r="BN84" s="834"/>
      <c r="BO84" s="834"/>
      <c r="BP84" s="834"/>
      <c r="BQ84" s="275"/>
      <c r="BR84" s="843"/>
      <c r="BS84" s="843"/>
      <c r="BT84" s="843"/>
      <c r="BU84" s="843"/>
      <c r="BV84" s="843"/>
      <c r="BW84" s="843"/>
      <c r="BX84" s="843"/>
      <c r="BY84" s="843"/>
      <c r="BZ84" s="843"/>
      <c r="CA84" s="843"/>
      <c r="CB84" s="843"/>
      <c r="CC84" s="843"/>
      <c r="CD84" s="843"/>
      <c r="CE84" s="843"/>
      <c r="CF84" s="843"/>
      <c r="CG84" s="843"/>
      <c r="CH84" s="843"/>
      <c r="CI84" s="843"/>
      <c r="CJ84" s="844"/>
      <c r="CK84" s="364"/>
      <c r="CL84" s="364"/>
      <c r="CM84" s="364"/>
      <c r="CN84" s="364"/>
      <c r="CO84" s="364"/>
      <c r="CP84" s="364"/>
      <c r="CQ84" s="364"/>
      <c r="CR84" s="804"/>
      <c r="CS84" s="852"/>
      <c r="CT84" s="853"/>
      <c r="CU84" s="853"/>
      <c r="CV84" s="853"/>
      <c r="CW84" s="853"/>
      <c r="CX84" s="853"/>
      <c r="CY84" s="853"/>
      <c r="CZ84" s="853"/>
      <c r="DA84" s="853"/>
      <c r="DC84" s="853"/>
      <c r="DD84" s="853"/>
      <c r="DE84" s="853"/>
      <c r="DF84" s="853"/>
      <c r="DG84" s="853"/>
      <c r="DH84" s="853"/>
      <c r="DI84" s="853"/>
      <c r="DJ84" s="853"/>
      <c r="DK84" s="853"/>
      <c r="DM84" s="853"/>
      <c r="DN84" s="853"/>
      <c r="DO84" s="853"/>
      <c r="DP84" s="853"/>
      <c r="DQ84" s="853"/>
      <c r="DR84" s="853"/>
      <c r="DS84" s="805"/>
      <c r="DT84" s="805"/>
      <c r="DV84" s="806">
        <f t="shared" si="10"/>
        <v>62725.207379501393</v>
      </c>
      <c r="DW84" s="806">
        <f t="shared" si="11"/>
        <v>0</v>
      </c>
      <c r="DX84" s="794">
        <f t="shared" si="12"/>
        <v>62725.207379501393</v>
      </c>
    </row>
    <row r="85" spans="1:128" hidden="1">
      <c r="A85" s="198">
        <v>1023</v>
      </c>
      <c r="B85" s="2">
        <v>103136</v>
      </c>
      <c r="C85" s="2" t="s">
        <v>193</v>
      </c>
      <c r="D85" s="2" t="s">
        <v>194</v>
      </c>
      <c r="E85" s="190" t="s">
        <v>36</v>
      </c>
      <c r="F85" s="211" t="str">
        <f>VLOOKUP(A85,'Summary June 2026'!A:F,6,FALSE)</f>
        <v>Chq Bk</v>
      </c>
      <c r="G85" s="33"/>
      <c r="H85" s="825">
        <v>195906.90143598005</v>
      </c>
      <c r="I85" s="804"/>
      <c r="J85" s="797">
        <v>0</v>
      </c>
      <c r="K85" s="797">
        <v>44970.899999999994</v>
      </c>
      <c r="L85" s="797">
        <v>117561.59999999999</v>
      </c>
      <c r="M85" s="797">
        <v>12333.749999999998</v>
      </c>
      <c r="N85" s="797">
        <v>1454.9873684210527</v>
      </c>
      <c r="O85" s="797">
        <v>3940.9500000000003</v>
      </c>
      <c r="P85" s="797">
        <v>7800</v>
      </c>
      <c r="Q85" s="797">
        <f t="shared" si="13"/>
        <v>188062.18736842106</v>
      </c>
      <c r="R85" s="797">
        <f t="shared" si="14"/>
        <v>150449.74989473686</v>
      </c>
      <c r="S85" s="804"/>
      <c r="T85" s="364">
        <v>0</v>
      </c>
      <c r="U85" s="364">
        <v>70383.45</v>
      </c>
      <c r="V85" s="364">
        <v>70084.800000000003</v>
      </c>
      <c r="W85" s="364">
        <v>10331.25</v>
      </c>
      <c r="X85" s="364">
        <v>1606.7147368421054</v>
      </c>
      <c r="Y85" s="364">
        <v>2913.2999999999997</v>
      </c>
      <c r="Z85" s="364">
        <v>1950</v>
      </c>
      <c r="AA85" s="364">
        <f t="shared" si="15"/>
        <v>157269.5147368421</v>
      </c>
      <c r="AB85" s="364">
        <f t="shared" si="16"/>
        <v>125815.61178947368</v>
      </c>
      <c r="AC85" s="804"/>
      <c r="AD85" s="817"/>
      <c r="AE85" s="817"/>
      <c r="AF85" s="817"/>
      <c r="AG85" s="817"/>
      <c r="AH85" s="817"/>
      <c r="AI85" s="817"/>
      <c r="AJ85" s="817"/>
      <c r="AK85" s="818"/>
      <c r="AL85" s="817"/>
      <c r="AM85" s="275"/>
      <c r="AN85" s="886">
        <v>61366.740498614941</v>
      </c>
      <c r="AO85" s="886">
        <v>-1346.9783933518006</v>
      </c>
      <c r="AP85" s="275"/>
      <c r="AQ85" s="834"/>
      <c r="AR85" s="834"/>
      <c r="AS85" s="834"/>
      <c r="AT85" s="834"/>
      <c r="AU85" s="834"/>
      <c r="AV85" s="834"/>
      <c r="AW85" s="834"/>
      <c r="AX85" s="834"/>
      <c r="AZ85" s="835"/>
      <c r="BA85" s="835"/>
      <c r="BB85" s="835"/>
      <c r="BC85" s="835"/>
      <c r="BD85" s="835"/>
      <c r="BE85" s="835"/>
      <c r="BF85" s="835"/>
      <c r="BG85" s="835"/>
      <c r="BH85" s="814"/>
      <c r="BI85" s="834"/>
      <c r="BJ85" s="834"/>
      <c r="BK85" s="834"/>
      <c r="BL85" s="834"/>
      <c r="BM85" s="834"/>
      <c r="BN85" s="834"/>
      <c r="BO85" s="834"/>
      <c r="BP85" s="834"/>
      <c r="BQ85" s="275"/>
      <c r="BR85" s="843"/>
      <c r="BS85" s="843"/>
      <c r="BT85" s="843"/>
      <c r="BU85" s="843"/>
      <c r="BV85" s="843"/>
      <c r="BW85" s="843"/>
      <c r="BX85" s="843"/>
      <c r="BY85" s="843"/>
      <c r="BZ85" s="843"/>
      <c r="CA85" s="843"/>
      <c r="CB85" s="843"/>
      <c r="CC85" s="843"/>
      <c r="CD85" s="843"/>
      <c r="CE85" s="843"/>
      <c r="CF85" s="843"/>
      <c r="CG85" s="843"/>
      <c r="CH85" s="843"/>
      <c r="CI85" s="843"/>
      <c r="CJ85" s="844"/>
      <c r="CK85" s="364"/>
      <c r="CL85" s="364"/>
      <c r="CM85" s="364"/>
      <c r="CN85" s="364"/>
      <c r="CO85" s="364"/>
      <c r="CP85" s="364"/>
      <c r="CQ85" s="364"/>
      <c r="CR85" s="804"/>
      <c r="CS85" s="852"/>
      <c r="CT85" s="853"/>
      <c r="CU85" s="853"/>
      <c r="CV85" s="853"/>
      <c r="CW85" s="853"/>
      <c r="CX85" s="853"/>
      <c r="CY85" s="853"/>
      <c r="CZ85" s="853"/>
      <c r="DA85" s="853"/>
      <c r="DC85" s="853"/>
      <c r="DD85" s="853"/>
      <c r="DE85" s="853"/>
      <c r="DF85" s="853"/>
      <c r="DG85" s="853"/>
      <c r="DH85" s="853"/>
      <c r="DI85" s="853"/>
      <c r="DJ85" s="853"/>
      <c r="DK85" s="853"/>
      <c r="DM85" s="853"/>
      <c r="DN85" s="853"/>
      <c r="DO85" s="853"/>
      <c r="DP85" s="853"/>
      <c r="DQ85" s="853"/>
      <c r="DR85" s="853"/>
      <c r="DS85" s="805"/>
      <c r="DT85" s="805"/>
      <c r="DV85" s="806">
        <f t="shared" si="10"/>
        <v>525739.00361880555</v>
      </c>
      <c r="DW85" s="806">
        <f t="shared" si="11"/>
        <v>6453.0216066481989</v>
      </c>
      <c r="DX85" s="794">
        <f t="shared" si="12"/>
        <v>532192.02522545378</v>
      </c>
    </row>
    <row r="86" spans="1:128" hidden="1">
      <c r="A86" s="198">
        <v>2015</v>
      </c>
      <c r="B86" s="2">
        <v>134102</v>
      </c>
      <c r="C86" s="2" t="s">
        <v>195</v>
      </c>
      <c r="D86" s="2" t="s">
        <v>196</v>
      </c>
      <c r="E86" s="190" t="s">
        <v>39</v>
      </c>
      <c r="F86" s="211" t="str">
        <f>VLOOKUP(A86,'Summary June 2026'!A:F,6,FALSE)</f>
        <v>Chq Bk</v>
      </c>
      <c r="G86" s="33"/>
      <c r="H86" s="825">
        <v>0</v>
      </c>
      <c r="I86" s="804"/>
      <c r="J86" s="797">
        <v>0</v>
      </c>
      <c r="K86" s="797">
        <v>0</v>
      </c>
      <c r="L86" s="797">
        <v>53882.400000000001</v>
      </c>
      <c r="M86" s="797">
        <v>4485</v>
      </c>
      <c r="N86" s="797">
        <v>1492.4</v>
      </c>
      <c r="O86" s="797">
        <v>2505.75</v>
      </c>
      <c r="P86" s="797">
        <v>0</v>
      </c>
      <c r="Q86" s="797">
        <f t="shared" si="13"/>
        <v>62365.55</v>
      </c>
      <c r="R86" s="797">
        <f t="shared" si="14"/>
        <v>49892.44</v>
      </c>
      <c r="S86" s="804"/>
      <c r="T86" s="364">
        <v>0</v>
      </c>
      <c r="U86" s="364">
        <v>0</v>
      </c>
      <c r="V86" s="364">
        <v>34288.800000000003</v>
      </c>
      <c r="W86" s="364">
        <v>2242.5</v>
      </c>
      <c r="X86" s="364">
        <v>746.2</v>
      </c>
      <c r="Y86" s="364">
        <v>1571.7</v>
      </c>
      <c r="Z86" s="364">
        <v>0</v>
      </c>
      <c r="AA86" s="364">
        <f t="shared" si="15"/>
        <v>38849.199999999997</v>
      </c>
      <c r="AB86" s="364">
        <f t="shared" si="16"/>
        <v>31079.360000000001</v>
      </c>
      <c r="AC86" s="804"/>
      <c r="AD86" s="817"/>
      <c r="AE86" s="817"/>
      <c r="AF86" s="817"/>
      <c r="AG86" s="817"/>
      <c r="AH86" s="817"/>
      <c r="AI86" s="817"/>
      <c r="AJ86" s="817"/>
      <c r="AK86" s="818"/>
      <c r="AL86" s="817"/>
      <c r="AM86" s="275"/>
      <c r="AN86" s="886">
        <v>10958.760332409969</v>
      </c>
      <c r="AO86" s="886">
        <v>0</v>
      </c>
      <c r="AP86" s="275"/>
      <c r="AQ86" s="834"/>
      <c r="AR86" s="834"/>
      <c r="AS86" s="834"/>
      <c r="AT86" s="834"/>
      <c r="AU86" s="834"/>
      <c r="AV86" s="834"/>
      <c r="AW86" s="834"/>
      <c r="AX86" s="834"/>
      <c r="AZ86" s="835"/>
      <c r="BA86" s="835"/>
      <c r="BB86" s="835"/>
      <c r="BC86" s="835"/>
      <c r="BD86" s="835"/>
      <c r="BE86" s="835"/>
      <c r="BF86" s="835"/>
      <c r="BG86" s="835"/>
      <c r="BH86" s="814"/>
      <c r="BI86" s="834"/>
      <c r="BJ86" s="834"/>
      <c r="BK86" s="834"/>
      <c r="BL86" s="834"/>
      <c r="BM86" s="834"/>
      <c r="BN86" s="834"/>
      <c r="BO86" s="834"/>
      <c r="BP86" s="834"/>
      <c r="BQ86" s="275"/>
      <c r="BR86" s="843"/>
      <c r="BS86" s="843"/>
      <c r="BT86" s="843"/>
      <c r="BU86" s="843"/>
      <c r="BV86" s="843"/>
      <c r="BW86" s="843"/>
      <c r="BX86" s="843"/>
      <c r="BY86" s="843"/>
      <c r="BZ86" s="843"/>
      <c r="CA86" s="843"/>
      <c r="CB86" s="843"/>
      <c r="CC86" s="843"/>
      <c r="CD86" s="843"/>
      <c r="CE86" s="843"/>
      <c r="CF86" s="843"/>
      <c r="CG86" s="843"/>
      <c r="CH86" s="843"/>
      <c r="CI86" s="843"/>
      <c r="CJ86" s="844"/>
      <c r="CK86" s="364"/>
      <c r="CL86" s="364"/>
      <c r="CM86" s="364"/>
      <c r="CN86" s="364"/>
      <c r="CO86" s="364"/>
      <c r="CP86" s="364"/>
      <c r="CQ86" s="364"/>
      <c r="CR86" s="804"/>
      <c r="CS86" s="852"/>
      <c r="CT86" s="853"/>
      <c r="CU86" s="853"/>
      <c r="CV86" s="853"/>
      <c r="CW86" s="853"/>
      <c r="CX86" s="853"/>
      <c r="CY86" s="853"/>
      <c r="CZ86" s="853"/>
      <c r="DA86" s="853"/>
      <c r="DC86" s="853"/>
      <c r="DD86" s="853"/>
      <c r="DE86" s="853"/>
      <c r="DF86" s="853"/>
      <c r="DG86" s="853"/>
      <c r="DH86" s="853"/>
      <c r="DI86" s="853"/>
      <c r="DJ86" s="853"/>
      <c r="DK86" s="853"/>
      <c r="DM86" s="853"/>
      <c r="DN86" s="853"/>
      <c r="DO86" s="853"/>
      <c r="DP86" s="853"/>
      <c r="DQ86" s="853"/>
      <c r="DR86" s="853"/>
      <c r="DS86" s="805"/>
      <c r="DT86" s="805"/>
      <c r="DV86" s="806">
        <f t="shared" si="10"/>
        <v>91930.560332409979</v>
      </c>
      <c r="DW86" s="806">
        <f t="shared" si="11"/>
        <v>0</v>
      </c>
      <c r="DX86" s="794">
        <f t="shared" si="12"/>
        <v>91930.560332409979</v>
      </c>
    </row>
    <row r="87" spans="1:128" hidden="1">
      <c r="A87" s="198">
        <v>3352</v>
      </c>
      <c r="B87" s="2">
        <v>103444</v>
      </c>
      <c r="C87" s="2" t="s">
        <v>197</v>
      </c>
      <c r="D87" s="2" t="s">
        <v>198</v>
      </c>
      <c r="E87" s="190" t="s">
        <v>39</v>
      </c>
      <c r="F87" s="211" t="str">
        <f>VLOOKUP(A87,'Summary June 2026'!A:F,6,FALSE)</f>
        <v>Chq Bk</v>
      </c>
      <c r="G87" s="33"/>
      <c r="H87" s="825">
        <v>0</v>
      </c>
      <c r="I87" s="804"/>
      <c r="J87" s="797">
        <v>0</v>
      </c>
      <c r="K87" s="797">
        <v>0</v>
      </c>
      <c r="L87" s="797">
        <v>8572.2000000000007</v>
      </c>
      <c r="M87" s="797">
        <v>0</v>
      </c>
      <c r="N87" s="797">
        <v>0</v>
      </c>
      <c r="O87" s="797">
        <v>0</v>
      </c>
      <c r="P87" s="797">
        <v>0</v>
      </c>
      <c r="Q87" s="797">
        <f t="shared" si="13"/>
        <v>8572.2000000000007</v>
      </c>
      <c r="R87" s="797">
        <f t="shared" si="14"/>
        <v>6857.7600000000011</v>
      </c>
      <c r="S87" s="804"/>
      <c r="T87" s="364">
        <v>0</v>
      </c>
      <c r="U87" s="364">
        <v>0</v>
      </c>
      <c r="V87" s="364">
        <v>3673.8</v>
      </c>
      <c r="W87" s="364">
        <v>0</v>
      </c>
      <c r="X87" s="364">
        <v>0</v>
      </c>
      <c r="Y87" s="364">
        <v>31.2</v>
      </c>
      <c r="Z87" s="364">
        <v>0</v>
      </c>
      <c r="AA87" s="364">
        <f t="shared" si="15"/>
        <v>3705</v>
      </c>
      <c r="AB87" s="364">
        <f t="shared" si="16"/>
        <v>2964</v>
      </c>
      <c r="AC87" s="804"/>
      <c r="AD87" s="817"/>
      <c r="AE87" s="817"/>
      <c r="AF87" s="817"/>
      <c r="AG87" s="817"/>
      <c r="AH87" s="817"/>
      <c r="AI87" s="817"/>
      <c r="AJ87" s="817"/>
      <c r="AK87" s="818"/>
      <c r="AL87" s="817"/>
      <c r="AM87" s="275"/>
      <c r="AN87" s="886">
        <v>-9930.6609972299157</v>
      </c>
      <c r="AO87" s="886">
        <v>0</v>
      </c>
      <c r="AP87" s="275"/>
      <c r="AQ87" s="834"/>
      <c r="AR87" s="834"/>
      <c r="AS87" s="834"/>
      <c r="AT87" s="834"/>
      <c r="AU87" s="834"/>
      <c r="AV87" s="834"/>
      <c r="AW87" s="834"/>
      <c r="AX87" s="834"/>
      <c r="AZ87" s="835"/>
      <c r="BA87" s="835"/>
      <c r="BB87" s="835"/>
      <c r="BC87" s="835"/>
      <c r="BD87" s="835"/>
      <c r="BE87" s="835"/>
      <c r="BF87" s="835"/>
      <c r="BG87" s="835"/>
      <c r="BH87" s="814"/>
      <c r="BI87" s="834"/>
      <c r="BJ87" s="834"/>
      <c r="BK87" s="834"/>
      <c r="BL87" s="834"/>
      <c r="BM87" s="834"/>
      <c r="BN87" s="834"/>
      <c r="BO87" s="834"/>
      <c r="BP87" s="834"/>
      <c r="BQ87" s="275"/>
      <c r="BR87" s="843"/>
      <c r="BS87" s="843"/>
      <c r="BT87" s="843"/>
      <c r="BU87" s="843"/>
      <c r="BV87" s="843"/>
      <c r="BW87" s="843"/>
      <c r="BX87" s="843"/>
      <c r="BY87" s="843"/>
      <c r="BZ87" s="843"/>
      <c r="CA87" s="843"/>
      <c r="CB87" s="843"/>
      <c r="CC87" s="843"/>
      <c r="CD87" s="843"/>
      <c r="CE87" s="843"/>
      <c r="CF87" s="843"/>
      <c r="CG87" s="843"/>
      <c r="CH87" s="843"/>
      <c r="CI87" s="843"/>
      <c r="CJ87" s="844"/>
      <c r="CK87" s="364"/>
      <c r="CL87" s="364"/>
      <c r="CM87" s="364"/>
      <c r="CN87" s="364"/>
      <c r="CO87" s="364"/>
      <c r="CP87" s="364"/>
      <c r="CQ87" s="364"/>
      <c r="CR87" s="804"/>
      <c r="CS87" s="852"/>
      <c r="CT87" s="853"/>
      <c r="CU87" s="853"/>
      <c r="CV87" s="853"/>
      <c r="CW87" s="853"/>
      <c r="CX87" s="853"/>
      <c r="CY87" s="853"/>
      <c r="CZ87" s="853"/>
      <c r="DA87" s="853"/>
      <c r="DC87" s="853"/>
      <c r="DD87" s="853"/>
      <c r="DE87" s="853"/>
      <c r="DF87" s="853"/>
      <c r="DG87" s="853"/>
      <c r="DH87" s="853"/>
      <c r="DI87" s="853"/>
      <c r="DJ87" s="853"/>
      <c r="DK87" s="853"/>
      <c r="DM87" s="853"/>
      <c r="DN87" s="853"/>
      <c r="DO87" s="853"/>
      <c r="DP87" s="853"/>
      <c r="DQ87" s="853"/>
      <c r="DR87" s="853"/>
      <c r="DS87" s="805"/>
      <c r="DT87" s="805"/>
      <c r="DV87" s="806">
        <f t="shared" si="10"/>
        <v>-108.90099722991545</v>
      </c>
      <c r="DW87" s="806">
        <f t="shared" si="11"/>
        <v>0</v>
      </c>
      <c r="DX87" s="794">
        <f t="shared" si="12"/>
        <v>-108.90099722991545</v>
      </c>
    </row>
    <row r="88" spans="1:128" hidden="1">
      <c r="A88" s="198">
        <v>2005</v>
      </c>
      <c r="B88" s="2">
        <v>134098</v>
      </c>
      <c r="C88" s="2" t="s">
        <v>199</v>
      </c>
      <c r="D88" s="2" t="s">
        <v>200</v>
      </c>
      <c r="E88" s="190" t="s">
        <v>39</v>
      </c>
      <c r="F88" s="211" t="str">
        <f>VLOOKUP(A88,'Summary June 2026'!A:F,6,FALSE)</f>
        <v>Chq Bk</v>
      </c>
      <c r="G88" s="33"/>
      <c r="H88" s="825">
        <v>0</v>
      </c>
      <c r="I88" s="804"/>
      <c r="J88" s="797">
        <v>0</v>
      </c>
      <c r="K88" s="797">
        <v>0</v>
      </c>
      <c r="L88" s="797">
        <v>51555.66</v>
      </c>
      <c r="M88" s="797">
        <v>1793.9999999999998</v>
      </c>
      <c r="N88" s="797">
        <v>619.32547368421046</v>
      </c>
      <c r="O88" s="797">
        <v>191.1</v>
      </c>
      <c r="P88" s="797">
        <v>0</v>
      </c>
      <c r="Q88" s="797">
        <f t="shared" si="13"/>
        <v>54160.085473684216</v>
      </c>
      <c r="R88" s="797">
        <f t="shared" si="14"/>
        <v>43328.068378947377</v>
      </c>
      <c r="S88" s="804"/>
      <c r="T88" s="364">
        <v>0</v>
      </c>
      <c r="U88" s="364">
        <v>0</v>
      </c>
      <c r="V88" s="364">
        <v>27063.660000000003</v>
      </c>
      <c r="W88" s="364">
        <v>1121.25</v>
      </c>
      <c r="X88" s="364">
        <v>373.1</v>
      </c>
      <c r="Y88" s="364">
        <v>294.45</v>
      </c>
      <c r="Z88" s="364">
        <v>0</v>
      </c>
      <c r="AA88" s="364">
        <f t="shared" si="15"/>
        <v>28852.460000000003</v>
      </c>
      <c r="AB88" s="364">
        <f t="shared" si="16"/>
        <v>23081.968000000004</v>
      </c>
      <c r="AC88" s="804"/>
      <c r="AD88" s="817"/>
      <c r="AE88" s="817"/>
      <c r="AF88" s="817"/>
      <c r="AG88" s="817"/>
      <c r="AH88" s="817"/>
      <c r="AI88" s="817"/>
      <c r="AJ88" s="817"/>
      <c r="AK88" s="818"/>
      <c r="AL88" s="817"/>
      <c r="AM88" s="275"/>
      <c r="AN88" s="886">
        <v>-6034.6574803324092</v>
      </c>
      <c r="AO88" s="886">
        <v>0</v>
      </c>
      <c r="AP88" s="275"/>
      <c r="AQ88" s="834"/>
      <c r="AR88" s="834"/>
      <c r="AS88" s="834"/>
      <c r="AT88" s="834"/>
      <c r="AU88" s="834"/>
      <c r="AV88" s="834"/>
      <c r="AW88" s="834"/>
      <c r="AX88" s="834"/>
      <c r="AZ88" s="835"/>
      <c r="BA88" s="835"/>
      <c r="BB88" s="835"/>
      <c r="BC88" s="835"/>
      <c r="BD88" s="835"/>
      <c r="BE88" s="835"/>
      <c r="BF88" s="835"/>
      <c r="BG88" s="835"/>
      <c r="BH88" s="814"/>
      <c r="BI88" s="834"/>
      <c r="BJ88" s="834"/>
      <c r="BK88" s="834"/>
      <c r="BL88" s="834"/>
      <c r="BM88" s="834"/>
      <c r="BN88" s="834"/>
      <c r="BO88" s="834"/>
      <c r="BP88" s="834"/>
      <c r="BQ88" s="275"/>
      <c r="BR88" s="843"/>
      <c r="BS88" s="843"/>
      <c r="BT88" s="843"/>
      <c r="BU88" s="843"/>
      <c r="BV88" s="843"/>
      <c r="BW88" s="843"/>
      <c r="BX88" s="843"/>
      <c r="BY88" s="843"/>
      <c r="BZ88" s="843"/>
      <c r="CA88" s="843"/>
      <c r="CB88" s="843"/>
      <c r="CC88" s="843"/>
      <c r="CD88" s="843"/>
      <c r="CE88" s="843"/>
      <c r="CF88" s="843"/>
      <c r="CG88" s="843"/>
      <c r="CH88" s="843"/>
      <c r="CI88" s="843"/>
      <c r="CJ88" s="844"/>
      <c r="CK88" s="364"/>
      <c r="CL88" s="364"/>
      <c r="CM88" s="364"/>
      <c r="CN88" s="364"/>
      <c r="CO88" s="364"/>
      <c r="CP88" s="364"/>
      <c r="CQ88" s="364"/>
      <c r="CR88" s="804"/>
      <c r="CS88" s="852"/>
      <c r="CT88" s="853"/>
      <c r="CU88" s="853"/>
      <c r="CV88" s="853"/>
      <c r="CW88" s="853"/>
      <c r="CX88" s="853"/>
      <c r="CY88" s="853"/>
      <c r="CZ88" s="853"/>
      <c r="DA88" s="853"/>
      <c r="DC88" s="853"/>
      <c r="DD88" s="853"/>
      <c r="DE88" s="853"/>
      <c r="DF88" s="853"/>
      <c r="DG88" s="853"/>
      <c r="DH88" s="853"/>
      <c r="DI88" s="853"/>
      <c r="DJ88" s="853"/>
      <c r="DK88" s="853"/>
      <c r="DM88" s="853"/>
      <c r="DN88" s="853"/>
      <c r="DO88" s="853"/>
      <c r="DP88" s="853"/>
      <c r="DQ88" s="853"/>
      <c r="DR88" s="853"/>
      <c r="DS88" s="805"/>
      <c r="DT88" s="805"/>
      <c r="DV88" s="806">
        <f t="shared" si="10"/>
        <v>60375.378898614967</v>
      </c>
      <c r="DW88" s="806">
        <f t="shared" si="11"/>
        <v>0</v>
      </c>
      <c r="DX88" s="794">
        <f t="shared" si="12"/>
        <v>60375.378898614967</v>
      </c>
    </row>
    <row r="89" spans="1:128" hidden="1">
      <c r="A89" s="198">
        <v>4063</v>
      </c>
      <c r="B89" s="2">
        <v>103486</v>
      </c>
      <c r="C89" s="2" t="s">
        <v>201</v>
      </c>
      <c r="D89" s="2" t="s">
        <v>202</v>
      </c>
      <c r="E89" s="190" t="s">
        <v>71</v>
      </c>
      <c r="F89" s="211" t="str">
        <f>VLOOKUP(A89,'Summary June 2026'!A:F,6,FALSE)</f>
        <v>Chq Bk</v>
      </c>
      <c r="G89" s="33"/>
      <c r="H89" s="825">
        <v>0</v>
      </c>
      <c r="I89" s="804"/>
      <c r="J89" s="797">
        <v>0</v>
      </c>
      <c r="K89" s="797">
        <v>0</v>
      </c>
      <c r="L89" s="797">
        <v>0</v>
      </c>
      <c r="M89" s="797">
        <v>0</v>
      </c>
      <c r="N89" s="797">
        <v>0</v>
      </c>
      <c r="O89" s="797">
        <v>0</v>
      </c>
      <c r="P89" s="797">
        <v>0</v>
      </c>
      <c r="Q89" s="797">
        <f t="shared" si="13"/>
        <v>0</v>
      </c>
      <c r="R89" s="797">
        <f t="shared" si="14"/>
        <v>0</v>
      </c>
      <c r="S89" s="804"/>
      <c r="T89" s="364">
        <v>0</v>
      </c>
      <c r="U89" s="364">
        <v>0</v>
      </c>
      <c r="V89" s="364">
        <v>0</v>
      </c>
      <c r="W89" s="364">
        <v>0</v>
      </c>
      <c r="X89" s="364">
        <v>0</v>
      </c>
      <c r="Y89" s="364">
        <v>0</v>
      </c>
      <c r="Z89" s="364">
        <v>0</v>
      </c>
      <c r="AA89" s="364">
        <f t="shared" si="15"/>
        <v>0</v>
      </c>
      <c r="AB89" s="364">
        <f t="shared" si="16"/>
        <v>0</v>
      </c>
      <c r="AC89" s="804"/>
      <c r="AD89" s="817"/>
      <c r="AE89" s="817"/>
      <c r="AF89" s="817"/>
      <c r="AG89" s="817"/>
      <c r="AH89" s="817"/>
      <c r="AI89" s="817"/>
      <c r="AJ89" s="817"/>
      <c r="AK89" s="818"/>
      <c r="AL89" s="817"/>
      <c r="AM89" s="275"/>
      <c r="AN89" s="886">
        <v>0</v>
      </c>
      <c r="AO89" s="886">
        <v>0</v>
      </c>
      <c r="AP89" s="275"/>
      <c r="AQ89" s="834"/>
      <c r="AR89" s="834"/>
      <c r="AS89" s="834"/>
      <c r="AT89" s="834"/>
      <c r="AU89" s="834"/>
      <c r="AV89" s="834"/>
      <c r="AW89" s="834"/>
      <c r="AX89" s="834"/>
      <c r="AZ89" s="835"/>
      <c r="BA89" s="835"/>
      <c r="BB89" s="835"/>
      <c r="BC89" s="835"/>
      <c r="BD89" s="835"/>
      <c r="BE89" s="835"/>
      <c r="BF89" s="835"/>
      <c r="BG89" s="835"/>
      <c r="BH89" s="814"/>
      <c r="BI89" s="834"/>
      <c r="BJ89" s="834"/>
      <c r="BK89" s="834"/>
      <c r="BL89" s="834"/>
      <c r="BM89" s="834"/>
      <c r="BN89" s="834"/>
      <c r="BO89" s="834"/>
      <c r="BP89" s="834"/>
      <c r="BQ89" s="275"/>
      <c r="BR89" s="843"/>
      <c r="BS89" s="843"/>
      <c r="BT89" s="843"/>
      <c r="BU89" s="843"/>
      <c r="BV89" s="843"/>
      <c r="BW89" s="843"/>
      <c r="BX89" s="843"/>
      <c r="BY89" s="843"/>
      <c r="BZ89" s="843"/>
      <c r="CA89" s="843"/>
      <c r="CB89" s="843"/>
      <c r="CC89" s="843"/>
      <c r="CD89" s="843"/>
      <c r="CE89" s="843"/>
      <c r="CF89" s="843"/>
      <c r="CG89" s="843"/>
      <c r="CH89" s="843"/>
      <c r="CI89" s="843"/>
      <c r="CJ89" s="844"/>
      <c r="CK89" s="364"/>
      <c r="CL89" s="364"/>
      <c r="CM89" s="364"/>
      <c r="CN89" s="364"/>
      <c r="CO89" s="364"/>
      <c r="CP89" s="364"/>
      <c r="CQ89" s="364"/>
      <c r="CR89" s="804"/>
      <c r="CS89" s="852"/>
      <c r="CT89" s="853"/>
      <c r="CU89" s="853"/>
      <c r="CV89" s="853"/>
      <c r="CW89" s="853"/>
      <c r="CX89" s="853"/>
      <c r="CY89" s="853"/>
      <c r="CZ89" s="853"/>
      <c r="DA89" s="853"/>
      <c r="DC89" s="853"/>
      <c r="DD89" s="853"/>
      <c r="DE89" s="853"/>
      <c r="DF89" s="853"/>
      <c r="DG89" s="853"/>
      <c r="DH89" s="853"/>
      <c r="DI89" s="853"/>
      <c r="DJ89" s="853"/>
      <c r="DK89" s="853"/>
      <c r="DM89" s="853"/>
      <c r="DN89" s="853"/>
      <c r="DO89" s="853"/>
      <c r="DP89" s="853"/>
      <c r="DQ89" s="853"/>
      <c r="DR89" s="853"/>
      <c r="DS89" s="805"/>
      <c r="DT89" s="805"/>
      <c r="DV89" s="806">
        <f t="shared" si="10"/>
        <v>0</v>
      </c>
      <c r="DW89" s="806">
        <f t="shared" si="11"/>
        <v>0</v>
      </c>
      <c r="DX89" s="794">
        <f t="shared" si="12"/>
        <v>0</v>
      </c>
    </row>
    <row r="90" spans="1:128" hidden="1">
      <c r="A90" s="198">
        <v>1016</v>
      </c>
      <c r="B90" s="2">
        <v>103129</v>
      </c>
      <c r="C90" s="2" t="s">
        <v>203</v>
      </c>
      <c r="D90" s="2" t="s">
        <v>204</v>
      </c>
      <c r="E90" s="190" t="s">
        <v>36</v>
      </c>
      <c r="F90" s="211" t="str">
        <f>VLOOKUP(A90,'Summary June 2026'!A:F,6,FALSE)</f>
        <v>Chq Bk</v>
      </c>
      <c r="G90" s="33"/>
      <c r="H90" s="825">
        <v>216784.01453618344</v>
      </c>
      <c r="I90" s="804"/>
      <c r="J90" s="797">
        <v>0</v>
      </c>
      <c r="K90" s="797">
        <v>27674.400000000001</v>
      </c>
      <c r="L90" s="797">
        <v>131440.4</v>
      </c>
      <c r="M90" s="797">
        <v>9194.25</v>
      </c>
      <c r="N90" s="797">
        <v>3655.7642105263158</v>
      </c>
      <c r="O90" s="797">
        <v>4331.8600000000006</v>
      </c>
      <c r="P90" s="797">
        <v>0</v>
      </c>
      <c r="Q90" s="797">
        <f t="shared" si="13"/>
        <v>176296.67421052628</v>
      </c>
      <c r="R90" s="797">
        <f t="shared" si="14"/>
        <v>141037.33936842103</v>
      </c>
      <c r="S90" s="804"/>
      <c r="T90" s="364">
        <v>0</v>
      </c>
      <c r="U90" s="364">
        <v>43241.25</v>
      </c>
      <c r="V90" s="364">
        <v>89926.459999999992</v>
      </c>
      <c r="W90" s="364">
        <v>6951.7499999999991</v>
      </c>
      <c r="X90" s="364">
        <v>2536.8747368421054</v>
      </c>
      <c r="Y90" s="364">
        <v>3591.3799999999997</v>
      </c>
      <c r="Z90" s="364">
        <v>0</v>
      </c>
      <c r="AA90" s="364">
        <f t="shared" si="15"/>
        <v>146247.71473684211</v>
      </c>
      <c r="AB90" s="364">
        <f t="shared" si="16"/>
        <v>116998.17178947369</v>
      </c>
      <c r="AC90" s="804"/>
      <c r="AD90" s="817"/>
      <c r="AE90" s="817"/>
      <c r="AF90" s="817"/>
      <c r="AG90" s="817"/>
      <c r="AH90" s="817"/>
      <c r="AI90" s="817"/>
      <c r="AJ90" s="817"/>
      <c r="AK90" s="818"/>
      <c r="AL90" s="817"/>
      <c r="AM90" s="275"/>
      <c r="AN90" s="886">
        <v>34402.24538504154</v>
      </c>
      <c r="AO90" s="886">
        <v>0</v>
      </c>
      <c r="AP90" s="275"/>
      <c r="AQ90" s="834"/>
      <c r="AR90" s="834"/>
      <c r="AS90" s="834"/>
      <c r="AT90" s="834"/>
      <c r="AU90" s="834"/>
      <c r="AV90" s="834"/>
      <c r="AW90" s="834"/>
      <c r="AX90" s="834"/>
      <c r="AZ90" s="835"/>
      <c r="BA90" s="835"/>
      <c r="BB90" s="835"/>
      <c r="BC90" s="835"/>
      <c r="BD90" s="835"/>
      <c r="BE90" s="835"/>
      <c r="BF90" s="835"/>
      <c r="BG90" s="835"/>
      <c r="BH90" s="814"/>
      <c r="BI90" s="834"/>
      <c r="BJ90" s="834"/>
      <c r="BK90" s="834"/>
      <c r="BL90" s="834"/>
      <c r="BM90" s="834"/>
      <c r="BN90" s="834"/>
      <c r="BO90" s="834"/>
      <c r="BP90" s="834"/>
      <c r="BQ90" s="275"/>
      <c r="BR90" s="843"/>
      <c r="BS90" s="843"/>
      <c r="BT90" s="843"/>
      <c r="BU90" s="843"/>
      <c r="BV90" s="843"/>
      <c r="BW90" s="843"/>
      <c r="BX90" s="843"/>
      <c r="BY90" s="843"/>
      <c r="BZ90" s="843"/>
      <c r="CA90" s="843"/>
      <c r="CB90" s="843"/>
      <c r="CC90" s="843"/>
      <c r="CD90" s="843"/>
      <c r="CE90" s="843"/>
      <c r="CF90" s="843"/>
      <c r="CG90" s="843"/>
      <c r="CH90" s="843"/>
      <c r="CI90" s="843"/>
      <c r="CJ90" s="844"/>
      <c r="CK90" s="364"/>
      <c r="CL90" s="364"/>
      <c r="CM90" s="364"/>
      <c r="CN90" s="364"/>
      <c r="CO90" s="364"/>
      <c r="CP90" s="364"/>
      <c r="CQ90" s="364"/>
      <c r="CR90" s="804"/>
      <c r="CS90" s="852"/>
      <c r="CT90" s="853"/>
      <c r="CU90" s="853"/>
      <c r="CV90" s="853"/>
      <c r="CW90" s="853"/>
      <c r="CX90" s="853"/>
      <c r="CY90" s="853"/>
      <c r="CZ90" s="853"/>
      <c r="DA90" s="853"/>
      <c r="DC90" s="853"/>
      <c r="DD90" s="853"/>
      <c r="DE90" s="853"/>
      <c r="DF90" s="853"/>
      <c r="DG90" s="853"/>
      <c r="DH90" s="853"/>
      <c r="DI90" s="853"/>
      <c r="DJ90" s="853"/>
      <c r="DK90" s="853"/>
      <c r="DM90" s="853"/>
      <c r="DN90" s="853"/>
      <c r="DO90" s="853"/>
      <c r="DP90" s="853"/>
      <c r="DQ90" s="853"/>
      <c r="DR90" s="853"/>
      <c r="DS90" s="805"/>
      <c r="DT90" s="805"/>
      <c r="DV90" s="806">
        <f t="shared" si="10"/>
        <v>509221.7710791197</v>
      </c>
      <c r="DW90" s="806">
        <f t="shared" si="11"/>
        <v>0</v>
      </c>
      <c r="DX90" s="794">
        <f t="shared" si="12"/>
        <v>509221.7710791197</v>
      </c>
    </row>
    <row r="91" spans="1:128" hidden="1">
      <c r="A91" s="198">
        <v>2115</v>
      </c>
      <c r="B91" s="2">
        <v>103221</v>
      </c>
      <c r="C91" s="2" t="s">
        <v>205</v>
      </c>
      <c r="D91" s="2" t="s">
        <v>206</v>
      </c>
      <c r="E91" s="190" t="s">
        <v>39</v>
      </c>
      <c r="F91" s="211" t="str">
        <f>VLOOKUP(A91,'Summary June 2026'!A:F,6,FALSE)</f>
        <v>Chq Bk</v>
      </c>
      <c r="G91" s="33"/>
      <c r="H91" s="825">
        <v>0</v>
      </c>
      <c r="I91" s="804"/>
      <c r="J91" s="797">
        <v>0</v>
      </c>
      <c r="K91" s="797">
        <v>0</v>
      </c>
      <c r="L91" s="797">
        <v>56331.600000000006</v>
      </c>
      <c r="M91" s="797">
        <v>2691</v>
      </c>
      <c r="N91" s="797">
        <v>0</v>
      </c>
      <c r="O91" s="797">
        <v>1912.9499999999998</v>
      </c>
      <c r="P91" s="797">
        <v>0</v>
      </c>
      <c r="Q91" s="797">
        <f t="shared" si="13"/>
        <v>60935.55</v>
      </c>
      <c r="R91" s="797">
        <f t="shared" si="14"/>
        <v>48748.44</v>
      </c>
      <c r="S91" s="804"/>
      <c r="T91" s="364">
        <v>0</v>
      </c>
      <c r="U91" s="364">
        <v>0</v>
      </c>
      <c r="V91" s="364">
        <v>34288.800000000003</v>
      </c>
      <c r="W91" s="364">
        <v>1793.9999999999998</v>
      </c>
      <c r="X91" s="364">
        <v>0</v>
      </c>
      <c r="Y91" s="364">
        <v>1478.1</v>
      </c>
      <c r="Z91" s="364">
        <v>0</v>
      </c>
      <c r="AA91" s="364">
        <f t="shared" si="15"/>
        <v>37560.9</v>
      </c>
      <c r="AB91" s="364">
        <f t="shared" si="16"/>
        <v>30048.720000000001</v>
      </c>
      <c r="AC91" s="804"/>
      <c r="AD91" s="817"/>
      <c r="AE91" s="817"/>
      <c r="AF91" s="817"/>
      <c r="AG91" s="817"/>
      <c r="AH91" s="817"/>
      <c r="AI91" s="817"/>
      <c r="AJ91" s="817"/>
      <c r="AK91" s="818"/>
      <c r="AL91" s="817"/>
      <c r="AM91" s="275"/>
      <c r="AN91" s="886">
        <v>2758.2126315789446</v>
      </c>
      <c r="AO91" s="886">
        <v>0</v>
      </c>
      <c r="AP91" s="275"/>
      <c r="AQ91" s="834"/>
      <c r="AR91" s="834"/>
      <c r="AS91" s="834"/>
      <c r="AT91" s="834"/>
      <c r="AU91" s="834"/>
      <c r="AV91" s="834"/>
      <c r="AW91" s="834"/>
      <c r="AX91" s="834"/>
      <c r="AZ91" s="835"/>
      <c r="BA91" s="835"/>
      <c r="BB91" s="835"/>
      <c r="BC91" s="835"/>
      <c r="BD91" s="835"/>
      <c r="BE91" s="835"/>
      <c r="BF91" s="835"/>
      <c r="BG91" s="835"/>
      <c r="BH91" s="814"/>
      <c r="BI91" s="834"/>
      <c r="BJ91" s="834"/>
      <c r="BK91" s="834"/>
      <c r="BL91" s="834"/>
      <c r="BM91" s="834"/>
      <c r="BN91" s="834"/>
      <c r="BO91" s="834"/>
      <c r="BP91" s="834"/>
      <c r="BQ91" s="275"/>
      <c r="BR91" s="843"/>
      <c r="BS91" s="843"/>
      <c r="BT91" s="843"/>
      <c r="BU91" s="843"/>
      <c r="BV91" s="843"/>
      <c r="BW91" s="843"/>
      <c r="BX91" s="843"/>
      <c r="BY91" s="843"/>
      <c r="BZ91" s="843"/>
      <c r="CA91" s="843"/>
      <c r="CB91" s="843"/>
      <c r="CC91" s="843"/>
      <c r="CD91" s="843"/>
      <c r="CE91" s="843"/>
      <c r="CF91" s="843"/>
      <c r="CG91" s="843"/>
      <c r="CH91" s="843"/>
      <c r="CI91" s="843"/>
      <c r="CJ91" s="844"/>
      <c r="CK91" s="364"/>
      <c r="CL91" s="364"/>
      <c r="CM91" s="364"/>
      <c r="CN91" s="364"/>
      <c r="CO91" s="364"/>
      <c r="CP91" s="364"/>
      <c r="CQ91" s="364"/>
      <c r="CR91" s="804"/>
      <c r="CS91" s="852"/>
      <c r="CT91" s="853"/>
      <c r="CU91" s="853"/>
      <c r="CV91" s="853"/>
      <c r="CW91" s="853"/>
      <c r="CX91" s="853"/>
      <c r="CY91" s="853"/>
      <c r="CZ91" s="853"/>
      <c r="DA91" s="853"/>
      <c r="DC91" s="853"/>
      <c r="DD91" s="853"/>
      <c r="DE91" s="853"/>
      <c r="DF91" s="853"/>
      <c r="DG91" s="853"/>
      <c r="DH91" s="853"/>
      <c r="DI91" s="853"/>
      <c r="DJ91" s="853"/>
      <c r="DK91" s="853"/>
      <c r="DM91" s="853"/>
      <c r="DN91" s="853"/>
      <c r="DO91" s="853"/>
      <c r="DP91" s="853"/>
      <c r="DQ91" s="853"/>
      <c r="DR91" s="853"/>
      <c r="DS91" s="805"/>
      <c r="DT91" s="805"/>
      <c r="DV91" s="806">
        <f t="shared" si="10"/>
        <v>81555.372631578968</v>
      </c>
      <c r="DW91" s="806">
        <f t="shared" si="11"/>
        <v>0</v>
      </c>
      <c r="DX91" s="794">
        <f t="shared" si="12"/>
        <v>81555.372631578968</v>
      </c>
    </row>
    <row r="92" spans="1:128" hidden="1">
      <c r="A92" s="198">
        <v>2441</v>
      </c>
      <c r="B92" s="2">
        <v>103368</v>
      </c>
      <c r="C92" s="2" t="s">
        <v>207</v>
      </c>
      <c r="D92" s="2" t="s">
        <v>208</v>
      </c>
      <c r="E92" s="190" t="s">
        <v>39</v>
      </c>
      <c r="F92" s="211" t="str">
        <f>VLOOKUP(A92,'Summary June 2026'!A:F,6,FALSE)</f>
        <v>Chq Bk</v>
      </c>
      <c r="G92" s="33"/>
      <c r="H92" s="825">
        <v>0</v>
      </c>
      <c r="I92" s="804"/>
      <c r="J92" s="797">
        <v>0</v>
      </c>
      <c r="K92" s="797">
        <v>0</v>
      </c>
      <c r="L92" s="797">
        <v>22042.799999999999</v>
      </c>
      <c r="M92" s="797">
        <v>1569.7499999999998</v>
      </c>
      <c r="N92" s="797">
        <v>0</v>
      </c>
      <c r="O92" s="797">
        <v>1279.1999999999998</v>
      </c>
      <c r="P92" s="797">
        <v>0</v>
      </c>
      <c r="Q92" s="797">
        <f t="shared" si="13"/>
        <v>24891.75</v>
      </c>
      <c r="R92" s="797">
        <f t="shared" si="14"/>
        <v>19913.400000000001</v>
      </c>
      <c r="S92" s="804"/>
      <c r="T92" s="364">
        <v>0</v>
      </c>
      <c r="U92" s="364">
        <v>0</v>
      </c>
      <c r="V92" s="364">
        <v>23267.4</v>
      </c>
      <c r="W92" s="364">
        <v>2242.5</v>
      </c>
      <c r="X92" s="364">
        <v>746.2</v>
      </c>
      <c r="Y92" s="364">
        <v>1210.95</v>
      </c>
      <c r="Z92" s="364">
        <v>0</v>
      </c>
      <c r="AA92" s="364">
        <f t="shared" si="15"/>
        <v>27467.050000000003</v>
      </c>
      <c r="AB92" s="364">
        <f t="shared" si="16"/>
        <v>21973.640000000003</v>
      </c>
      <c r="AC92" s="804"/>
      <c r="AD92" s="817"/>
      <c r="AE92" s="817"/>
      <c r="AF92" s="817"/>
      <c r="AG92" s="817"/>
      <c r="AH92" s="817"/>
      <c r="AI92" s="817"/>
      <c r="AJ92" s="817"/>
      <c r="AK92" s="818"/>
      <c r="AL92" s="817"/>
      <c r="AM92" s="275"/>
      <c r="AN92" s="886">
        <v>3280.8238781163409</v>
      </c>
      <c r="AO92" s="886">
        <v>0</v>
      </c>
      <c r="AP92" s="275"/>
      <c r="AQ92" s="834"/>
      <c r="AR92" s="834"/>
      <c r="AS92" s="834"/>
      <c r="AT92" s="834"/>
      <c r="AU92" s="834"/>
      <c r="AV92" s="834"/>
      <c r="AW92" s="834"/>
      <c r="AX92" s="834"/>
      <c r="AZ92" s="835"/>
      <c r="BA92" s="835"/>
      <c r="BB92" s="835"/>
      <c r="BC92" s="835"/>
      <c r="BD92" s="835"/>
      <c r="BE92" s="835"/>
      <c r="BF92" s="835"/>
      <c r="BG92" s="835"/>
      <c r="BH92" s="814"/>
      <c r="BI92" s="834"/>
      <c r="BJ92" s="834"/>
      <c r="BK92" s="834"/>
      <c r="BL92" s="834"/>
      <c r="BM92" s="834"/>
      <c r="BN92" s="834"/>
      <c r="BO92" s="834"/>
      <c r="BP92" s="834"/>
      <c r="BQ92" s="275"/>
      <c r="BR92" s="843"/>
      <c r="BS92" s="843"/>
      <c r="BT92" s="843"/>
      <c r="BU92" s="843"/>
      <c r="BV92" s="843"/>
      <c r="BW92" s="843"/>
      <c r="BX92" s="843"/>
      <c r="BY92" s="843"/>
      <c r="BZ92" s="843"/>
      <c r="CA92" s="843"/>
      <c r="CB92" s="843"/>
      <c r="CC92" s="843"/>
      <c r="CD92" s="843"/>
      <c r="CE92" s="843"/>
      <c r="CF92" s="843"/>
      <c r="CG92" s="843"/>
      <c r="CH92" s="843"/>
      <c r="CI92" s="843"/>
      <c r="CJ92" s="844"/>
      <c r="CK92" s="364"/>
      <c r="CL92" s="364"/>
      <c r="CM92" s="364"/>
      <c r="CN92" s="364"/>
      <c r="CO92" s="364"/>
      <c r="CP92" s="364"/>
      <c r="CQ92" s="364"/>
      <c r="CR92" s="804"/>
      <c r="CS92" s="852"/>
      <c r="CT92" s="853"/>
      <c r="CU92" s="853"/>
      <c r="CV92" s="853"/>
      <c r="CW92" s="853"/>
      <c r="CX92" s="853"/>
      <c r="CY92" s="853"/>
      <c r="CZ92" s="853"/>
      <c r="DA92" s="853"/>
      <c r="DC92" s="853"/>
      <c r="DD92" s="853"/>
      <c r="DE92" s="853"/>
      <c r="DF92" s="853"/>
      <c r="DG92" s="853"/>
      <c r="DH92" s="853"/>
      <c r="DI92" s="853"/>
      <c r="DJ92" s="853"/>
      <c r="DK92" s="853"/>
      <c r="DM92" s="853"/>
      <c r="DN92" s="853"/>
      <c r="DO92" s="853"/>
      <c r="DP92" s="853"/>
      <c r="DQ92" s="853"/>
      <c r="DR92" s="853"/>
      <c r="DS92" s="805"/>
      <c r="DT92" s="805"/>
      <c r="DV92" s="806">
        <f t="shared" si="10"/>
        <v>45167.863878116339</v>
      </c>
      <c r="DW92" s="806">
        <f t="shared" si="11"/>
        <v>0</v>
      </c>
      <c r="DX92" s="794">
        <f t="shared" si="12"/>
        <v>45167.863878116339</v>
      </c>
    </row>
    <row r="93" spans="1:128" hidden="1">
      <c r="A93" s="198">
        <v>2321</v>
      </c>
      <c r="B93" s="2">
        <v>103339</v>
      </c>
      <c r="C93" s="2" t="s">
        <v>209</v>
      </c>
      <c r="D93" s="2" t="s">
        <v>210</v>
      </c>
      <c r="E93" s="190" t="s">
        <v>39</v>
      </c>
      <c r="F93" s="211" t="str">
        <f>VLOOKUP(A93,'Summary June 2026'!A:F,6,FALSE)</f>
        <v>Chq Bk</v>
      </c>
      <c r="G93" s="33"/>
      <c r="H93" s="825">
        <v>0</v>
      </c>
      <c r="I93" s="804"/>
      <c r="J93" s="797">
        <v>0</v>
      </c>
      <c r="K93" s="797">
        <v>0</v>
      </c>
      <c r="L93" s="797">
        <v>0</v>
      </c>
      <c r="M93" s="797">
        <v>0</v>
      </c>
      <c r="N93" s="797">
        <v>0</v>
      </c>
      <c r="O93" s="797">
        <v>0</v>
      </c>
      <c r="P93" s="797">
        <v>0</v>
      </c>
      <c r="Q93" s="797">
        <f t="shared" si="13"/>
        <v>0</v>
      </c>
      <c r="R93" s="797">
        <f t="shared" si="14"/>
        <v>0</v>
      </c>
      <c r="S93" s="804"/>
      <c r="T93" s="364">
        <v>0</v>
      </c>
      <c r="U93" s="364">
        <v>0</v>
      </c>
      <c r="V93" s="364">
        <v>0</v>
      </c>
      <c r="W93" s="364">
        <v>0</v>
      </c>
      <c r="X93" s="364">
        <v>0</v>
      </c>
      <c r="Y93" s="364">
        <v>0</v>
      </c>
      <c r="Z93" s="364">
        <v>0</v>
      </c>
      <c r="AA93" s="364">
        <f t="shared" si="15"/>
        <v>0</v>
      </c>
      <c r="AB93" s="364">
        <f t="shared" si="16"/>
        <v>0</v>
      </c>
      <c r="AC93" s="804"/>
      <c r="AD93" s="817"/>
      <c r="AE93" s="817"/>
      <c r="AF93" s="817"/>
      <c r="AG93" s="817"/>
      <c r="AH93" s="817"/>
      <c r="AI93" s="817"/>
      <c r="AJ93" s="817"/>
      <c r="AK93" s="818"/>
      <c r="AL93" s="817"/>
      <c r="AM93" s="275"/>
      <c r="AN93" s="886">
        <v>0</v>
      </c>
      <c r="AO93" s="886">
        <v>0</v>
      </c>
      <c r="AP93" s="275"/>
      <c r="AQ93" s="834"/>
      <c r="AR93" s="834"/>
      <c r="AS93" s="834"/>
      <c r="AT93" s="834"/>
      <c r="AU93" s="834"/>
      <c r="AV93" s="834"/>
      <c r="AW93" s="834"/>
      <c r="AX93" s="834"/>
      <c r="AZ93" s="835"/>
      <c r="BA93" s="835"/>
      <c r="BB93" s="835"/>
      <c r="BC93" s="835"/>
      <c r="BD93" s="835"/>
      <c r="BE93" s="835"/>
      <c r="BF93" s="835"/>
      <c r="BG93" s="835"/>
      <c r="BH93" s="814"/>
      <c r="BI93" s="834"/>
      <c r="BJ93" s="834"/>
      <c r="BK93" s="834"/>
      <c r="BL93" s="834"/>
      <c r="BM93" s="834"/>
      <c r="BN93" s="834"/>
      <c r="BO93" s="834"/>
      <c r="BP93" s="834"/>
      <c r="BQ93" s="275"/>
      <c r="BR93" s="843"/>
      <c r="BS93" s="843"/>
      <c r="BT93" s="843"/>
      <c r="BU93" s="843"/>
      <c r="BV93" s="843"/>
      <c r="BW93" s="843"/>
      <c r="BX93" s="843"/>
      <c r="BY93" s="843"/>
      <c r="BZ93" s="843"/>
      <c r="CA93" s="843"/>
      <c r="CB93" s="843"/>
      <c r="CC93" s="843"/>
      <c r="CD93" s="843"/>
      <c r="CE93" s="843"/>
      <c r="CF93" s="843"/>
      <c r="CG93" s="843"/>
      <c r="CH93" s="843"/>
      <c r="CI93" s="843"/>
      <c r="CJ93" s="844"/>
      <c r="CK93" s="364"/>
      <c r="CL93" s="364"/>
      <c r="CM93" s="364"/>
      <c r="CN93" s="364"/>
      <c r="CO93" s="364"/>
      <c r="CP93" s="364"/>
      <c r="CQ93" s="364"/>
      <c r="CR93" s="804"/>
      <c r="CS93" s="852"/>
      <c r="CT93" s="853"/>
      <c r="CU93" s="853"/>
      <c r="CV93" s="853"/>
      <c r="CW93" s="853"/>
      <c r="CX93" s="853"/>
      <c r="CY93" s="853"/>
      <c r="CZ93" s="853"/>
      <c r="DA93" s="853"/>
      <c r="DC93" s="853"/>
      <c r="DD93" s="853"/>
      <c r="DE93" s="853"/>
      <c r="DF93" s="853"/>
      <c r="DG93" s="853"/>
      <c r="DH93" s="853"/>
      <c r="DI93" s="853"/>
      <c r="DJ93" s="853"/>
      <c r="DK93" s="853"/>
      <c r="DM93" s="853"/>
      <c r="DN93" s="853"/>
      <c r="DO93" s="853"/>
      <c r="DP93" s="853"/>
      <c r="DQ93" s="853"/>
      <c r="DR93" s="853"/>
      <c r="DS93" s="805"/>
      <c r="DT93" s="805"/>
      <c r="DV93" s="806">
        <f t="shared" si="10"/>
        <v>0</v>
      </c>
      <c r="DW93" s="806">
        <f t="shared" si="11"/>
        <v>0</v>
      </c>
      <c r="DX93" s="794">
        <f t="shared" si="12"/>
        <v>0</v>
      </c>
    </row>
    <row r="94" spans="1:128" hidden="1">
      <c r="A94" s="198">
        <v>2189</v>
      </c>
      <c r="B94" s="2">
        <v>103265</v>
      </c>
      <c r="C94" s="2" t="s">
        <v>211</v>
      </c>
      <c r="D94" s="2" t="s">
        <v>212</v>
      </c>
      <c r="E94" s="190" t="s">
        <v>39</v>
      </c>
      <c r="F94" s="211" t="str">
        <f>VLOOKUP(A94,'Summary June 2026'!A:F,6,FALSE)</f>
        <v>Chq Bk</v>
      </c>
      <c r="G94" s="33"/>
      <c r="H94" s="825">
        <v>0</v>
      </c>
      <c r="I94" s="804"/>
      <c r="J94" s="797">
        <v>0</v>
      </c>
      <c r="K94" s="797">
        <v>0</v>
      </c>
      <c r="L94" s="797">
        <v>33064.200000000004</v>
      </c>
      <c r="M94" s="797">
        <v>2915.25</v>
      </c>
      <c r="N94" s="797">
        <v>970.06000000000006</v>
      </c>
      <c r="O94" s="797">
        <v>2012.3999999999999</v>
      </c>
      <c r="P94" s="797">
        <v>0</v>
      </c>
      <c r="Q94" s="797">
        <f t="shared" si="13"/>
        <v>38961.910000000003</v>
      </c>
      <c r="R94" s="797">
        <f t="shared" si="14"/>
        <v>31169.528000000006</v>
      </c>
      <c r="S94" s="804"/>
      <c r="T94" s="364">
        <v>0</v>
      </c>
      <c r="U94" s="364">
        <v>0</v>
      </c>
      <c r="V94" s="364">
        <v>20818.2</v>
      </c>
      <c r="W94" s="364">
        <v>1793.9999999999998</v>
      </c>
      <c r="X94" s="364">
        <v>596.96</v>
      </c>
      <c r="Y94" s="364">
        <v>1134.9000000000001</v>
      </c>
      <c r="Z94" s="364">
        <v>0</v>
      </c>
      <c r="AA94" s="364">
        <f t="shared" si="15"/>
        <v>24344.06</v>
      </c>
      <c r="AB94" s="364">
        <f t="shared" si="16"/>
        <v>19475.248000000003</v>
      </c>
      <c r="AC94" s="804"/>
      <c r="AD94" s="817"/>
      <c r="AE94" s="817"/>
      <c r="AF94" s="817"/>
      <c r="AG94" s="817"/>
      <c r="AH94" s="817"/>
      <c r="AI94" s="817"/>
      <c r="AJ94" s="817"/>
      <c r="AK94" s="818"/>
      <c r="AL94" s="817"/>
      <c r="AM94" s="275"/>
      <c r="AN94" s="886">
        <v>11122.275263157893</v>
      </c>
      <c r="AO94" s="886">
        <v>0</v>
      </c>
      <c r="AP94" s="275"/>
      <c r="AQ94" s="834"/>
      <c r="AR94" s="834"/>
      <c r="AS94" s="834"/>
      <c r="AT94" s="834"/>
      <c r="AU94" s="834"/>
      <c r="AV94" s="834"/>
      <c r="AW94" s="834"/>
      <c r="AX94" s="834"/>
      <c r="AZ94" s="835"/>
      <c r="BA94" s="835"/>
      <c r="BB94" s="835"/>
      <c r="BC94" s="835"/>
      <c r="BD94" s="835"/>
      <c r="BE94" s="835"/>
      <c r="BF94" s="835"/>
      <c r="BG94" s="835"/>
      <c r="BH94" s="814"/>
      <c r="BI94" s="834"/>
      <c r="BJ94" s="834"/>
      <c r="BK94" s="834"/>
      <c r="BL94" s="834"/>
      <c r="BM94" s="834"/>
      <c r="BN94" s="834"/>
      <c r="BO94" s="834"/>
      <c r="BP94" s="834"/>
      <c r="BQ94" s="275"/>
      <c r="BR94" s="843"/>
      <c r="BS94" s="843"/>
      <c r="BT94" s="843"/>
      <c r="BU94" s="843"/>
      <c r="BV94" s="843"/>
      <c r="BW94" s="843"/>
      <c r="BX94" s="843"/>
      <c r="BY94" s="843"/>
      <c r="BZ94" s="843"/>
      <c r="CA94" s="843"/>
      <c r="CB94" s="843"/>
      <c r="CC94" s="843"/>
      <c r="CD94" s="843"/>
      <c r="CE94" s="843"/>
      <c r="CF94" s="843"/>
      <c r="CG94" s="843"/>
      <c r="CH94" s="843"/>
      <c r="CI94" s="843"/>
      <c r="CJ94" s="844"/>
      <c r="CK94" s="364"/>
      <c r="CL94" s="364"/>
      <c r="CM94" s="364"/>
      <c r="CN94" s="364"/>
      <c r="CO94" s="364"/>
      <c r="CP94" s="364"/>
      <c r="CQ94" s="364"/>
      <c r="CR94" s="804"/>
      <c r="CS94" s="852"/>
      <c r="CT94" s="853"/>
      <c r="CU94" s="853"/>
      <c r="CV94" s="853"/>
      <c r="CW94" s="853"/>
      <c r="CX94" s="853"/>
      <c r="CY94" s="853"/>
      <c r="CZ94" s="853"/>
      <c r="DA94" s="853"/>
      <c r="DC94" s="853"/>
      <c r="DD94" s="853"/>
      <c r="DE94" s="853"/>
      <c r="DF94" s="853"/>
      <c r="DG94" s="853"/>
      <c r="DH94" s="853"/>
      <c r="DI94" s="853"/>
      <c r="DJ94" s="853"/>
      <c r="DK94" s="853"/>
      <c r="DM94" s="853"/>
      <c r="DN94" s="853"/>
      <c r="DO94" s="853"/>
      <c r="DP94" s="853"/>
      <c r="DQ94" s="853"/>
      <c r="DR94" s="853"/>
      <c r="DS94" s="805"/>
      <c r="DT94" s="805"/>
      <c r="DV94" s="806">
        <f t="shared" si="10"/>
        <v>61767.051263157897</v>
      </c>
      <c r="DW94" s="806">
        <f t="shared" si="11"/>
        <v>0</v>
      </c>
      <c r="DX94" s="794">
        <f t="shared" si="12"/>
        <v>61767.051263157897</v>
      </c>
    </row>
    <row r="95" spans="1:128" hidden="1">
      <c r="A95" s="198">
        <v>7060</v>
      </c>
      <c r="B95" s="2">
        <v>103630</v>
      </c>
      <c r="C95" s="2" t="s">
        <v>213</v>
      </c>
      <c r="D95" s="2" t="s">
        <v>214</v>
      </c>
      <c r="E95" s="190" t="s">
        <v>56</v>
      </c>
      <c r="F95" s="211" t="str">
        <f>VLOOKUP(A95,'Summary June 2026'!A:F,6,FALSE)</f>
        <v>Chq Bk</v>
      </c>
      <c r="G95" s="33"/>
      <c r="H95" s="825">
        <v>0</v>
      </c>
      <c r="I95" s="804"/>
      <c r="J95" s="797"/>
      <c r="K95" s="797"/>
      <c r="L95" s="797"/>
      <c r="M95" s="797"/>
      <c r="N95" s="797"/>
      <c r="O95" s="797"/>
      <c r="P95" s="797"/>
      <c r="Q95" s="797"/>
      <c r="R95" s="797"/>
      <c r="S95" s="804"/>
      <c r="T95" s="364"/>
      <c r="U95" s="364"/>
      <c r="V95" s="364"/>
      <c r="W95" s="364"/>
      <c r="X95" s="364"/>
      <c r="Y95" s="364"/>
      <c r="Z95" s="364"/>
      <c r="AA95" s="364"/>
      <c r="AB95" s="364"/>
      <c r="AC95" s="804"/>
      <c r="AD95" s="817"/>
      <c r="AE95" s="817"/>
      <c r="AF95" s="817"/>
      <c r="AG95" s="817"/>
      <c r="AH95" s="817"/>
      <c r="AI95" s="817"/>
      <c r="AJ95" s="817"/>
      <c r="AK95" s="818"/>
      <c r="AL95" s="817"/>
      <c r="AM95" s="275"/>
      <c r="AN95" s="886">
        <v>0</v>
      </c>
      <c r="AO95" s="886">
        <v>0</v>
      </c>
      <c r="AP95" s="275"/>
      <c r="AQ95" s="834"/>
      <c r="AR95" s="834"/>
      <c r="AS95" s="834"/>
      <c r="AT95" s="834"/>
      <c r="AU95" s="834"/>
      <c r="AV95" s="834"/>
      <c r="AW95" s="834"/>
      <c r="AX95" s="834"/>
      <c r="AZ95" s="835"/>
      <c r="BA95" s="835"/>
      <c r="BB95" s="835"/>
      <c r="BC95" s="835"/>
      <c r="BD95" s="835"/>
      <c r="BE95" s="835"/>
      <c r="BF95" s="835"/>
      <c r="BG95" s="835"/>
      <c r="BH95" s="814"/>
      <c r="BI95" s="834"/>
      <c r="BJ95" s="834"/>
      <c r="BK95" s="834"/>
      <c r="BL95" s="834"/>
      <c r="BM95" s="834"/>
      <c r="BN95" s="834"/>
      <c r="BO95" s="834"/>
      <c r="BP95" s="834"/>
      <c r="BQ95" s="275"/>
      <c r="BR95" s="843"/>
      <c r="BS95" s="843"/>
      <c r="BT95" s="843"/>
      <c r="BU95" s="843"/>
      <c r="BV95" s="843"/>
      <c r="BW95" s="843"/>
      <c r="BX95" s="843"/>
      <c r="BY95" s="843"/>
      <c r="BZ95" s="843"/>
      <c r="CA95" s="843"/>
      <c r="CB95" s="843"/>
      <c r="CC95" s="843"/>
      <c r="CD95" s="843"/>
      <c r="CE95" s="843"/>
      <c r="CF95" s="843"/>
      <c r="CG95" s="843"/>
      <c r="CH95" s="843"/>
      <c r="CI95" s="843"/>
      <c r="CJ95" s="844"/>
      <c r="CK95" s="364"/>
      <c r="CL95" s="364"/>
      <c r="CM95" s="364"/>
      <c r="CN95" s="364"/>
      <c r="CO95" s="364"/>
      <c r="CP95" s="364"/>
      <c r="CQ95" s="364"/>
      <c r="CR95" s="804"/>
      <c r="CS95" s="852"/>
      <c r="CT95" s="853"/>
      <c r="CU95" s="853"/>
      <c r="CV95" s="853"/>
      <c r="CW95" s="853"/>
      <c r="CX95" s="853"/>
      <c r="CY95" s="853"/>
      <c r="CZ95" s="853"/>
      <c r="DA95" s="853"/>
      <c r="DC95" s="853"/>
      <c r="DD95" s="853"/>
      <c r="DE95" s="853"/>
      <c r="DF95" s="853"/>
      <c r="DG95" s="853"/>
      <c r="DH95" s="853"/>
      <c r="DI95" s="853"/>
      <c r="DJ95" s="853"/>
      <c r="DK95" s="853"/>
      <c r="DM95" s="853"/>
      <c r="DN95" s="853"/>
      <c r="DO95" s="853"/>
      <c r="DP95" s="853"/>
      <c r="DQ95" s="853"/>
      <c r="DR95" s="853"/>
      <c r="DS95" s="805"/>
      <c r="DT95" s="805"/>
      <c r="DV95" s="806">
        <f t="shared" si="10"/>
        <v>0</v>
      </c>
      <c r="DW95" s="806">
        <f t="shared" si="11"/>
        <v>0</v>
      </c>
      <c r="DX95" s="794">
        <f t="shared" si="12"/>
        <v>0</v>
      </c>
    </row>
    <row r="96" spans="1:128" hidden="1">
      <c r="A96" s="198">
        <v>1024</v>
      </c>
      <c r="B96" s="2">
        <v>103137</v>
      </c>
      <c r="C96" s="2" t="s">
        <v>215</v>
      </c>
      <c r="D96" s="2" t="s">
        <v>216</v>
      </c>
      <c r="E96" s="190" t="s">
        <v>36</v>
      </c>
      <c r="F96" s="211" t="str">
        <f>VLOOKUP(A96,'Summary June 2026'!A:F,6,FALSE)</f>
        <v>Chq Bk</v>
      </c>
      <c r="G96" s="33"/>
      <c r="H96" s="825">
        <v>196695.17510007403</v>
      </c>
      <c r="I96" s="804"/>
      <c r="J96" s="797">
        <v>0</v>
      </c>
      <c r="K96" s="797">
        <v>62267.399999999994</v>
      </c>
      <c r="L96" s="797">
        <v>85315.056000000011</v>
      </c>
      <c r="M96" s="797">
        <v>13006.499999999998</v>
      </c>
      <c r="N96" s="797">
        <v>3880.2400000000002</v>
      </c>
      <c r="O96" s="797">
        <v>6002.1</v>
      </c>
      <c r="P96" s="797">
        <v>975</v>
      </c>
      <c r="Q96" s="797">
        <f>SUM(J96:P96)</f>
        <v>171446.296</v>
      </c>
      <c r="R96" s="797">
        <f t="shared" si="14"/>
        <v>137157.0368</v>
      </c>
      <c r="S96" s="804"/>
      <c r="T96" s="364">
        <v>0</v>
      </c>
      <c r="U96" s="364">
        <v>70383.45</v>
      </c>
      <c r="V96" s="364">
        <v>50397</v>
      </c>
      <c r="W96" s="364">
        <v>10450.5</v>
      </c>
      <c r="X96" s="364">
        <v>3283.28</v>
      </c>
      <c r="Y96" s="364">
        <v>4455.75</v>
      </c>
      <c r="Z96" s="364">
        <v>0</v>
      </c>
      <c r="AA96" s="364">
        <f t="shared" si="15"/>
        <v>138969.98000000001</v>
      </c>
      <c r="AB96" s="364">
        <f t="shared" si="16"/>
        <v>111175.98400000001</v>
      </c>
      <c r="AC96" s="804"/>
      <c r="AD96" s="817"/>
      <c r="AE96" s="817"/>
      <c r="AF96" s="817"/>
      <c r="AG96" s="817"/>
      <c r="AH96" s="817"/>
      <c r="AI96" s="817"/>
      <c r="AJ96" s="817"/>
      <c r="AK96" s="818"/>
      <c r="AL96" s="817"/>
      <c r="AM96" s="275"/>
      <c r="AN96" s="886">
        <v>24497.704819944578</v>
      </c>
      <c r="AO96" s="886">
        <v>0</v>
      </c>
      <c r="AP96" s="275"/>
      <c r="AQ96" s="834"/>
      <c r="AR96" s="834"/>
      <c r="AS96" s="834"/>
      <c r="AT96" s="834"/>
      <c r="AU96" s="834"/>
      <c r="AV96" s="834"/>
      <c r="AW96" s="834"/>
      <c r="AX96" s="834"/>
      <c r="AZ96" s="835"/>
      <c r="BA96" s="835"/>
      <c r="BB96" s="835"/>
      <c r="BC96" s="835"/>
      <c r="BD96" s="835"/>
      <c r="BE96" s="835"/>
      <c r="BF96" s="835"/>
      <c r="BG96" s="835"/>
      <c r="BH96" s="814"/>
      <c r="BI96" s="834"/>
      <c r="BJ96" s="834"/>
      <c r="BK96" s="834"/>
      <c r="BL96" s="834"/>
      <c r="BM96" s="834"/>
      <c r="BN96" s="834"/>
      <c r="BO96" s="834"/>
      <c r="BP96" s="834"/>
      <c r="BQ96" s="275"/>
      <c r="BR96" s="843"/>
      <c r="BS96" s="843"/>
      <c r="BT96" s="843"/>
      <c r="BU96" s="843"/>
      <c r="BV96" s="843"/>
      <c r="BW96" s="843"/>
      <c r="BX96" s="843"/>
      <c r="BY96" s="843"/>
      <c r="BZ96" s="843"/>
      <c r="CA96" s="843"/>
      <c r="CB96" s="843"/>
      <c r="CC96" s="843"/>
      <c r="CD96" s="843"/>
      <c r="CE96" s="843"/>
      <c r="CF96" s="843"/>
      <c r="CG96" s="843"/>
      <c r="CH96" s="843"/>
      <c r="CI96" s="843"/>
      <c r="CJ96" s="844"/>
      <c r="CK96" s="364"/>
      <c r="CL96" s="364"/>
      <c r="CM96" s="364"/>
      <c r="CN96" s="364"/>
      <c r="CO96" s="364"/>
      <c r="CP96" s="364"/>
      <c r="CQ96" s="364"/>
      <c r="CR96" s="804"/>
      <c r="CS96" s="852"/>
      <c r="CT96" s="853"/>
      <c r="CU96" s="853"/>
      <c r="CV96" s="853"/>
      <c r="CW96" s="853"/>
      <c r="CX96" s="853"/>
      <c r="CY96" s="853"/>
      <c r="CZ96" s="853"/>
      <c r="DA96" s="853"/>
      <c r="DC96" s="853"/>
      <c r="DD96" s="853"/>
      <c r="DE96" s="853"/>
      <c r="DF96" s="853"/>
      <c r="DG96" s="853"/>
      <c r="DH96" s="853"/>
      <c r="DI96" s="853"/>
      <c r="DJ96" s="853"/>
      <c r="DK96" s="853"/>
      <c r="DM96" s="853"/>
      <c r="DN96" s="853"/>
      <c r="DO96" s="853"/>
      <c r="DP96" s="853"/>
      <c r="DQ96" s="853"/>
      <c r="DR96" s="853"/>
      <c r="DS96" s="805"/>
      <c r="DT96" s="805"/>
      <c r="DV96" s="806">
        <f t="shared" si="10"/>
        <v>468745.90072001866</v>
      </c>
      <c r="DW96" s="806">
        <f t="shared" si="11"/>
        <v>780</v>
      </c>
      <c r="DX96" s="794">
        <f t="shared" si="12"/>
        <v>469525.90072001866</v>
      </c>
    </row>
    <row r="97" spans="1:128" hidden="1">
      <c r="A97" s="198">
        <v>7062</v>
      </c>
      <c r="B97" s="2">
        <v>103632</v>
      </c>
      <c r="C97" s="2" t="s">
        <v>217</v>
      </c>
      <c r="D97" s="2" t="s">
        <v>218</v>
      </c>
      <c r="E97" s="190" t="s">
        <v>56</v>
      </c>
      <c r="F97" s="211" t="str">
        <f>VLOOKUP(A97,'Summary June 2026'!A:F,6,FALSE)</f>
        <v>Chq Bk</v>
      </c>
      <c r="G97" s="33"/>
      <c r="H97" s="825">
        <v>0</v>
      </c>
      <c r="I97" s="804"/>
      <c r="J97" s="797"/>
      <c r="K97" s="797"/>
      <c r="L97" s="797"/>
      <c r="M97" s="797"/>
      <c r="N97" s="797"/>
      <c r="O97" s="797"/>
      <c r="P97" s="797"/>
      <c r="Q97" s="797"/>
      <c r="R97" s="797"/>
      <c r="S97" s="804"/>
      <c r="T97" s="364"/>
      <c r="U97" s="364"/>
      <c r="V97" s="364"/>
      <c r="W97" s="364"/>
      <c r="X97" s="364"/>
      <c r="Y97" s="364"/>
      <c r="Z97" s="364"/>
      <c r="AA97" s="364"/>
      <c r="AB97" s="364"/>
      <c r="AC97" s="804"/>
      <c r="AD97" s="817"/>
      <c r="AE97" s="817"/>
      <c r="AF97" s="817"/>
      <c r="AG97" s="817"/>
      <c r="AH97" s="817"/>
      <c r="AI97" s="817"/>
      <c r="AJ97" s="817"/>
      <c r="AK97" s="818"/>
      <c r="AL97" s="817"/>
      <c r="AM97" s="275"/>
      <c r="AN97" s="886">
        <v>0</v>
      </c>
      <c r="AO97" s="886">
        <v>0</v>
      </c>
      <c r="AP97" s="275"/>
      <c r="AQ97" s="834"/>
      <c r="AR97" s="834"/>
      <c r="AS97" s="834"/>
      <c r="AT97" s="834"/>
      <c r="AU97" s="834"/>
      <c r="AV97" s="834"/>
      <c r="AW97" s="834"/>
      <c r="AX97" s="834"/>
      <c r="AZ97" s="835"/>
      <c r="BA97" s="835"/>
      <c r="BB97" s="835"/>
      <c r="BC97" s="835"/>
      <c r="BD97" s="835"/>
      <c r="BE97" s="835"/>
      <c r="BF97" s="835"/>
      <c r="BG97" s="835"/>
      <c r="BH97" s="814"/>
      <c r="BI97" s="834"/>
      <c r="BJ97" s="834"/>
      <c r="BK97" s="834"/>
      <c r="BL97" s="834"/>
      <c r="BM97" s="834"/>
      <c r="BN97" s="834"/>
      <c r="BO97" s="834"/>
      <c r="BP97" s="834"/>
      <c r="BQ97" s="275"/>
      <c r="BR97" s="843"/>
      <c r="BS97" s="843"/>
      <c r="BT97" s="843"/>
      <c r="BU97" s="843"/>
      <c r="BV97" s="843"/>
      <c r="BW97" s="843"/>
      <c r="BX97" s="843"/>
      <c r="BY97" s="843"/>
      <c r="BZ97" s="843"/>
      <c r="CA97" s="843"/>
      <c r="CB97" s="843"/>
      <c r="CC97" s="843"/>
      <c r="CD97" s="843"/>
      <c r="CE97" s="843"/>
      <c r="CF97" s="843"/>
      <c r="CG97" s="843"/>
      <c r="CH97" s="843"/>
      <c r="CI97" s="843"/>
      <c r="CJ97" s="844"/>
      <c r="CK97" s="364"/>
      <c r="CL97" s="364"/>
      <c r="CM97" s="364"/>
      <c r="CN97" s="364"/>
      <c r="CO97" s="364"/>
      <c r="CP97" s="364"/>
      <c r="CQ97" s="364"/>
      <c r="CR97" s="804"/>
      <c r="CS97" s="852"/>
      <c r="CT97" s="853"/>
      <c r="CU97" s="853"/>
      <c r="CV97" s="853"/>
      <c r="CW97" s="853"/>
      <c r="CX97" s="853"/>
      <c r="CY97" s="853"/>
      <c r="CZ97" s="853"/>
      <c r="DA97" s="853"/>
      <c r="DC97" s="853"/>
      <c r="DD97" s="853"/>
      <c r="DE97" s="853"/>
      <c r="DF97" s="853"/>
      <c r="DG97" s="853"/>
      <c r="DH97" s="853"/>
      <c r="DI97" s="853"/>
      <c r="DJ97" s="853"/>
      <c r="DK97" s="853"/>
      <c r="DM97" s="853"/>
      <c r="DN97" s="853"/>
      <c r="DO97" s="853"/>
      <c r="DP97" s="853"/>
      <c r="DQ97" s="853"/>
      <c r="DR97" s="853"/>
      <c r="DS97" s="805"/>
      <c r="DT97" s="805"/>
      <c r="DV97" s="806">
        <f t="shared" si="10"/>
        <v>0</v>
      </c>
      <c r="DW97" s="806">
        <f t="shared" si="11"/>
        <v>0</v>
      </c>
      <c r="DX97" s="794">
        <f t="shared" si="12"/>
        <v>0</v>
      </c>
    </row>
    <row r="98" spans="1:128" hidden="1">
      <c r="A98" s="198">
        <v>2462</v>
      </c>
      <c r="B98" s="2">
        <v>103388</v>
      </c>
      <c r="C98" s="2" t="s">
        <v>219</v>
      </c>
      <c r="D98" s="2" t="s">
        <v>220</v>
      </c>
      <c r="E98" s="190" t="s">
        <v>39</v>
      </c>
      <c r="F98" s="211" t="str">
        <f>VLOOKUP(A98,'Summary June 2026'!A:F,6,FALSE)</f>
        <v>Chq Bk</v>
      </c>
      <c r="G98" s="33"/>
      <c r="H98" s="825">
        <v>0</v>
      </c>
      <c r="I98" s="804"/>
      <c r="J98" s="797">
        <v>0</v>
      </c>
      <c r="K98" s="797">
        <v>0</v>
      </c>
      <c r="L98" s="797">
        <v>0</v>
      </c>
      <c r="M98" s="797">
        <v>0</v>
      </c>
      <c r="N98" s="797">
        <v>0</v>
      </c>
      <c r="O98" s="797">
        <v>0</v>
      </c>
      <c r="P98" s="797">
        <v>0</v>
      </c>
      <c r="Q98" s="797">
        <f>SUM(J98:P98)</f>
        <v>0</v>
      </c>
      <c r="R98" s="797">
        <f t="shared" si="14"/>
        <v>0</v>
      </c>
      <c r="S98" s="804"/>
      <c r="T98" s="364">
        <v>0</v>
      </c>
      <c r="U98" s="364">
        <v>0</v>
      </c>
      <c r="V98" s="364">
        <v>0</v>
      </c>
      <c r="W98" s="364">
        <v>0</v>
      </c>
      <c r="X98" s="364">
        <v>0</v>
      </c>
      <c r="Y98" s="364">
        <v>0</v>
      </c>
      <c r="Z98" s="364">
        <v>0</v>
      </c>
      <c r="AA98" s="364">
        <f t="shared" si="15"/>
        <v>0</v>
      </c>
      <c r="AB98" s="364">
        <f t="shared" si="16"/>
        <v>0</v>
      </c>
      <c r="AC98" s="804"/>
      <c r="AD98" s="817"/>
      <c r="AE98" s="817"/>
      <c r="AF98" s="817"/>
      <c r="AG98" s="817"/>
      <c r="AH98" s="817"/>
      <c r="AI98" s="817"/>
      <c r="AJ98" s="817"/>
      <c r="AK98" s="818"/>
      <c r="AL98" s="817"/>
      <c r="AM98" s="275"/>
      <c r="AN98" s="886">
        <v>0</v>
      </c>
      <c r="AO98" s="886">
        <v>0</v>
      </c>
      <c r="AP98" s="275"/>
      <c r="AQ98" s="834"/>
      <c r="AR98" s="834"/>
      <c r="AS98" s="834"/>
      <c r="AT98" s="834"/>
      <c r="AU98" s="834"/>
      <c r="AV98" s="834"/>
      <c r="AW98" s="834"/>
      <c r="AX98" s="834"/>
      <c r="AZ98" s="835"/>
      <c r="BA98" s="835"/>
      <c r="BB98" s="835"/>
      <c r="BC98" s="835"/>
      <c r="BD98" s="835"/>
      <c r="BE98" s="835"/>
      <c r="BF98" s="835"/>
      <c r="BG98" s="835"/>
      <c r="BH98" s="814"/>
      <c r="BI98" s="834"/>
      <c r="BJ98" s="834"/>
      <c r="BK98" s="834"/>
      <c r="BL98" s="834"/>
      <c r="BM98" s="834"/>
      <c r="BN98" s="834"/>
      <c r="BO98" s="834"/>
      <c r="BP98" s="834"/>
      <c r="BQ98" s="275"/>
      <c r="BR98" s="843"/>
      <c r="BS98" s="843"/>
      <c r="BT98" s="843"/>
      <c r="BU98" s="843"/>
      <c r="BV98" s="843"/>
      <c r="BW98" s="843"/>
      <c r="BX98" s="843"/>
      <c r="BY98" s="843"/>
      <c r="BZ98" s="843"/>
      <c r="CA98" s="843"/>
      <c r="CB98" s="843"/>
      <c r="CC98" s="843"/>
      <c r="CD98" s="843"/>
      <c r="CE98" s="843"/>
      <c r="CF98" s="843"/>
      <c r="CG98" s="843"/>
      <c r="CH98" s="843"/>
      <c r="CI98" s="843"/>
      <c r="CJ98" s="844"/>
      <c r="CK98" s="364"/>
      <c r="CL98" s="364"/>
      <c r="CM98" s="364"/>
      <c r="CN98" s="364"/>
      <c r="CO98" s="364"/>
      <c r="CP98" s="364"/>
      <c r="CQ98" s="364"/>
      <c r="CR98" s="804"/>
      <c r="CS98" s="852"/>
      <c r="CT98" s="853"/>
      <c r="CU98" s="853"/>
      <c r="CV98" s="853"/>
      <c r="CW98" s="853"/>
      <c r="CX98" s="853"/>
      <c r="CY98" s="853"/>
      <c r="CZ98" s="853"/>
      <c r="DA98" s="853"/>
      <c r="DC98" s="853"/>
      <c r="DD98" s="853"/>
      <c r="DE98" s="853"/>
      <c r="DF98" s="853"/>
      <c r="DG98" s="853"/>
      <c r="DH98" s="853"/>
      <c r="DI98" s="853"/>
      <c r="DJ98" s="853"/>
      <c r="DK98" s="853"/>
      <c r="DM98" s="853"/>
      <c r="DN98" s="853"/>
      <c r="DO98" s="853"/>
      <c r="DP98" s="853"/>
      <c r="DQ98" s="853"/>
      <c r="DR98" s="853"/>
      <c r="DS98" s="805"/>
      <c r="DT98" s="805"/>
      <c r="DV98" s="806">
        <f t="shared" si="10"/>
        <v>0</v>
      </c>
      <c r="DW98" s="806">
        <f t="shared" si="11"/>
        <v>0</v>
      </c>
      <c r="DX98" s="794">
        <f t="shared" si="12"/>
        <v>0</v>
      </c>
    </row>
    <row r="99" spans="1:128" hidden="1">
      <c r="A99" s="198">
        <v>7012</v>
      </c>
      <c r="B99" s="2">
        <v>103603</v>
      </c>
      <c r="C99" s="2" t="s">
        <v>221</v>
      </c>
      <c r="D99" s="2" t="s">
        <v>222</v>
      </c>
      <c r="E99" s="190" t="s">
        <v>56</v>
      </c>
      <c r="F99" s="211" t="str">
        <f>VLOOKUP(A99,'Summary June 2026'!A:F,6,FALSE)</f>
        <v>Chq Bk</v>
      </c>
      <c r="G99" s="33"/>
      <c r="H99" s="825">
        <v>0</v>
      </c>
      <c r="I99" s="804"/>
      <c r="J99" s="797"/>
      <c r="K99" s="797"/>
      <c r="L99" s="797"/>
      <c r="M99" s="797"/>
      <c r="N99" s="797"/>
      <c r="O99" s="797"/>
      <c r="P99" s="797"/>
      <c r="Q99" s="797"/>
      <c r="R99" s="797"/>
      <c r="S99" s="804"/>
      <c r="T99" s="364"/>
      <c r="U99" s="364"/>
      <c r="V99" s="364"/>
      <c r="W99" s="364"/>
      <c r="X99" s="364"/>
      <c r="Y99" s="364"/>
      <c r="Z99" s="364"/>
      <c r="AA99" s="364"/>
      <c r="AB99" s="364"/>
      <c r="AC99" s="804"/>
      <c r="AD99" s="817"/>
      <c r="AE99" s="817"/>
      <c r="AF99" s="817"/>
      <c r="AG99" s="817"/>
      <c r="AH99" s="817"/>
      <c r="AI99" s="817"/>
      <c r="AJ99" s="817"/>
      <c r="AK99" s="818"/>
      <c r="AL99" s="817"/>
      <c r="AM99" s="275"/>
      <c r="AN99" s="886">
        <v>0</v>
      </c>
      <c r="AO99" s="886">
        <v>0</v>
      </c>
      <c r="AP99" s="275"/>
      <c r="AQ99" s="834"/>
      <c r="AR99" s="834"/>
      <c r="AS99" s="834"/>
      <c r="AT99" s="834"/>
      <c r="AU99" s="834"/>
      <c r="AV99" s="834"/>
      <c r="AW99" s="834"/>
      <c r="AX99" s="834"/>
      <c r="AZ99" s="835"/>
      <c r="BA99" s="835"/>
      <c r="BB99" s="835"/>
      <c r="BC99" s="835"/>
      <c r="BD99" s="835"/>
      <c r="BE99" s="835"/>
      <c r="BF99" s="835"/>
      <c r="BG99" s="835"/>
      <c r="BH99" s="814"/>
      <c r="BI99" s="834"/>
      <c r="BJ99" s="834"/>
      <c r="BK99" s="834"/>
      <c r="BL99" s="834"/>
      <c r="BM99" s="834"/>
      <c r="BN99" s="834"/>
      <c r="BO99" s="834"/>
      <c r="BP99" s="834"/>
      <c r="BQ99" s="275"/>
      <c r="BR99" s="843"/>
      <c r="BS99" s="843"/>
      <c r="BT99" s="843"/>
      <c r="BU99" s="843"/>
      <c r="BV99" s="843"/>
      <c r="BW99" s="843"/>
      <c r="BX99" s="843"/>
      <c r="BY99" s="843"/>
      <c r="BZ99" s="843"/>
      <c r="CA99" s="843"/>
      <c r="CB99" s="843"/>
      <c r="CC99" s="843"/>
      <c r="CD99" s="843"/>
      <c r="CE99" s="843"/>
      <c r="CF99" s="843"/>
      <c r="CG99" s="843"/>
      <c r="CH99" s="843"/>
      <c r="CI99" s="843"/>
      <c r="CJ99" s="844"/>
      <c r="CK99" s="364"/>
      <c r="CL99" s="364"/>
      <c r="CM99" s="364"/>
      <c r="CN99" s="364"/>
      <c r="CO99" s="364"/>
      <c r="CP99" s="364"/>
      <c r="CQ99" s="364"/>
      <c r="CR99" s="804"/>
      <c r="CS99" s="852"/>
      <c r="CT99" s="853"/>
      <c r="CU99" s="853"/>
      <c r="CV99" s="853"/>
      <c r="CW99" s="853"/>
      <c r="CX99" s="853"/>
      <c r="CY99" s="853"/>
      <c r="CZ99" s="853"/>
      <c r="DA99" s="853"/>
      <c r="DC99" s="853"/>
      <c r="DD99" s="853"/>
      <c r="DE99" s="853"/>
      <c r="DF99" s="853"/>
      <c r="DG99" s="853"/>
      <c r="DH99" s="853"/>
      <c r="DI99" s="853"/>
      <c r="DJ99" s="853"/>
      <c r="DK99" s="853"/>
      <c r="DM99" s="853"/>
      <c r="DN99" s="853"/>
      <c r="DO99" s="853"/>
      <c r="DP99" s="853"/>
      <c r="DQ99" s="853"/>
      <c r="DR99" s="853"/>
      <c r="DS99" s="805"/>
      <c r="DT99" s="805"/>
      <c r="DV99" s="806">
        <f t="shared" si="10"/>
        <v>0</v>
      </c>
      <c r="DW99" s="806">
        <f t="shared" si="11"/>
        <v>0</v>
      </c>
      <c r="DX99" s="794">
        <f t="shared" si="12"/>
        <v>0</v>
      </c>
    </row>
    <row r="100" spans="1:128" hidden="1">
      <c r="A100" s="198">
        <v>2127</v>
      </c>
      <c r="B100" s="2">
        <v>103227</v>
      </c>
      <c r="C100" s="2" t="s">
        <v>223</v>
      </c>
      <c r="D100" s="2" t="s">
        <v>224</v>
      </c>
      <c r="E100" s="190" t="s">
        <v>39</v>
      </c>
      <c r="F100" s="211" t="str">
        <f>VLOOKUP(A100,'Summary June 2026'!A:F,6,FALSE)</f>
        <v>Chq Bk</v>
      </c>
      <c r="G100" s="33"/>
      <c r="H100" s="825">
        <v>0</v>
      </c>
      <c r="I100" s="804"/>
      <c r="J100" s="797">
        <v>0</v>
      </c>
      <c r="K100" s="797">
        <v>0</v>
      </c>
      <c r="L100" s="797">
        <v>57556.2</v>
      </c>
      <c r="M100" s="797">
        <v>3363.7499999999995</v>
      </c>
      <c r="N100" s="797">
        <v>1231.1273684210528</v>
      </c>
      <c r="O100" s="797">
        <v>2285.3999999999996</v>
      </c>
      <c r="P100" s="797">
        <v>975</v>
      </c>
      <c r="Q100" s="797">
        <f t="shared" ref="Q100:Q120" si="17">SUM(J100:P100)</f>
        <v>65411.477368421052</v>
      </c>
      <c r="R100" s="797">
        <f t="shared" si="14"/>
        <v>52329.181894736845</v>
      </c>
      <c r="S100" s="804"/>
      <c r="T100" s="364">
        <v>0</v>
      </c>
      <c r="U100" s="364">
        <v>0</v>
      </c>
      <c r="V100" s="364">
        <v>48984</v>
      </c>
      <c r="W100" s="364">
        <v>2691</v>
      </c>
      <c r="X100" s="364">
        <v>1119.0947368421052</v>
      </c>
      <c r="Y100" s="364">
        <v>2250.3000000000002</v>
      </c>
      <c r="Z100" s="364">
        <v>0</v>
      </c>
      <c r="AA100" s="364">
        <f t="shared" si="15"/>
        <v>55044.394736842107</v>
      </c>
      <c r="AB100" s="364">
        <f t="shared" si="16"/>
        <v>44035.515789473691</v>
      </c>
      <c r="AC100" s="804"/>
      <c r="AD100" s="817"/>
      <c r="AE100" s="817"/>
      <c r="AF100" s="817"/>
      <c r="AG100" s="817"/>
      <c r="AH100" s="817"/>
      <c r="AI100" s="817"/>
      <c r="AJ100" s="817"/>
      <c r="AK100" s="818"/>
      <c r="AL100" s="817"/>
      <c r="AM100" s="275"/>
      <c r="AN100" s="886">
        <v>15941.69135734072</v>
      </c>
      <c r="AO100" s="886">
        <v>-74.832132963988926</v>
      </c>
      <c r="AP100" s="275"/>
      <c r="AQ100" s="834"/>
      <c r="AR100" s="834"/>
      <c r="AS100" s="834"/>
      <c r="AT100" s="834"/>
      <c r="AU100" s="834"/>
      <c r="AV100" s="834"/>
      <c r="AW100" s="834"/>
      <c r="AX100" s="834"/>
      <c r="AZ100" s="835"/>
      <c r="BA100" s="835"/>
      <c r="BB100" s="835"/>
      <c r="BC100" s="835"/>
      <c r="BD100" s="835"/>
      <c r="BE100" s="835"/>
      <c r="BF100" s="835"/>
      <c r="BG100" s="835"/>
      <c r="BH100" s="814"/>
      <c r="BI100" s="834"/>
      <c r="BJ100" s="834"/>
      <c r="BK100" s="834"/>
      <c r="BL100" s="834"/>
      <c r="BM100" s="834"/>
      <c r="BN100" s="834"/>
      <c r="BO100" s="834"/>
      <c r="BP100" s="834"/>
      <c r="BQ100" s="275"/>
      <c r="BR100" s="843"/>
      <c r="BS100" s="843"/>
      <c r="BT100" s="843"/>
      <c r="BU100" s="843"/>
      <c r="BV100" s="843"/>
      <c r="BW100" s="843"/>
      <c r="BX100" s="843"/>
      <c r="BY100" s="843"/>
      <c r="BZ100" s="843"/>
      <c r="CA100" s="843"/>
      <c r="CB100" s="843"/>
      <c r="CC100" s="843"/>
      <c r="CD100" s="843"/>
      <c r="CE100" s="843"/>
      <c r="CF100" s="843"/>
      <c r="CG100" s="843"/>
      <c r="CH100" s="843"/>
      <c r="CI100" s="843"/>
      <c r="CJ100" s="844"/>
      <c r="CK100" s="364"/>
      <c r="CL100" s="364"/>
      <c r="CM100" s="364"/>
      <c r="CN100" s="364"/>
      <c r="CO100" s="364"/>
      <c r="CP100" s="364"/>
      <c r="CQ100" s="364"/>
      <c r="CR100" s="804"/>
      <c r="CS100" s="852"/>
      <c r="CT100" s="853"/>
      <c r="CU100" s="853"/>
      <c r="CV100" s="853"/>
      <c r="CW100" s="853"/>
      <c r="CX100" s="853"/>
      <c r="CY100" s="853"/>
      <c r="CZ100" s="853"/>
      <c r="DA100" s="853"/>
      <c r="DC100" s="853"/>
      <c r="DD100" s="853"/>
      <c r="DE100" s="853"/>
      <c r="DF100" s="853"/>
      <c r="DG100" s="853"/>
      <c r="DH100" s="853"/>
      <c r="DI100" s="853"/>
      <c r="DJ100" s="853"/>
      <c r="DK100" s="853"/>
      <c r="DM100" s="853"/>
      <c r="DN100" s="853"/>
      <c r="DO100" s="853"/>
      <c r="DP100" s="853"/>
      <c r="DQ100" s="853"/>
      <c r="DR100" s="853"/>
      <c r="DS100" s="805"/>
      <c r="DT100" s="805"/>
      <c r="DV100" s="806">
        <f t="shared" si="10"/>
        <v>111526.38904155126</v>
      </c>
      <c r="DW100" s="806">
        <f t="shared" si="11"/>
        <v>705.1678670360111</v>
      </c>
      <c r="DX100" s="794">
        <f t="shared" si="12"/>
        <v>112231.55690858727</v>
      </c>
    </row>
    <row r="101" spans="1:128" hidden="1">
      <c r="A101" s="198">
        <v>2129</v>
      </c>
      <c r="B101" s="2">
        <v>103229</v>
      </c>
      <c r="C101" s="2" t="s">
        <v>225</v>
      </c>
      <c r="D101" s="2" t="s">
        <v>226</v>
      </c>
      <c r="E101" s="190" t="s">
        <v>39</v>
      </c>
      <c r="F101" s="211" t="str">
        <f>VLOOKUP(A101,'Summary June 2026'!A:F,6,FALSE)</f>
        <v>Chq Bk</v>
      </c>
      <c r="G101" s="33"/>
      <c r="H101" s="825">
        <v>0</v>
      </c>
      <c r="I101" s="804"/>
      <c r="J101" s="797">
        <v>0</v>
      </c>
      <c r="K101" s="797">
        <v>0</v>
      </c>
      <c r="L101" s="797">
        <v>0</v>
      </c>
      <c r="M101" s="797">
        <v>0</v>
      </c>
      <c r="N101" s="797">
        <v>0</v>
      </c>
      <c r="O101" s="797">
        <v>0</v>
      </c>
      <c r="P101" s="797">
        <v>0</v>
      </c>
      <c r="Q101" s="797">
        <f t="shared" si="17"/>
        <v>0</v>
      </c>
      <c r="R101" s="797">
        <f t="shared" si="14"/>
        <v>0</v>
      </c>
      <c r="S101" s="804"/>
      <c r="T101" s="364">
        <v>0</v>
      </c>
      <c r="U101" s="364">
        <v>0</v>
      </c>
      <c r="V101" s="364">
        <v>0</v>
      </c>
      <c r="W101" s="364">
        <v>0</v>
      </c>
      <c r="X101" s="364">
        <v>0</v>
      </c>
      <c r="Y101" s="364">
        <v>0</v>
      </c>
      <c r="Z101" s="364">
        <v>0</v>
      </c>
      <c r="AA101" s="364">
        <f t="shared" si="15"/>
        <v>0</v>
      </c>
      <c r="AB101" s="364">
        <f t="shared" si="16"/>
        <v>0</v>
      </c>
      <c r="AC101" s="804"/>
      <c r="AD101" s="817"/>
      <c r="AE101" s="817"/>
      <c r="AF101" s="817"/>
      <c r="AG101" s="817"/>
      <c r="AH101" s="817"/>
      <c r="AI101" s="817"/>
      <c r="AJ101" s="817"/>
      <c r="AK101" s="818"/>
      <c r="AL101" s="817"/>
      <c r="AM101" s="275"/>
      <c r="AN101" s="886">
        <v>0</v>
      </c>
      <c r="AO101" s="886">
        <v>0</v>
      </c>
      <c r="AP101" s="275"/>
      <c r="AQ101" s="834"/>
      <c r="AR101" s="834"/>
      <c r="AS101" s="834"/>
      <c r="AT101" s="834"/>
      <c r="AU101" s="834"/>
      <c r="AV101" s="834"/>
      <c r="AW101" s="834"/>
      <c r="AX101" s="834"/>
      <c r="AZ101" s="835"/>
      <c r="BA101" s="835"/>
      <c r="BB101" s="835"/>
      <c r="BC101" s="835"/>
      <c r="BD101" s="835"/>
      <c r="BE101" s="835"/>
      <c r="BF101" s="835"/>
      <c r="BG101" s="835"/>
      <c r="BH101" s="814"/>
      <c r="BI101" s="834"/>
      <c r="BJ101" s="834"/>
      <c r="BK101" s="834"/>
      <c r="BL101" s="834"/>
      <c r="BM101" s="834"/>
      <c r="BN101" s="834"/>
      <c r="BO101" s="834"/>
      <c r="BP101" s="834"/>
      <c r="BQ101" s="275"/>
      <c r="BR101" s="843"/>
      <c r="BS101" s="843"/>
      <c r="BT101" s="843"/>
      <c r="BU101" s="843"/>
      <c r="BV101" s="843"/>
      <c r="BW101" s="843"/>
      <c r="BX101" s="843"/>
      <c r="BY101" s="843"/>
      <c r="BZ101" s="843"/>
      <c r="CA101" s="843"/>
      <c r="CB101" s="843"/>
      <c r="CC101" s="843"/>
      <c r="CD101" s="843"/>
      <c r="CE101" s="843"/>
      <c r="CF101" s="843"/>
      <c r="CG101" s="843"/>
      <c r="CH101" s="843"/>
      <c r="CI101" s="843"/>
      <c r="CJ101" s="844"/>
      <c r="CK101" s="364"/>
      <c r="CL101" s="364"/>
      <c r="CM101" s="364"/>
      <c r="CN101" s="364"/>
      <c r="CO101" s="364"/>
      <c r="CP101" s="364"/>
      <c r="CQ101" s="364"/>
      <c r="CR101" s="804"/>
      <c r="CS101" s="852"/>
      <c r="CT101" s="853"/>
      <c r="CU101" s="853"/>
      <c r="CV101" s="853"/>
      <c r="CW101" s="853"/>
      <c r="CX101" s="853"/>
      <c r="CY101" s="853"/>
      <c r="CZ101" s="853"/>
      <c r="DA101" s="853"/>
      <c r="DC101" s="853"/>
      <c r="DD101" s="853"/>
      <c r="DE101" s="853"/>
      <c r="DF101" s="853"/>
      <c r="DG101" s="853"/>
      <c r="DH101" s="853"/>
      <c r="DI101" s="853"/>
      <c r="DJ101" s="853"/>
      <c r="DK101" s="853"/>
      <c r="DM101" s="853"/>
      <c r="DN101" s="853"/>
      <c r="DO101" s="853"/>
      <c r="DP101" s="853"/>
      <c r="DQ101" s="853"/>
      <c r="DR101" s="853"/>
      <c r="DS101" s="805"/>
      <c r="DT101" s="805"/>
      <c r="DV101" s="806">
        <f t="shared" si="10"/>
        <v>0</v>
      </c>
      <c r="DW101" s="806">
        <f t="shared" si="11"/>
        <v>0</v>
      </c>
      <c r="DX101" s="794">
        <f t="shared" si="12"/>
        <v>0</v>
      </c>
    </row>
    <row r="102" spans="1:128" hidden="1">
      <c r="A102" s="198">
        <v>2128</v>
      </c>
      <c r="B102" s="2">
        <v>103228</v>
      </c>
      <c r="C102" s="2" t="s">
        <v>227</v>
      </c>
      <c r="D102" s="2" t="s">
        <v>228</v>
      </c>
      <c r="E102" s="190" t="s">
        <v>39</v>
      </c>
      <c r="F102" s="211" t="str">
        <f>VLOOKUP(A102,'Summary June 2026'!A:F,6,FALSE)</f>
        <v>Chq Bk</v>
      </c>
      <c r="G102" s="33"/>
      <c r="H102" s="825">
        <v>0</v>
      </c>
      <c r="I102" s="804"/>
      <c r="J102" s="797">
        <v>0</v>
      </c>
      <c r="K102" s="797">
        <v>0</v>
      </c>
      <c r="L102" s="797">
        <v>0</v>
      </c>
      <c r="M102" s="797">
        <v>0</v>
      </c>
      <c r="N102" s="797">
        <v>0</v>
      </c>
      <c r="O102" s="797">
        <v>0</v>
      </c>
      <c r="P102" s="797">
        <v>0</v>
      </c>
      <c r="Q102" s="797">
        <f t="shared" si="17"/>
        <v>0</v>
      </c>
      <c r="R102" s="797">
        <f t="shared" si="14"/>
        <v>0</v>
      </c>
      <c r="S102" s="804"/>
      <c r="T102" s="364">
        <v>0</v>
      </c>
      <c r="U102" s="364">
        <v>0</v>
      </c>
      <c r="V102" s="364">
        <v>0</v>
      </c>
      <c r="W102" s="364">
        <v>0</v>
      </c>
      <c r="X102" s="364">
        <v>0</v>
      </c>
      <c r="Y102" s="364">
        <v>0</v>
      </c>
      <c r="Z102" s="364">
        <v>0</v>
      </c>
      <c r="AA102" s="364">
        <f t="shared" si="15"/>
        <v>0</v>
      </c>
      <c r="AB102" s="364">
        <f t="shared" si="16"/>
        <v>0</v>
      </c>
      <c r="AC102" s="804"/>
      <c r="AD102" s="817"/>
      <c r="AE102" s="817"/>
      <c r="AF102" s="817"/>
      <c r="AG102" s="817"/>
      <c r="AH102" s="817"/>
      <c r="AI102" s="817"/>
      <c r="AJ102" s="817"/>
      <c r="AK102" s="818"/>
      <c r="AL102" s="817"/>
      <c r="AM102" s="275"/>
      <c r="AN102" s="886">
        <v>0</v>
      </c>
      <c r="AO102" s="886">
        <v>0</v>
      </c>
      <c r="AP102" s="275"/>
      <c r="AQ102" s="834"/>
      <c r="AR102" s="834"/>
      <c r="AS102" s="834"/>
      <c r="AT102" s="834"/>
      <c r="AU102" s="834"/>
      <c r="AV102" s="834"/>
      <c r="AW102" s="834"/>
      <c r="AX102" s="834"/>
      <c r="AZ102" s="835"/>
      <c r="BA102" s="835"/>
      <c r="BB102" s="835"/>
      <c r="BC102" s="835"/>
      <c r="BD102" s="835"/>
      <c r="BE102" s="835"/>
      <c r="BF102" s="835"/>
      <c r="BG102" s="835"/>
      <c r="BH102" s="814"/>
      <c r="BI102" s="834"/>
      <c r="BJ102" s="834"/>
      <c r="BK102" s="834"/>
      <c r="BL102" s="834"/>
      <c r="BM102" s="834"/>
      <c r="BN102" s="834"/>
      <c r="BO102" s="834"/>
      <c r="BP102" s="834"/>
      <c r="BQ102" s="275"/>
      <c r="BR102" s="843"/>
      <c r="BS102" s="843"/>
      <c r="BT102" s="843"/>
      <c r="BU102" s="843"/>
      <c r="BV102" s="843"/>
      <c r="BW102" s="843"/>
      <c r="BX102" s="843"/>
      <c r="BY102" s="843"/>
      <c r="BZ102" s="843"/>
      <c r="CA102" s="843"/>
      <c r="CB102" s="843"/>
      <c r="CC102" s="843"/>
      <c r="CD102" s="843"/>
      <c r="CE102" s="843"/>
      <c r="CF102" s="843"/>
      <c r="CG102" s="843"/>
      <c r="CH102" s="843"/>
      <c r="CI102" s="843"/>
      <c r="CJ102" s="844"/>
      <c r="CK102" s="364"/>
      <c r="CL102" s="364"/>
      <c r="CM102" s="364"/>
      <c r="CN102" s="364"/>
      <c r="CO102" s="364"/>
      <c r="CP102" s="364"/>
      <c r="CQ102" s="364"/>
      <c r="CR102" s="804"/>
      <c r="CS102" s="852"/>
      <c r="CT102" s="853"/>
      <c r="CU102" s="853"/>
      <c r="CV102" s="853"/>
      <c r="CW102" s="853"/>
      <c r="CX102" s="853"/>
      <c r="CY102" s="853"/>
      <c r="CZ102" s="853"/>
      <c r="DA102" s="853"/>
      <c r="DC102" s="853"/>
      <c r="DD102" s="853"/>
      <c r="DE102" s="853"/>
      <c r="DF102" s="853"/>
      <c r="DG102" s="853"/>
      <c r="DH102" s="853"/>
      <c r="DI102" s="853"/>
      <c r="DJ102" s="853"/>
      <c r="DK102" s="853"/>
      <c r="DM102" s="853"/>
      <c r="DN102" s="853"/>
      <c r="DO102" s="853"/>
      <c r="DP102" s="853"/>
      <c r="DQ102" s="853"/>
      <c r="DR102" s="853"/>
      <c r="DS102" s="805"/>
      <c r="DT102" s="805"/>
      <c r="DV102" s="806">
        <f t="shared" si="10"/>
        <v>0</v>
      </c>
      <c r="DW102" s="806">
        <f t="shared" si="11"/>
        <v>0</v>
      </c>
      <c r="DX102" s="794">
        <f t="shared" si="12"/>
        <v>0</v>
      </c>
    </row>
    <row r="103" spans="1:128" hidden="1">
      <c r="A103" s="198">
        <v>2420</v>
      </c>
      <c r="B103" s="2">
        <v>103353</v>
      </c>
      <c r="C103" s="2" t="s">
        <v>229</v>
      </c>
      <c r="D103" s="2" t="s">
        <v>230</v>
      </c>
      <c r="E103" s="190" t="s">
        <v>39</v>
      </c>
      <c r="F103" s="211" t="str">
        <f>VLOOKUP(A103,'Summary June 2026'!A:F,6,FALSE)</f>
        <v>Chq Bk</v>
      </c>
      <c r="G103" s="33"/>
      <c r="H103" s="825">
        <v>0</v>
      </c>
      <c r="I103" s="804"/>
      <c r="J103" s="797">
        <v>0</v>
      </c>
      <c r="K103" s="797">
        <v>0</v>
      </c>
      <c r="L103" s="797">
        <v>0</v>
      </c>
      <c r="M103" s="797">
        <v>0</v>
      </c>
      <c r="N103" s="797">
        <v>0</v>
      </c>
      <c r="O103" s="797">
        <v>0</v>
      </c>
      <c r="P103" s="797">
        <v>0</v>
      </c>
      <c r="Q103" s="797">
        <f t="shared" si="17"/>
        <v>0</v>
      </c>
      <c r="R103" s="797">
        <f t="shared" si="14"/>
        <v>0</v>
      </c>
      <c r="S103" s="804"/>
      <c r="T103" s="364">
        <v>0</v>
      </c>
      <c r="U103" s="364">
        <v>0</v>
      </c>
      <c r="V103" s="364">
        <v>0</v>
      </c>
      <c r="W103" s="364">
        <v>0</v>
      </c>
      <c r="X103" s="364">
        <v>0</v>
      </c>
      <c r="Y103" s="364">
        <v>0</v>
      </c>
      <c r="Z103" s="364">
        <v>0</v>
      </c>
      <c r="AA103" s="364">
        <f t="shared" si="15"/>
        <v>0</v>
      </c>
      <c r="AB103" s="364">
        <f t="shared" si="16"/>
        <v>0</v>
      </c>
      <c r="AC103" s="804"/>
      <c r="AD103" s="817"/>
      <c r="AE103" s="817"/>
      <c r="AF103" s="817"/>
      <c r="AG103" s="817"/>
      <c r="AH103" s="817"/>
      <c r="AI103" s="817"/>
      <c r="AJ103" s="817"/>
      <c r="AK103" s="818"/>
      <c r="AL103" s="817"/>
      <c r="AM103" s="275"/>
      <c r="AN103" s="886">
        <v>0</v>
      </c>
      <c r="AO103" s="886">
        <v>0</v>
      </c>
      <c r="AP103" s="275"/>
      <c r="AQ103" s="834"/>
      <c r="AR103" s="834"/>
      <c r="AS103" s="834"/>
      <c r="AT103" s="834"/>
      <c r="AU103" s="834"/>
      <c r="AV103" s="834"/>
      <c r="AW103" s="834"/>
      <c r="AX103" s="834"/>
      <c r="AZ103" s="835"/>
      <c r="BA103" s="835"/>
      <c r="BB103" s="835"/>
      <c r="BC103" s="835"/>
      <c r="BD103" s="835"/>
      <c r="BE103" s="835"/>
      <c r="BF103" s="835"/>
      <c r="BG103" s="835"/>
      <c r="BH103" s="814"/>
      <c r="BI103" s="834"/>
      <c r="BJ103" s="834"/>
      <c r="BK103" s="834"/>
      <c r="BL103" s="834"/>
      <c r="BM103" s="834"/>
      <c r="BN103" s="834"/>
      <c r="BO103" s="834"/>
      <c r="BP103" s="834"/>
      <c r="BQ103" s="275"/>
      <c r="BR103" s="843"/>
      <c r="BS103" s="843"/>
      <c r="BT103" s="843"/>
      <c r="BU103" s="843"/>
      <c r="BV103" s="843"/>
      <c r="BW103" s="843"/>
      <c r="BX103" s="843"/>
      <c r="BY103" s="843"/>
      <c r="BZ103" s="843"/>
      <c r="CA103" s="843"/>
      <c r="CB103" s="843"/>
      <c r="CC103" s="843"/>
      <c r="CD103" s="843"/>
      <c r="CE103" s="843"/>
      <c r="CF103" s="843"/>
      <c r="CG103" s="843"/>
      <c r="CH103" s="843"/>
      <c r="CI103" s="843"/>
      <c r="CJ103" s="844"/>
      <c r="CK103" s="364"/>
      <c r="CL103" s="364"/>
      <c r="CM103" s="364"/>
      <c r="CN103" s="364"/>
      <c r="CO103" s="364"/>
      <c r="CP103" s="364"/>
      <c r="CQ103" s="364"/>
      <c r="CR103" s="804"/>
      <c r="CS103" s="852"/>
      <c r="CT103" s="853"/>
      <c r="CU103" s="853"/>
      <c r="CV103" s="853"/>
      <c r="CW103" s="853"/>
      <c r="CX103" s="853"/>
      <c r="CY103" s="853"/>
      <c r="CZ103" s="853"/>
      <c r="DA103" s="853"/>
      <c r="DC103" s="853"/>
      <c r="DD103" s="853"/>
      <c r="DE103" s="853"/>
      <c r="DF103" s="853"/>
      <c r="DG103" s="853"/>
      <c r="DH103" s="853"/>
      <c r="DI103" s="853"/>
      <c r="DJ103" s="853"/>
      <c r="DK103" s="853"/>
      <c r="DM103" s="853"/>
      <c r="DN103" s="853"/>
      <c r="DO103" s="853"/>
      <c r="DP103" s="853"/>
      <c r="DQ103" s="853"/>
      <c r="DR103" s="853"/>
      <c r="DS103" s="805"/>
      <c r="DT103" s="805"/>
      <c r="DV103" s="806">
        <f t="shared" si="10"/>
        <v>0</v>
      </c>
      <c r="DW103" s="806">
        <f t="shared" si="11"/>
        <v>0</v>
      </c>
      <c r="DX103" s="794">
        <f t="shared" si="12"/>
        <v>0</v>
      </c>
    </row>
    <row r="104" spans="1:128" hidden="1">
      <c r="A104" s="198">
        <v>2004</v>
      </c>
      <c r="B104" s="2">
        <v>134094</v>
      </c>
      <c r="C104" s="2" t="s">
        <v>231</v>
      </c>
      <c r="D104" s="2" t="s">
        <v>232</v>
      </c>
      <c r="E104" s="190" t="s">
        <v>39</v>
      </c>
      <c r="F104" s="211" t="str">
        <f>VLOOKUP(A104,'Summary June 2026'!A:F,6,FALSE)</f>
        <v>Chq Bk</v>
      </c>
      <c r="G104" s="33"/>
      <c r="H104" s="825">
        <v>0</v>
      </c>
      <c r="I104" s="804"/>
      <c r="J104" s="797">
        <v>0</v>
      </c>
      <c r="K104" s="797">
        <v>0</v>
      </c>
      <c r="L104" s="797">
        <v>0</v>
      </c>
      <c r="M104" s="797">
        <v>0</v>
      </c>
      <c r="N104" s="797">
        <v>0</v>
      </c>
      <c r="O104" s="797">
        <v>0</v>
      </c>
      <c r="P104" s="797">
        <v>0</v>
      </c>
      <c r="Q104" s="797">
        <v>0</v>
      </c>
      <c r="R104" s="797">
        <f t="shared" si="14"/>
        <v>0</v>
      </c>
      <c r="S104" s="804"/>
      <c r="T104" s="364">
        <v>0</v>
      </c>
      <c r="U104" s="364">
        <v>0</v>
      </c>
      <c r="V104" s="364">
        <v>0</v>
      </c>
      <c r="W104" s="364">
        <v>0</v>
      </c>
      <c r="X104" s="364">
        <v>0</v>
      </c>
      <c r="Y104" s="364">
        <v>0</v>
      </c>
      <c r="Z104" s="364">
        <v>0</v>
      </c>
      <c r="AA104" s="364">
        <f t="shared" si="15"/>
        <v>0</v>
      </c>
      <c r="AB104" s="364">
        <f t="shared" si="16"/>
        <v>0</v>
      </c>
      <c r="AC104" s="804"/>
      <c r="AD104" s="817"/>
      <c r="AE104" s="817"/>
      <c r="AF104" s="817"/>
      <c r="AG104" s="817"/>
      <c r="AH104" s="817"/>
      <c r="AI104" s="817"/>
      <c r="AJ104" s="817"/>
      <c r="AK104" s="818"/>
      <c r="AL104" s="817"/>
      <c r="AM104" s="275"/>
      <c r="AN104" s="886">
        <v>-12429.776842105264</v>
      </c>
      <c r="AO104" s="886">
        <v>0</v>
      </c>
      <c r="AP104" s="275"/>
      <c r="AQ104" s="834"/>
      <c r="AR104" s="834"/>
      <c r="AS104" s="834"/>
      <c r="AT104" s="834"/>
      <c r="AU104" s="834"/>
      <c r="AV104" s="834"/>
      <c r="AW104" s="834"/>
      <c r="AX104" s="834"/>
      <c r="AZ104" s="835"/>
      <c r="BA104" s="835"/>
      <c r="BB104" s="835"/>
      <c r="BC104" s="835"/>
      <c r="BD104" s="835"/>
      <c r="BE104" s="835"/>
      <c r="BF104" s="835"/>
      <c r="BG104" s="835"/>
      <c r="BH104" s="814"/>
      <c r="BI104" s="834"/>
      <c r="BJ104" s="834"/>
      <c r="BK104" s="834"/>
      <c r="BL104" s="834"/>
      <c r="BM104" s="834"/>
      <c r="BN104" s="834"/>
      <c r="BO104" s="834"/>
      <c r="BP104" s="834"/>
      <c r="BQ104" s="275"/>
      <c r="BR104" s="843"/>
      <c r="BS104" s="843"/>
      <c r="BT104" s="843"/>
      <c r="BU104" s="843"/>
      <c r="BV104" s="843"/>
      <c r="BW104" s="843"/>
      <c r="BX104" s="843"/>
      <c r="BY104" s="843"/>
      <c r="BZ104" s="843"/>
      <c r="CA104" s="843"/>
      <c r="CB104" s="843"/>
      <c r="CC104" s="843"/>
      <c r="CD104" s="843"/>
      <c r="CE104" s="843"/>
      <c r="CF104" s="843"/>
      <c r="CG104" s="843"/>
      <c r="CH104" s="843"/>
      <c r="CI104" s="843"/>
      <c r="CJ104" s="844"/>
      <c r="CK104" s="364"/>
      <c r="CL104" s="364"/>
      <c r="CM104" s="364"/>
      <c r="CN104" s="364"/>
      <c r="CO104" s="364"/>
      <c r="CP104" s="364"/>
      <c r="CQ104" s="364"/>
      <c r="CR104" s="804"/>
      <c r="CS104" s="852"/>
      <c r="CT104" s="853"/>
      <c r="CU104" s="853"/>
      <c r="CV104" s="853"/>
      <c r="CW104" s="853"/>
      <c r="CX104" s="853"/>
      <c r="CY104" s="853"/>
      <c r="CZ104" s="853"/>
      <c r="DA104" s="853"/>
      <c r="DC104" s="853"/>
      <c r="DD104" s="853"/>
      <c r="DE104" s="853"/>
      <c r="DF104" s="853"/>
      <c r="DG104" s="853"/>
      <c r="DH104" s="853"/>
      <c r="DI104" s="853"/>
      <c r="DJ104" s="853"/>
      <c r="DK104" s="853"/>
      <c r="DM104" s="853"/>
      <c r="DN104" s="853"/>
      <c r="DO104" s="853"/>
      <c r="DP104" s="853"/>
      <c r="DQ104" s="853"/>
      <c r="DR104" s="853"/>
      <c r="DS104" s="805"/>
      <c r="DT104" s="805"/>
      <c r="DV104" s="806">
        <f t="shared" si="10"/>
        <v>-12429.776842105264</v>
      </c>
      <c r="DW104" s="806">
        <f t="shared" si="11"/>
        <v>0</v>
      </c>
      <c r="DX104" s="794">
        <f t="shared" si="12"/>
        <v>-12429.776842105264</v>
      </c>
    </row>
    <row r="105" spans="1:128" hidden="1">
      <c r="A105" s="198">
        <v>1012</v>
      </c>
      <c r="B105" s="2">
        <v>103126</v>
      </c>
      <c r="C105" s="2" t="s">
        <v>233</v>
      </c>
      <c r="D105" s="2" t="s">
        <v>234</v>
      </c>
      <c r="E105" s="190" t="s">
        <v>36</v>
      </c>
      <c r="F105" s="211" t="str">
        <f>VLOOKUP(A105,'Summary June 2026'!A:F,6,FALSE)</f>
        <v>Chq Bk</v>
      </c>
      <c r="G105" s="33"/>
      <c r="H105" s="825">
        <v>244363.51274669069</v>
      </c>
      <c r="I105" s="804"/>
      <c r="J105" s="797">
        <v>0</v>
      </c>
      <c r="K105" s="797">
        <v>46700.549999999996</v>
      </c>
      <c r="L105" s="797">
        <v>167280.36000000002</v>
      </c>
      <c r="M105" s="797">
        <v>15697.499999999998</v>
      </c>
      <c r="N105" s="797">
        <v>0</v>
      </c>
      <c r="O105" s="797">
        <v>5161.6499999999996</v>
      </c>
      <c r="P105" s="797">
        <v>2925</v>
      </c>
      <c r="Q105" s="797">
        <f t="shared" si="17"/>
        <v>237765.06</v>
      </c>
      <c r="R105" s="797">
        <f t="shared" si="14"/>
        <v>190212.04800000001</v>
      </c>
      <c r="S105" s="804"/>
      <c r="T105" s="364">
        <v>0</v>
      </c>
      <c r="U105" s="364">
        <v>20755.8</v>
      </c>
      <c r="V105" s="364">
        <v>105315.6</v>
      </c>
      <c r="W105" s="364">
        <v>9867</v>
      </c>
      <c r="X105" s="364">
        <v>0</v>
      </c>
      <c r="Y105" s="364">
        <v>4073.5499999999997</v>
      </c>
      <c r="Z105" s="364">
        <v>0</v>
      </c>
      <c r="AA105" s="364">
        <f t="shared" si="15"/>
        <v>140011.95000000001</v>
      </c>
      <c r="AB105" s="364">
        <f t="shared" si="16"/>
        <v>112009.56000000001</v>
      </c>
      <c r="AC105" s="804"/>
      <c r="AD105" s="817"/>
      <c r="AE105" s="817"/>
      <c r="AF105" s="817"/>
      <c r="AG105" s="817"/>
      <c r="AH105" s="817"/>
      <c r="AI105" s="817"/>
      <c r="AJ105" s="817"/>
      <c r="AK105" s="818"/>
      <c r="AL105" s="817"/>
      <c r="AM105" s="275"/>
      <c r="AN105" s="886">
        <v>21958.053684210521</v>
      </c>
      <c r="AO105" s="886">
        <v>2365.0072022160666</v>
      </c>
      <c r="AP105" s="275"/>
      <c r="AQ105" s="834"/>
      <c r="AR105" s="834"/>
      <c r="AS105" s="834"/>
      <c r="AT105" s="834"/>
      <c r="AU105" s="834"/>
      <c r="AV105" s="834"/>
      <c r="AW105" s="834"/>
      <c r="AX105" s="834"/>
      <c r="AZ105" s="835"/>
      <c r="BA105" s="835"/>
      <c r="BB105" s="835"/>
      <c r="BC105" s="835"/>
      <c r="BD105" s="835"/>
      <c r="BE105" s="835"/>
      <c r="BF105" s="835"/>
      <c r="BG105" s="835"/>
      <c r="BH105" s="814"/>
      <c r="BI105" s="834"/>
      <c r="BJ105" s="834"/>
      <c r="BK105" s="834"/>
      <c r="BL105" s="834"/>
      <c r="BM105" s="834"/>
      <c r="BN105" s="834"/>
      <c r="BO105" s="834"/>
      <c r="BP105" s="834"/>
      <c r="BQ105" s="275"/>
      <c r="BR105" s="843"/>
      <c r="BS105" s="843"/>
      <c r="BT105" s="843"/>
      <c r="BU105" s="843"/>
      <c r="BV105" s="843"/>
      <c r="BW105" s="843"/>
      <c r="BX105" s="843"/>
      <c r="BY105" s="843"/>
      <c r="BZ105" s="843"/>
      <c r="CA105" s="843"/>
      <c r="CB105" s="843"/>
      <c r="CC105" s="843"/>
      <c r="CD105" s="843"/>
      <c r="CE105" s="843"/>
      <c r="CF105" s="843"/>
      <c r="CG105" s="843"/>
      <c r="CH105" s="843"/>
      <c r="CI105" s="843"/>
      <c r="CJ105" s="844"/>
      <c r="CK105" s="364"/>
      <c r="CL105" s="364"/>
      <c r="CM105" s="364"/>
      <c r="CN105" s="364"/>
      <c r="CO105" s="364"/>
      <c r="CP105" s="364"/>
      <c r="CQ105" s="364"/>
      <c r="CR105" s="804"/>
      <c r="CS105" s="852"/>
      <c r="CT105" s="853"/>
      <c r="CU105" s="853"/>
      <c r="CV105" s="853"/>
      <c r="CW105" s="853"/>
      <c r="CX105" s="853"/>
      <c r="CY105" s="853"/>
      <c r="CZ105" s="853"/>
      <c r="DA105" s="853"/>
      <c r="DC105" s="853"/>
      <c r="DD105" s="853"/>
      <c r="DE105" s="853"/>
      <c r="DF105" s="853"/>
      <c r="DG105" s="853"/>
      <c r="DH105" s="853"/>
      <c r="DI105" s="853"/>
      <c r="DJ105" s="853"/>
      <c r="DK105" s="853"/>
      <c r="DM105" s="853"/>
      <c r="DN105" s="853"/>
      <c r="DO105" s="853"/>
      <c r="DP105" s="853"/>
      <c r="DQ105" s="853"/>
      <c r="DR105" s="853"/>
      <c r="DS105" s="805"/>
      <c r="DT105" s="805"/>
      <c r="DV105" s="806">
        <f t="shared" si="10"/>
        <v>566203.17443090118</v>
      </c>
      <c r="DW105" s="806">
        <f t="shared" si="11"/>
        <v>4705.0072022160666</v>
      </c>
      <c r="DX105" s="794">
        <f t="shared" si="12"/>
        <v>570908.18163311726</v>
      </c>
    </row>
    <row r="106" spans="1:128" hidden="1">
      <c r="A106" s="198">
        <v>2133</v>
      </c>
      <c r="B106" s="2">
        <v>103233</v>
      </c>
      <c r="C106" s="2" t="s">
        <v>235</v>
      </c>
      <c r="D106" s="2" t="s">
        <v>236</v>
      </c>
      <c r="E106" s="190" t="s">
        <v>39</v>
      </c>
      <c r="F106" s="211" t="str">
        <f>VLOOKUP(A106,'Summary June 2026'!A:F,6,FALSE)</f>
        <v>Chq Bk</v>
      </c>
      <c r="G106" s="33"/>
      <c r="H106" s="825">
        <v>0</v>
      </c>
      <c r="I106" s="804"/>
      <c r="J106" s="797">
        <v>0</v>
      </c>
      <c r="K106" s="797">
        <v>0</v>
      </c>
      <c r="L106" s="797">
        <v>0</v>
      </c>
      <c r="M106" s="797">
        <v>0</v>
      </c>
      <c r="N106" s="797">
        <v>0</v>
      </c>
      <c r="O106" s="797">
        <v>0</v>
      </c>
      <c r="P106" s="797">
        <v>0</v>
      </c>
      <c r="Q106" s="797">
        <f t="shared" si="17"/>
        <v>0</v>
      </c>
      <c r="R106" s="797">
        <f t="shared" si="14"/>
        <v>0</v>
      </c>
      <c r="S106" s="804"/>
      <c r="T106" s="364">
        <v>0</v>
      </c>
      <c r="U106" s="364">
        <v>0</v>
      </c>
      <c r="V106" s="364">
        <v>0</v>
      </c>
      <c r="W106" s="364">
        <v>0</v>
      </c>
      <c r="X106" s="364">
        <v>0</v>
      </c>
      <c r="Y106" s="364">
        <v>0</v>
      </c>
      <c r="Z106" s="364">
        <v>0</v>
      </c>
      <c r="AA106" s="364">
        <f t="shared" si="15"/>
        <v>0</v>
      </c>
      <c r="AB106" s="364">
        <f t="shared" si="16"/>
        <v>0</v>
      </c>
      <c r="AC106" s="804"/>
      <c r="AD106" s="817"/>
      <c r="AE106" s="817"/>
      <c r="AF106" s="817"/>
      <c r="AG106" s="817"/>
      <c r="AH106" s="817"/>
      <c r="AI106" s="817"/>
      <c r="AJ106" s="817"/>
      <c r="AK106" s="818"/>
      <c r="AL106" s="817"/>
      <c r="AM106" s="275"/>
      <c r="AN106" s="886">
        <v>0</v>
      </c>
      <c r="AO106" s="886">
        <v>0</v>
      </c>
      <c r="AP106" s="275"/>
      <c r="AQ106" s="834"/>
      <c r="AR106" s="834"/>
      <c r="AS106" s="834"/>
      <c r="AT106" s="834"/>
      <c r="AU106" s="834"/>
      <c r="AV106" s="834"/>
      <c r="AW106" s="834"/>
      <c r="AX106" s="834"/>
      <c r="AZ106" s="835"/>
      <c r="BA106" s="835"/>
      <c r="BB106" s="835"/>
      <c r="BC106" s="835"/>
      <c r="BD106" s="835"/>
      <c r="BE106" s="835"/>
      <c r="BF106" s="835"/>
      <c r="BG106" s="835"/>
      <c r="BH106" s="814"/>
      <c r="BI106" s="834"/>
      <c r="BJ106" s="834"/>
      <c r="BK106" s="834"/>
      <c r="BL106" s="834"/>
      <c r="BM106" s="834"/>
      <c r="BN106" s="834"/>
      <c r="BO106" s="834"/>
      <c r="BP106" s="834"/>
      <c r="BQ106" s="275"/>
      <c r="BR106" s="843"/>
      <c r="BS106" s="843"/>
      <c r="BT106" s="843"/>
      <c r="BU106" s="843"/>
      <c r="BV106" s="843"/>
      <c r="BW106" s="843"/>
      <c r="BX106" s="843"/>
      <c r="BY106" s="843"/>
      <c r="BZ106" s="843"/>
      <c r="CA106" s="843"/>
      <c r="CB106" s="843"/>
      <c r="CC106" s="843"/>
      <c r="CD106" s="843"/>
      <c r="CE106" s="843"/>
      <c r="CF106" s="843"/>
      <c r="CG106" s="843"/>
      <c r="CH106" s="843"/>
      <c r="CI106" s="843"/>
      <c r="CJ106" s="844"/>
      <c r="CK106" s="364"/>
      <c r="CL106" s="364"/>
      <c r="CM106" s="364"/>
      <c r="CN106" s="364"/>
      <c r="CO106" s="364"/>
      <c r="CP106" s="364"/>
      <c r="CQ106" s="364"/>
      <c r="CR106" s="804"/>
      <c r="CS106" s="852"/>
      <c r="CT106" s="853"/>
      <c r="CU106" s="853"/>
      <c r="CV106" s="853"/>
      <c r="CW106" s="853"/>
      <c r="CX106" s="853"/>
      <c r="CY106" s="853"/>
      <c r="CZ106" s="853"/>
      <c r="DA106" s="853"/>
      <c r="DC106" s="853"/>
      <c r="DD106" s="853"/>
      <c r="DE106" s="853"/>
      <c r="DF106" s="853"/>
      <c r="DG106" s="853"/>
      <c r="DH106" s="853"/>
      <c r="DI106" s="853"/>
      <c r="DJ106" s="853"/>
      <c r="DK106" s="853"/>
      <c r="DM106" s="853"/>
      <c r="DN106" s="853"/>
      <c r="DO106" s="853"/>
      <c r="DP106" s="853"/>
      <c r="DQ106" s="853"/>
      <c r="DR106" s="853"/>
      <c r="DS106" s="805"/>
      <c r="DT106" s="805"/>
      <c r="DV106" s="806">
        <f t="shared" si="10"/>
        <v>0</v>
      </c>
      <c r="DW106" s="806">
        <f t="shared" si="11"/>
        <v>0</v>
      </c>
      <c r="DX106" s="794">
        <f t="shared" si="12"/>
        <v>0</v>
      </c>
    </row>
    <row r="107" spans="1:128" hidden="1">
      <c r="A107" s="198">
        <v>2406</v>
      </c>
      <c r="B107" s="2">
        <v>103345</v>
      </c>
      <c r="C107" s="2" t="s">
        <v>237</v>
      </c>
      <c r="D107" s="2" t="s">
        <v>238</v>
      </c>
      <c r="E107" s="190" t="s">
        <v>39</v>
      </c>
      <c r="F107" s="211" t="str">
        <f>VLOOKUP(A107,'Summary June 2026'!A:F,6,FALSE)</f>
        <v>Chq Bk</v>
      </c>
      <c r="G107" s="33"/>
      <c r="H107" s="825">
        <v>0</v>
      </c>
      <c r="I107" s="804"/>
      <c r="J107" s="797">
        <v>0</v>
      </c>
      <c r="K107" s="797">
        <v>0</v>
      </c>
      <c r="L107" s="797">
        <v>0</v>
      </c>
      <c r="M107" s="797">
        <v>0</v>
      </c>
      <c r="N107" s="797">
        <v>0</v>
      </c>
      <c r="O107" s="797">
        <v>0</v>
      </c>
      <c r="P107" s="797">
        <v>0</v>
      </c>
      <c r="Q107" s="797">
        <f t="shared" si="17"/>
        <v>0</v>
      </c>
      <c r="R107" s="797">
        <f t="shared" si="14"/>
        <v>0</v>
      </c>
      <c r="S107" s="804"/>
      <c r="T107" s="364">
        <v>0</v>
      </c>
      <c r="U107" s="364">
        <v>0</v>
      </c>
      <c r="V107" s="364">
        <v>0</v>
      </c>
      <c r="W107" s="364">
        <v>0</v>
      </c>
      <c r="X107" s="364">
        <v>0</v>
      </c>
      <c r="Y107" s="364">
        <v>0</v>
      </c>
      <c r="Z107" s="364">
        <v>0</v>
      </c>
      <c r="AA107" s="364">
        <f t="shared" si="15"/>
        <v>0</v>
      </c>
      <c r="AB107" s="364">
        <f t="shared" si="16"/>
        <v>0</v>
      </c>
      <c r="AC107" s="804"/>
      <c r="AD107" s="817"/>
      <c r="AE107" s="817"/>
      <c r="AF107" s="817"/>
      <c r="AG107" s="817"/>
      <c r="AH107" s="817"/>
      <c r="AI107" s="817"/>
      <c r="AJ107" s="817"/>
      <c r="AK107" s="818"/>
      <c r="AL107" s="817"/>
      <c r="AM107" s="275"/>
      <c r="AN107" s="886">
        <v>0</v>
      </c>
      <c r="AO107" s="886">
        <v>0</v>
      </c>
      <c r="AP107" s="275"/>
      <c r="AQ107" s="834"/>
      <c r="AR107" s="834"/>
      <c r="AS107" s="834"/>
      <c r="AT107" s="834"/>
      <c r="AU107" s="834"/>
      <c r="AV107" s="834"/>
      <c r="AW107" s="834"/>
      <c r="AX107" s="834"/>
      <c r="AZ107" s="835"/>
      <c r="BA107" s="835"/>
      <c r="BB107" s="835"/>
      <c r="BC107" s="835"/>
      <c r="BD107" s="835"/>
      <c r="BE107" s="835"/>
      <c r="BF107" s="835"/>
      <c r="BG107" s="835"/>
      <c r="BH107" s="814"/>
      <c r="BI107" s="834"/>
      <c r="BJ107" s="834"/>
      <c r="BK107" s="834"/>
      <c r="BL107" s="834"/>
      <c r="BM107" s="834"/>
      <c r="BN107" s="834"/>
      <c r="BO107" s="834"/>
      <c r="BP107" s="834"/>
      <c r="BQ107" s="275"/>
      <c r="BR107" s="843"/>
      <c r="BS107" s="843"/>
      <c r="BT107" s="843"/>
      <c r="BU107" s="843"/>
      <c r="BV107" s="843"/>
      <c r="BW107" s="843"/>
      <c r="BX107" s="843"/>
      <c r="BY107" s="843"/>
      <c r="BZ107" s="843"/>
      <c r="CA107" s="843"/>
      <c r="CB107" s="843"/>
      <c r="CC107" s="843"/>
      <c r="CD107" s="843"/>
      <c r="CE107" s="843"/>
      <c r="CF107" s="843"/>
      <c r="CG107" s="843"/>
      <c r="CH107" s="843"/>
      <c r="CI107" s="843"/>
      <c r="CJ107" s="844"/>
      <c r="CK107" s="364"/>
      <c r="CL107" s="364"/>
      <c r="CM107" s="364"/>
      <c r="CN107" s="364"/>
      <c r="CO107" s="364"/>
      <c r="CP107" s="364"/>
      <c r="CQ107" s="364"/>
      <c r="CR107" s="804"/>
      <c r="CS107" s="852"/>
      <c r="CT107" s="853"/>
      <c r="CU107" s="853"/>
      <c r="CV107" s="853"/>
      <c r="CW107" s="853"/>
      <c r="CX107" s="853"/>
      <c r="CY107" s="853"/>
      <c r="CZ107" s="853"/>
      <c r="DA107" s="853"/>
      <c r="DC107" s="853"/>
      <c r="DD107" s="853"/>
      <c r="DE107" s="853"/>
      <c r="DF107" s="853"/>
      <c r="DG107" s="853"/>
      <c r="DH107" s="853"/>
      <c r="DI107" s="853"/>
      <c r="DJ107" s="853"/>
      <c r="DK107" s="853"/>
      <c r="DM107" s="853"/>
      <c r="DN107" s="853"/>
      <c r="DO107" s="853"/>
      <c r="DP107" s="853"/>
      <c r="DQ107" s="853"/>
      <c r="DR107" s="853"/>
      <c r="DS107" s="805"/>
      <c r="DT107" s="805"/>
      <c r="DV107" s="806">
        <f t="shared" si="10"/>
        <v>0</v>
      </c>
      <c r="DW107" s="806">
        <f t="shared" si="11"/>
        <v>0</v>
      </c>
      <c r="DX107" s="794">
        <f t="shared" si="12"/>
        <v>0</v>
      </c>
    </row>
    <row r="108" spans="1:128" hidden="1">
      <c r="A108" s="198">
        <v>2416</v>
      </c>
      <c r="B108" s="2">
        <v>103351</v>
      </c>
      <c r="C108" s="2" t="s">
        <v>239</v>
      </c>
      <c r="D108" s="2" t="s">
        <v>240</v>
      </c>
      <c r="E108" s="190" t="s">
        <v>39</v>
      </c>
      <c r="F108" s="211" t="str">
        <f>VLOOKUP(A108,'Summary June 2026'!A:F,6,FALSE)</f>
        <v>Chq Bk</v>
      </c>
      <c r="G108" s="33"/>
      <c r="H108" s="825">
        <v>0</v>
      </c>
      <c r="I108" s="804"/>
      <c r="J108" s="797">
        <v>0</v>
      </c>
      <c r="K108" s="797">
        <v>0</v>
      </c>
      <c r="L108" s="797">
        <v>0</v>
      </c>
      <c r="M108" s="797">
        <v>0</v>
      </c>
      <c r="N108" s="797">
        <v>0</v>
      </c>
      <c r="O108" s="797">
        <v>0</v>
      </c>
      <c r="P108" s="797">
        <v>0</v>
      </c>
      <c r="Q108" s="797">
        <f t="shared" si="17"/>
        <v>0</v>
      </c>
      <c r="R108" s="797">
        <f t="shared" si="14"/>
        <v>0</v>
      </c>
      <c r="S108" s="804"/>
      <c r="T108" s="364">
        <v>0</v>
      </c>
      <c r="U108" s="364">
        <v>0</v>
      </c>
      <c r="V108" s="364">
        <v>0</v>
      </c>
      <c r="W108" s="364">
        <v>0</v>
      </c>
      <c r="X108" s="364">
        <v>0</v>
      </c>
      <c r="Y108" s="364">
        <v>0</v>
      </c>
      <c r="Z108" s="364">
        <v>0</v>
      </c>
      <c r="AA108" s="364">
        <f t="shared" si="15"/>
        <v>0</v>
      </c>
      <c r="AB108" s="364">
        <f t="shared" si="16"/>
        <v>0</v>
      </c>
      <c r="AC108" s="804"/>
      <c r="AD108" s="817"/>
      <c r="AE108" s="817"/>
      <c r="AF108" s="817"/>
      <c r="AG108" s="817"/>
      <c r="AH108" s="817"/>
      <c r="AI108" s="817"/>
      <c r="AJ108" s="817"/>
      <c r="AK108" s="818"/>
      <c r="AL108" s="817"/>
      <c r="AM108" s="275"/>
      <c r="AN108" s="886">
        <v>0</v>
      </c>
      <c r="AO108" s="886">
        <v>0</v>
      </c>
      <c r="AP108" s="275"/>
      <c r="AQ108" s="834"/>
      <c r="AR108" s="834"/>
      <c r="AS108" s="834"/>
      <c r="AT108" s="834"/>
      <c r="AU108" s="834"/>
      <c r="AV108" s="834"/>
      <c r="AW108" s="834"/>
      <c r="AX108" s="834"/>
      <c r="AZ108" s="835"/>
      <c r="BA108" s="835"/>
      <c r="BB108" s="835"/>
      <c r="BC108" s="835"/>
      <c r="BD108" s="835"/>
      <c r="BE108" s="835"/>
      <c r="BF108" s="835"/>
      <c r="BG108" s="835"/>
      <c r="BH108" s="814"/>
      <c r="BI108" s="834"/>
      <c r="BJ108" s="834"/>
      <c r="BK108" s="834"/>
      <c r="BL108" s="834"/>
      <c r="BM108" s="834"/>
      <c r="BN108" s="834"/>
      <c r="BO108" s="834"/>
      <c r="BP108" s="834"/>
      <c r="BQ108" s="275"/>
      <c r="BR108" s="843"/>
      <c r="BS108" s="843"/>
      <c r="BT108" s="843"/>
      <c r="BU108" s="843"/>
      <c r="BV108" s="843"/>
      <c r="BW108" s="843"/>
      <c r="BX108" s="843"/>
      <c r="BY108" s="843"/>
      <c r="BZ108" s="843"/>
      <c r="CA108" s="843"/>
      <c r="CB108" s="843"/>
      <c r="CC108" s="843"/>
      <c r="CD108" s="843"/>
      <c r="CE108" s="843"/>
      <c r="CF108" s="843"/>
      <c r="CG108" s="843"/>
      <c r="CH108" s="843"/>
      <c r="CI108" s="843"/>
      <c r="CJ108" s="844"/>
      <c r="CK108" s="364"/>
      <c r="CL108" s="364"/>
      <c r="CM108" s="364"/>
      <c r="CN108" s="364"/>
      <c r="CO108" s="364"/>
      <c r="CP108" s="364"/>
      <c r="CQ108" s="364"/>
      <c r="CR108" s="804"/>
      <c r="CS108" s="852"/>
      <c r="CT108" s="853"/>
      <c r="CU108" s="853"/>
      <c r="CV108" s="853"/>
      <c r="CW108" s="853"/>
      <c r="CX108" s="853"/>
      <c r="CY108" s="853"/>
      <c r="CZ108" s="853"/>
      <c r="DA108" s="853"/>
      <c r="DC108" s="853"/>
      <c r="DD108" s="853"/>
      <c r="DE108" s="853"/>
      <c r="DF108" s="853"/>
      <c r="DG108" s="853"/>
      <c r="DH108" s="853"/>
      <c r="DI108" s="853"/>
      <c r="DJ108" s="853"/>
      <c r="DK108" s="853"/>
      <c r="DM108" s="853"/>
      <c r="DN108" s="853"/>
      <c r="DO108" s="853"/>
      <c r="DP108" s="853"/>
      <c r="DQ108" s="853"/>
      <c r="DR108" s="853"/>
      <c r="DS108" s="805"/>
      <c r="DT108" s="805"/>
      <c r="DV108" s="806">
        <f t="shared" si="10"/>
        <v>0</v>
      </c>
      <c r="DW108" s="806">
        <f t="shared" si="11"/>
        <v>0</v>
      </c>
      <c r="DX108" s="794">
        <f t="shared" si="12"/>
        <v>0</v>
      </c>
    </row>
    <row r="109" spans="1:128" hidden="1">
      <c r="A109" s="198">
        <v>3003</v>
      </c>
      <c r="B109" s="2">
        <v>103398</v>
      </c>
      <c r="C109" s="2" t="s">
        <v>241</v>
      </c>
      <c r="D109" s="2" t="s">
        <v>242</v>
      </c>
      <c r="E109" s="190" t="s">
        <v>39</v>
      </c>
      <c r="F109" s="211" t="str">
        <f>VLOOKUP(A109,'Summary June 2026'!A:F,6,FALSE)</f>
        <v>Chq Bk</v>
      </c>
      <c r="G109" s="33"/>
      <c r="H109" s="825">
        <v>0</v>
      </c>
      <c r="I109" s="804"/>
      <c r="J109" s="797">
        <v>0</v>
      </c>
      <c r="K109" s="797">
        <v>0</v>
      </c>
      <c r="L109" s="797">
        <v>0</v>
      </c>
      <c r="M109" s="797">
        <v>0</v>
      </c>
      <c r="N109" s="797">
        <v>0</v>
      </c>
      <c r="O109" s="797">
        <v>0</v>
      </c>
      <c r="P109" s="797">
        <v>0</v>
      </c>
      <c r="Q109" s="797">
        <f t="shared" si="17"/>
        <v>0</v>
      </c>
      <c r="R109" s="797">
        <f t="shared" si="14"/>
        <v>0</v>
      </c>
      <c r="S109" s="804"/>
      <c r="T109" s="364">
        <v>0</v>
      </c>
      <c r="U109" s="364">
        <v>0</v>
      </c>
      <c r="V109" s="364">
        <v>0</v>
      </c>
      <c r="W109" s="364">
        <v>0</v>
      </c>
      <c r="X109" s="364">
        <v>0</v>
      </c>
      <c r="Y109" s="364">
        <v>0</v>
      </c>
      <c r="Z109" s="364">
        <v>0</v>
      </c>
      <c r="AA109" s="364">
        <f t="shared" si="15"/>
        <v>0</v>
      </c>
      <c r="AB109" s="364">
        <f t="shared" si="16"/>
        <v>0</v>
      </c>
      <c r="AC109" s="804"/>
      <c r="AD109" s="817"/>
      <c r="AE109" s="817"/>
      <c r="AF109" s="817"/>
      <c r="AG109" s="817"/>
      <c r="AH109" s="817"/>
      <c r="AI109" s="817"/>
      <c r="AJ109" s="817"/>
      <c r="AK109" s="818"/>
      <c r="AL109" s="817"/>
      <c r="AM109" s="275"/>
      <c r="AN109" s="886">
        <v>0</v>
      </c>
      <c r="AO109" s="886">
        <v>0</v>
      </c>
      <c r="AP109" s="275"/>
      <c r="AQ109" s="834"/>
      <c r="AR109" s="834"/>
      <c r="AS109" s="834"/>
      <c r="AT109" s="834"/>
      <c r="AU109" s="834"/>
      <c r="AV109" s="834"/>
      <c r="AW109" s="834"/>
      <c r="AX109" s="834"/>
      <c r="AZ109" s="835"/>
      <c r="BA109" s="835"/>
      <c r="BB109" s="835"/>
      <c r="BC109" s="835"/>
      <c r="BD109" s="835"/>
      <c r="BE109" s="835"/>
      <c r="BF109" s="835"/>
      <c r="BG109" s="835"/>
      <c r="BH109" s="814"/>
      <c r="BI109" s="834"/>
      <c r="BJ109" s="834"/>
      <c r="BK109" s="834"/>
      <c r="BL109" s="834"/>
      <c r="BM109" s="834"/>
      <c r="BN109" s="834"/>
      <c r="BO109" s="834"/>
      <c r="BP109" s="834"/>
      <c r="BQ109" s="275"/>
      <c r="BR109" s="843"/>
      <c r="BS109" s="843"/>
      <c r="BT109" s="843"/>
      <c r="BU109" s="843"/>
      <c r="BV109" s="843"/>
      <c r="BW109" s="843"/>
      <c r="BX109" s="843"/>
      <c r="BY109" s="843"/>
      <c r="BZ109" s="843"/>
      <c r="CA109" s="843"/>
      <c r="CB109" s="843"/>
      <c r="CC109" s="843"/>
      <c r="CD109" s="843"/>
      <c r="CE109" s="843"/>
      <c r="CF109" s="843"/>
      <c r="CG109" s="843"/>
      <c r="CH109" s="843"/>
      <c r="CI109" s="843"/>
      <c r="CJ109" s="844"/>
      <c r="CK109" s="364"/>
      <c r="CL109" s="364"/>
      <c r="CM109" s="364"/>
      <c r="CN109" s="364"/>
      <c r="CO109" s="364"/>
      <c r="CP109" s="364"/>
      <c r="CQ109" s="364"/>
      <c r="CR109" s="804"/>
      <c r="CS109" s="852"/>
      <c r="CT109" s="853"/>
      <c r="CU109" s="853"/>
      <c r="CV109" s="853"/>
      <c r="CW109" s="853"/>
      <c r="CX109" s="853"/>
      <c r="CY109" s="853"/>
      <c r="CZ109" s="853"/>
      <c r="DA109" s="853"/>
      <c r="DC109" s="853"/>
      <c r="DD109" s="853"/>
      <c r="DE109" s="853"/>
      <c r="DF109" s="853"/>
      <c r="DG109" s="853"/>
      <c r="DH109" s="853"/>
      <c r="DI109" s="853"/>
      <c r="DJ109" s="853"/>
      <c r="DK109" s="853"/>
      <c r="DM109" s="853"/>
      <c r="DN109" s="853"/>
      <c r="DO109" s="853"/>
      <c r="DP109" s="853"/>
      <c r="DQ109" s="853"/>
      <c r="DR109" s="853"/>
      <c r="DS109" s="805"/>
      <c r="DT109" s="805"/>
      <c r="DV109" s="806">
        <f t="shared" si="10"/>
        <v>0</v>
      </c>
      <c r="DW109" s="806">
        <f t="shared" si="11"/>
        <v>0</v>
      </c>
      <c r="DX109" s="794">
        <f t="shared" si="12"/>
        <v>0</v>
      </c>
    </row>
    <row r="110" spans="1:128" hidden="1">
      <c r="A110" s="198">
        <v>4245</v>
      </c>
      <c r="B110" s="2">
        <v>103519</v>
      </c>
      <c r="C110" s="2" t="s">
        <v>243</v>
      </c>
      <c r="D110" s="2" t="s">
        <v>244</v>
      </c>
      <c r="E110" s="190" t="s">
        <v>71</v>
      </c>
      <c r="F110" s="211" t="str">
        <f>VLOOKUP(A110,'Summary June 2026'!A:F,6,FALSE)</f>
        <v>Chq Bk</v>
      </c>
      <c r="G110" s="33"/>
      <c r="H110" s="825">
        <v>0</v>
      </c>
      <c r="I110" s="804"/>
      <c r="J110" s="797">
        <v>0</v>
      </c>
      <c r="K110" s="797">
        <v>0</v>
      </c>
      <c r="L110" s="797">
        <v>0</v>
      </c>
      <c r="M110" s="797">
        <v>0</v>
      </c>
      <c r="N110" s="797">
        <v>0</v>
      </c>
      <c r="O110" s="797">
        <v>0</v>
      </c>
      <c r="P110" s="797">
        <v>0</v>
      </c>
      <c r="Q110" s="797">
        <f t="shared" si="17"/>
        <v>0</v>
      </c>
      <c r="R110" s="797">
        <f t="shared" si="14"/>
        <v>0</v>
      </c>
      <c r="S110" s="804"/>
      <c r="T110" s="364">
        <v>0</v>
      </c>
      <c r="U110" s="364">
        <v>0</v>
      </c>
      <c r="V110" s="364">
        <v>0</v>
      </c>
      <c r="W110" s="364">
        <v>0</v>
      </c>
      <c r="X110" s="364">
        <v>0</v>
      </c>
      <c r="Y110" s="364">
        <v>0</v>
      </c>
      <c r="Z110" s="364">
        <v>0</v>
      </c>
      <c r="AA110" s="364">
        <f t="shared" si="15"/>
        <v>0</v>
      </c>
      <c r="AB110" s="364">
        <f t="shared" si="16"/>
        <v>0</v>
      </c>
      <c r="AC110" s="804"/>
      <c r="AD110" s="817"/>
      <c r="AE110" s="817"/>
      <c r="AF110" s="817"/>
      <c r="AG110" s="817"/>
      <c r="AH110" s="817"/>
      <c r="AI110" s="817"/>
      <c r="AJ110" s="817"/>
      <c r="AK110" s="818"/>
      <c r="AL110" s="817"/>
      <c r="AM110" s="275"/>
      <c r="AN110" s="886">
        <v>0</v>
      </c>
      <c r="AO110" s="886">
        <v>0</v>
      </c>
      <c r="AP110" s="275"/>
      <c r="AQ110" s="834"/>
      <c r="AR110" s="834"/>
      <c r="AS110" s="834"/>
      <c r="AT110" s="834"/>
      <c r="AU110" s="834"/>
      <c r="AV110" s="834"/>
      <c r="AW110" s="834"/>
      <c r="AX110" s="834"/>
      <c r="AZ110" s="835"/>
      <c r="BA110" s="835"/>
      <c r="BB110" s="835"/>
      <c r="BC110" s="835"/>
      <c r="BD110" s="835"/>
      <c r="BE110" s="835"/>
      <c r="BF110" s="835"/>
      <c r="BG110" s="835"/>
      <c r="BH110" s="814"/>
      <c r="BI110" s="834"/>
      <c r="BJ110" s="834"/>
      <c r="BK110" s="834"/>
      <c r="BL110" s="834"/>
      <c r="BM110" s="834"/>
      <c r="BN110" s="834"/>
      <c r="BO110" s="834"/>
      <c r="BP110" s="834"/>
      <c r="BQ110" s="275"/>
      <c r="BR110" s="843"/>
      <c r="BS110" s="843"/>
      <c r="BT110" s="843"/>
      <c r="BU110" s="843"/>
      <c r="BV110" s="843"/>
      <c r="BW110" s="843"/>
      <c r="BX110" s="843"/>
      <c r="BY110" s="843"/>
      <c r="BZ110" s="843"/>
      <c r="CA110" s="843"/>
      <c r="CB110" s="843"/>
      <c r="CC110" s="843"/>
      <c r="CD110" s="843"/>
      <c r="CE110" s="843"/>
      <c r="CF110" s="843"/>
      <c r="CG110" s="843"/>
      <c r="CH110" s="843"/>
      <c r="CI110" s="843"/>
      <c r="CJ110" s="844"/>
      <c r="CK110" s="364"/>
      <c r="CL110" s="364"/>
      <c r="CM110" s="364"/>
      <c r="CN110" s="364"/>
      <c r="CO110" s="364"/>
      <c r="CP110" s="364"/>
      <c r="CQ110" s="364"/>
      <c r="CR110" s="804"/>
      <c r="CS110" s="852"/>
      <c r="CT110" s="853"/>
      <c r="CU110" s="853"/>
      <c r="CV110" s="853"/>
      <c r="CW110" s="853"/>
      <c r="CX110" s="853"/>
      <c r="CY110" s="853"/>
      <c r="CZ110" s="853"/>
      <c r="DA110" s="853"/>
      <c r="DC110" s="853"/>
      <c r="DD110" s="853"/>
      <c r="DE110" s="853"/>
      <c r="DF110" s="853"/>
      <c r="DG110" s="853"/>
      <c r="DH110" s="853"/>
      <c r="DI110" s="853"/>
      <c r="DJ110" s="853"/>
      <c r="DK110" s="853"/>
      <c r="DM110" s="853"/>
      <c r="DN110" s="853"/>
      <c r="DO110" s="853"/>
      <c r="DP110" s="853"/>
      <c r="DQ110" s="853"/>
      <c r="DR110" s="853"/>
      <c r="DS110" s="805"/>
      <c r="DT110" s="805"/>
      <c r="DV110" s="806">
        <f t="shared" si="10"/>
        <v>0</v>
      </c>
      <c r="DW110" s="806">
        <f t="shared" si="11"/>
        <v>0</v>
      </c>
      <c r="DX110" s="794">
        <f t="shared" si="12"/>
        <v>0</v>
      </c>
    </row>
    <row r="111" spans="1:128" hidden="1">
      <c r="A111" s="198">
        <v>2457</v>
      </c>
      <c r="B111" s="2">
        <v>103384</v>
      </c>
      <c r="C111" s="2" t="s">
        <v>245</v>
      </c>
      <c r="D111" s="2" t="s">
        <v>246</v>
      </c>
      <c r="E111" s="190" t="s">
        <v>39</v>
      </c>
      <c r="F111" s="211" t="str">
        <f>VLOOKUP(A111,'Summary June 2026'!A:F,6,FALSE)</f>
        <v>Chq Bk</v>
      </c>
      <c r="G111" s="33"/>
      <c r="H111" s="825">
        <v>0</v>
      </c>
      <c r="I111" s="804"/>
      <c r="J111" s="797">
        <v>0</v>
      </c>
      <c r="K111" s="797">
        <v>0</v>
      </c>
      <c r="L111" s="797">
        <v>29390.400000000001</v>
      </c>
      <c r="M111" s="797">
        <v>3139.4999999999995</v>
      </c>
      <c r="N111" s="797">
        <v>0</v>
      </c>
      <c r="O111" s="797">
        <v>1517.1</v>
      </c>
      <c r="P111" s="797">
        <v>0</v>
      </c>
      <c r="Q111" s="797">
        <f t="shared" si="17"/>
        <v>34047</v>
      </c>
      <c r="R111" s="797">
        <f t="shared" si="14"/>
        <v>27237.600000000002</v>
      </c>
      <c r="S111" s="804"/>
      <c r="T111" s="364">
        <v>0</v>
      </c>
      <c r="U111" s="364">
        <v>0</v>
      </c>
      <c r="V111" s="364">
        <v>36125.700000000004</v>
      </c>
      <c r="W111" s="364">
        <v>1345.5</v>
      </c>
      <c r="X111" s="364">
        <v>447.71999999999997</v>
      </c>
      <c r="Y111" s="364">
        <v>1948.05</v>
      </c>
      <c r="Z111" s="364">
        <v>0</v>
      </c>
      <c r="AA111" s="364">
        <f t="shared" si="15"/>
        <v>39866.970000000008</v>
      </c>
      <c r="AB111" s="364">
        <f t="shared" si="16"/>
        <v>31893.576000000008</v>
      </c>
      <c r="AC111" s="804"/>
      <c r="AD111" s="817"/>
      <c r="AE111" s="817"/>
      <c r="AF111" s="817"/>
      <c r="AG111" s="817"/>
      <c r="AH111" s="817"/>
      <c r="AI111" s="817"/>
      <c r="AJ111" s="817"/>
      <c r="AK111" s="818"/>
      <c r="AL111" s="817"/>
      <c r="AM111" s="275"/>
      <c r="AN111" s="886">
        <v>-2632.3815512465389</v>
      </c>
      <c r="AO111" s="886">
        <v>0</v>
      </c>
      <c r="AP111" s="275"/>
      <c r="AQ111" s="834"/>
      <c r="AR111" s="834"/>
      <c r="AS111" s="834"/>
      <c r="AT111" s="834"/>
      <c r="AU111" s="834"/>
      <c r="AV111" s="834"/>
      <c r="AW111" s="834"/>
      <c r="AX111" s="834"/>
      <c r="AZ111" s="835"/>
      <c r="BA111" s="835"/>
      <c r="BB111" s="835"/>
      <c r="BC111" s="835"/>
      <c r="BD111" s="835"/>
      <c r="BE111" s="835"/>
      <c r="BF111" s="835"/>
      <c r="BG111" s="835"/>
      <c r="BH111" s="814"/>
      <c r="BI111" s="834"/>
      <c r="BJ111" s="834"/>
      <c r="BK111" s="834"/>
      <c r="BL111" s="834"/>
      <c r="BM111" s="834"/>
      <c r="BN111" s="834"/>
      <c r="BO111" s="834"/>
      <c r="BP111" s="834"/>
      <c r="BQ111" s="275"/>
      <c r="BR111" s="843"/>
      <c r="BS111" s="843"/>
      <c r="BT111" s="843"/>
      <c r="BU111" s="843"/>
      <c r="BV111" s="843"/>
      <c r="BW111" s="843"/>
      <c r="BX111" s="843"/>
      <c r="BY111" s="843"/>
      <c r="BZ111" s="843"/>
      <c r="CA111" s="843"/>
      <c r="CB111" s="843"/>
      <c r="CC111" s="843"/>
      <c r="CD111" s="843"/>
      <c r="CE111" s="843"/>
      <c r="CF111" s="843"/>
      <c r="CG111" s="843"/>
      <c r="CH111" s="843"/>
      <c r="CI111" s="843"/>
      <c r="CJ111" s="844"/>
      <c r="CK111" s="364"/>
      <c r="CL111" s="364"/>
      <c r="CM111" s="364"/>
      <c r="CN111" s="364"/>
      <c r="CO111" s="364"/>
      <c r="CP111" s="364"/>
      <c r="CQ111" s="364"/>
      <c r="CR111" s="804"/>
      <c r="CS111" s="852"/>
      <c r="CT111" s="853"/>
      <c r="CU111" s="853"/>
      <c r="CV111" s="853"/>
      <c r="CW111" s="853"/>
      <c r="CX111" s="853"/>
      <c r="CY111" s="853"/>
      <c r="CZ111" s="853"/>
      <c r="DA111" s="853"/>
      <c r="DC111" s="853"/>
      <c r="DD111" s="853"/>
      <c r="DE111" s="853"/>
      <c r="DF111" s="853"/>
      <c r="DG111" s="853"/>
      <c r="DH111" s="853"/>
      <c r="DI111" s="853"/>
      <c r="DJ111" s="853"/>
      <c r="DK111" s="853"/>
      <c r="DM111" s="853"/>
      <c r="DN111" s="853"/>
      <c r="DO111" s="853"/>
      <c r="DP111" s="853"/>
      <c r="DQ111" s="853"/>
      <c r="DR111" s="853"/>
      <c r="DS111" s="805"/>
      <c r="DT111" s="805"/>
      <c r="DV111" s="806">
        <f t="shared" si="10"/>
        <v>56498.794448753477</v>
      </c>
      <c r="DW111" s="806">
        <f t="shared" si="11"/>
        <v>0</v>
      </c>
      <c r="DX111" s="794">
        <f t="shared" si="12"/>
        <v>56498.794448753477</v>
      </c>
    </row>
    <row r="112" spans="1:128" hidden="1">
      <c r="A112" s="198">
        <v>2142</v>
      </c>
      <c r="B112" s="2">
        <v>103237</v>
      </c>
      <c r="C112" s="2" t="s">
        <v>247</v>
      </c>
      <c r="D112" s="2" t="s">
        <v>248</v>
      </c>
      <c r="E112" s="190" t="s">
        <v>39</v>
      </c>
      <c r="F112" s="211" t="str">
        <f>VLOOKUP(A112,'Summary June 2026'!A:F,6,FALSE)</f>
        <v>Chq Bk</v>
      </c>
      <c r="G112" s="33"/>
      <c r="H112" s="825">
        <v>0</v>
      </c>
      <c r="I112" s="804"/>
      <c r="J112" s="797">
        <v>0</v>
      </c>
      <c r="K112" s="797">
        <v>0</v>
      </c>
      <c r="L112" s="797">
        <v>29390.400000000001</v>
      </c>
      <c r="M112" s="797">
        <v>4036.4999999999995</v>
      </c>
      <c r="N112" s="797">
        <v>1343.16</v>
      </c>
      <c r="O112" s="797">
        <v>1696.5</v>
      </c>
      <c r="P112" s="797">
        <v>0</v>
      </c>
      <c r="Q112" s="797">
        <f t="shared" si="17"/>
        <v>36466.560000000005</v>
      </c>
      <c r="R112" s="797">
        <f t="shared" si="14"/>
        <v>29173.248000000007</v>
      </c>
      <c r="S112" s="804"/>
      <c r="T112" s="364">
        <v>0</v>
      </c>
      <c r="U112" s="364">
        <v>0</v>
      </c>
      <c r="V112" s="364">
        <v>31839.600000000002</v>
      </c>
      <c r="W112" s="364">
        <v>2242.5</v>
      </c>
      <c r="X112" s="364">
        <v>746.2</v>
      </c>
      <c r="Y112" s="364">
        <v>1784.25</v>
      </c>
      <c r="Z112" s="364">
        <v>0</v>
      </c>
      <c r="AA112" s="364">
        <f t="shared" si="15"/>
        <v>36612.550000000003</v>
      </c>
      <c r="AB112" s="364">
        <f t="shared" si="16"/>
        <v>29290.040000000005</v>
      </c>
      <c r="AC112" s="804"/>
      <c r="AD112" s="817"/>
      <c r="AE112" s="817"/>
      <c r="AF112" s="817"/>
      <c r="AG112" s="817"/>
      <c r="AH112" s="817"/>
      <c r="AI112" s="817"/>
      <c r="AJ112" s="817"/>
      <c r="AK112" s="818"/>
      <c r="AL112" s="817"/>
      <c r="AM112" s="275"/>
      <c r="AN112" s="886">
        <v>4210.0279501385048</v>
      </c>
      <c r="AO112" s="886">
        <v>0</v>
      </c>
      <c r="AP112" s="275"/>
      <c r="AQ112" s="834"/>
      <c r="AR112" s="834"/>
      <c r="AS112" s="834"/>
      <c r="AT112" s="834"/>
      <c r="AU112" s="834"/>
      <c r="AV112" s="834"/>
      <c r="AW112" s="834"/>
      <c r="AX112" s="834"/>
      <c r="AZ112" s="835"/>
      <c r="BA112" s="835"/>
      <c r="BB112" s="835"/>
      <c r="BC112" s="835"/>
      <c r="BD112" s="835"/>
      <c r="BE112" s="835"/>
      <c r="BF112" s="835"/>
      <c r="BG112" s="835"/>
      <c r="BH112" s="814"/>
      <c r="BI112" s="834"/>
      <c r="BJ112" s="834"/>
      <c r="BK112" s="834"/>
      <c r="BL112" s="834"/>
      <c r="BM112" s="834"/>
      <c r="BN112" s="834"/>
      <c r="BO112" s="834"/>
      <c r="BP112" s="834"/>
      <c r="BQ112" s="275"/>
      <c r="BR112" s="843"/>
      <c r="BS112" s="843"/>
      <c r="BT112" s="843"/>
      <c r="BU112" s="843"/>
      <c r="BV112" s="843"/>
      <c r="BW112" s="843"/>
      <c r="BX112" s="843"/>
      <c r="BY112" s="843"/>
      <c r="BZ112" s="843"/>
      <c r="CA112" s="843"/>
      <c r="CB112" s="843"/>
      <c r="CC112" s="843"/>
      <c r="CD112" s="843"/>
      <c r="CE112" s="843"/>
      <c r="CF112" s="843"/>
      <c r="CG112" s="843"/>
      <c r="CH112" s="843"/>
      <c r="CI112" s="843"/>
      <c r="CJ112" s="844"/>
      <c r="CK112" s="364"/>
      <c r="CL112" s="364"/>
      <c r="CM112" s="364"/>
      <c r="CN112" s="364"/>
      <c r="CO112" s="364"/>
      <c r="CP112" s="364"/>
      <c r="CQ112" s="364"/>
      <c r="CR112" s="804"/>
      <c r="CS112" s="852"/>
      <c r="CT112" s="853"/>
      <c r="CU112" s="853"/>
      <c r="CV112" s="853"/>
      <c r="CW112" s="853"/>
      <c r="CX112" s="853"/>
      <c r="CY112" s="853"/>
      <c r="CZ112" s="853"/>
      <c r="DA112" s="853"/>
      <c r="DC112" s="853"/>
      <c r="DD112" s="853"/>
      <c r="DE112" s="853"/>
      <c r="DF112" s="853"/>
      <c r="DG112" s="853"/>
      <c r="DH112" s="853"/>
      <c r="DI112" s="853"/>
      <c r="DJ112" s="853"/>
      <c r="DK112" s="853"/>
      <c r="DM112" s="853"/>
      <c r="DN112" s="853"/>
      <c r="DO112" s="853"/>
      <c r="DP112" s="853"/>
      <c r="DQ112" s="853"/>
      <c r="DR112" s="853"/>
      <c r="DS112" s="805"/>
      <c r="DT112" s="805"/>
      <c r="DV112" s="806">
        <f t="shared" si="10"/>
        <v>62673.315950138509</v>
      </c>
      <c r="DW112" s="806">
        <f t="shared" si="11"/>
        <v>0</v>
      </c>
      <c r="DX112" s="794">
        <f t="shared" si="12"/>
        <v>62673.315950138509</v>
      </c>
    </row>
    <row r="113" spans="1:128" hidden="1">
      <c r="A113" s="198">
        <v>2469</v>
      </c>
      <c r="B113" s="2">
        <v>103395</v>
      </c>
      <c r="C113" s="2" t="s">
        <v>249</v>
      </c>
      <c r="D113" s="2" t="s">
        <v>250</v>
      </c>
      <c r="E113" s="190" t="s">
        <v>39</v>
      </c>
      <c r="F113" s="211" t="str">
        <f>VLOOKUP(A113,'Summary June 2026'!A:F,6,FALSE)</f>
        <v>Chq Bk</v>
      </c>
      <c r="G113" s="33"/>
      <c r="H113" s="825">
        <v>0</v>
      </c>
      <c r="I113" s="804"/>
      <c r="J113" s="797">
        <v>0</v>
      </c>
      <c r="K113" s="797">
        <v>0</v>
      </c>
      <c r="L113" s="797">
        <v>0</v>
      </c>
      <c r="M113" s="797">
        <v>0</v>
      </c>
      <c r="N113" s="797">
        <v>0</v>
      </c>
      <c r="O113" s="797">
        <v>0</v>
      </c>
      <c r="P113" s="797">
        <v>0</v>
      </c>
      <c r="Q113" s="797">
        <f t="shared" si="17"/>
        <v>0</v>
      </c>
      <c r="R113" s="797">
        <f t="shared" si="14"/>
        <v>0</v>
      </c>
      <c r="S113" s="804"/>
      <c r="T113" s="364">
        <v>0</v>
      </c>
      <c r="U113" s="364">
        <v>0</v>
      </c>
      <c r="V113" s="364">
        <v>0</v>
      </c>
      <c r="W113" s="364">
        <v>0</v>
      </c>
      <c r="X113" s="364">
        <v>0</v>
      </c>
      <c r="Y113" s="364">
        <v>0</v>
      </c>
      <c r="Z113" s="364">
        <v>0</v>
      </c>
      <c r="AA113" s="364">
        <f t="shared" si="15"/>
        <v>0</v>
      </c>
      <c r="AB113" s="364">
        <f t="shared" si="16"/>
        <v>0</v>
      </c>
      <c r="AC113" s="804"/>
      <c r="AD113" s="817"/>
      <c r="AE113" s="817"/>
      <c r="AF113" s="817"/>
      <c r="AG113" s="817"/>
      <c r="AH113" s="817"/>
      <c r="AI113" s="817"/>
      <c r="AJ113" s="817"/>
      <c r="AK113" s="818"/>
      <c r="AL113" s="817"/>
      <c r="AM113" s="275"/>
      <c r="AN113" s="886">
        <v>0</v>
      </c>
      <c r="AO113" s="886">
        <v>0</v>
      </c>
      <c r="AP113" s="275"/>
      <c r="AQ113" s="834"/>
      <c r="AR113" s="834"/>
      <c r="AS113" s="834"/>
      <c r="AT113" s="834"/>
      <c r="AU113" s="834"/>
      <c r="AV113" s="834"/>
      <c r="AW113" s="834"/>
      <c r="AX113" s="834"/>
      <c r="AZ113" s="835"/>
      <c r="BA113" s="835"/>
      <c r="BB113" s="835"/>
      <c r="BC113" s="835"/>
      <c r="BD113" s="835"/>
      <c r="BE113" s="835"/>
      <c r="BF113" s="835"/>
      <c r="BG113" s="835"/>
      <c r="BH113" s="814"/>
      <c r="BI113" s="834"/>
      <c r="BJ113" s="834"/>
      <c r="BK113" s="834"/>
      <c r="BL113" s="834"/>
      <c r="BM113" s="834"/>
      <c r="BN113" s="834"/>
      <c r="BO113" s="834"/>
      <c r="BP113" s="834"/>
      <c r="BQ113" s="275"/>
      <c r="BR113" s="843"/>
      <c r="BS113" s="843"/>
      <c r="BT113" s="843"/>
      <c r="BU113" s="843"/>
      <c r="BV113" s="843"/>
      <c r="BW113" s="843"/>
      <c r="BX113" s="843"/>
      <c r="BY113" s="843"/>
      <c r="BZ113" s="843"/>
      <c r="CA113" s="843"/>
      <c r="CB113" s="843"/>
      <c r="CC113" s="843"/>
      <c r="CD113" s="843"/>
      <c r="CE113" s="843"/>
      <c r="CF113" s="843"/>
      <c r="CG113" s="843"/>
      <c r="CH113" s="843"/>
      <c r="CI113" s="843"/>
      <c r="CJ113" s="844"/>
      <c r="CK113" s="364"/>
      <c r="CL113" s="364"/>
      <c r="CM113" s="364"/>
      <c r="CN113" s="364"/>
      <c r="CO113" s="364"/>
      <c r="CP113" s="364"/>
      <c r="CQ113" s="364"/>
      <c r="CR113" s="804"/>
      <c r="CS113" s="852"/>
      <c r="CT113" s="853"/>
      <c r="CU113" s="853"/>
      <c r="CV113" s="853"/>
      <c r="CW113" s="853"/>
      <c r="CX113" s="853"/>
      <c r="CY113" s="853"/>
      <c r="CZ113" s="853"/>
      <c r="DA113" s="853"/>
      <c r="DC113" s="853"/>
      <c r="DD113" s="853"/>
      <c r="DE113" s="853"/>
      <c r="DF113" s="853"/>
      <c r="DG113" s="853"/>
      <c r="DH113" s="853"/>
      <c r="DI113" s="853"/>
      <c r="DJ113" s="853"/>
      <c r="DK113" s="853"/>
      <c r="DM113" s="853"/>
      <c r="DN113" s="853"/>
      <c r="DO113" s="853"/>
      <c r="DP113" s="853"/>
      <c r="DQ113" s="853"/>
      <c r="DR113" s="853"/>
      <c r="DS113" s="805"/>
      <c r="DT113" s="805"/>
      <c r="DV113" s="806">
        <f t="shared" si="10"/>
        <v>0</v>
      </c>
      <c r="DW113" s="806">
        <f t="shared" si="11"/>
        <v>0</v>
      </c>
      <c r="DX113" s="794">
        <f t="shared" si="12"/>
        <v>0</v>
      </c>
    </row>
    <row r="114" spans="1:128" hidden="1">
      <c r="A114" s="198">
        <v>1028</v>
      </c>
      <c r="B114" s="2">
        <v>103141</v>
      </c>
      <c r="C114" s="2" t="s">
        <v>251</v>
      </c>
      <c r="D114" s="2" t="s">
        <v>252</v>
      </c>
      <c r="E114" s="190" t="s">
        <v>36</v>
      </c>
      <c r="F114" s="211" t="str">
        <f>VLOOKUP(A114,'Summary June 2026'!A:F,6,FALSE)</f>
        <v>Chq Bk</v>
      </c>
      <c r="G114" s="33"/>
      <c r="H114" s="825">
        <v>204148.74784567463</v>
      </c>
      <c r="I114" s="804"/>
      <c r="J114" s="797">
        <v>0</v>
      </c>
      <c r="K114" s="797">
        <v>69186</v>
      </c>
      <c r="L114" s="797">
        <v>93069.6</v>
      </c>
      <c r="M114" s="797">
        <v>16594.5</v>
      </c>
      <c r="N114" s="797">
        <v>2275.6021052631581</v>
      </c>
      <c r="O114" s="797">
        <v>9346.3499999999985</v>
      </c>
      <c r="P114" s="797">
        <v>5850</v>
      </c>
      <c r="Q114" s="797">
        <f t="shared" si="17"/>
        <v>196322.05210526317</v>
      </c>
      <c r="R114" s="797">
        <f t="shared" si="14"/>
        <v>157057.64168421054</v>
      </c>
      <c r="S114" s="804"/>
      <c r="T114" s="364">
        <v>0</v>
      </c>
      <c r="U114" s="364">
        <v>67456.349999999991</v>
      </c>
      <c r="V114" s="364">
        <v>64903.8</v>
      </c>
      <c r="W114" s="364">
        <v>11661</v>
      </c>
      <c r="X114" s="364">
        <v>1119.3000000000002</v>
      </c>
      <c r="Y114" s="364">
        <v>7236.45</v>
      </c>
      <c r="Z114" s="364">
        <v>975</v>
      </c>
      <c r="AA114" s="364">
        <f t="shared" si="15"/>
        <v>153351.9</v>
      </c>
      <c r="AB114" s="364">
        <f t="shared" si="16"/>
        <v>122681.52</v>
      </c>
      <c r="AC114" s="804"/>
      <c r="AD114" s="817"/>
      <c r="AE114" s="817"/>
      <c r="AF114" s="817"/>
      <c r="AG114" s="817"/>
      <c r="AH114" s="817"/>
      <c r="AI114" s="817"/>
      <c r="AJ114" s="817"/>
      <c r="AK114" s="818"/>
      <c r="AL114" s="817"/>
      <c r="AM114" s="275"/>
      <c r="AN114" s="886">
        <v>33143.980831024928</v>
      </c>
      <c r="AO114" s="886">
        <v>2140.5108033240995</v>
      </c>
      <c r="AP114" s="275"/>
      <c r="AQ114" s="834"/>
      <c r="AR114" s="834"/>
      <c r="AS114" s="834"/>
      <c r="AT114" s="834"/>
      <c r="AU114" s="834"/>
      <c r="AV114" s="834"/>
      <c r="AW114" s="834"/>
      <c r="AX114" s="834"/>
      <c r="AZ114" s="835"/>
      <c r="BA114" s="835"/>
      <c r="BB114" s="835"/>
      <c r="BC114" s="835"/>
      <c r="BD114" s="835"/>
      <c r="BE114" s="835"/>
      <c r="BF114" s="835"/>
      <c r="BG114" s="835"/>
      <c r="BH114" s="814"/>
      <c r="BI114" s="834"/>
      <c r="BJ114" s="834"/>
      <c r="BK114" s="834"/>
      <c r="BL114" s="834"/>
      <c r="BM114" s="834"/>
      <c r="BN114" s="834"/>
      <c r="BO114" s="834"/>
      <c r="BP114" s="834"/>
      <c r="BQ114" s="275"/>
      <c r="BR114" s="843"/>
      <c r="BS114" s="843"/>
      <c r="BT114" s="843"/>
      <c r="BU114" s="843"/>
      <c r="BV114" s="843"/>
      <c r="BW114" s="843"/>
      <c r="BX114" s="843"/>
      <c r="BY114" s="843"/>
      <c r="BZ114" s="843"/>
      <c r="CA114" s="843"/>
      <c r="CB114" s="843"/>
      <c r="CC114" s="843"/>
      <c r="CD114" s="843"/>
      <c r="CE114" s="843"/>
      <c r="CF114" s="843"/>
      <c r="CG114" s="843"/>
      <c r="CH114" s="843"/>
      <c r="CI114" s="843"/>
      <c r="CJ114" s="844"/>
      <c r="CK114" s="364"/>
      <c r="CL114" s="364"/>
      <c r="CM114" s="364"/>
      <c r="CN114" s="364"/>
      <c r="CO114" s="364"/>
      <c r="CP114" s="364"/>
      <c r="CQ114" s="364"/>
      <c r="CR114" s="804"/>
      <c r="CS114" s="852"/>
      <c r="CT114" s="853"/>
      <c r="CU114" s="853"/>
      <c r="CV114" s="853"/>
      <c r="CW114" s="853"/>
      <c r="CX114" s="853"/>
      <c r="CY114" s="853"/>
      <c r="CZ114" s="853"/>
      <c r="DA114" s="853"/>
      <c r="DC114" s="853"/>
      <c r="DD114" s="853"/>
      <c r="DE114" s="853"/>
      <c r="DF114" s="853"/>
      <c r="DG114" s="853"/>
      <c r="DH114" s="853"/>
      <c r="DI114" s="853"/>
      <c r="DJ114" s="853"/>
      <c r="DK114" s="853"/>
      <c r="DM114" s="853"/>
      <c r="DN114" s="853"/>
      <c r="DO114" s="853"/>
      <c r="DP114" s="853"/>
      <c r="DQ114" s="853"/>
      <c r="DR114" s="853"/>
      <c r="DS114" s="805"/>
      <c r="DT114" s="805"/>
      <c r="DV114" s="806">
        <f t="shared" si="10"/>
        <v>511571.8903609101</v>
      </c>
      <c r="DW114" s="806">
        <f t="shared" si="11"/>
        <v>7600.5108033240995</v>
      </c>
      <c r="DX114" s="794">
        <f t="shared" si="12"/>
        <v>519172.40116423421</v>
      </c>
    </row>
    <row r="115" spans="1:128" hidden="1">
      <c r="A115" s="198">
        <v>1049</v>
      </c>
      <c r="B115" s="2">
        <v>103145</v>
      </c>
      <c r="C115" s="2" t="s">
        <v>253</v>
      </c>
      <c r="D115" s="2" t="s">
        <v>254</v>
      </c>
      <c r="E115" s="190" t="s">
        <v>36</v>
      </c>
      <c r="F115" s="211" t="str">
        <f>VLOOKUP(A115,'Summary June 2026'!A:F,6,FALSE)</f>
        <v>Chq Bk</v>
      </c>
      <c r="G115" s="33"/>
      <c r="H115" s="825">
        <v>251281.58506090948</v>
      </c>
      <c r="I115" s="804"/>
      <c r="J115" s="797">
        <v>0</v>
      </c>
      <c r="K115" s="797">
        <v>60537.75</v>
      </c>
      <c r="L115" s="797">
        <v>148176.6</v>
      </c>
      <c r="M115" s="797">
        <v>20631</v>
      </c>
      <c r="N115" s="797">
        <v>2573.8768421052632</v>
      </c>
      <c r="O115" s="797">
        <v>9321</v>
      </c>
      <c r="P115" s="797">
        <v>7800</v>
      </c>
      <c r="Q115" s="797">
        <f t="shared" si="17"/>
        <v>249040.22684210527</v>
      </c>
      <c r="R115" s="797">
        <f t="shared" si="14"/>
        <v>199232.18147368424</v>
      </c>
      <c r="S115" s="804"/>
      <c r="T115" s="364">
        <v>0</v>
      </c>
      <c r="U115" s="364">
        <v>72645.299999999988</v>
      </c>
      <c r="V115" s="364">
        <v>94388.4</v>
      </c>
      <c r="W115" s="364">
        <v>15817.499999999998</v>
      </c>
      <c r="X115" s="364">
        <v>2461.8442105263157</v>
      </c>
      <c r="Y115" s="364">
        <v>6694.3499999999995</v>
      </c>
      <c r="Z115" s="364">
        <v>1950</v>
      </c>
      <c r="AA115" s="364">
        <f t="shared" si="15"/>
        <v>193957.39421052631</v>
      </c>
      <c r="AB115" s="364">
        <f t="shared" si="16"/>
        <v>155165.91536842106</v>
      </c>
      <c r="AC115" s="804"/>
      <c r="AD115" s="817"/>
      <c r="AE115" s="817"/>
      <c r="AF115" s="817"/>
      <c r="AG115" s="817"/>
      <c r="AH115" s="817"/>
      <c r="AI115" s="817"/>
      <c r="AJ115" s="817"/>
      <c r="AK115" s="818"/>
      <c r="AL115" s="817"/>
      <c r="AM115" s="275"/>
      <c r="AN115" s="886">
        <v>37172.090581717435</v>
      </c>
      <c r="AO115" s="886">
        <v>-334.14626038781171</v>
      </c>
      <c r="AP115" s="275"/>
      <c r="AQ115" s="834"/>
      <c r="AR115" s="834"/>
      <c r="AS115" s="834"/>
      <c r="AT115" s="834"/>
      <c r="AU115" s="834"/>
      <c r="AV115" s="834"/>
      <c r="AW115" s="834"/>
      <c r="AX115" s="834"/>
      <c r="AZ115" s="835"/>
      <c r="BA115" s="835"/>
      <c r="BB115" s="835"/>
      <c r="BC115" s="835"/>
      <c r="BD115" s="835"/>
      <c r="BE115" s="835"/>
      <c r="BF115" s="835"/>
      <c r="BG115" s="835"/>
      <c r="BH115" s="814"/>
      <c r="BI115" s="834"/>
      <c r="BJ115" s="834"/>
      <c r="BK115" s="834"/>
      <c r="BL115" s="834"/>
      <c r="BM115" s="834"/>
      <c r="BN115" s="834"/>
      <c r="BO115" s="834"/>
      <c r="BP115" s="834"/>
      <c r="BQ115" s="275"/>
      <c r="BR115" s="843"/>
      <c r="BS115" s="843"/>
      <c r="BT115" s="843"/>
      <c r="BU115" s="843"/>
      <c r="BV115" s="843"/>
      <c r="BW115" s="843"/>
      <c r="BX115" s="843"/>
      <c r="BY115" s="843"/>
      <c r="BZ115" s="843"/>
      <c r="CA115" s="843"/>
      <c r="CB115" s="843"/>
      <c r="CC115" s="843"/>
      <c r="CD115" s="843"/>
      <c r="CE115" s="843"/>
      <c r="CF115" s="843"/>
      <c r="CG115" s="843"/>
      <c r="CH115" s="843"/>
      <c r="CI115" s="843"/>
      <c r="CJ115" s="844"/>
      <c r="CK115" s="364"/>
      <c r="CL115" s="364"/>
      <c r="CM115" s="364"/>
      <c r="CN115" s="364"/>
      <c r="CO115" s="364"/>
      <c r="CP115" s="364"/>
      <c r="CQ115" s="364"/>
      <c r="CR115" s="804"/>
      <c r="CS115" s="852"/>
      <c r="CT115" s="853"/>
      <c r="CU115" s="853"/>
      <c r="CV115" s="853"/>
      <c r="CW115" s="853"/>
      <c r="CX115" s="853"/>
      <c r="CY115" s="853"/>
      <c r="CZ115" s="853"/>
      <c r="DA115" s="853"/>
      <c r="DC115" s="853"/>
      <c r="DD115" s="853"/>
      <c r="DE115" s="853"/>
      <c r="DF115" s="853"/>
      <c r="DG115" s="853"/>
      <c r="DH115" s="853"/>
      <c r="DI115" s="853"/>
      <c r="DJ115" s="853"/>
      <c r="DK115" s="853"/>
      <c r="DM115" s="853"/>
      <c r="DN115" s="853"/>
      <c r="DO115" s="853"/>
      <c r="DP115" s="853"/>
      <c r="DQ115" s="853"/>
      <c r="DR115" s="853"/>
      <c r="DS115" s="805"/>
      <c r="DT115" s="805"/>
      <c r="DV115" s="806">
        <f t="shared" si="10"/>
        <v>635051.77248473221</v>
      </c>
      <c r="DW115" s="806">
        <f t="shared" si="11"/>
        <v>7465.8537396121883</v>
      </c>
      <c r="DX115" s="794">
        <f t="shared" si="12"/>
        <v>642517.62622434436</v>
      </c>
    </row>
    <row r="116" spans="1:128" hidden="1">
      <c r="A116" s="198">
        <v>3351</v>
      </c>
      <c r="B116" s="2">
        <v>103443</v>
      </c>
      <c r="C116" s="2" t="s">
        <v>255</v>
      </c>
      <c r="D116" s="2" t="s">
        <v>256</v>
      </c>
      <c r="E116" s="190" t="s">
        <v>39</v>
      </c>
      <c r="F116" s="211" t="str">
        <f>VLOOKUP(A116,'Summary June 2026'!A:F,6,FALSE)</f>
        <v>Chq Bk</v>
      </c>
      <c r="G116" s="33"/>
      <c r="H116" s="825">
        <v>0</v>
      </c>
      <c r="I116" s="804"/>
      <c r="J116" s="797">
        <v>0</v>
      </c>
      <c r="K116" s="797">
        <v>0</v>
      </c>
      <c r="L116" s="797">
        <v>31023.200000000001</v>
      </c>
      <c r="M116" s="797">
        <v>2915.25</v>
      </c>
      <c r="N116" s="797">
        <v>895.43999999999994</v>
      </c>
      <c r="O116" s="797">
        <v>1173.9000000000001</v>
      </c>
      <c r="P116" s="797">
        <v>0</v>
      </c>
      <c r="Q116" s="797">
        <f t="shared" si="17"/>
        <v>36007.79</v>
      </c>
      <c r="R116" s="797">
        <f t="shared" si="14"/>
        <v>28806.232000000004</v>
      </c>
      <c r="S116" s="804"/>
      <c r="T116" s="364">
        <v>0</v>
      </c>
      <c r="U116" s="364">
        <v>0</v>
      </c>
      <c r="V116" s="364">
        <v>38370.800000000003</v>
      </c>
      <c r="W116" s="364">
        <v>2242.5</v>
      </c>
      <c r="X116" s="364">
        <v>820.75157894736844</v>
      </c>
      <c r="Y116" s="364">
        <v>1815.45</v>
      </c>
      <c r="Z116" s="364">
        <v>0</v>
      </c>
      <c r="AA116" s="364">
        <f t="shared" si="15"/>
        <v>43249.501578947369</v>
      </c>
      <c r="AB116" s="364">
        <f t="shared" si="16"/>
        <v>34599.6012631579</v>
      </c>
      <c r="AC116" s="804"/>
      <c r="AD116" s="817"/>
      <c r="AE116" s="817"/>
      <c r="AF116" s="817"/>
      <c r="AG116" s="817"/>
      <c r="AH116" s="817"/>
      <c r="AI116" s="817"/>
      <c r="AJ116" s="817"/>
      <c r="AK116" s="818"/>
      <c r="AL116" s="817"/>
      <c r="AM116" s="275"/>
      <c r="AN116" s="886">
        <v>10306.209445983379</v>
      </c>
      <c r="AO116" s="886">
        <v>0</v>
      </c>
      <c r="AP116" s="275"/>
      <c r="AQ116" s="834"/>
      <c r="AR116" s="834"/>
      <c r="AS116" s="834"/>
      <c r="AT116" s="834"/>
      <c r="AU116" s="834"/>
      <c r="AV116" s="834"/>
      <c r="AW116" s="834"/>
      <c r="AX116" s="834"/>
      <c r="AZ116" s="835"/>
      <c r="BA116" s="835"/>
      <c r="BB116" s="835"/>
      <c r="BC116" s="835"/>
      <c r="BD116" s="835"/>
      <c r="BE116" s="835"/>
      <c r="BF116" s="835"/>
      <c r="BG116" s="835"/>
      <c r="BH116" s="814"/>
      <c r="BI116" s="834"/>
      <c r="BJ116" s="834"/>
      <c r="BK116" s="834"/>
      <c r="BL116" s="834"/>
      <c r="BM116" s="834"/>
      <c r="BN116" s="834"/>
      <c r="BO116" s="834"/>
      <c r="BP116" s="834"/>
      <c r="BQ116" s="275"/>
      <c r="BR116" s="843"/>
      <c r="BS116" s="843"/>
      <c r="BT116" s="843"/>
      <c r="BU116" s="843"/>
      <c r="BV116" s="843"/>
      <c r="BW116" s="843"/>
      <c r="BX116" s="843"/>
      <c r="BY116" s="843"/>
      <c r="BZ116" s="843"/>
      <c r="CA116" s="843"/>
      <c r="CB116" s="843"/>
      <c r="CC116" s="843"/>
      <c r="CD116" s="843"/>
      <c r="CE116" s="843"/>
      <c r="CF116" s="843"/>
      <c r="CG116" s="843"/>
      <c r="CH116" s="843"/>
      <c r="CI116" s="843"/>
      <c r="CJ116" s="844"/>
      <c r="CK116" s="364"/>
      <c r="CL116" s="364"/>
      <c r="CM116" s="364"/>
      <c r="CN116" s="364"/>
      <c r="CO116" s="364"/>
      <c r="CP116" s="364"/>
      <c r="CQ116" s="364"/>
      <c r="CR116" s="804"/>
      <c r="CS116" s="852"/>
      <c r="CT116" s="853"/>
      <c r="CU116" s="853"/>
      <c r="CV116" s="853"/>
      <c r="CW116" s="853"/>
      <c r="CX116" s="853"/>
      <c r="CY116" s="853"/>
      <c r="CZ116" s="853"/>
      <c r="DA116" s="853"/>
      <c r="DC116" s="853"/>
      <c r="DD116" s="853"/>
      <c r="DE116" s="853"/>
      <c r="DF116" s="853"/>
      <c r="DG116" s="853"/>
      <c r="DH116" s="853"/>
      <c r="DI116" s="853"/>
      <c r="DJ116" s="853"/>
      <c r="DK116" s="853"/>
      <c r="DM116" s="853"/>
      <c r="DN116" s="853"/>
      <c r="DO116" s="853"/>
      <c r="DP116" s="853"/>
      <c r="DQ116" s="853"/>
      <c r="DR116" s="853"/>
      <c r="DS116" s="805"/>
      <c r="DT116" s="805"/>
      <c r="DV116" s="806">
        <f t="shared" si="10"/>
        <v>73712.042709141271</v>
      </c>
      <c r="DW116" s="806">
        <f t="shared" si="11"/>
        <v>0</v>
      </c>
      <c r="DX116" s="794">
        <f t="shared" si="12"/>
        <v>73712.042709141271</v>
      </c>
    </row>
    <row r="117" spans="1:128" hidden="1">
      <c r="A117" s="198">
        <v>3328</v>
      </c>
      <c r="B117" s="2">
        <v>103430</v>
      </c>
      <c r="C117" s="2" t="s">
        <v>257</v>
      </c>
      <c r="D117" s="2" t="s">
        <v>258</v>
      </c>
      <c r="E117" s="190" t="s">
        <v>39</v>
      </c>
      <c r="F117" s="211" t="str">
        <f>VLOOKUP(A117,'Summary June 2026'!A:F,6,FALSE)</f>
        <v>Chq Bk</v>
      </c>
      <c r="G117" s="33"/>
      <c r="H117" s="825">
        <v>0</v>
      </c>
      <c r="I117" s="804"/>
      <c r="J117" s="797">
        <v>0</v>
      </c>
      <c r="K117" s="797">
        <v>0</v>
      </c>
      <c r="L117" s="797">
        <v>14695.2</v>
      </c>
      <c r="M117" s="797">
        <v>0</v>
      </c>
      <c r="N117" s="797">
        <v>0</v>
      </c>
      <c r="O117" s="797">
        <v>294.45</v>
      </c>
      <c r="P117" s="797">
        <v>0</v>
      </c>
      <c r="Q117" s="797">
        <f t="shared" si="17"/>
        <v>14989.650000000001</v>
      </c>
      <c r="R117" s="797">
        <f t="shared" si="14"/>
        <v>11991.720000000001</v>
      </c>
      <c r="S117" s="804"/>
      <c r="T117" s="364">
        <v>0</v>
      </c>
      <c r="U117" s="364">
        <v>0</v>
      </c>
      <c r="V117" s="364">
        <v>11756.16</v>
      </c>
      <c r="W117" s="364">
        <v>672.75</v>
      </c>
      <c r="X117" s="364">
        <v>223.85999999999999</v>
      </c>
      <c r="Y117" s="364">
        <v>232.05</v>
      </c>
      <c r="Z117" s="364">
        <v>0</v>
      </c>
      <c r="AA117" s="364">
        <f t="shared" si="15"/>
        <v>12884.82</v>
      </c>
      <c r="AB117" s="364">
        <f t="shared" si="16"/>
        <v>10307.856</v>
      </c>
      <c r="AC117" s="804"/>
      <c r="AD117" s="817"/>
      <c r="AE117" s="817"/>
      <c r="AF117" s="817"/>
      <c r="AG117" s="817"/>
      <c r="AH117" s="817"/>
      <c r="AI117" s="817"/>
      <c r="AJ117" s="817"/>
      <c r="AK117" s="818"/>
      <c r="AL117" s="817"/>
      <c r="AM117" s="275"/>
      <c r="AN117" s="886">
        <v>-6434.1534903047113</v>
      </c>
      <c r="AO117" s="886">
        <v>0</v>
      </c>
      <c r="AP117" s="275"/>
      <c r="AQ117" s="834"/>
      <c r="AR117" s="834"/>
      <c r="AS117" s="834"/>
      <c r="AT117" s="834"/>
      <c r="AU117" s="834"/>
      <c r="AV117" s="834"/>
      <c r="AW117" s="834"/>
      <c r="AX117" s="834"/>
      <c r="AZ117" s="835"/>
      <c r="BA117" s="835"/>
      <c r="BB117" s="835"/>
      <c r="BC117" s="835"/>
      <c r="BD117" s="835"/>
      <c r="BE117" s="835"/>
      <c r="BF117" s="835"/>
      <c r="BG117" s="835"/>
      <c r="BH117" s="814"/>
      <c r="BI117" s="834"/>
      <c r="BJ117" s="834"/>
      <c r="BK117" s="834"/>
      <c r="BL117" s="834"/>
      <c r="BM117" s="834"/>
      <c r="BN117" s="834"/>
      <c r="BO117" s="834"/>
      <c r="BP117" s="834"/>
      <c r="BQ117" s="275"/>
      <c r="BR117" s="843"/>
      <c r="BS117" s="843"/>
      <c r="BT117" s="843"/>
      <c r="BU117" s="843"/>
      <c r="BV117" s="843"/>
      <c r="BW117" s="843"/>
      <c r="BX117" s="843"/>
      <c r="BY117" s="843"/>
      <c r="BZ117" s="843"/>
      <c r="CA117" s="843"/>
      <c r="CB117" s="843"/>
      <c r="CC117" s="843"/>
      <c r="CD117" s="843"/>
      <c r="CE117" s="843"/>
      <c r="CF117" s="843"/>
      <c r="CG117" s="843"/>
      <c r="CH117" s="843"/>
      <c r="CI117" s="843"/>
      <c r="CJ117" s="844"/>
      <c r="CK117" s="364"/>
      <c r="CL117" s="364"/>
      <c r="CM117" s="364"/>
      <c r="CN117" s="364"/>
      <c r="CO117" s="364"/>
      <c r="CP117" s="364"/>
      <c r="CQ117" s="364"/>
      <c r="CR117" s="804"/>
      <c r="CS117" s="852"/>
      <c r="CT117" s="853"/>
      <c r="CU117" s="853"/>
      <c r="CV117" s="853"/>
      <c r="CW117" s="853"/>
      <c r="CX117" s="853"/>
      <c r="CY117" s="853"/>
      <c r="CZ117" s="853"/>
      <c r="DA117" s="853"/>
      <c r="DC117" s="853"/>
      <c r="DD117" s="853"/>
      <c r="DE117" s="853"/>
      <c r="DF117" s="853"/>
      <c r="DG117" s="853"/>
      <c r="DH117" s="853"/>
      <c r="DI117" s="853"/>
      <c r="DJ117" s="853"/>
      <c r="DK117" s="853"/>
      <c r="DM117" s="853"/>
      <c r="DN117" s="853"/>
      <c r="DO117" s="853"/>
      <c r="DP117" s="853"/>
      <c r="DQ117" s="853"/>
      <c r="DR117" s="853"/>
      <c r="DS117" s="805"/>
      <c r="DT117" s="805"/>
      <c r="DV117" s="806">
        <f t="shared" si="10"/>
        <v>15865.422509695291</v>
      </c>
      <c r="DW117" s="806">
        <f t="shared" si="11"/>
        <v>0</v>
      </c>
      <c r="DX117" s="794">
        <f t="shared" si="12"/>
        <v>15865.422509695291</v>
      </c>
    </row>
    <row r="118" spans="1:128" hidden="1">
      <c r="A118" s="198">
        <v>2150</v>
      </c>
      <c r="B118" s="2">
        <v>103241</v>
      </c>
      <c r="C118" s="2" t="s">
        <v>259</v>
      </c>
      <c r="D118" s="2" t="s">
        <v>260</v>
      </c>
      <c r="E118" s="190" t="s">
        <v>39</v>
      </c>
      <c r="F118" s="211" t="str">
        <f>VLOOKUP(A118,'Summary June 2026'!A:F,6,FALSE)</f>
        <v>Chq Bk</v>
      </c>
      <c r="G118" s="33"/>
      <c r="H118" s="825">
        <v>0</v>
      </c>
      <c r="I118" s="804"/>
      <c r="J118" s="797">
        <v>0</v>
      </c>
      <c r="K118" s="797">
        <v>0</v>
      </c>
      <c r="L118" s="797">
        <v>0</v>
      </c>
      <c r="M118" s="797">
        <v>0</v>
      </c>
      <c r="N118" s="797">
        <v>0</v>
      </c>
      <c r="O118" s="797">
        <v>0</v>
      </c>
      <c r="P118" s="797">
        <v>0</v>
      </c>
      <c r="Q118" s="797">
        <v>0</v>
      </c>
      <c r="R118" s="797">
        <f t="shared" si="14"/>
        <v>0</v>
      </c>
      <c r="S118" s="804"/>
      <c r="T118" s="364">
        <v>0</v>
      </c>
      <c r="U118" s="364">
        <v>0</v>
      </c>
      <c r="V118" s="364">
        <v>0</v>
      </c>
      <c r="W118" s="364">
        <v>0</v>
      </c>
      <c r="X118" s="364">
        <v>0</v>
      </c>
      <c r="Y118" s="364">
        <v>0</v>
      </c>
      <c r="Z118" s="364">
        <v>0</v>
      </c>
      <c r="AA118" s="364">
        <f t="shared" si="15"/>
        <v>0</v>
      </c>
      <c r="AB118" s="364">
        <f t="shared" si="16"/>
        <v>0</v>
      </c>
      <c r="AC118" s="804"/>
      <c r="AD118" s="817"/>
      <c r="AE118" s="817"/>
      <c r="AF118" s="817"/>
      <c r="AG118" s="817"/>
      <c r="AH118" s="817"/>
      <c r="AI118" s="817"/>
      <c r="AJ118" s="817"/>
      <c r="AK118" s="818"/>
      <c r="AL118" s="817"/>
      <c r="AM118" s="275"/>
      <c r="AN118" s="886">
        <v>-17139.805429362881</v>
      </c>
      <c r="AO118" s="886">
        <v>0</v>
      </c>
      <c r="AP118" s="275"/>
      <c r="AQ118" s="834"/>
      <c r="AR118" s="834"/>
      <c r="AS118" s="834"/>
      <c r="AT118" s="834"/>
      <c r="AU118" s="834"/>
      <c r="AV118" s="834"/>
      <c r="AW118" s="834"/>
      <c r="AX118" s="834"/>
      <c r="AZ118" s="835"/>
      <c r="BA118" s="835"/>
      <c r="BB118" s="835"/>
      <c r="BC118" s="835"/>
      <c r="BD118" s="835"/>
      <c r="BE118" s="835"/>
      <c r="BF118" s="835"/>
      <c r="BG118" s="835"/>
      <c r="BH118" s="814"/>
      <c r="BI118" s="834"/>
      <c r="BJ118" s="834"/>
      <c r="BK118" s="834"/>
      <c r="BL118" s="834"/>
      <c r="BM118" s="834"/>
      <c r="BN118" s="834"/>
      <c r="BO118" s="834"/>
      <c r="BP118" s="834"/>
      <c r="BQ118" s="275"/>
      <c r="BR118" s="843"/>
      <c r="BS118" s="843"/>
      <c r="BT118" s="843"/>
      <c r="BU118" s="843"/>
      <c r="BV118" s="843"/>
      <c r="BW118" s="843"/>
      <c r="BX118" s="843"/>
      <c r="BY118" s="843"/>
      <c r="BZ118" s="843"/>
      <c r="CA118" s="843"/>
      <c r="CB118" s="843"/>
      <c r="CC118" s="843"/>
      <c r="CD118" s="843"/>
      <c r="CE118" s="843"/>
      <c r="CF118" s="843"/>
      <c r="CG118" s="843"/>
      <c r="CH118" s="843"/>
      <c r="CI118" s="843"/>
      <c r="CJ118" s="844"/>
      <c r="CK118" s="364"/>
      <c r="CL118" s="364"/>
      <c r="CM118" s="364"/>
      <c r="CN118" s="364"/>
      <c r="CO118" s="364"/>
      <c r="CP118" s="364"/>
      <c r="CQ118" s="364"/>
      <c r="CR118" s="804"/>
      <c r="CS118" s="852"/>
      <c r="CT118" s="853"/>
      <c r="CU118" s="853"/>
      <c r="CV118" s="853"/>
      <c r="CW118" s="853"/>
      <c r="CX118" s="853"/>
      <c r="CY118" s="853"/>
      <c r="CZ118" s="853"/>
      <c r="DA118" s="853"/>
      <c r="DC118" s="853"/>
      <c r="DD118" s="853"/>
      <c r="DE118" s="853"/>
      <c r="DF118" s="853"/>
      <c r="DG118" s="853"/>
      <c r="DH118" s="853"/>
      <c r="DI118" s="853"/>
      <c r="DJ118" s="853"/>
      <c r="DK118" s="853"/>
      <c r="DM118" s="853"/>
      <c r="DN118" s="853"/>
      <c r="DO118" s="853"/>
      <c r="DP118" s="853"/>
      <c r="DQ118" s="853"/>
      <c r="DR118" s="853"/>
      <c r="DS118" s="805"/>
      <c r="DT118" s="805"/>
      <c r="DV118" s="806">
        <f t="shared" si="10"/>
        <v>-17139.805429362881</v>
      </c>
      <c r="DW118" s="806">
        <f t="shared" si="11"/>
        <v>0</v>
      </c>
      <c r="DX118" s="794">
        <f t="shared" si="12"/>
        <v>-17139.805429362881</v>
      </c>
    </row>
    <row r="119" spans="1:128" hidden="1">
      <c r="A119" s="198">
        <v>2425</v>
      </c>
      <c r="B119" s="2">
        <v>103356</v>
      </c>
      <c r="C119" s="2" t="s">
        <v>261</v>
      </c>
      <c r="D119" s="2" t="s">
        <v>262</v>
      </c>
      <c r="E119" s="190" t="s">
        <v>39</v>
      </c>
      <c r="F119" s="211" t="str">
        <f>VLOOKUP(A119,'Summary June 2026'!A:F,6,FALSE)</f>
        <v>Chq Bk</v>
      </c>
      <c r="G119" s="33"/>
      <c r="H119" s="825">
        <v>0</v>
      </c>
      <c r="I119" s="804"/>
      <c r="J119" s="797">
        <v>0</v>
      </c>
      <c r="K119" s="797">
        <v>0</v>
      </c>
      <c r="L119" s="797">
        <v>0</v>
      </c>
      <c r="M119" s="797">
        <v>0</v>
      </c>
      <c r="N119" s="797">
        <v>0</v>
      </c>
      <c r="O119" s="797">
        <v>0</v>
      </c>
      <c r="P119" s="797">
        <v>0</v>
      </c>
      <c r="Q119" s="797">
        <f t="shared" si="17"/>
        <v>0</v>
      </c>
      <c r="R119" s="797">
        <f t="shared" si="14"/>
        <v>0</v>
      </c>
      <c r="S119" s="804"/>
      <c r="T119" s="364">
        <v>0</v>
      </c>
      <c r="U119" s="364">
        <v>0</v>
      </c>
      <c r="V119" s="364">
        <v>0</v>
      </c>
      <c r="W119" s="364">
        <v>0</v>
      </c>
      <c r="X119" s="364">
        <v>0</v>
      </c>
      <c r="Y119" s="364">
        <v>0</v>
      </c>
      <c r="Z119" s="364">
        <v>0</v>
      </c>
      <c r="AA119" s="364">
        <f t="shared" si="15"/>
        <v>0</v>
      </c>
      <c r="AB119" s="364">
        <f t="shared" si="16"/>
        <v>0</v>
      </c>
      <c r="AC119" s="804"/>
      <c r="AD119" s="817"/>
      <c r="AE119" s="817"/>
      <c r="AF119" s="817"/>
      <c r="AG119" s="817"/>
      <c r="AH119" s="817"/>
      <c r="AI119" s="817"/>
      <c r="AJ119" s="817"/>
      <c r="AK119" s="818"/>
      <c r="AL119" s="817"/>
      <c r="AM119" s="275"/>
      <c r="AN119" s="886">
        <v>0</v>
      </c>
      <c r="AO119" s="886">
        <v>0</v>
      </c>
      <c r="AP119" s="275"/>
      <c r="AQ119" s="834"/>
      <c r="AR119" s="834"/>
      <c r="AS119" s="834"/>
      <c r="AT119" s="834"/>
      <c r="AU119" s="834"/>
      <c r="AV119" s="834"/>
      <c r="AW119" s="834"/>
      <c r="AX119" s="834"/>
      <c r="AZ119" s="835"/>
      <c r="BA119" s="835"/>
      <c r="BB119" s="835"/>
      <c r="BC119" s="835"/>
      <c r="BD119" s="835"/>
      <c r="BE119" s="835"/>
      <c r="BF119" s="835"/>
      <c r="BG119" s="835"/>
      <c r="BH119" s="814"/>
      <c r="BI119" s="834"/>
      <c r="BJ119" s="834"/>
      <c r="BK119" s="834"/>
      <c r="BL119" s="834"/>
      <c r="BM119" s="834"/>
      <c r="BN119" s="834"/>
      <c r="BO119" s="834"/>
      <c r="BP119" s="834"/>
      <c r="BQ119" s="275"/>
      <c r="BR119" s="843"/>
      <c r="BS119" s="843"/>
      <c r="BT119" s="843"/>
      <c r="BU119" s="843"/>
      <c r="BV119" s="843"/>
      <c r="BW119" s="843"/>
      <c r="BX119" s="843"/>
      <c r="BY119" s="843"/>
      <c r="BZ119" s="843"/>
      <c r="CA119" s="843"/>
      <c r="CB119" s="843"/>
      <c r="CC119" s="843"/>
      <c r="CD119" s="843"/>
      <c r="CE119" s="843"/>
      <c r="CF119" s="843"/>
      <c r="CG119" s="843"/>
      <c r="CH119" s="843"/>
      <c r="CI119" s="843"/>
      <c r="CJ119" s="844"/>
      <c r="CK119" s="364"/>
      <c r="CL119" s="364"/>
      <c r="CM119" s="364"/>
      <c r="CN119" s="364"/>
      <c r="CO119" s="364"/>
      <c r="CP119" s="364"/>
      <c r="CQ119" s="364"/>
      <c r="CR119" s="804"/>
      <c r="CS119" s="852"/>
      <c r="CT119" s="853"/>
      <c r="CU119" s="853"/>
      <c r="CV119" s="853"/>
      <c r="CW119" s="853"/>
      <c r="CX119" s="853"/>
      <c r="CY119" s="853"/>
      <c r="CZ119" s="853"/>
      <c r="DA119" s="853"/>
      <c r="DC119" s="853"/>
      <c r="DD119" s="853"/>
      <c r="DE119" s="853"/>
      <c r="DF119" s="853"/>
      <c r="DG119" s="853"/>
      <c r="DH119" s="853"/>
      <c r="DI119" s="853"/>
      <c r="DJ119" s="853"/>
      <c r="DK119" s="853"/>
      <c r="DM119" s="853"/>
      <c r="DN119" s="853"/>
      <c r="DO119" s="853"/>
      <c r="DP119" s="853"/>
      <c r="DQ119" s="853"/>
      <c r="DR119" s="853"/>
      <c r="DS119" s="805"/>
      <c r="DT119" s="805"/>
      <c r="DV119" s="806">
        <f t="shared" si="10"/>
        <v>0</v>
      </c>
      <c r="DW119" s="806">
        <f t="shared" si="11"/>
        <v>0</v>
      </c>
      <c r="DX119" s="794">
        <f t="shared" si="12"/>
        <v>0</v>
      </c>
    </row>
    <row r="120" spans="1:128" hidden="1">
      <c r="A120" s="198">
        <v>1008</v>
      </c>
      <c r="B120" s="2">
        <v>103123</v>
      </c>
      <c r="C120" s="2" t="s">
        <v>263</v>
      </c>
      <c r="D120" s="2" t="s">
        <v>264</v>
      </c>
      <c r="E120" s="190" t="s">
        <v>36</v>
      </c>
      <c r="F120" s="211" t="str">
        <f>VLOOKUP(A120,'Summary June 2026'!A:F,6,FALSE)</f>
        <v>Chq Bk</v>
      </c>
      <c r="G120" s="33"/>
      <c r="H120" s="825">
        <v>193669.05781924754</v>
      </c>
      <c r="I120" s="804"/>
      <c r="J120" s="797">
        <v>0</v>
      </c>
      <c r="K120" s="797">
        <v>0</v>
      </c>
      <c r="L120" s="797">
        <v>123684.6</v>
      </c>
      <c r="M120" s="797">
        <v>4709.25</v>
      </c>
      <c r="N120" s="797">
        <v>0</v>
      </c>
      <c r="O120" s="797">
        <v>325.65000000000003</v>
      </c>
      <c r="P120" s="797">
        <v>975</v>
      </c>
      <c r="Q120" s="797">
        <f t="shared" si="17"/>
        <v>129694.5</v>
      </c>
      <c r="R120" s="797">
        <f t="shared" si="14"/>
        <v>103755.6</v>
      </c>
      <c r="S120" s="804"/>
      <c r="T120" s="364">
        <v>0</v>
      </c>
      <c r="U120" s="364">
        <v>0</v>
      </c>
      <c r="V120" s="364">
        <v>100417.2</v>
      </c>
      <c r="W120" s="364">
        <v>448.49999999999994</v>
      </c>
      <c r="X120" s="364">
        <v>261.06736842105261</v>
      </c>
      <c r="Y120" s="364">
        <v>253.5</v>
      </c>
      <c r="Z120" s="364">
        <v>0</v>
      </c>
      <c r="AA120" s="364">
        <f t="shared" si="15"/>
        <v>101380.26736842105</v>
      </c>
      <c r="AB120" s="364">
        <f t="shared" si="16"/>
        <v>81104.213894736837</v>
      </c>
      <c r="AC120" s="804"/>
      <c r="AD120" s="817"/>
      <c r="AE120" s="817"/>
      <c r="AF120" s="817"/>
      <c r="AG120" s="817"/>
      <c r="AH120" s="817"/>
      <c r="AI120" s="817"/>
      <c r="AJ120" s="817"/>
      <c r="AK120" s="818"/>
      <c r="AL120" s="817"/>
      <c r="AM120" s="275"/>
      <c r="AN120" s="886">
        <v>10602.897368421047</v>
      </c>
      <c r="AO120" s="886">
        <v>-74.832132963988926</v>
      </c>
      <c r="AP120" s="275"/>
      <c r="AQ120" s="834"/>
      <c r="AR120" s="834"/>
      <c r="AS120" s="834"/>
      <c r="AT120" s="834"/>
      <c r="AU120" s="834"/>
      <c r="AV120" s="834"/>
      <c r="AW120" s="834"/>
      <c r="AX120" s="834"/>
      <c r="AZ120" s="835"/>
      <c r="BA120" s="835"/>
      <c r="BB120" s="835"/>
      <c r="BC120" s="835"/>
      <c r="BD120" s="835"/>
      <c r="BE120" s="835"/>
      <c r="BF120" s="835"/>
      <c r="BG120" s="835"/>
      <c r="BH120" s="814"/>
      <c r="BI120" s="834"/>
      <c r="BJ120" s="834"/>
      <c r="BK120" s="834"/>
      <c r="BL120" s="834"/>
      <c r="BM120" s="834"/>
      <c r="BN120" s="834"/>
      <c r="BO120" s="834"/>
      <c r="BP120" s="834"/>
      <c r="BQ120" s="275"/>
      <c r="BR120" s="843"/>
      <c r="BS120" s="843"/>
      <c r="BT120" s="843"/>
      <c r="BU120" s="843"/>
      <c r="BV120" s="843"/>
      <c r="BW120" s="843"/>
      <c r="BX120" s="843"/>
      <c r="BY120" s="843"/>
      <c r="BZ120" s="843"/>
      <c r="CA120" s="843"/>
      <c r="CB120" s="843"/>
      <c r="CC120" s="843"/>
      <c r="CD120" s="843"/>
      <c r="CE120" s="843"/>
      <c r="CF120" s="843"/>
      <c r="CG120" s="843"/>
      <c r="CH120" s="843"/>
      <c r="CI120" s="843"/>
      <c r="CJ120" s="844"/>
      <c r="CK120" s="364"/>
      <c r="CL120" s="364"/>
      <c r="CM120" s="364"/>
      <c r="CN120" s="364"/>
      <c r="CO120" s="364"/>
      <c r="CP120" s="364"/>
      <c r="CQ120" s="364"/>
      <c r="CR120" s="804"/>
      <c r="CS120" s="852"/>
      <c r="CT120" s="853"/>
      <c r="CU120" s="853"/>
      <c r="CV120" s="853"/>
      <c r="CW120" s="853"/>
      <c r="CX120" s="853"/>
      <c r="CY120" s="853"/>
      <c r="CZ120" s="853"/>
      <c r="DA120" s="853"/>
      <c r="DC120" s="853"/>
      <c r="DD120" s="853"/>
      <c r="DE120" s="853"/>
      <c r="DF120" s="853"/>
      <c r="DG120" s="853"/>
      <c r="DH120" s="853"/>
      <c r="DI120" s="853"/>
      <c r="DJ120" s="853"/>
      <c r="DK120" s="853"/>
      <c r="DM120" s="853"/>
      <c r="DN120" s="853"/>
      <c r="DO120" s="853"/>
      <c r="DP120" s="853"/>
      <c r="DQ120" s="853"/>
      <c r="DR120" s="853"/>
      <c r="DS120" s="805"/>
      <c r="DT120" s="805"/>
      <c r="DV120" s="806">
        <f t="shared" si="10"/>
        <v>388351.76908240543</v>
      </c>
      <c r="DW120" s="806">
        <f t="shared" si="11"/>
        <v>705.1678670360111</v>
      </c>
      <c r="DX120" s="794">
        <f t="shared" si="12"/>
        <v>389056.93694944144</v>
      </c>
    </row>
    <row r="121" spans="1:128" hidden="1">
      <c r="A121" s="198">
        <v>7034</v>
      </c>
      <c r="B121" s="2">
        <v>103614</v>
      </c>
      <c r="C121" s="2" t="s">
        <v>265</v>
      </c>
      <c r="D121" s="2" t="s">
        <v>266</v>
      </c>
      <c r="E121" s="190" t="s">
        <v>56</v>
      </c>
      <c r="F121" s="211" t="str">
        <f>VLOOKUP(A121,'Summary June 2026'!A:F,6,FALSE)</f>
        <v>Chq Bk</v>
      </c>
      <c r="G121" s="33"/>
      <c r="H121" s="825">
        <v>0</v>
      </c>
      <c r="I121" s="804"/>
      <c r="J121" s="797"/>
      <c r="K121" s="797"/>
      <c r="L121" s="797"/>
      <c r="M121" s="797"/>
      <c r="N121" s="797"/>
      <c r="O121" s="797"/>
      <c r="P121" s="797"/>
      <c r="Q121" s="797"/>
      <c r="R121" s="797"/>
      <c r="S121" s="804"/>
      <c r="T121" s="364"/>
      <c r="U121" s="364"/>
      <c r="V121" s="364"/>
      <c r="W121" s="364"/>
      <c r="X121" s="364"/>
      <c r="Y121" s="364"/>
      <c r="Z121" s="364"/>
      <c r="AA121" s="364"/>
      <c r="AB121" s="364"/>
      <c r="AC121" s="804"/>
      <c r="AD121" s="817"/>
      <c r="AE121" s="817"/>
      <c r="AF121" s="817"/>
      <c r="AG121" s="817"/>
      <c r="AH121" s="817"/>
      <c r="AI121" s="817"/>
      <c r="AJ121" s="817"/>
      <c r="AK121" s="818"/>
      <c r="AL121" s="817"/>
      <c r="AM121" s="275"/>
      <c r="AN121" s="886">
        <v>0</v>
      </c>
      <c r="AO121" s="886">
        <v>0</v>
      </c>
      <c r="AP121" s="275"/>
      <c r="AQ121" s="834"/>
      <c r="AR121" s="834"/>
      <c r="AS121" s="834"/>
      <c r="AT121" s="834"/>
      <c r="AU121" s="834"/>
      <c r="AV121" s="834"/>
      <c r="AW121" s="834"/>
      <c r="AX121" s="834"/>
      <c r="AZ121" s="835"/>
      <c r="BA121" s="835"/>
      <c r="BB121" s="835"/>
      <c r="BC121" s="835"/>
      <c r="BD121" s="835"/>
      <c r="BE121" s="835"/>
      <c r="BF121" s="835"/>
      <c r="BG121" s="835"/>
      <c r="BH121" s="814"/>
      <c r="BI121" s="834"/>
      <c r="BJ121" s="834"/>
      <c r="BK121" s="834"/>
      <c r="BL121" s="834"/>
      <c r="BM121" s="834"/>
      <c r="BN121" s="834"/>
      <c r="BO121" s="834"/>
      <c r="BP121" s="834"/>
      <c r="BQ121" s="275"/>
      <c r="BR121" s="843"/>
      <c r="BS121" s="843"/>
      <c r="BT121" s="843"/>
      <c r="BU121" s="843"/>
      <c r="BV121" s="843"/>
      <c r="BW121" s="843"/>
      <c r="BX121" s="843"/>
      <c r="BY121" s="843"/>
      <c r="BZ121" s="843"/>
      <c r="CA121" s="843"/>
      <c r="CB121" s="843"/>
      <c r="CC121" s="843"/>
      <c r="CD121" s="843"/>
      <c r="CE121" s="843"/>
      <c r="CF121" s="843"/>
      <c r="CG121" s="843"/>
      <c r="CH121" s="843"/>
      <c r="CI121" s="843"/>
      <c r="CJ121" s="844"/>
      <c r="CK121" s="364"/>
      <c r="CL121" s="364"/>
      <c r="CM121" s="364"/>
      <c r="CN121" s="364"/>
      <c r="CO121" s="364"/>
      <c r="CP121" s="364"/>
      <c r="CQ121" s="364"/>
      <c r="CR121" s="804"/>
      <c r="CS121" s="852"/>
      <c r="CT121" s="853"/>
      <c r="CU121" s="853"/>
      <c r="CV121" s="853"/>
      <c r="CW121" s="853"/>
      <c r="CX121" s="853"/>
      <c r="CY121" s="853"/>
      <c r="CZ121" s="853"/>
      <c r="DA121" s="853"/>
      <c r="DC121" s="853"/>
      <c r="DD121" s="853"/>
      <c r="DE121" s="853"/>
      <c r="DF121" s="853"/>
      <c r="DG121" s="853"/>
      <c r="DH121" s="853"/>
      <c r="DI121" s="853"/>
      <c r="DJ121" s="853"/>
      <c r="DK121" s="853"/>
      <c r="DM121" s="853"/>
      <c r="DN121" s="853"/>
      <c r="DO121" s="853"/>
      <c r="DP121" s="853"/>
      <c r="DQ121" s="853"/>
      <c r="DR121" s="853"/>
      <c r="DS121" s="805"/>
      <c r="DT121" s="805"/>
      <c r="DV121" s="806">
        <f t="shared" si="10"/>
        <v>0</v>
      </c>
      <c r="DW121" s="806">
        <f t="shared" si="11"/>
        <v>0</v>
      </c>
      <c r="DX121" s="794">
        <f t="shared" si="12"/>
        <v>0</v>
      </c>
    </row>
    <row r="122" spans="1:128" hidden="1">
      <c r="A122" s="198">
        <v>4173</v>
      </c>
      <c r="B122" s="2">
        <v>103497</v>
      </c>
      <c r="C122" s="2" t="s">
        <v>267</v>
      </c>
      <c r="D122" s="2" t="s">
        <v>268</v>
      </c>
      <c r="E122" s="190" t="s">
        <v>71</v>
      </c>
      <c r="F122" s="211" t="str">
        <f>VLOOKUP(A122,'Summary June 2026'!A:F,6,FALSE)</f>
        <v>Chq Bk</v>
      </c>
      <c r="G122" s="33"/>
      <c r="H122" s="825">
        <v>0</v>
      </c>
      <c r="I122" s="804"/>
      <c r="J122" s="797">
        <v>0</v>
      </c>
      <c r="K122" s="797">
        <v>0</v>
      </c>
      <c r="L122" s="797">
        <v>0</v>
      </c>
      <c r="M122" s="797">
        <v>0</v>
      </c>
      <c r="N122" s="797">
        <v>0</v>
      </c>
      <c r="O122" s="797">
        <v>0</v>
      </c>
      <c r="P122" s="797">
        <v>0</v>
      </c>
      <c r="Q122" s="797">
        <f t="shared" ref="Q122:Q129" si="18">SUM(J122:P122)</f>
        <v>0</v>
      </c>
      <c r="R122" s="797">
        <f t="shared" si="14"/>
        <v>0</v>
      </c>
      <c r="S122" s="804"/>
      <c r="T122" s="364">
        <v>0</v>
      </c>
      <c r="U122" s="364">
        <v>0</v>
      </c>
      <c r="V122" s="364">
        <v>0</v>
      </c>
      <c r="W122" s="364">
        <v>0</v>
      </c>
      <c r="X122" s="364">
        <v>0</v>
      </c>
      <c r="Y122" s="364">
        <v>0</v>
      </c>
      <c r="Z122" s="364">
        <v>0</v>
      </c>
      <c r="AA122" s="364">
        <f t="shared" si="15"/>
        <v>0</v>
      </c>
      <c r="AB122" s="364">
        <f t="shared" si="16"/>
        <v>0</v>
      </c>
      <c r="AC122" s="804"/>
      <c r="AD122" s="817"/>
      <c r="AE122" s="817"/>
      <c r="AF122" s="817"/>
      <c r="AG122" s="817"/>
      <c r="AH122" s="817"/>
      <c r="AI122" s="817"/>
      <c r="AJ122" s="817"/>
      <c r="AK122" s="818"/>
      <c r="AL122" s="817"/>
      <c r="AM122" s="275"/>
      <c r="AN122" s="886">
        <v>0</v>
      </c>
      <c r="AO122" s="886">
        <v>0</v>
      </c>
      <c r="AP122" s="275"/>
      <c r="AQ122" s="834"/>
      <c r="AR122" s="834"/>
      <c r="AS122" s="834"/>
      <c r="AT122" s="834"/>
      <c r="AU122" s="834"/>
      <c r="AV122" s="834"/>
      <c r="AW122" s="834"/>
      <c r="AX122" s="834"/>
      <c r="AZ122" s="835"/>
      <c r="BA122" s="835"/>
      <c r="BB122" s="835"/>
      <c r="BC122" s="835"/>
      <c r="BD122" s="835"/>
      <c r="BE122" s="835"/>
      <c r="BF122" s="835"/>
      <c r="BG122" s="835"/>
      <c r="BH122" s="814"/>
      <c r="BI122" s="834"/>
      <c r="BJ122" s="834"/>
      <c r="BK122" s="834"/>
      <c r="BL122" s="834"/>
      <c r="BM122" s="834"/>
      <c r="BN122" s="834"/>
      <c r="BO122" s="834"/>
      <c r="BP122" s="834"/>
      <c r="BQ122" s="275"/>
      <c r="BR122" s="843"/>
      <c r="BS122" s="843"/>
      <c r="BT122" s="843"/>
      <c r="BU122" s="843"/>
      <c r="BV122" s="843"/>
      <c r="BW122" s="843"/>
      <c r="BX122" s="843"/>
      <c r="BY122" s="843"/>
      <c r="BZ122" s="843"/>
      <c r="CA122" s="843"/>
      <c r="CB122" s="843"/>
      <c r="CC122" s="843"/>
      <c r="CD122" s="843"/>
      <c r="CE122" s="843"/>
      <c r="CF122" s="843"/>
      <c r="CG122" s="843"/>
      <c r="CH122" s="843"/>
      <c r="CI122" s="843"/>
      <c r="CJ122" s="844"/>
      <c r="CK122" s="364"/>
      <c r="CL122" s="364"/>
      <c r="CM122" s="364"/>
      <c r="CN122" s="364"/>
      <c r="CO122" s="364"/>
      <c r="CP122" s="364"/>
      <c r="CQ122" s="364"/>
      <c r="CR122" s="804"/>
      <c r="CS122" s="852"/>
      <c r="CT122" s="853"/>
      <c r="CU122" s="853"/>
      <c r="CV122" s="853"/>
      <c r="CW122" s="853"/>
      <c r="CX122" s="853"/>
      <c r="CY122" s="853"/>
      <c r="CZ122" s="853"/>
      <c r="DA122" s="853"/>
      <c r="DC122" s="853"/>
      <c r="DD122" s="853"/>
      <c r="DE122" s="853"/>
      <c r="DF122" s="853"/>
      <c r="DG122" s="853"/>
      <c r="DH122" s="853"/>
      <c r="DI122" s="853"/>
      <c r="DJ122" s="853"/>
      <c r="DK122" s="853"/>
      <c r="DM122" s="853"/>
      <c r="DN122" s="853"/>
      <c r="DO122" s="853"/>
      <c r="DP122" s="853"/>
      <c r="DQ122" s="853"/>
      <c r="DR122" s="853"/>
      <c r="DS122" s="805"/>
      <c r="DT122" s="805"/>
      <c r="DV122" s="806">
        <f t="shared" si="10"/>
        <v>0</v>
      </c>
      <c r="DW122" s="806">
        <f t="shared" si="11"/>
        <v>0</v>
      </c>
      <c r="DX122" s="794">
        <f t="shared" si="12"/>
        <v>0</v>
      </c>
    </row>
    <row r="123" spans="1:128" hidden="1">
      <c r="A123" s="198">
        <v>2157</v>
      </c>
      <c r="B123" s="2">
        <v>103246</v>
      </c>
      <c r="C123" s="2" t="s">
        <v>269</v>
      </c>
      <c r="D123" s="2" t="s">
        <v>270</v>
      </c>
      <c r="E123" s="190" t="s">
        <v>39</v>
      </c>
      <c r="F123" s="211" t="str">
        <f>VLOOKUP(A123,'Summary June 2026'!A:F,6,FALSE)</f>
        <v>Chq Bk</v>
      </c>
      <c r="G123" s="33"/>
      <c r="H123" s="825">
        <v>0</v>
      </c>
      <c r="I123" s="804"/>
      <c r="J123" s="797">
        <v>0</v>
      </c>
      <c r="K123" s="797">
        <v>0</v>
      </c>
      <c r="L123" s="797">
        <v>34288.800000000003</v>
      </c>
      <c r="M123" s="797">
        <v>0</v>
      </c>
      <c r="N123" s="797">
        <v>0</v>
      </c>
      <c r="O123" s="797">
        <v>118.95</v>
      </c>
      <c r="P123" s="797">
        <v>0</v>
      </c>
      <c r="Q123" s="797">
        <f t="shared" si="18"/>
        <v>34407.75</v>
      </c>
      <c r="R123" s="797">
        <f t="shared" si="14"/>
        <v>27526.2</v>
      </c>
      <c r="S123" s="804"/>
      <c r="T123" s="364">
        <v>0</v>
      </c>
      <c r="U123" s="364">
        <v>0</v>
      </c>
      <c r="V123" s="364">
        <v>39187.200000000004</v>
      </c>
      <c r="W123" s="364">
        <v>0</v>
      </c>
      <c r="X123" s="364">
        <v>0</v>
      </c>
      <c r="Y123" s="364">
        <v>538.20000000000005</v>
      </c>
      <c r="Z123" s="364">
        <v>0</v>
      </c>
      <c r="AA123" s="364">
        <f t="shared" si="15"/>
        <v>39725.4</v>
      </c>
      <c r="AB123" s="364">
        <f t="shared" si="16"/>
        <v>31780.320000000003</v>
      </c>
      <c r="AC123" s="804"/>
      <c r="AD123" s="817"/>
      <c r="AE123" s="817"/>
      <c r="AF123" s="817"/>
      <c r="AG123" s="817"/>
      <c r="AH123" s="817"/>
      <c r="AI123" s="817"/>
      <c r="AJ123" s="817"/>
      <c r="AK123" s="818"/>
      <c r="AL123" s="817"/>
      <c r="AM123" s="275"/>
      <c r="AN123" s="886">
        <v>2625.2531301939089</v>
      </c>
      <c r="AO123" s="886">
        <v>0</v>
      </c>
      <c r="AP123" s="275"/>
      <c r="AQ123" s="834"/>
      <c r="AR123" s="834"/>
      <c r="AS123" s="834"/>
      <c r="AT123" s="834"/>
      <c r="AU123" s="834"/>
      <c r="AV123" s="834"/>
      <c r="AW123" s="834"/>
      <c r="AX123" s="834"/>
      <c r="AZ123" s="835"/>
      <c r="BA123" s="835"/>
      <c r="BB123" s="835"/>
      <c r="BC123" s="835"/>
      <c r="BD123" s="835"/>
      <c r="BE123" s="835"/>
      <c r="BF123" s="835"/>
      <c r="BG123" s="835"/>
      <c r="BH123" s="814"/>
      <c r="BI123" s="834"/>
      <c r="BJ123" s="834"/>
      <c r="BK123" s="834"/>
      <c r="BL123" s="834"/>
      <c r="BM123" s="834"/>
      <c r="BN123" s="834"/>
      <c r="BO123" s="834"/>
      <c r="BP123" s="834"/>
      <c r="BQ123" s="275"/>
      <c r="BR123" s="843"/>
      <c r="BS123" s="843"/>
      <c r="BT123" s="843"/>
      <c r="BU123" s="843"/>
      <c r="BV123" s="843"/>
      <c r="BW123" s="843"/>
      <c r="BX123" s="843"/>
      <c r="BY123" s="843"/>
      <c r="BZ123" s="843"/>
      <c r="CA123" s="843"/>
      <c r="CB123" s="843"/>
      <c r="CC123" s="843"/>
      <c r="CD123" s="843"/>
      <c r="CE123" s="843"/>
      <c r="CF123" s="843"/>
      <c r="CG123" s="843"/>
      <c r="CH123" s="843"/>
      <c r="CI123" s="843"/>
      <c r="CJ123" s="844"/>
      <c r="CK123" s="364"/>
      <c r="CL123" s="364"/>
      <c r="CM123" s="364"/>
      <c r="CN123" s="364"/>
      <c r="CO123" s="364"/>
      <c r="CP123" s="364"/>
      <c r="CQ123" s="364"/>
      <c r="CR123" s="804"/>
      <c r="CS123" s="852"/>
      <c r="CT123" s="853"/>
      <c r="CU123" s="853"/>
      <c r="CV123" s="853"/>
      <c r="CW123" s="853"/>
      <c r="CX123" s="853"/>
      <c r="CY123" s="853"/>
      <c r="CZ123" s="853"/>
      <c r="DA123" s="853"/>
      <c r="DC123" s="853"/>
      <c r="DD123" s="853"/>
      <c r="DE123" s="853"/>
      <c r="DF123" s="853"/>
      <c r="DG123" s="853"/>
      <c r="DH123" s="853"/>
      <c r="DI123" s="853"/>
      <c r="DJ123" s="853"/>
      <c r="DK123" s="853"/>
      <c r="DM123" s="853"/>
      <c r="DN123" s="853"/>
      <c r="DO123" s="853"/>
      <c r="DP123" s="853"/>
      <c r="DQ123" s="853"/>
      <c r="DR123" s="853"/>
      <c r="DS123" s="805"/>
      <c r="DT123" s="805"/>
      <c r="DV123" s="806">
        <f t="shared" si="10"/>
        <v>61931.77313019392</v>
      </c>
      <c r="DW123" s="806">
        <f t="shared" si="11"/>
        <v>0</v>
      </c>
      <c r="DX123" s="794">
        <f t="shared" si="12"/>
        <v>61931.77313019392</v>
      </c>
    </row>
    <row r="124" spans="1:128" hidden="1">
      <c r="A124" s="198">
        <v>2159</v>
      </c>
      <c r="B124" s="2">
        <v>103247</v>
      </c>
      <c r="C124" s="2" t="s">
        <v>271</v>
      </c>
      <c r="D124" s="2" t="s">
        <v>272</v>
      </c>
      <c r="E124" s="190" t="s">
        <v>39</v>
      </c>
      <c r="F124" s="211" t="str">
        <f>VLOOKUP(A124,'Summary June 2026'!A:F,6,FALSE)</f>
        <v>Chq Bk</v>
      </c>
      <c r="G124" s="33"/>
      <c r="H124" s="825">
        <v>0</v>
      </c>
      <c r="I124" s="804"/>
      <c r="J124" s="797">
        <v>0</v>
      </c>
      <c r="K124" s="797">
        <v>0</v>
      </c>
      <c r="L124" s="797">
        <v>0</v>
      </c>
      <c r="M124" s="797">
        <v>0</v>
      </c>
      <c r="N124" s="797">
        <v>0</v>
      </c>
      <c r="O124" s="797">
        <v>0</v>
      </c>
      <c r="P124" s="797">
        <v>0</v>
      </c>
      <c r="Q124" s="797">
        <f t="shared" si="18"/>
        <v>0</v>
      </c>
      <c r="R124" s="797">
        <f t="shared" si="14"/>
        <v>0</v>
      </c>
      <c r="S124" s="804"/>
      <c r="T124" s="364">
        <v>0</v>
      </c>
      <c r="U124" s="364">
        <v>0</v>
      </c>
      <c r="V124" s="364">
        <v>0</v>
      </c>
      <c r="W124" s="364">
        <v>0</v>
      </c>
      <c r="X124" s="364">
        <v>0</v>
      </c>
      <c r="Y124" s="364">
        <v>0</v>
      </c>
      <c r="Z124" s="364">
        <v>0</v>
      </c>
      <c r="AA124" s="364">
        <f t="shared" si="15"/>
        <v>0</v>
      </c>
      <c r="AB124" s="364">
        <f t="shared" si="16"/>
        <v>0</v>
      </c>
      <c r="AC124" s="804"/>
      <c r="AD124" s="817"/>
      <c r="AE124" s="817"/>
      <c r="AF124" s="817"/>
      <c r="AG124" s="817"/>
      <c r="AH124" s="817"/>
      <c r="AI124" s="817"/>
      <c r="AJ124" s="817"/>
      <c r="AK124" s="818"/>
      <c r="AL124" s="817"/>
      <c r="AM124" s="275"/>
      <c r="AN124" s="886">
        <v>0</v>
      </c>
      <c r="AO124" s="886">
        <v>0</v>
      </c>
      <c r="AP124" s="275"/>
      <c r="AQ124" s="834"/>
      <c r="AR124" s="834"/>
      <c r="AS124" s="834"/>
      <c r="AT124" s="834"/>
      <c r="AU124" s="834"/>
      <c r="AV124" s="834"/>
      <c r="AW124" s="834"/>
      <c r="AX124" s="834"/>
      <c r="AZ124" s="835"/>
      <c r="BA124" s="835"/>
      <c r="BB124" s="835"/>
      <c r="BC124" s="835"/>
      <c r="BD124" s="835"/>
      <c r="BE124" s="835"/>
      <c r="BF124" s="835"/>
      <c r="BG124" s="835"/>
      <c r="BH124" s="814"/>
      <c r="BI124" s="834"/>
      <c r="BJ124" s="834"/>
      <c r="BK124" s="834"/>
      <c r="BL124" s="834"/>
      <c r="BM124" s="834"/>
      <c r="BN124" s="834"/>
      <c r="BO124" s="834"/>
      <c r="BP124" s="834"/>
      <c r="BQ124" s="275"/>
      <c r="BR124" s="843"/>
      <c r="BS124" s="843"/>
      <c r="BT124" s="843"/>
      <c r="BU124" s="843"/>
      <c r="BV124" s="843"/>
      <c r="BW124" s="843"/>
      <c r="BX124" s="843"/>
      <c r="BY124" s="843"/>
      <c r="BZ124" s="843"/>
      <c r="CA124" s="843"/>
      <c r="CB124" s="843"/>
      <c r="CC124" s="843"/>
      <c r="CD124" s="843"/>
      <c r="CE124" s="843"/>
      <c r="CF124" s="843"/>
      <c r="CG124" s="843"/>
      <c r="CH124" s="843"/>
      <c r="CI124" s="843"/>
      <c r="CJ124" s="844"/>
      <c r="CK124" s="364"/>
      <c r="CL124" s="364"/>
      <c r="CM124" s="364"/>
      <c r="CN124" s="364"/>
      <c r="CO124" s="364"/>
      <c r="CP124" s="364"/>
      <c r="CQ124" s="364"/>
      <c r="CR124" s="804"/>
      <c r="CS124" s="852"/>
      <c r="CT124" s="853"/>
      <c r="CU124" s="853"/>
      <c r="CV124" s="853"/>
      <c r="CW124" s="853"/>
      <c r="CX124" s="853"/>
      <c r="CY124" s="853"/>
      <c r="CZ124" s="853"/>
      <c r="DA124" s="853"/>
      <c r="DC124" s="853"/>
      <c r="DD124" s="853"/>
      <c r="DE124" s="853"/>
      <c r="DF124" s="853"/>
      <c r="DG124" s="853"/>
      <c r="DH124" s="853"/>
      <c r="DI124" s="853"/>
      <c r="DJ124" s="853"/>
      <c r="DK124" s="853"/>
      <c r="DM124" s="853"/>
      <c r="DN124" s="853"/>
      <c r="DO124" s="853"/>
      <c r="DP124" s="853"/>
      <c r="DQ124" s="853"/>
      <c r="DR124" s="853"/>
      <c r="DS124" s="805"/>
      <c r="DT124" s="805"/>
      <c r="DV124" s="806">
        <f t="shared" si="10"/>
        <v>0</v>
      </c>
      <c r="DW124" s="806">
        <f t="shared" si="11"/>
        <v>0</v>
      </c>
      <c r="DX124" s="794">
        <f t="shared" si="12"/>
        <v>0</v>
      </c>
    </row>
    <row r="125" spans="1:128" hidden="1">
      <c r="A125" s="198">
        <v>2161</v>
      </c>
      <c r="B125" s="2">
        <v>103249</v>
      </c>
      <c r="C125" s="2" t="s">
        <v>273</v>
      </c>
      <c r="D125" s="2" t="s">
        <v>274</v>
      </c>
      <c r="E125" s="190" t="s">
        <v>39</v>
      </c>
      <c r="F125" s="211" t="str">
        <f>VLOOKUP(A125,'Summary June 2026'!A:F,6,FALSE)</f>
        <v>Chq Bk</v>
      </c>
      <c r="G125" s="33"/>
      <c r="H125" s="825">
        <v>0</v>
      </c>
      <c r="I125" s="804"/>
      <c r="J125" s="797">
        <v>0</v>
      </c>
      <c r="K125" s="797">
        <v>0</v>
      </c>
      <c r="L125" s="797">
        <v>63679.199999999997</v>
      </c>
      <c r="M125" s="797">
        <v>4485</v>
      </c>
      <c r="N125" s="797">
        <v>0</v>
      </c>
      <c r="O125" s="797">
        <v>1448.8500000000001</v>
      </c>
      <c r="P125" s="797">
        <v>0</v>
      </c>
      <c r="Q125" s="797">
        <f t="shared" si="18"/>
        <v>69613.05</v>
      </c>
      <c r="R125" s="797">
        <f t="shared" si="14"/>
        <v>55690.44</v>
      </c>
      <c r="S125" s="804"/>
      <c r="T125" s="364">
        <v>0</v>
      </c>
      <c r="U125" s="364">
        <v>0</v>
      </c>
      <c r="V125" s="364">
        <v>56331.600000000006</v>
      </c>
      <c r="W125" s="364">
        <v>2691</v>
      </c>
      <c r="X125" s="364">
        <v>149.24</v>
      </c>
      <c r="Y125" s="364">
        <v>1185.5999999999999</v>
      </c>
      <c r="Z125" s="364">
        <v>0</v>
      </c>
      <c r="AA125" s="364">
        <f t="shared" si="15"/>
        <v>60357.440000000002</v>
      </c>
      <c r="AB125" s="364">
        <f t="shared" si="16"/>
        <v>48285.952000000005</v>
      </c>
      <c r="AC125" s="804"/>
      <c r="AD125" s="817"/>
      <c r="AE125" s="817"/>
      <c r="AF125" s="817"/>
      <c r="AG125" s="817"/>
      <c r="AH125" s="817"/>
      <c r="AI125" s="817"/>
      <c r="AJ125" s="817"/>
      <c r="AK125" s="818"/>
      <c r="AL125" s="817"/>
      <c r="AM125" s="275"/>
      <c r="AN125" s="886">
        <v>9894.2236842105303</v>
      </c>
      <c r="AO125" s="886">
        <v>0</v>
      </c>
      <c r="AP125" s="275"/>
      <c r="AQ125" s="834"/>
      <c r="AR125" s="834"/>
      <c r="AS125" s="834"/>
      <c r="AT125" s="834"/>
      <c r="AU125" s="834"/>
      <c r="AV125" s="834"/>
      <c r="AW125" s="834"/>
      <c r="AX125" s="834"/>
      <c r="AZ125" s="835"/>
      <c r="BA125" s="835"/>
      <c r="BB125" s="835"/>
      <c r="BC125" s="835"/>
      <c r="BD125" s="835"/>
      <c r="BE125" s="835"/>
      <c r="BF125" s="835"/>
      <c r="BG125" s="835"/>
      <c r="BH125" s="814"/>
      <c r="BI125" s="834"/>
      <c r="BJ125" s="834"/>
      <c r="BK125" s="834"/>
      <c r="BL125" s="834"/>
      <c r="BM125" s="834"/>
      <c r="BN125" s="834"/>
      <c r="BO125" s="834"/>
      <c r="BP125" s="834"/>
      <c r="BQ125" s="275"/>
      <c r="BR125" s="843"/>
      <c r="BS125" s="843"/>
      <c r="BT125" s="843"/>
      <c r="BU125" s="843"/>
      <c r="BV125" s="843"/>
      <c r="BW125" s="843"/>
      <c r="BX125" s="843"/>
      <c r="BY125" s="843"/>
      <c r="BZ125" s="843"/>
      <c r="CA125" s="843"/>
      <c r="CB125" s="843"/>
      <c r="CC125" s="843"/>
      <c r="CD125" s="843"/>
      <c r="CE125" s="843"/>
      <c r="CF125" s="843"/>
      <c r="CG125" s="843"/>
      <c r="CH125" s="843"/>
      <c r="CI125" s="843"/>
      <c r="CJ125" s="844"/>
      <c r="CK125" s="364"/>
      <c r="CL125" s="364"/>
      <c r="CM125" s="364"/>
      <c r="CN125" s="364"/>
      <c r="CO125" s="364"/>
      <c r="CP125" s="364"/>
      <c r="CQ125" s="364"/>
      <c r="CR125" s="804"/>
      <c r="CS125" s="852"/>
      <c r="CT125" s="853"/>
      <c r="CU125" s="853"/>
      <c r="CV125" s="853"/>
      <c r="CW125" s="853"/>
      <c r="CX125" s="853"/>
      <c r="CY125" s="853"/>
      <c r="CZ125" s="853"/>
      <c r="DA125" s="853"/>
      <c r="DC125" s="853"/>
      <c r="DD125" s="853"/>
      <c r="DE125" s="853"/>
      <c r="DF125" s="853"/>
      <c r="DG125" s="853"/>
      <c r="DH125" s="853"/>
      <c r="DI125" s="853"/>
      <c r="DJ125" s="853"/>
      <c r="DK125" s="853"/>
      <c r="DM125" s="853"/>
      <c r="DN125" s="853"/>
      <c r="DO125" s="853"/>
      <c r="DP125" s="853"/>
      <c r="DQ125" s="853"/>
      <c r="DR125" s="853"/>
      <c r="DS125" s="805"/>
      <c r="DT125" s="805"/>
      <c r="DV125" s="806">
        <f t="shared" si="10"/>
        <v>113870.61568421056</v>
      </c>
      <c r="DW125" s="806">
        <f t="shared" si="11"/>
        <v>0</v>
      </c>
      <c r="DX125" s="794">
        <f t="shared" si="12"/>
        <v>113870.61568421056</v>
      </c>
    </row>
    <row r="126" spans="1:128" hidden="1">
      <c r="A126" s="198">
        <v>2160</v>
      </c>
      <c r="B126" s="2">
        <v>103248</v>
      </c>
      <c r="C126" s="2" t="s">
        <v>275</v>
      </c>
      <c r="D126" s="2" t="s">
        <v>276</v>
      </c>
      <c r="E126" s="190" t="s">
        <v>39</v>
      </c>
      <c r="F126" s="211" t="str">
        <f>VLOOKUP(A126,'Summary June 2026'!A:F,6,FALSE)</f>
        <v>Chq Bk</v>
      </c>
      <c r="G126" s="33"/>
      <c r="H126" s="825">
        <v>0</v>
      </c>
      <c r="I126" s="804"/>
      <c r="J126" s="797">
        <v>0</v>
      </c>
      <c r="K126" s="797">
        <v>0</v>
      </c>
      <c r="L126" s="797">
        <v>0</v>
      </c>
      <c r="M126" s="797">
        <v>0</v>
      </c>
      <c r="N126" s="797">
        <v>0</v>
      </c>
      <c r="O126" s="797">
        <v>0</v>
      </c>
      <c r="P126" s="797">
        <v>0</v>
      </c>
      <c r="Q126" s="797">
        <f t="shared" si="18"/>
        <v>0</v>
      </c>
      <c r="R126" s="797">
        <f t="shared" si="14"/>
        <v>0</v>
      </c>
      <c r="S126" s="804"/>
      <c r="T126" s="364">
        <v>0</v>
      </c>
      <c r="U126" s="364">
        <v>0</v>
      </c>
      <c r="V126" s="364">
        <v>0</v>
      </c>
      <c r="W126" s="364">
        <v>0</v>
      </c>
      <c r="X126" s="364">
        <v>0</v>
      </c>
      <c r="Y126" s="364">
        <v>0</v>
      </c>
      <c r="Z126" s="364">
        <v>0</v>
      </c>
      <c r="AA126" s="364">
        <f t="shared" si="15"/>
        <v>0</v>
      </c>
      <c r="AB126" s="364">
        <f t="shared" si="16"/>
        <v>0</v>
      </c>
      <c r="AC126" s="804"/>
      <c r="AD126" s="817"/>
      <c r="AE126" s="817"/>
      <c r="AF126" s="817"/>
      <c r="AG126" s="817"/>
      <c r="AH126" s="817"/>
      <c r="AI126" s="817"/>
      <c r="AJ126" s="817"/>
      <c r="AK126" s="818"/>
      <c r="AL126" s="817"/>
      <c r="AM126" s="275"/>
      <c r="AN126" s="886">
        <v>0</v>
      </c>
      <c r="AO126" s="886">
        <v>0</v>
      </c>
      <c r="AP126" s="275"/>
      <c r="AQ126" s="834"/>
      <c r="AR126" s="834"/>
      <c r="AS126" s="834"/>
      <c r="AT126" s="834"/>
      <c r="AU126" s="834"/>
      <c r="AV126" s="834"/>
      <c r="AW126" s="834"/>
      <c r="AX126" s="834"/>
      <c r="AZ126" s="835"/>
      <c r="BA126" s="835"/>
      <c r="BB126" s="835"/>
      <c r="BC126" s="835"/>
      <c r="BD126" s="835"/>
      <c r="BE126" s="835"/>
      <c r="BF126" s="835"/>
      <c r="BG126" s="835"/>
      <c r="BH126" s="814"/>
      <c r="BI126" s="834"/>
      <c r="BJ126" s="834"/>
      <c r="BK126" s="834"/>
      <c r="BL126" s="834"/>
      <c r="BM126" s="834"/>
      <c r="BN126" s="834"/>
      <c r="BO126" s="834"/>
      <c r="BP126" s="834"/>
      <c r="BQ126" s="275"/>
      <c r="BR126" s="843"/>
      <c r="BS126" s="843"/>
      <c r="BT126" s="843"/>
      <c r="BU126" s="843"/>
      <c r="BV126" s="843"/>
      <c r="BW126" s="843"/>
      <c r="BX126" s="843"/>
      <c r="BY126" s="843"/>
      <c r="BZ126" s="843"/>
      <c r="CA126" s="843"/>
      <c r="CB126" s="843"/>
      <c r="CC126" s="843"/>
      <c r="CD126" s="843"/>
      <c r="CE126" s="843"/>
      <c r="CF126" s="843"/>
      <c r="CG126" s="843"/>
      <c r="CH126" s="843"/>
      <c r="CI126" s="843"/>
      <c r="CJ126" s="844"/>
      <c r="CK126" s="364"/>
      <c r="CL126" s="364"/>
      <c r="CM126" s="364"/>
      <c r="CN126" s="364"/>
      <c r="CO126" s="364"/>
      <c r="CP126" s="364"/>
      <c r="CQ126" s="364"/>
      <c r="CR126" s="804"/>
      <c r="CS126" s="852"/>
      <c r="CT126" s="853"/>
      <c r="CU126" s="853"/>
      <c r="CV126" s="853"/>
      <c r="CW126" s="853"/>
      <c r="CX126" s="853"/>
      <c r="CY126" s="853"/>
      <c r="CZ126" s="853"/>
      <c r="DA126" s="853"/>
      <c r="DC126" s="853"/>
      <c r="DD126" s="853"/>
      <c r="DE126" s="853"/>
      <c r="DF126" s="853"/>
      <c r="DG126" s="853"/>
      <c r="DH126" s="853"/>
      <c r="DI126" s="853"/>
      <c r="DJ126" s="853"/>
      <c r="DK126" s="853"/>
      <c r="DM126" s="853"/>
      <c r="DN126" s="853"/>
      <c r="DO126" s="853"/>
      <c r="DP126" s="853"/>
      <c r="DQ126" s="853"/>
      <c r="DR126" s="853"/>
      <c r="DS126" s="805"/>
      <c r="DT126" s="805"/>
      <c r="DV126" s="806">
        <f t="shared" si="10"/>
        <v>0</v>
      </c>
      <c r="DW126" s="806">
        <f t="shared" si="11"/>
        <v>0</v>
      </c>
      <c r="DX126" s="794">
        <f t="shared" si="12"/>
        <v>0</v>
      </c>
    </row>
    <row r="127" spans="1:128" hidden="1">
      <c r="A127" s="198">
        <v>2063</v>
      </c>
      <c r="B127" s="2">
        <v>103193</v>
      </c>
      <c r="C127" s="2" t="s">
        <v>277</v>
      </c>
      <c r="D127" s="2" t="s">
        <v>278</v>
      </c>
      <c r="E127" s="190" t="s">
        <v>39</v>
      </c>
      <c r="F127" s="211" t="str">
        <f>VLOOKUP(A127,'Summary June 2026'!A:F,6,FALSE)</f>
        <v>Chq Bk</v>
      </c>
      <c r="G127" s="33"/>
      <c r="H127" s="825">
        <v>0</v>
      </c>
      <c r="I127" s="804"/>
      <c r="J127" s="797">
        <v>0</v>
      </c>
      <c r="K127" s="797">
        <v>0</v>
      </c>
      <c r="L127" s="797">
        <v>33064.200000000004</v>
      </c>
      <c r="M127" s="797">
        <v>4485</v>
      </c>
      <c r="N127" s="797">
        <v>0</v>
      </c>
      <c r="O127" s="797">
        <v>1764.75</v>
      </c>
      <c r="P127" s="797">
        <v>0</v>
      </c>
      <c r="Q127" s="797">
        <f t="shared" si="18"/>
        <v>39313.950000000004</v>
      </c>
      <c r="R127" s="797">
        <f t="shared" si="14"/>
        <v>31451.160000000003</v>
      </c>
      <c r="S127" s="804"/>
      <c r="T127" s="364">
        <v>0</v>
      </c>
      <c r="U127" s="364">
        <v>0</v>
      </c>
      <c r="V127" s="364">
        <v>26941.200000000001</v>
      </c>
      <c r="W127" s="364">
        <v>1345.5</v>
      </c>
      <c r="X127" s="364">
        <v>0</v>
      </c>
      <c r="Y127" s="364">
        <v>1583.3999999999999</v>
      </c>
      <c r="Z127" s="364">
        <v>0</v>
      </c>
      <c r="AA127" s="364">
        <f t="shared" si="15"/>
        <v>29870.100000000002</v>
      </c>
      <c r="AB127" s="364">
        <f t="shared" si="16"/>
        <v>23896.080000000002</v>
      </c>
      <c r="AC127" s="804"/>
      <c r="AD127" s="817"/>
      <c r="AE127" s="817"/>
      <c r="AF127" s="817"/>
      <c r="AG127" s="817"/>
      <c r="AH127" s="817"/>
      <c r="AI127" s="817"/>
      <c r="AJ127" s="817"/>
      <c r="AK127" s="818"/>
      <c r="AL127" s="817"/>
      <c r="AM127" s="275"/>
      <c r="AN127" s="886">
        <v>-4052.6947368421052</v>
      </c>
      <c r="AO127" s="886">
        <v>0</v>
      </c>
      <c r="AP127" s="275"/>
      <c r="AQ127" s="834"/>
      <c r="AR127" s="834"/>
      <c r="AS127" s="834"/>
      <c r="AT127" s="834"/>
      <c r="AU127" s="834"/>
      <c r="AV127" s="834"/>
      <c r="AW127" s="834"/>
      <c r="AX127" s="834"/>
      <c r="AZ127" s="835"/>
      <c r="BA127" s="835"/>
      <c r="BB127" s="835"/>
      <c r="BC127" s="835"/>
      <c r="BD127" s="835"/>
      <c r="BE127" s="835"/>
      <c r="BF127" s="835"/>
      <c r="BG127" s="835"/>
      <c r="BH127" s="814"/>
      <c r="BI127" s="834"/>
      <c r="BJ127" s="834"/>
      <c r="BK127" s="834"/>
      <c r="BL127" s="834"/>
      <c r="BM127" s="834"/>
      <c r="BN127" s="834"/>
      <c r="BO127" s="834"/>
      <c r="BP127" s="834"/>
      <c r="BQ127" s="275"/>
      <c r="BR127" s="843"/>
      <c r="BS127" s="843"/>
      <c r="BT127" s="843"/>
      <c r="BU127" s="843"/>
      <c r="BV127" s="843"/>
      <c r="BW127" s="843"/>
      <c r="BX127" s="843"/>
      <c r="BY127" s="843"/>
      <c r="BZ127" s="843"/>
      <c r="CA127" s="843"/>
      <c r="CB127" s="843"/>
      <c r="CC127" s="843"/>
      <c r="CD127" s="843"/>
      <c r="CE127" s="843"/>
      <c r="CF127" s="843"/>
      <c r="CG127" s="843"/>
      <c r="CH127" s="843"/>
      <c r="CI127" s="843"/>
      <c r="CJ127" s="844"/>
      <c r="CK127" s="364"/>
      <c r="CL127" s="364"/>
      <c r="CM127" s="364"/>
      <c r="CN127" s="364"/>
      <c r="CO127" s="364"/>
      <c r="CP127" s="364"/>
      <c r="CQ127" s="364"/>
      <c r="CR127" s="804"/>
      <c r="CS127" s="852"/>
      <c r="CT127" s="853"/>
      <c r="CU127" s="853"/>
      <c r="CV127" s="853"/>
      <c r="CW127" s="853"/>
      <c r="CX127" s="853"/>
      <c r="CY127" s="853"/>
      <c r="CZ127" s="853"/>
      <c r="DA127" s="853"/>
      <c r="DC127" s="853"/>
      <c r="DD127" s="853"/>
      <c r="DE127" s="853"/>
      <c r="DF127" s="853"/>
      <c r="DG127" s="853"/>
      <c r="DH127" s="853"/>
      <c r="DI127" s="853"/>
      <c r="DJ127" s="853"/>
      <c r="DK127" s="853"/>
      <c r="DM127" s="853"/>
      <c r="DN127" s="853"/>
      <c r="DO127" s="853"/>
      <c r="DP127" s="853"/>
      <c r="DQ127" s="853"/>
      <c r="DR127" s="853"/>
      <c r="DS127" s="805"/>
      <c r="DT127" s="805"/>
      <c r="DV127" s="806">
        <f t="shared" si="10"/>
        <v>51294.545263157903</v>
      </c>
      <c r="DW127" s="806">
        <f t="shared" si="11"/>
        <v>0</v>
      </c>
      <c r="DX127" s="794">
        <f t="shared" si="12"/>
        <v>51294.545263157903</v>
      </c>
    </row>
    <row r="128" spans="1:128" hidden="1">
      <c r="A128" s="198">
        <v>1018</v>
      </c>
      <c r="B128" s="2">
        <v>103131</v>
      </c>
      <c r="C128" s="2" t="s">
        <v>279</v>
      </c>
      <c r="D128" s="2" t="s">
        <v>280</v>
      </c>
      <c r="E128" s="190" t="s">
        <v>36</v>
      </c>
      <c r="F128" s="211" t="str">
        <f>VLOOKUP(A128,'Summary June 2026'!A:F,6,FALSE)</f>
        <v>Chq Bk</v>
      </c>
      <c r="G128" s="33"/>
      <c r="H128" s="825">
        <v>301388.41594703094</v>
      </c>
      <c r="I128" s="804"/>
      <c r="J128" s="797">
        <v>0</v>
      </c>
      <c r="K128" s="797">
        <v>76104.599999999991</v>
      </c>
      <c r="L128" s="797">
        <v>202059</v>
      </c>
      <c r="M128" s="797">
        <v>23097.75</v>
      </c>
      <c r="N128" s="797">
        <v>9363.2705263157895</v>
      </c>
      <c r="O128" s="797">
        <v>9984</v>
      </c>
      <c r="P128" s="797">
        <v>16575</v>
      </c>
      <c r="Q128" s="797">
        <f t="shared" si="18"/>
        <v>337183.62052631576</v>
      </c>
      <c r="R128" s="797">
        <f t="shared" si="14"/>
        <v>269746.89642105263</v>
      </c>
      <c r="S128" s="804"/>
      <c r="T128" s="364">
        <v>0</v>
      </c>
      <c r="U128" s="364">
        <v>91671.449999999983</v>
      </c>
      <c r="V128" s="364">
        <v>112663.20000000001</v>
      </c>
      <c r="W128" s="364">
        <v>15921.749999999998</v>
      </c>
      <c r="X128" s="364">
        <v>6416.2936842105264</v>
      </c>
      <c r="Y128" s="364">
        <v>6029.4</v>
      </c>
      <c r="Z128" s="364">
        <v>4875</v>
      </c>
      <c r="AA128" s="364">
        <f t="shared" si="15"/>
        <v>237577.09368421053</v>
      </c>
      <c r="AB128" s="364">
        <f t="shared" si="16"/>
        <v>190061.67494736845</v>
      </c>
      <c r="AC128" s="804"/>
      <c r="AD128" s="817"/>
      <c r="AE128" s="817"/>
      <c r="AF128" s="817"/>
      <c r="AG128" s="817"/>
      <c r="AH128" s="817"/>
      <c r="AI128" s="817"/>
      <c r="AJ128" s="817"/>
      <c r="AK128" s="818"/>
      <c r="AL128" s="817"/>
      <c r="AM128" s="275"/>
      <c r="AN128" s="886">
        <v>23975.874044321328</v>
      </c>
      <c r="AO128" s="886">
        <v>-1870.8033240997233</v>
      </c>
      <c r="AP128" s="275"/>
      <c r="AQ128" s="834"/>
      <c r="AR128" s="834"/>
      <c r="AS128" s="834"/>
      <c r="AT128" s="834"/>
      <c r="AU128" s="834"/>
      <c r="AV128" s="834"/>
      <c r="AW128" s="834"/>
      <c r="AX128" s="834"/>
      <c r="AZ128" s="835"/>
      <c r="BA128" s="835"/>
      <c r="BB128" s="835"/>
      <c r="BC128" s="835"/>
      <c r="BD128" s="835"/>
      <c r="BE128" s="835"/>
      <c r="BF128" s="835"/>
      <c r="BG128" s="835"/>
      <c r="BH128" s="814"/>
      <c r="BI128" s="834"/>
      <c r="BJ128" s="834"/>
      <c r="BK128" s="834"/>
      <c r="BL128" s="834"/>
      <c r="BM128" s="834"/>
      <c r="BN128" s="834"/>
      <c r="BO128" s="834"/>
      <c r="BP128" s="834"/>
      <c r="BQ128" s="275"/>
      <c r="BR128" s="843"/>
      <c r="BS128" s="843"/>
      <c r="BT128" s="843"/>
      <c r="BU128" s="843"/>
      <c r="BV128" s="843"/>
      <c r="BW128" s="843"/>
      <c r="BX128" s="843"/>
      <c r="BY128" s="843"/>
      <c r="BZ128" s="843"/>
      <c r="CA128" s="843"/>
      <c r="CB128" s="843"/>
      <c r="CC128" s="843"/>
      <c r="CD128" s="843"/>
      <c r="CE128" s="843"/>
      <c r="CF128" s="843"/>
      <c r="CG128" s="843"/>
      <c r="CH128" s="843"/>
      <c r="CI128" s="843"/>
      <c r="CJ128" s="844"/>
      <c r="CK128" s="364"/>
      <c r="CL128" s="364"/>
      <c r="CM128" s="364"/>
      <c r="CN128" s="364"/>
      <c r="CO128" s="364"/>
      <c r="CP128" s="364"/>
      <c r="CQ128" s="364"/>
      <c r="CR128" s="804"/>
      <c r="CS128" s="852"/>
      <c r="CT128" s="853"/>
      <c r="CU128" s="853"/>
      <c r="CV128" s="853"/>
      <c r="CW128" s="853"/>
      <c r="CX128" s="853"/>
      <c r="CY128" s="853"/>
      <c r="CZ128" s="853"/>
      <c r="DA128" s="853"/>
      <c r="DC128" s="853"/>
      <c r="DD128" s="853"/>
      <c r="DE128" s="853"/>
      <c r="DF128" s="853"/>
      <c r="DG128" s="853"/>
      <c r="DH128" s="853"/>
      <c r="DI128" s="853"/>
      <c r="DJ128" s="853"/>
      <c r="DK128" s="853"/>
      <c r="DM128" s="853"/>
      <c r="DN128" s="853"/>
      <c r="DO128" s="853"/>
      <c r="DP128" s="853"/>
      <c r="DQ128" s="853"/>
      <c r="DR128" s="853"/>
      <c r="DS128" s="805"/>
      <c r="DT128" s="805"/>
      <c r="DV128" s="806">
        <f t="shared" si="10"/>
        <v>768012.86135977332</v>
      </c>
      <c r="DW128" s="806">
        <f t="shared" si="11"/>
        <v>15289.196675900277</v>
      </c>
      <c r="DX128" s="794">
        <f t="shared" si="12"/>
        <v>783302.05803567357</v>
      </c>
    </row>
    <row r="129" spans="1:128" hidden="1">
      <c r="A129" s="198">
        <v>1000</v>
      </c>
      <c r="B129" s="2">
        <v>137796</v>
      </c>
      <c r="C129" s="2" t="s">
        <v>281</v>
      </c>
      <c r="D129" s="2" t="s">
        <v>282</v>
      </c>
      <c r="E129" s="190" t="s">
        <v>36</v>
      </c>
      <c r="F129" s="211" t="str">
        <f>VLOOKUP(A129,'Summary June 2026'!A:F,6,FALSE)</f>
        <v>Chq Bk</v>
      </c>
      <c r="G129" s="33"/>
      <c r="H129" s="825">
        <v>178412.09402448876</v>
      </c>
      <c r="I129" s="804"/>
      <c r="J129" s="797">
        <v>0</v>
      </c>
      <c r="K129" s="797">
        <v>0</v>
      </c>
      <c r="L129" s="797">
        <v>111324.304</v>
      </c>
      <c r="M129" s="797">
        <v>3587.9999999999995</v>
      </c>
      <c r="N129" s="797">
        <v>1205.0343157894736</v>
      </c>
      <c r="O129" s="797">
        <v>2377.895</v>
      </c>
      <c r="P129" s="797">
        <v>975</v>
      </c>
      <c r="Q129" s="797">
        <f t="shared" si="18"/>
        <v>119470.23331578948</v>
      </c>
      <c r="R129" s="797">
        <f t="shared" si="14"/>
        <v>95576.186652631586</v>
      </c>
      <c r="S129" s="804"/>
      <c r="T129" s="364">
        <v>0</v>
      </c>
      <c r="U129" s="364">
        <v>0</v>
      </c>
      <c r="V129" s="364">
        <v>59455.9</v>
      </c>
      <c r="W129" s="364">
        <v>2018.2499999999998</v>
      </c>
      <c r="X129" s="364">
        <v>596.96</v>
      </c>
      <c r="Y129" s="364">
        <v>1731.21</v>
      </c>
      <c r="Z129" s="364">
        <v>0</v>
      </c>
      <c r="AA129" s="364">
        <f t="shared" si="15"/>
        <v>63802.32</v>
      </c>
      <c r="AB129" s="364">
        <f t="shared" si="16"/>
        <v>51041.856</v>
      </c>
      <c r="AC129" s="804"/>
      <c r="AD129" s="817"/>
      <c r="AE129" s="817"/>
      <c r="AF129" s="817"/>
      <c r="AG129" s="817"/>
      <c r="AH129" s="817"/>
      <c r="AI129" s="817"/>
      <c r="AJ129" s="817"/>
      <c r="AK129" s="818"/>
      <c r="AL129" s="817"/>
      <c r="AM129" s="275"/>
      <c r="AN129" s="886">
        <v>-19682.983472576176</v>
      </c>
      <c r="AO129" s="886">
        <v>-299.3285318559557</v>
      </c>
      <c r="AP129" s="275"/>
      <c r="AQ129" s="834"/>
      <c r="AR129" s="834"/>
      <c r="AS129" s="834"/>
      <c r="AT129" s="834"/>
      <c r="AU129" s="834"/>
      <c r="AV129" s="834"/>
      <c r="AW129" s="834"/>
      <c r="AX129" s="834"/>
      <c r="AZ129" s="835"/>
      <c r="BA129" s="835"/>
      <c r="BB129" s="835"/>
      <c r="BC129" s="835"/>
      <c r="BD129" s="835"/>
      <c r="BE129" s="835"/>
      <c r="BF129" s="835"/>
      <c r="BG129" s="835"/>
      <c r="BH129" s="814"/>
      <c r="BI129" s="834"/>
      <c r="BJ129" s="834"/>
      <c r="BK129" s="834"/>
      <c r="BL129" s="834"/>
      <c r="BM129" s="834"/>
      <c r="BN129" s="834"/>
      <c r="BO129" s="834"/>
      <c r="BP129" s="834"/>
      <c r="BQ129" s="275"/>
      <c r="BR129" s="843"/>
      <c r="BS129" s="843"/>
      <c r="BT129" s="843"/>
      <c r="BU129" s="843"/>
      <c r="BV129" s="843"/>
      <c r="BW129" s="843"/>
      <c r="BX129" s="843"/>
      <c r="BY129" s="843"/>
      <c r="BZ129" s="843"/>
      <c r="CA129" s="843"/>
      <c r="CB129" s="843"/>
      <c r="CC129" s="843"/>
      <c r="CD129" s="843"/>
      <c r="CE129" s="843"/>
      <c r="CF129" s="843"/>
      <c r="CG129" s="843"/>
      <c r="CH129" s="843"/>
      <c r="CI129" s="843"/>
      <c r="CJ129" s="844"/>
      <c r="CK129" s="364"/>
      <c r="CL129" s="364"/>
      <c r="CM129" s="364"/>
      <c r="CN129" s="364"/>
      <c r="CO129" s="364"/>
      <c r="CP129" s="364"/>
      <c r="CQ129" s="364"/>
      <c r="CR129" s="804"/>
      <c r="CS129" s="852"/>
      <c r="CT129" s="853"/>
      <c r="CU129" s="853"/>
      <c r="CV129" s="853"/>
      <c r="CW129" s="853"/>
      <c r="CX129" s="853"/>
      <c r="CY129" s="853"/>
      <c r="CZ129" s="853"/>
      <c r="DA129" s="853"/>
      <c r="DC129" s="853"/>
      <c r="DD129" s="853"/>
      <c r="DE129" s="853"/>
      <c r="DF129" s="853"/>
      <c r="DG129" s="853"/>
      <c r="DH129" s="853"/>
      <c r="DI129" s="853"/>
      <c r="DJ129" s="853"/>
      <c r="DK129" s="853"/>
      <c r="DM129" s="853"/>
      <c r="DN129" s="853"/>
      <c r="DO129" s="853"/>
      <c r="DP129" s="853"/>
      <c r="DQ129" s="853"/>
      <c r="DR129" s="853"/>
      <c r="DS129" s="805"/>
      <c r="DT129" s="805"/>
      <c r="DV129" s="806">
        <f t="shared" si="10"/>
        <v>304567.15320454416</v>
      </c>
      <c r="DW129" s="806">
        <f t="shared" si="11"/>
        <v>480.6714681440443</v>
      </c>
      <c r="DX129" s="794">
        <f t="shared" si="12"/>
        <v>305047.82467268821</v>
      </c>
    </row>
    <row r="130" spans="1:128" hidden="1">
      <c r="A130" s="198">
        <v>7033</v>
      </c>
      <c r="B130" s="2">
        <v>103613</v>
      </c>
      <c r="C130" s="2" t="s">
        <v>283</v>
      </c>
      <c r="D130" s="2" t="s">
        <v>284</v>
      </c>
      <c r="E130" s="190" t="s">
        <v>56</v>
      </c>
      <c r="F130" s="211" t="str">
        <f>VLOOKUP(A130,'Summary June 2026'!A:F,6,FALSE)</f>
        <v>Chq Bk</v>
      </c>
      <c r="G130" s="33"/>
      <c r="H130" s="825">
        <v>0</v>
      </c>
      <c r="I130" s="804"/>
      <c r="J130" s="797"/>
      <c r="K130" s="797"/>
      <c r="L130" s="797"/>
      <c r="M130" s="797"/>
      <c r="N130" s="797"/>
      <c r="O130" s="797"/>
      <c r="P130" s="797"/>
      <c r="Q130" s="797"/>
      <c r="R130" s="797"/>
      <c r="S130" s="804"/>
      <c r="T130" s="364"/>
      <c r="U130" s="364"/>
      <c r="V130" s="364"/>
      <c r="W130" s="364"/>
      <c r="X130" s="364"/>
      <c r="Y130" s="364"/>
      <c r="Z130" s="364"/>
      <c r="AA130" s="364"/>
      <c r="AB130" s="364"/>
      <c r="AC130" s="804"/>
      <c r="AD130" s="817"/>
      <c r="AE130" s="817"/>
      <c r="AF130" s="817"/>
      <c r="AG130" s="817"/>
      <c r="AH130" s="817"/>
      <c r="AI130" s="817"/>
      <c r="AJ130" s="817"/>
      <c r="AK130" s="818"/>
      <c r="AL130" s="817"/>
      <c r="AM130" s="275"/>
      <c r="AN130" s="886">
        <v>0</v>
      </c>
      <c r="AO130" s="886">
        <v>0</v>
      </c>
      <c r="AP130" s="275"/>
      <c r="AQ130" s="834"/>
      <c r="AR130" s="834"/>
      <c r="AS130" s="834"/>
      <c r="AT130" s="834"/>
      <c r="AU130" s="834"/>
      <c r="AV130" s="834"/>
      <c r="AW130" s="834"/>
      <c r="AX130" s="834"/>
      <c r="AZ130" s="835"/>
      <c r="BA130" s="835"/>
      <c r="BB130" s="835"/>
      <c r="BC130" s="835"/>
      <c r="BD130" s="835"/>
      <c r="BE130" s="835"/>
      <c r="BF130" s="835"/>
      <c r="BG130" s="835"/>
      <c r="BH130" s="814"/>
      <c r="BI130" s="834"/>
      <c r="BJ130" s="834"/>
      <c r="BK130" s="834"/>
      <c r="BL130" s="834"/>
      <c r="BM130" s="834"/>
      <c r="BN130" s="834"/>
      <c r="BO130" s="834"/>
      <c r="BP130" s="834"/>
      <c r="BQ130" s="275"/>
      <c r="BR130" s="843"/>
      <c r="BS130" s="843"/>
      <c r="BT130" s="843"/>
      <c r="BU130" s="843"/>
      <c r="BV130" s="843"/>
      <c r="BW130" s="843"/>
      <c r="BX130" s="843"/>
      <c r="BY130" s="843"/>
      <c r="BZ130" s="843"/>
      <c r="CA130" s="843"/>
      <c r="CB130" s="843"/>
      <c r="CC130" s="843"/>
      <c r="CD130" s="843"/>
      <c r="CE130" s="843"/>
      <c r="CF130" s="843"/>
      <c r="CG130" s="843"/>
      <c r="CH130" s="843"/>
      <c r="CI130" s="843"/>
      <c r="CJ130" s="844"/>
      <c r="CK130" s="364"/>
      <c r="CL130" s="364"/>
      <c r="CM130" s="364"/>
      <c r="CN130" s="364"/>
      <c r="CO130" s="364"/>
      <c r="CP130" s="364"/>
      <c r="CQ130" s="364"/>
      <c r="CR130" s="804"/>
      <c r="CS130" s="852"/>
      <c r="CT130" s="853"/>
      <c r="CU130" s="853"/>
      <c r="CV130" s="853"/>
      <c r="CW130" s="853"/>
      <c r="CX130" s="853"/>
      <c r="CY130" s="853"/>
      <c r="CZ130" s="853"/>
      <c r="DA130" s="853"/>
      <c r="DC130" s="853"/>
      <c r="DD130" s="853"/>
      <c r="DE130" s="853"/>
      <c r="DF130" s="853"/>
      <c r="DG130" s="853"/>
      <c r="DH130" s="853"/>
      <c r="DI130" s="853"/>
      <c r="DJ130" s="853"/>
      <c r="DK130" s="853"/>
      <c r="DM130" s="853"/>
      <c r="DN130" s="853"/>
      <c r="DO130" s="853"/>
      <c r="DP130" s="853"/>
      <c r="DQ130" s="853"/>
      <c r="DR130" s="853"/>
      <c r="DS130" s="805"/>
      <c r="DT130" s="805"/>
      <c r="DV130" s="806">
        <f t="shared" si="10"/>
        <v>0</v>
      </c>
      <c r="DW130" s="806">
        <f t="shared" si="11"/>
        <v>0</v>
      </c>
      <c r="DX130" s="794">
        <f t="shared" si="12"/>
        <v>0</v>
      </c>
    </row>
    <row r="131" spans="1:128" hidden="1">
      <c r="A131" s="198">
        <v>4177</v>
      </c>
      <c r="B131" s="2">
        <v>103498</v>
      </c>
      <c r="C131" s="2" t="s">
        <v>285</v>
      </c>
      <c r="D131" s="2" t="s">
        <v>286</v>
      </c>
      <c r="E131" s="190" t="s">
        <v>71</v>
      </c>
      <c r="F131" s="211" t="str">
        <f>VLOOKUP(A131,'Summary June 2026'!A:F,6,FALSE)</f>
        <v>Chq Bk</v>
      </c>
      <c r="G131" s="33"/>
      <c r="H131" s="825">
        <v>0</v>
      </c>
      <c r="I131" s="804"/>
      <c r="J131" s="797">
        <v>0</v>
      </c>
      <c r="K131" s="797">
        <v>0</v>
      </c>
      <c r="L131" s="797">
        <v>0</v>
      </c>
      <c r="M131" s="797">
        <v>0</v>
      </c>
      <c r="N131" s="797">
        <v>0</v>
      </c>
      <c r="O131" s="797">
        <v>0</v>
      </c>
      <c r="P131" s="797">
        <v>0</v>
      </c>
      <c r="Q131" s="797">
        <f t="shared" ref="Q131:Q136" si="19">SUM(J131:P131)</f>
        <v>0</v>
      </c>
      <c r="R131" s="797">
        <f t="shared" si="14"/>
        <v>0</v>
      </c>
      <c r="S131" s="804"/>
      <c r="T131" s="364">
        <v>0</v>
      </c>
      <c r="U131" s="364">
        <v>0</v>
      </c>
      <c r="V131" s="364">
        <v>0</v>
      </c>
      <c r="W131" s="364">
        <v>0</v>
      </c>
      <c r="X131" s="364">
        <v>0</v>
      </c>
      <c r="Y131" s="364">
        <v>0</v>
      </c>
      <c r="Z131" s="364">
        <v>0</v>
      </c>
      <c r="AA131" s="364">
        <f t="shared" si="15"/>
        <v>0</v>
      </c>
      <c r="AB131" s="364">
        <f t="shared" si="16"/>
        <v>0</v>
      </c>
      <c r="AC131" s="804"/>
      <c r="AD131" s="817"/>
      <c r="AE131" s="817"/>
      <c r="AF131" s="817"/>
      <c r="AG131" s="817"/>
      <c r="AH131" s="817"/>
      <c r="AI131" s="817"/>
      <c r="AJ131" s="817"/>
      <c r="AK131" s="818"/>
      <c r="AL131" s="817"/>
      <c r="AM131" s="275"/>
      <c r="AN131" s="886">
        <v>0</v>
      </c>
      <c r="AO131" s="886">
        <v>0</v>
      </c>
      <c r="AP131" s="275"/>
      <c r="AQ131" s="834"/>
      <c r="AR131" s="834"/>
      <c r="AS131" s="834"/>
      <c r="AT131" s="834"/>
      <c r="AU131" s="834"/>
      <c r="AV131" s="834"/>
      <c r="AW131" s="834"/>
      <c r="AX131" s="834"/>
      <c r="AZ131" s="835"/>
      <c r="BA131" s="835"/>
      <c r="BB131" s="835"/>
      <c r="BC131" s="835"/>
      <c r="BD131" s="835"/>
      <c r="BE131" s="835"/>
      <c r="BF131" s="835"/>
      <c r="BG131" s="835"/>
      <c r="BH131" s="814"/>
      <c r="BI131" s="834"/>
      <c r="BJ131" s="834"/>
      <c r="BK131" s="834"/>
      <c r="BL131" s="834"/>
      <c r="BM131" s="834"/>
      <c r="BN131" s="834"/>
      <c r="BO131" s="834"/>
      <c r="BP131" s="834"/>
      <c r="BQ131" s="275"/>
      <c r="BR131" s="843"/>
      <c r="BS131" s="843"/>
      <c r="BT131" s="843"/>
      <c r="BU131" s="843"/>
      <c r="BV131" s="843"/>
      <c r="BW131" s="843"/>
      <c r="BX131" s="843"/>
      <c r="BY131" s="843"/>
      <c r="BZ131" s="843"/>
      <c r="CA131" s="843"/>
      <c r="CB131" s="843"/>
      <c r="CC131" s="843"/>
      <c r="CD131" s="843"/>
      <c r="CE131" s="843"/>
      <c r="CF131" s="843"/>
      <c r="CG131" s="843"/>
      <c r="CH131" s="843"/>
      <c r="CI131" s="843"/>
      <c r="CJ131" s="844"/>
      <c r="CK131" s="364"/>
      <c r="CL131" s="364"/>
      <c r="CM131" s="364"/>
      <c r="CN131" s="364"/>
      <c r="CO131" s="364"/>
      <c r="CP131" s="364"/>
      <c r="CQ131" s="364"/>
      <c r="CR131" s="804"/>
      <c r="CS131" s="852"/>
      <c r="CT131" s="853"/>
      <c r="CU131" s="853"/>
      <c r="CV131" s="853"/>
      <c r="CW131" s="853"/>
      <c r="CX131" s="853"/>
      <c r="CY131" s="853"/>
      <c r="CZ131" s="853"/>
      <c r="DA131" s="853"/>
      <c r="DC131" s="853"/>
      <c r="DD131" s="853"/>
      <c r="DE131" s="853"/>
      <c r="DF131" s="853"/>
      <c r="DG131" s="853"/>
      <c r="DH131" s="853"/>
      <c r="DI131" s="853"/>
      <c r="DJ131" s="853"/>
      <c r="DK131" s="853"/>
      <c r="DM131" s="853"/>
      <c r="DN131" s="853"/>
      <c r="DO131" s="853"/>
      <c r="DP131" s="853"/>
      <c r="DQ131" s="853"/>
      <c r="DR131" s="853"/>
      <c r="DS131" s="805"/>
      <c r="DT131" s="805"/>
      <c r="DV131" s="806">
        <f t="shared" si="10"/>
        <v>0</v>
      </c>
      <c r="DW131" s="806">
        <f t="shared" si="11"/>
        <v>0</v>
      </c>
      <c r="DX131" s="794">
        <f t="shared" si="12"/>
        <v>0</v>
      </c>
    </row>
    <row r="132" spans="1:128" hidden="1">
      <c r="A132" s="198">
        <v>2169</v>
      </c>
      <c r="B132" s="2">
        <v>103252</v>
      </c>
      <c r="C132" s="2" t="s">
        <v>287</v>
      </c>
      <c r="D132" s="2" t="s">
        <v>288</v>
      </c>
      <c r="E132" s="190" t="s">
        <v>39</v>
      </c>
      <c r="F132" s="211" t="str">
        <f>VLOOKUP(A132,'Summary June 2026'!A:F,6,FALSE)</f>
        <v>Chq Bk</v>
      </c>
      <c r="G132" s="33"/>
      <c r="H132" s="825">
        <v>0</v>
      </c>
      <c r="I132" s="804"/>
      <c r="J132" s="797">
        <v>0</v>
      </c>
      <c r="K132" s="797">
        <v>0</v>
      </c>
      <c r="L132" s="797">
        <v>48984</v>
      </c>
      <c r="M132" s="797">
        <v>3812.2499999999995</v>
      </c>
      <c r="N132" s="797">
        <v>1380.3673684210528</v>
      </c>
      <c r="O132" s="797">
        <v>2726.1</v>
      </c>
      <c r="P132" s="797">
        <v>0</v>
      </c>
      <c r="Q132" s="797">
        <f t="shared" si="19"/>
        <v>56902.71736842105</v>
      </c>
      <c r="R132" s="797">
        <f t="shared" si="14"/>
        <v>45522.173894736843</v>
      </c>
      <c r="S132" s="804"/>
      <c r="T132" s="364">
        <v>0</v>
      </c>
      <c r="U132" s="364">
        <v>0</v>
      </c>
      <c r="V132" s="364">
        <v>28165.800000000003</v>
      </c>
      <c r="W132" s="364">
        <v>2466.75</v>
      </c>
      <c r="X132" s="364">
        <v>820.82</v>
      </c>
      <c r="Y132" s="364">
        <v>1037.4000000000001</v>
      </c>
      <c r="Z132" s="364">
        <v>0</v>
      </c>
      <c r="AA132" s="364">
        <f t="shared" si="15"/>
        <v>32490.770000000004</v>
      </c>
      <c r="AB132" s="364">
        <f t="shared" si="16"/>
        <v>25992.616000000005</v>
      </c>
      <c r="AC132" s="804"/>
      <c r="AD132" s="817"/>
      <c r="AE132" s="817"/>
      <c r="AF132" s="817"/>
      <c r="AG132" s="817"/>
      <c r="AH132" s="817"/>
      <c r="AI132" s="817"/>
      <c r="AJ132" s="817"/>
      <c r="AK132" s="818"/>
      <c r="AL132" s="817"/>
      <c r="AM132" s="275"/>
      <c r="AN132" s="886">
        <v>10134.27897506925</v>
      </c>
      <c r="AO132" s="886">
        <v>0</v>
      </c>
      <c r="AP132" s="275"/>
      <c r="AQ132" s="834"/>
      <c r="AR132" s="834"/>
      <c r="AS132" s="834"/>
      <c r="AT132" s="834"/>
      <c r="AU132" s="834"/>
      <c r="AV132" s="834"/>
      <c r="AW132" s="834"/>
      <c r="AX132" s="834"/>
      <c r="AZ132" s="835"/>
      <c r="BA132" s="835"/>
      <c r="BB132" s="835"/>
      <c r="BC132" s="835"/>
      <c r="BD132" s="835"/>
      <c r="BE132" s="835"/>
      <c r="BF132" s="835"/>
      <c r="BG132" s="835"/>
      <c r="BH132" s="814"/>
      <c r="BI132" s="834"/>
      <c r="BJ132" s="834"/>
      <c r="BK132" s="834"/>
      <c r="BL132" s="834"/>
      <c r="BM132" s="834"/>
      <c r="BN132" s="834"/>
      <c r="BO132" s="834"/>
      <c r="BP132" s="834"/>
      <c r="BQ132" s="275"/>
      <c r="BR132" s="843"/>
      <c r="BS132" s="843"/>
      <c r="BT132" s="843"/>
      <c r="BU132" s="843"/>
      <c r="BV132" s="843"/>
      <c r="BW132" s="843"/>
      <c r="BX132" s="843"/>
      <c r="BY132" s="843"/>
      <c r="BZ132" s="843"/>
      <c r="CA132" s="843"/>
      <c r="CB132" s="843"/>
      <c r="CC132" s="843"/>
      <c r="CD132" s="843"/>
      <c r="CE132" s="843"/>
      <c r="CF132" s="843"/>
      <c r="CG132" s="843"/>
      <c r="CH132" s="843"/>
      <c r="CI132" s="843"/>
      <c r="CJ132" s="844"/>
      <c r="CK132" s="364"/>
      <c r="CL132" s="364"/>
      <c r="CM132" s="364"/>
      <c r="CN132" s="364"/>
      <c r="CO132" s="364"/>
      <c r="CP132" s="364"/>
      <c r="CQ132" s="364"/>
      <c r="CR132" s="804"/>
      <c r="CS132" s="852"/>
      <c r="CT132" s="853"/>
      <c r="CU132" s="853"/>
      <c r="CV132" s="853"/>
      <c r="CW132" s="853"/>
      <c r="CX132" s="853"/>
      <c r="CY132" s="853"/>
      <c r="CZ132" s="853"/>
      <c r="DA132" s="853"/>
      <c r="DC132" s="853"/>
      <c r="DD132" s="853"/>
      <c r="DE132" s="853"/>
      <c r="DF132" s="853"/>
      <c r="DG132" s="853"/>
      <c r="DH132" s="853"/>
      <c r="DI132" s="853"/>
      <c r="DJ132" s="853"/>
      <c r="DK132" s="853"/>
      <c r="DM132" s="853"/>
      <c r="DN132" s="853"/>
      <c r="DO132" s="853"/>
      <c r="DP132" s="853"/>
      <c r="DQ132" s="853"/>
      <c r="DR132" s="853"/>
      <c r="DS132" s="805"/>
      <c r="DT132" s="805"/>
      <c r="DV132" s="806">
        <f t="shared" si="10"/>
        <v>81649.068869806084</v>
      </c>
      <c r="DW132" s="806">
        <f t="shared" si="11"/>
        <v>0</v>
      </c>
      <c r="DX132" s="794">
        <f t="shared" si="12"/>
        <v>81649.068869806084</v>
      </c>
    </row>
    <row r="133" spans="1:128" hidden="1">
      <c r="A133" s="198">
        <v>2008</v>
      </c>
      <c r="B133" s="2">
        <v>103157</v>
      </c>
      <c r="C133" s="2" t="s">
        <v>289</v>
      </c>
      <c r="D133" s="2" t="s">
        <v>290</v>
      </c>
      <c r="E133" s="190" t="s">
        <v>39</v>
      </c>
      <c r="F133" s="211" t="str">
        <f>VLOOKUP(A133,'Summary June 2026'!A:F,6,FALSE)</f>
        <v>Chq Bk</v>
      </c>
      <c r="G133" s="33"/>
      <c r="H133" s="825">
        <v>0</v>
      </c>
      <c r="I133" s="804"/>
      <c r="J133" s="797">
        <v>0</v>
      </c>
      <c r="K133" s="797">
        <v>0</v>
      </c>
      <c r="L133" s="797">
        <v>64903.8</v>
      </c>
      <c r="M133" s="797">
        <v>4933.5</v>
      </c>
      <c r="N133" s="797">
        <v>633.96210526315792</v>
      </c>
      <c r="O133" s="797">
        <v>1357.2</v>
      </c>
      <c r="P133" s="797">
        <v>0</v>
      </c>
      <c r="Q133" s="797">
        <f t="shared" si="19"/>
        <v>71828.462105263156</v>
      </c>
      <c r="R133" s="797">
        <f t="shared" si="14"/>
        <v>57462.769684210529</v>
      </c>
      <c r="S133" s="804"/>
      <c r="T133" s="364">
        <v>0</v>
      </c>
      <c r="U133" s="364">
        <v>0</v>
      </c>
      <c r="V133" s="364">
        <v>47759.4</v>
      </c>
      <c r="W133" s="364">
        <v>672.75</v>
      </c>
      <c r="X133" s="364">
        <v>223.85999999999999</v>
      </c>
      <c r="Y133" s="364">
        <v>2281.5</v>
      </c>
      <c r="Z133" s="364">
        <v>0</v>
      </c>
      <c r="AA133" s="364">
        <f t="shared" si="15"/>
        <v>50937.51</v>
      </c>
      <c r="AB133" s="364">
        <f t="shared" si="16"/>
        <v>40750.008000000002</v>
      </c>
      <c r="AC133" s="804"/>
      <c r="AD133" s="817"/>
      <c r="AE133" s="817"/>
      <c r="AF133" s="817"/>
      <c r="AG133" s="817"/>
      <c r="AH133" s="817"/>
      <c r="AI133" s="817"/>
      <c r="AJ133" s="817"/>
      <c r="AK133" s="818"/>
      <c r="AL133" s="817"/>
      <c r="AM133" s="275"/>
      <c r="AN133" s="886">
        <v>8138.2353462603915</v>
      </c>
      <c r="AO133" s="886">
        <v>0</v>
      </c>
      <c r="AP133" s="275"/>
      <c r="AQ133" s="834"/>
      <c r="AR133" s="834"/>
      <c r="AS133" s="834"/>
      <c r="AT133" s="834"/>
      <c r="AU133" s="834"/>
      <c r="AV133" s="834"/>
      <c r="AW133" s="834"/>
      <c r="AX133" s="834"/>
      <c r="AZ133" s="835"/>
      <c r="BA133" s="835"/>
      <c r="BB133" s="835"/>
      <c r="BC133" s="835"/>
      <c r="BD133" s="835"/>
      <c r="BE133" s="835"/>
      <c r="BF133" s="835"/>
      <c r="BG133" s="835"/>
      <c r="BH133" s="814"/>
      <c r="BI133" s="834"/>
      <c r="BJ133" s="834"/>
      <c r="BK133" s="834"/>
      <c r="BL133" s="834"/>
      <c r="BM133" s="834"/>
      <c r="BN133" s="834"/>
      <c r="BO133" s="834"/>
      <c r="BP133" s="834"/>
      <c r="BQ133" s="275"/>
      <c r="BR133" s="843"/>
      <c r="BS133" s="843"/>
      <c r="BT133" s="843"/>
      <c r="BU133" s="843"/>
      <c r="BV133" s="843"/>
      <c r="BW133" s="843"/>
      <c r="BX133" s="843"/>
      <c r="BY133" s="843"/>
      <c r="BZ133" s="843"/>
      <c r="CA133" s="843"/>
      <c r="CB133" s="843"/>
      <c r="CC133" s="843"/>
      <c r="CD133" s="843"/>
      <c r="CE133" s="843"/>
      <c r="CF133" s="843"/>
      <c r="CG133" s="843"/>
      <c r="CH133" s="843"/>
      <c r="CI133" s="843"/>
      <c r="CJ133" s="844"/>
      <c r="CK133" s="364"/>
      <c r="CL133" s="364"/>
      <c r="CM133" s="364"/>
      <c r="CN133" s="364"/>
      <c r="CO133" s="364"/>
      <c r="CP133" s="364"/>
      <c r="CQ133" s="364"/>
      <c r="CR133" s="804"/>
      <c r="CS133" s="852"/>
      <c r="CT133" s="853"/>
      <c r="CU133" s="853"/>
      <c r="CV133" s="853"/>
      <c r="CW133" s="853"/>
      <c r="CX133" s="853"/>
      <c r="CY133" s="853"/>
      <c r="CZ133" s="853"/>
      <c r="DA133" s="853"/>
      <c r="DC133" s="853"/>
      <c r="DD133" s="853"/>
      <c r="DE133" s="853"/>
      <c r="DF133" s="853"/>
      <c r="DG133" s="853"/>
      <c r="DH133" s="853"/>
      <c r="DI133" s="853"/>
      <c r="DJ133" s="853"/>
      <c r="DK133" s="853"/>
      <c r="DM133" s="853"/>
      <c r="DN133" s="853"/>
      <c r="DO133" s="853"/>
      <c r="DP133" s="853"/>
      <c r="DQ133" s="853"/>
      <c r="DR133" s="853"/>
      <c r="DS133" s="805"/>
      <c r="DT133" s="805"/>
      <c r="DV133" s="806">
        <f t="shared" si="10"/>
        <v>106351.01303047093</v>
      </c>
      <c r="DW133" s="806">
        <f t="shared" si="11"/>
        <v>0</v>
      </c>
      <c r="DX133" s="794">
        <f t="shared" si="12"/>
        <v>106351.01303047093</v>
      </c>
    </row>
    <row r="134" spans="1:128" hidden="1">
      <c r="A134" s="198">
        <v>1038</v>
      </c>
      <c r="B134" s="2">
        <v>103142</v>
      </c>
      <c r="C134" s="2" t="s">
        <v>291</v>
      </c>
      <c r="D134" s="2" t="s">
        <v>292</v>
      </c>
      <c r="E134" s="190" t="s">
        <v>36</v>
      </c>
      <c r="F134" s="211" t="str">
        <f>VLOOKUP(A134,'Summary June 2026'!A:F,6,FALSE)</f>
        <v>Chq Bk</v>
      </c>
      <c r="G134" s="33"/>
      <c r="H134" s="825">
        <v>314326.88555877528</v>
      </c>
      <c r="I134" s="804"/>
      <c r="J134" s="797">
        <v>0</v>
      </c>
      <c r="K134" s="797">
        <v>57078.45</v>
      </c>
      <c r="L134" s="797">
        <v>203283.6</v>
      </c>
      <c r="M134" s="797">
        <v>14127.749999999998</v>
      </c>
      <c r="N134" s="797">
        <v>4887.0968421052639</v>
      </c>
      <c r="O134" s="797">
        <v>12058.799999999997</v>
      </c>
      <c r="P134" s="797">
        <v>2925</v>
      </c>
      <c r="Q134" s="797">
        <f t="shared" si="19"/>
        <v>294360.69684210524</v>
      </c>
      <c r="R134" s="797">
        <f t="shared" si="14"/>
        <v>235488.5574736842</v>
      </c>
      <c r="S134" s="804"/>
      <c r="T134" s="364">
        <v>2396.5499999999997</v>
      </c>
      <c r="U134" s="364">
        <v>103779</v>
      </c>
      <c r="V134" s="364">
        <v>144502.79999999999</v>
      </c>
      <c r="W134" s="364">
        <v>12333.749999999998</v>
      </c>
      <c r="X134" s="364">
        <v>4924.0989473684212</v>
      </c>
      <c r="Y134" s="364">
        <v>9502.35</v>
      </c>
      <c r="Z134" s="364">
        <v>1950</v>
      </c>
      <c r="AA134" s="364">
        <f t="shared" si="15"/>
        <v>279388.5489473684</v>
      </c>
      <c r="AB134" s="364">
        <f t="shared" si="16"/>
        <v>223510.83915789472</v>
      </c>
      <c r="AC134" s="804"/>
      <c r="AD134" s="817"/>
      <c r="AE134" s="817"/>
      <c r="AF134" s="817"/>
      <c r="AG134" s="817"/>
      <c r="AH134" s="817"/>
      <c r="AI134" s="817"/>
      <c r="AJ134" s="817"/>
      <c r="AK134" s="818"/>
      <c r="AL134" s="817"/>
      <c r="AM134" s="275"/>
      <c r="AN134" s="886">
        <v>61435.440858725749</v>
      </c>
      <c r="AO134" s="886">
        <v>-224.49639889196675</v>
      </c>
      <c r="AP134" s="275"/>
      <c r="AQ134" s="834"/>
      <c r="AR134" s="834"/>
      <c r="AS134" s="834"/>
      <c r="AT134" s="834"/>
      <c r="AU134" s="834"/>
      <c r="AV134" s="834"/>
      <c r="AW134" s="834"/>
      <c r="AX134" s="834"/>
      <c r="AZ134" s="835"/>
      <c r="BA134" s="835"/>
      <c r="BB134" s="835"/>
      <c r="BC134" s="835"/>
      <c r="BD134" s="835"/>
      <c r="BE134" s="835"/>
      <c r="BF134" s="835"/>
      <c r="BG134" s="835"/>
      <c r="BH134" s="814"/>
      <c r="BI134" s="834"/>
      <c r="BJ134" s="834"/>
      <c r="BK134" s="834"/>
      <c r="BL134" s="834"/>
      <c r="BM134" s="834"/>
      <c r="BN134" s="834"/>
      <c r="BO134" s="834"/>
      <c r="BP134" s="834"/>
      <c r="BQ134" s="275"/>
      <c r="BR134" s="843"/>
      <c r="BS134" s="843"/>
      <c r="BT134" s="843"/>
      <c r="BU134" s="843"/>
      <c r="BV134" s="843"/>
      <c r="BW134" s="843"/>
      <c r="BX134" s="843"/>
      <c r="BY134" s="843"/>
      <c r="BZ134" s="843"/>
      <c r="CA134" s="843"/>
      <c r="CB134" s="843"/>
      <c r="CC134" s="843"/>
      <c r="CD134" s="843"/>
      <c r="CE134" s="843"/>
      <c r="CF134" s="843"/>
      <c r="CG134" s="843"/>
      <c r="CH134" s="843"/>
      <c r="CI134" s="843"/>
      <c r="CJ134" s="844"/>
      <c r="CK134" s="364"/>
      <c r="CL134" s="364"/>
      <c r="CM134" s="364"/>
      <c r="CN134" s="364"/>
      <c r="CO134" s="364"/>
      <c r="CP134" s="364"/>
      <c r="CQ134" s="364"/>
      <c r="CR134" s="804"/>
      <c r="CS134" s="852"/>
      <c r="CT134" s="853"/>
      <c r="CU134" s="853"/>
      <c r="CV134" s="853"/>
      <c r="CW134" s="853"/>
      <c r="CX134" s="853"/>
      <c r="CY134" s="853"/>
      <c r="CZ134" s="853"/>
      <c r="DA134" s="853"/>
      <c r="DC134" s="853"/>
      <c r="DD134" s="853"/>
      <c r="DE134" s="853"/>
      <c r="DF134" s="853"/>
      <c r="DG134" s="853"/>
      <c r="DH134" s="853"/>
      <c r="DI134" s="853"/>
      <c r="DJ134" s="853"/>
      <c r="DK134" s="853"/>
      <c r="DM134" s="853"/>
      <c r="DN134" s="853"/>
      <c r="DO134" s="853"/>
      <c r="DP134" s="853"/>
      <c r="DQ134" s="853"/>
      <c r="DR134" s="853"/>
      <c r="DS134" s="805"/>
      <c r="DT134" s="805"/>
      <c r="DV134" s="806">
        <f t="shared" si="10"/>
        <v>830861.72304908</v>
      </c>
      <c r="DW134" s="806">
        <f t="shared" si="11"/>
        <v>3675.5036011080333</v>
      </c>
      <c r="DX134" s="794">
        <f t="shared" si="12"/>
        <v>834537.22665018798</v>
      </c>
    </row>
    <row r="135" spans="1:128" hidden="1">
      <c r="A135" s="198">
        <v>2174</v>
      </c>
      <c r="B135" s="2">
        <v>103255</v>
      </c>
      <c r="C135" s="2" t="s">
        <v>293</v>
      </c>
      <c r="D135" s="2" t="s">
        <v>294</v>
      </c>
      <c r="E135" s="190" t="s">
        <v>39</v>
      </c>
      <c r="F135" s="211" t="str">
        <f>VLOOKUP(A135,'Summary June 2026'!A:F,6,FALSE)</f>
        <v>Chq Bk</v>
      </c>
      <c r="G135" s="33"/>
      <c r="H135" s="825">
        <v>0</v>
      </c>
      <c r="I135" s="804"/>
      <c r="J135" s="797">
        <v>0</v>
      </c>
      <c r="K135" s="797">
        <v>0</v>
      </c>
      <c r="L135" s="797">
        <v>0</v>
      </c>
      <c r="M135" s="797">
        <v>0</v>
      </c>
      <c r="N135" s="797">
        <v>0</v>
      </c>
      <c r="O135" s="797">
        <v>0</v>
      </c>
      <c r="P135" s="797">
        <v>0</v>
      </c>
      <c r="Q135" s="797">
        <f t="shared" si="19"/>
        <v>0</v>
      </c>
      <c r="R135" s="797">
        <f t="shared" si="14"/>
        <v>0</v>
      </c>
      <c r="S135" s="804"/>
      <c r="T135" s="364">
        <v>0</v>
      </c>
      <c r="U135" s="364">
        <v>0</v>
      </c>
      <c r="V135" s="364">
        <v>0</v>
      </c>
      <c r="W135" s="364">
        <v>0</v>
      </c>
      <c r="X135" s="364">
        <v>0</v>
      </c>
      <c r="Y135" s="364">
        <v>0</v>
      </c>
      <c r="Z135" s="364">
        <v>0</v>
      </c>
      <c r="AA135" s="364">
        <f t="shared" si="15"/>
        <v>0</v>
      </c>
      <c r="AB135" s="364">
        <f t="shared" si="16"/>
        <v>0</v>
      </c>
      <c r="AC135" s="804"/>
      <c r="AD135" s="817"/>
      <c r="AE135" s="817"/>
      <c r="AF135" s="817"/>
      <c r="AG135" s="817"/>
      <c r="AH135" s="817"/>
      <c r="AI135" s="817"/>
      <c r="AJ135" s="817"/>
      <c r="AK135" s="818"/>
      <c r="AL135" s="817"/>
      <c r="AM135" s="275"/>
      <c r="AN135" s="886">
        <v>0</v>
      </c>
      <c r="AO135" s="886">
        <v>0</v>
      </c>
      <c r="AP135" s="275"/>
      <c r="AQ135" s="834"/>
      <c r="AR135" s="834"/>
      <c r="AS135" s="834"/>
      <c r="AT135" s="834"/>
      <c r="AU135" s="834"/>
      <c r="AV135" s="834"/>
      <c r="AW135" s="834"/>
      <c r="AX135" s="834"/>
      <c r="AZ135" s="835"/>
      <c r="BA135" s="835"/>
      <c r="BB135" s="835"/>
      <c r="BC135" s="835"/>
      <c r="BD135" s="835"/>
      <c r="BE135" s="835"/>
      <c r="BF135" s="835"/>
      <c r="BG135" s="835"/>
      <c r="BH135" s="814"/>
      <c r="BI135" s="834"/>
      <c r="BJ135" s="834"/>
      <c r="BK135" s="834"/>
      <c r="BL135" s="834"/>
      <c r="BM135" s="834"/>
      <c r="BN135" s="834"/>
      <c r="BO135" s="834"/>
      <c r="BP135" s="834"/>
      <c r="BQ135" s="275"/>
      <c r="BR135" s="843"/>
      <c r="BS135" s="843"/>
      <c r="BT135" s="843"/>
      <c r="BU135" s="843"/>
      <c r="BV135" s="843"/>
      <c r="BW135" s="843"/>
      <c r="BX135" s="843"/>
      <c r="BY135" s="843"/>
      <c r="BZ135" s="843"/>
      <c r="CA135" s="843"/>
      <c r="CB135" s="843"/>
      <c r="CC135" s="843"/>
      <c r="CD135" s="843"/>
      <c r="CE135" s="843"/>
      <c r="CF135" s="843"/>
      <c r="CG135" s="843"/>
      <c r="CH135" s="843"/>
      <c r="CI135" s="843"/>
      <c r="CJ135" s="844"/>
      <c r="CK135" s="364"/>
      <c r="CL135" s="364"/>
      <c r="CM135" s="364"/>
      <c r="CN135" s="364"/>
      <c r="CO135" s="364"/>
      <c r="CP135" s="364"/>
      <c r="CQ135" s="364"/>
      <c r="CR135" s="804"/>
      <c r="CS135" s="852"/>
      <c r="CT135" s="853"/>
      <c r="CU135" s="853"/>
      <c r="CV135" s="853"/>
      <c r="CW135" s="853"/>
      <c r="CX135" s="853"/>
      <c r="CY135" s="853"/>
      <c r="CZ135" s="853"/>
      <c r="DA135" s="853"/>
      <c r="DC135" s="853"/>
      <c r="DD135" s="853"/>
      <c r="DE135" s="853"/>
      <c r="DF135" s="853"/>
      <c r="DG135" s="853"/>
      <c r="DH135" s="853"/>
      <c r="DI135" s="853"/>
      <c r="DJ135" s="853"/>
      <c r="DK135" s="853"/>
      <c r="DM135" s="853"/>
      <c r="DN135" s="853"/>
      <c r="DO135" s="853"/>
      <c r="DP135" s="853"/>
      <c r="DQ135" s="853"/>
      <c r="DR135" s="853"/>
      <c r="DS135" s="805"/>
      <c r="DT135" s="805"/>
      <c r="DV135" s="806">
        <f t="shared" si="10"/>
        <v>0</v>
      </c>
      <c r="DW135" s="806">
        <f t="shared" si="11"/>
        <v>0</v>
      </c>
      <c r="DX135" s="794">
        <f t="shared" si="12"/>
        <v>0</v>
      </c>
    </row>
    <row r="136" spans="1:128" hidden="1">
      <c r="A136" s="198">
        <v>2176</v>
      </c>
      <c r="B136" s="2">
        <v>103256</v>
      </c>
      <c r="C136" s="2" t="s">
        <v>295</v>
      </c>
      <c r="D136" s="2" t="s">
        <v>296</v>
      </c>
      <c r="E136" s="190" t="s">
        <v>39</v>
      </c>
      <c r="F136" s="211" t="str">
        <f>VLOOKUP(A136,'Summary June 2026'!A:F,6,FALSE)</f>
        <v>Chq Bk</v>
      </c>
      <c r="G136" s="33"/>
      <c r="H136" s="825">
        <v>0</v>
      </c>
      <c r="I136" s="804"/>
      <c r="J136" s="797">
        <v>0</v>
      </c>
      <c r="K136" s="797">
        <v>0</v>
      </c>
      <c r="L136" s="797">
        <v>88171.200000000012</v>
      </c>
      <c r="M136" s="797">
        <v>7175.9999999999991</v>
      </c>
      <c r="N136" s="797">
        <v>372.89473684210526</v>
      </c>
      <c r="O136" s="797">
        <v>1661.4</v>
      </c>
      <c r="P136" s="797">
        <v>0</v>
      </c>
      <c r="Q136" s="797">
        <f t="shared" si="19"/>
        <v>97381.494736842113</v>
      </c>
      <c r="R136" s="797">
        <f t="shared" si="14"/>
        <v>77905.195789473699</v>
      </c>
      <c r="S136" s="804"/>
      <c r="T136" s="364">
        <v>0</v>
      </c>
      <c r="U136" s="364">
        <v>0</v>
      </c>
      <c r="V136" s="364">
        <v>72251.400000000009</v>
      </c>
      <c r="W136" s="364">
        <v>2691</v>
      </c>
      <c r="X136" s="364">
        <v>372.89473684210526</v>
      </c>
      <c r="Y136" s="364">
        <v>1392.3</v>
      </c>
      <c r="Z136" s="364">
        <v>975</v>
      </c>
      <c r="AA136" s="364">
        <f t="shared" si="15"/>
        <v>77682.594736842118</v>
      </c>
      <c r="AB136" s="364">
        <f t="shared" si="16"/>
        <v>62146.075789473696</v>
      </c>
      <c r="AC136" s="804"/>
      <c r="AD136" s="817"/>
      <c r="AE136" s="817"/>
      <c r="AF136" s="817"/>
      <c r="AG136" s="817"/>
      <c r="AH136" s="817"/>
      <c r="AI136" s="817"/>
      <c r="AJ136" s="817"/>
      <c r="AK136" s="818"/>
      <c r="AL136" s="817"/>
      <c r="AM136" s="275"/>
      <c r="AN136" s="886">
        <v>30931.092299168973</v>
      </c>
      <c r="AO136" s="886">
        <v>0</v>
      </c>
      <c r="AP136" s="275"/>
      <c r="AQ136" s="834"/>
      <c r="AR136" s="834"/>
      <c r="AS136" s="834"/>
      <c r="AT136" s="834"/>
      <c r="AU136" s="834"/>
      <c r="AV136" s="834"/>
      <c r="AW136" s="834"/>
      <c r="AX136" s="834"/>
      <c r="AZ136" s="835"/>
      <c r="BA136" s="835"/>
      <c r="BB136" s="835"/>
      <c r="BC136" s="835"/>
      <c r="BD136" s="835"/>
      <c r="BE136" s="835"/>
      <c r="BF136" s="835"/>
      <c r="BG136" s="835"/>
      <c r="BH136" s="814"/>
      <c r="BI136" s="834"/>
      <c r="BJ136" s="834"/>
      <c r="BK136" s="834"/>
      <c r="BL136" s="834"/>
      <c r="BM136" s="834"/>
      <c r="BN136" s="834"/>
      <c r="BO136" s="834"/>
      <c r="BP136" s="834"/>
      <c r="BQ136" s="275"/>
      <c r="BR136" s="843"/>
      <c r="BS136" s="843"/>
      <c r="BT136" s="843"/>
      <c r="BU136" s="843"/>
      <c r="BV136" s="843"/>
      <c r="BW136" s="843"/>
      <c r="BX136" s="843"/>
      <c r="BY136" s="843"/>
      <c r="BZ136" s="843"/>
      <c r="CA136" s="843"/>
      <c r="CB136" s="843"/>
      <c r="CC136" s="843"/>
      <c r="CD136" s="843"/>
      <c r="CE136" s="843"/>
      <c r="CF136" s="843"/>
      <c r="CG136" s="843"/>
      <c r="CH136" s="843"/>
      <c r="CI136" s="843"/>
      <c r="CJ136" s="844"/>
      <c r="CK136" s="364"/>
      <c r="CL136" s="364"/>
      <c r="CM136" s="364"/>
      <c r="CN136" s="364"/>
      <c r="CO136" s="364"/>
      <c r="CP136" s="364"/>
      <c r="CQ136" s="364"/>
      <c r="CR136" s="804"/>
      <c r="CS136" s="852"/>
      <c r="CT136" s="853"/>
      <c r="CU136" s="853"/>
      <c r="CV136" s="853"/>
      <c r="CW136" s="853"/>
      <c r="CX136" s="853"/>
      <c r="CY136" s="853"/>
      <c r="CZ136" s="853"/>
      <c r="DA136" s="853"/>
      <c r="DC136" s="853"/>
      <c r="DD136" s="853"/>
      <c r="DE136" s="853"/>
      <c r="DF136" s="853"/>
      <c r="DG136" s="853"/>
      <c r="DH136" s="853"/>
      <c r="DI136" s="853"/>
      <c r="DJ136" s="853"/>
      <c r="DK136" s="853"/>
      <c r="DM136" s="853"/>
      <c r="DN136" s="853"/>
      <c r="DO136" s="853"/>
      <c r="DP136" s="853"/>
      <c r="DQ136" s="853"/>
      <c r="DR136" s="853"/>
      <c r="DS136" s="805"/>
      <c r="DT136" s="805"/>
      <c r="DV136" s="806">
        <f t="shared" si="10"/>
        <v>170202.36387811636</v>
      </c>
      <c r="DW136" s="806">
        <f t="shared" si="11"/>
        <v>780</v>
      </c>
      <c r="DX136" s="794">
        <f t="shared" si="12"/>
        <v>170982.36387811636</v>
      </c>
    </row>
    <row r="137" spans="1:128" hidden="1">
      <c r="A137" s="198">
        <v>7047</v>
      </c>
      <c r="B137" s="2">
        <v>103623</v>
      </c>
      <c r="C137" s="2" t="s">
        <v>297</v>
      </c>
      <c r="D137" s="2" t="s">
        <v>298</v>
      </c>
      <c r="E137" s="190" t="s">
        <v>56</v>
      </c>
      <c r="F137" s="211" t="str">
        <f>VLOOKUP(A137,'Summary June 2026'!A:F,6,FALSE)</f>
        <v>Chq Bk</v>
      </c>
      <c r="G137" s="33"/>
      <c r="H137" s="825">
        <v>0</v>
      </c>
      <c r="I137" s="804"/>
      <c r="J137" s="797"/>
      <c r="K137" s="797"/>
      <c r="L137" s="797"/>
      <c r="M137" s="797"/>
      <c r="N137" s="797"/>
      <c r="O137" s="797"/>
      <c r="P137" s="797"/>
      <c r="Q137" s="797"/>
      <c r="R137" s="797"/>
      <c r="S137" s="804"/>
      <c r="T137" s="364"/>
      <c r="U137" s="364"/>
      <c r="V137" s="364"/>
      <c r="W137" s="364"/>
      <c r="X137" s="364"/>
      <c r="Y137" s="364"/>
      <c r="Z137" s="364"/>
      <c r="AA137" s="364"/>
      <c r="AB137" s="364"/>
      <c r="AC137" s="804"/>
      <c r="AD137" s="817"/>
      <c r="AE137" s="817"/>
      <c r="AF137" s="817"/>
      <c r="AG137" s="817"/>
      <c r="AH137" s="817"/>
      <c r="AI137" s="817"/>
      <c r="AJ137" s="817"/>
      <c r="AK137" s="818"/>
      <c r="AL137" s="817"/>
      <c r="AM137" s="275"/>
      <c r="AN137" s="886">
        <v>0</v>
      </c>
      <c r="AO137" s="886">
        <v>0</v>
      </c>
      <c r="AP137" s="275"/>
      <c r="AQ137" s="834"/>
      <c r="AR137" s="834"/>
      <c r="AS137" s="834"/>
      <c r="AT137" s="834"/>
      <c r="AU137" s="834"/>
      <c r="AV137" s="834"/>
      <c r="AW137" s="834"/>
      <c r="AX137" s="834"/>
      <c r="AZ137" s="835"/>
      <c r="BA137" s="835"/>
      <c r="BB137" s="835"/>
      <c r="BC137" s="835"/>
      <c r="BD137" s="835"/>
      <c r="BE137" s="835"/>
      <c r="BF137" s="835"/>
      <c r="BG137" s="835"/>
      <c r="BH137" s="814"/>
      <c r="BI137" s="834"/>
      <c r="BJ137" s="834"/>
      <c r="BK137" s="834"/>
      <c r="BL137" s="834"/>
      <c r="BM137" s="834"/>
      <c r="BN137" s="834"/>
      <c r="BO137" s="834"/>
      <c r="BP137" s="834"/>
      <c r="BQ137" s="275"/>
      <c r="BR137" s="843"/>
      <c r="BS137" s="843"/>
      <c r="BT137" s="843"/>
      <c r="BU137" s="843"/>
      <c r="BV137" s="843"/>
      <c r="BW137" s="843"/>
      <c r="BX137" s="843"/>
      <c r="BY137" s="843"/>
      <c r="BZ137" s="843"/>
      <c r="CA137" s="843"/>
      <c r="CB137" s="843"/>
      <c r="CC137" s="843"/>
      <c r="CD137" s="843"/>
      <c r="CE137" s="843"/>
      <c r="CF137" s="843"/>
      <c r="CG137" s="843"/>
      <c r="CH137" s="843"/>
      <c r="CI137" s="843"/>
      <c r="CJ137" s="844"/>
      <c r="CK137" s="364"/>
      <c r="CL137" s="364"/>
      <c r="CM137" s="364"/>
      <c r="CN137" s="364"/>
      <c r="CO137" s="364"/>
      <c r="CP137" s="364"/>
      <c r="CQ137" s="364"/>
      <c r="CR137" s="804"/>
      <c r="CS137" s="852"/>
      <c r="CT137" s="853"/>
      <c r="CU137" s="853"/>
      <c r="CV137" s="853"/>
      <c r="CW137" s="853"/>
      <c r="CX137" s="853"/>
      <c r="CY137" s="853"/>
      <c r="CZ137" s="853"/>
      <c r="DA137" s="853"/>
      <c r="DC137" s="853"/>
      <c r="DD137" s="853"/>
      <c r="DE137" s="853"/>
      <c r="DF137" s="853"/>
      <c r="DG137" s="853"/>
      <c r="DH137" s="853"/>
      <c r="DI137" s="853"/>
      <c r="DJ137" s="853"/>
      <c r="DK137" s="853"/>
      <c r="DM137" s="853"/>
      <c r="DN137" s="853"/>
      <c r="DO137" s="853"/>
      <c r="DP137" s="853"/>
      <c r="DQ137" s="853"/>
      <c r="DR137" s="853"/>
      <c r="DS137" s="805"/>
      <c r="DT137" s="805"/>
      <c r="DV137" s="806">
        <f t="shared" ref="DV137:DV194" si="20">H137+((SUMIFS($J137:$AL137,$J$3:$AL$3,$DV$7)*80%))+(SUMIFS($AN137:$AO137,$AN$3:$AO$3,$DV$7))</f>
        <v>0</v>
      </c>
      <c r="DW137" s="806">
        <f t="shared" ref="DW137:DW194" si="21">(SUMIFS($J137:$AL137,$J$3:$AL$3,$DW$7)*80%)+(SUMIFS($AN137:$AO137,$AN$3:$AO$3,$DW$7))</f>
        <v>0</v>
      </c>
      <c r="DX137" s="794">
        <f t="shared" ref="DX137:DX194" si="22">DV137+DW137</f>
        <v>0</v>
      </c>
    </row>
    <row r="138" spans="1:128" hidden="1">
      <c r="A138" s="198">
        <v>3410</v>
      </c>
      <c r="B138" s="2">
        <v>103478</v>
      </c>
      <c r="C138" s="2" t="s">
        <v>299</v>
      </c>
      <c r="D138" s="2" t="s">
        <v>300</v>
      </c>
      <c r="E138" s="190" t="s">
        <v>39</v>
      </c>
      <c r="F138" s="211" t="str">
        <f>VLOOKUP(A138,'Summary June 2026'!A:F,6,FALSE)</f>
        <v>Chq Bk</v>
      </c>
      <c r="G138" s="33"/>
      <c r="H138" s="825">
        <v>0</v>
      </c>
      <c r="I138" s="804"/>
      <c r="J138" s="797">
        <v>0</v>
      </c>
      <c r="K138" s="797">
        <v>0</v>
      </c>
      <c r="L138" s="797">
        <v>0</v>
      </c>
      <c r="M138" s="797">
        <v>0</v>
      </c>
      <c r="N138" s="797">
        <v>0</v>
      </c>
      <c r="O138" s="797">
        <v>0</v>
      </c>
      <c r="P138" s="797">
        <v>0</v>
      </c>
      <c r="Q138" s="797">
        <f t="shared" ref="Q138:Q166" si="23">SUM(J138:P138)</f>
        <v>0</v>
      </c>
      <c r="R138" s="797">
        <f t="shared" ref="R138:R193" si="24">Q138*80%</f>
        <v>0</v>
      </c>
      <c r="S138" s="804"/>
      <c r="T138" s="364">
        <v>0</v>
      </c>
      <c r="U138" s="364">
        <v>0</v>
      </c>
      <c r="V138" s="364">
        <v>0</v>
      </c>
      <c r="W138" s="364">
        <v>0</v>
      </c>
      <c r="X138" s="364">
        <v>0</v>
      </c>
      <c r="Y138" s="364">
        <v>0</v>
      </c>
      <c r="Z138" s="364">
        <v>0</v>
      </c>
      <c r="AA138" s="364">
        <f t="shared" ref="AA138:AA193" si="25">SUM(T138:Z138)</f>
        <v>0</v>
      </c>
      <c r="AB138" s="364">
        <f t="shared" ref="AB138:AB193" si="26">AA138*80%</f>
        <v>0</v>
      </c>
      <c r="AC138" s="804"/>
      <c r="AD138" s="817"/>
      <c r="AE138" s="817"/>
      <c r="AF138" s="817"/>
      <c r="AG138" s="817"/>
      <c r="AH138" s="817"/>
      <c r="AI138" s="817"/>
      <c r="AJ138" s="817"/>
      <c r="AK138" s="818"/>
      <c r="AL138" s="817"/>
      <c r="AM138" s="275"/>
      <c r="AN138" s="886">
        <v>0</v>
      </c>
      <c r="AO138" s="886">
        <v>0</v>
      </c>
      <c r="AP138" s="275"/>
      <c r="AQ138" s="834"/>
      <c r="AR138" s="834"/>
      <c r="AS138" s="834"/>
      <c r="AT138" s="834"/>
      <c r="AU138" s="834"/>
      <c r="AV138" s="834"/>
      <c r="AW138" s="834"/>
      <c r="AX138" s="834"/>
      <c r="AZ138" s="835"/>
      <c r="BA138" s="835"/>
      <c r="BB138" s="835"/>
      <c r="BC138" s="835"/>
      <c r="BD138" s="835"/>
      <c r="BE138" s="835"/>
      <c r="BF138" s="835"/>
      <c r="BG138" s="835"/>
      <c r="BH138" s="814"/>
      <c r="BI138" s="834"/>
      <c r="BJ138" s="834"/>
      <c r="BK138" s="834"/>
      <c r="BL138" s="834"/>
      <c r="BM138" s="834"/>
      <c r="BN138" s="834"/>
      <c r="BO138" s="834"/>
      <c r="BP138" s="834"/>
      <c r="BQ138" s="275"/>
      <c r="BR138" s="843"/>
      <c r="BS138" s="843"/>
      <c r="BT138" s="843"/>
      <c r="BU138" s="843"/>
      <c r="BV138" s="843"/>
      <c r="BW138" s="843"/>
      <c r="BX138" s="843"/>
      <c r="BY138" s="843"/>
      <c r="BZ138" s="843"/>
      <c r="CA138" s="843"/>
      <c r="CB138" s="843"/>
      <c r="CC138" s="843"/>
      <c r="CD138" s="843"/>
      <c r="CE138" s="843"/>
      <c r="CF138" s="843"/>
      <c r="CG138" s="843"/>
      <c r="CH138" s="843"/>
      <c r="CI138" s="843"/>
      <c r="CJ138" s="844"/>
      <c r="CK138" s="364"/>
      <c r="CL138" s="364"/>
      <c r="CM138" s="364"/>
      <c r="CN138" s="364"/>
      <c r="CO138" s="364"/>
      <c r="CP138" s="364"/>
      <c r="CQ138" s="364"/>
      <c r="CR138" s="804"/>
      <c r="CS138" s="852"/>
      <c r="CT138" s="853"/>
      <c r="CU138" s="853"/>
      <c r="CV138" s="853"/>
      <c r="CW138" s="853"/>
      <c r="CX138" s="853"/>
      <c r="CY138" s="853"/>
      <c r="CZ138" s="853"/>
      <c r="DA138" s="853"/>
      <c r="DC138" s="853"/>
      <c r="DD138" s="853"/>
      <c r="DE138" s="853"/>
      <c r="DF138" s="853"/>
      <c r="DG138" s="853"/>
      <c r="DH138" s="853"/>
      <c r="DI138" s="853"/>
      <c r="DJ138" s="853"/>
      <c r="DK138" s="853"/>
      <c r="DM138" s="853"/>
      <c r="DN138" s="853"/>
      <c r="DO138" s="853"/>
      <c r="DP138" s="853"/>
      <c r="DQ138" s="853"/>
      <c r="DR138" s="853"/>
      <c r="DS138" s="805"/>
      <c r="DT138" s="805"/>
      <c r="DV138" s="806">
        <f t="shared" si="20"/>
        <v>0</v>
      </c>
      <c r="DW138" s="806">
        <f t="shared" si="21"/>
        <v>0</v>
      </c>
      <c r="DX138" s="794">
        <f t="shared" si="22"/>
        <v>0</v>
      </c>
    </row>
    <row r="139" spans="1:128" hidden="1">
      <c r="A139" s="198">
        <v>3381</v>
      </c>
      <c r="B139" s="2">
        <v>103466</v>
      </c>
      <c r="C139" s="2" t="s">
        <v>301</v>
      </c>
      <c r="D139" s="2" t="s">
        <v>302</v>
      </c>
      <c r="E139" s="190" t="s">
        <v>39</v>
      </c>
      <c r="F139" s="211" t="str">
        <f>VLOOKUP(A139,'Summary June 2026'!A:F,6,FALSE)</f>
        <v>Chq Bk</v>
      </c>
      <c r="G139" s="33"/>
      <c r="H139" s="825">
        <v>0</v>
      </c>
      <c r="I139" s="804"/>
      <c r="J139" s="797">
        <v>0</v>
      </c>
      <c r="K139" s="797">
        <v>0</v>
      </c>
      <c r="L139" s="797">
        <v>0</v>
      </c>
      <c r="M139" s="797">
        <v>0</v>
      </c>
      <c r="N139" s="797">
        <v>0</v>
      </c>
      <c r="O139" s="797">
        <v>0</v>
      </c>
      <c r="P139" s="797">
        <v>0</v>
      </c>
      <c r="Q139" s="797">
        <f t="shared" si="23"/>
        <v>0</v>
      </c>
      <c r="R139" s="797">
        <f t="shared" si="24"/>
        <v>0</v>
      </c>
      <c r="S139" s="804"/>
      <c r="T139" s="364">
        <v>0</v>
      </c>
      <c r="U139" s="364">
        <v>0</v>
      </c>
      <c r="V139" s="364">
        <v>0</v>
      </c>
      <c r="W139" s="364">
        <v>0</v>
      </c>
      <c r="X139" s="364">
        <v>0</v>
      </c>
      <c r="Y139" s="364">
        <v>0</v>
      </c>
      <c r="Z139" s="364">
        <v>0</v>
      </c>
      <c r="AA139" s="364">
        <f t="shared" si="25"/>
        <v>0</v>
      </c>
      <c r="AB139" s="364">
        <f t="shared" si="26"/>
        <v>0</v>
      </c>
      <c r="AC139" s="804"/>
      <c r="AD139" s="817"/>
      <c r="AE139" s="817"/>
      <c r="AF139" s="817"/>
      <c r="AG139" s="817"/>
      <c r="AH139" s="817"/>
      <c r="AI139" s="817"/>
      <c r="AJ139" s="817"/>
      <c r="AK139" s="818"/>
      <c r="AL139" s="817"/>
      <c r="AM139" s="275"/>
      <c r="AN139" s="886">
        <v>0</v>
      </c>
      <c r="AO139" s="886">
        <v>0</v>
      </c>
      <c r="AP139" s="275"/>
      <c r="AQ139" s="834"/>
      <c r="AR139" s="834"/>
      <c r="AS139" s="834"/>
      <c r="AT139" s="834"/>
      <c r="AU139" s="834"/>
      <c r="AV139" s="834"/>
      <c r="AW139" s="834"/>
      <c r="AX139" s="834"/>
      <c r="AZ139" s="835"/>
      <c r="BA139" s="835"/>
      <c r="BB139" s="835"/>
      <c r="BC139" s="835"/>
      <c r="BD139" s="835"/>
      <c r="BE139" s="835"/>
      <c r="BF139" s="835"/>
      <c r="BG139" s="835"/>
      <c r="BH139" s="814"/>
      <c r="BI139" s="834"/>
      <c r="BJ139" s="834"/>
      <c r="BK139" s="834"/>
      <c r="BL139" s="834"/>
      <c r="BM139" s="834"/>
      <c r="BN139" s="834"/>
      <c r="BO139" s="834"/>
      <c r="BP139" s="834"/>
      <c r="BQ139" s="275"/>
      <c r="BR139" s="843"/>
      <c r="BS139" s="843"/>
      <c r="BT139" s="843"/>
      <c r="BU139" s="843"/>
      <c r="BV139" s="843"/>
      <c r="BW139" s="843"/>
      <c r="BX139" s="843"/>
      <c r="BY139" s="843"/>
      <c r="BZ139" s="843"/>
      <c r="CA139" s="843"/>
      <c r="CB139" s="843"/>
      <c r="CC139" s="843"/>
      <c r="CD139" s="843"/>
      <c r="CE139" s="843"/>
      <c r="CF139" s="843"/>
      <c r="CG139" s="843"/>
      <c r="CH139" s="843"/>
      <c r="CI139" s="843"/>
      <c r="CJ139" s="844"/>
      <c r="CK139" s="364"/>
      <c r="CL139" s="364"/>
      <c r="CM139" s="364"/>
      <c r="CN139" s="364"/>
      <c r="CO139" s="364"/>
      <c r="CP139" s="364"/>
      <c r="CQ139" s="364"/>
      <c r="CR139" s="804"/>
      <c r="CS139" s="852"/>
      <c r="CT139" s="853"/>
      <c r="CU139" s="853"/>
      <c r="CV139" s="853"/>
      <c r="CW139" s="853"/>
      <c r="CX139" s="853"/>
      <c r="CY139" s="853"/>
      <c r="CZ139" s="853"/>
      <c r="DA139" s="853"/>
      <c r="DC139" s="853"/>
      <c r="DD139" s="853"/>
      <c r="DE139" s="853"/>
      <c r="DF139" s="853"/>
      <c r="DG139" s="853"/>
      <c r="DH139" s="853"/>
      <c r="DI139" s="853"/>
      <c r="DJ139" s="853"/>
      <c r="DK139" s="853"/>
      <c r="DM139" s="853"/>
      <c r="DN139" s="853"/>
      <c r="DO139" s="853"/>
      <c r="DP139" s="853"/>
      <c r="DQ139" s="853"/>
      <c r="DR139" s="853"/>
      <c r="DS139" s="805"/>
      <c r="DT139" s="805"/>
      <c r="DV139" s="806">
        <f t="shared" si="20"/>
        <v>0</v>
      </c>
      <c r="DW139" s="806">
        <f t="shared" si="21"/>
        <v>0</v>
      </c>
      <c r="DX139" s="794">
        <f t="shared" si="22"/>
        <v>0</v>
      </c>
    </row>
    <row r="140" spans="1:128" hidden="1">
      <c r="A140" s="198">
        <v>3335</v>
      </c>
      <c r="B140" s="2">
        <v>103434</v>
      </c>
      <c r="C140" s="2" t="s">
        <v>303</v>
      </c>
      <c r="D140" s="2" t="s">
        <v>304</v>
      </c>
      <c r="E140" s="190" t="s">
        <v>39</v>
      </c>
      <c r="F140" s="211" t="str">
        <f>VLOOKUP(A140,'Summary June 2026'!A:F,6,FALSE)</f>
        <v>Chq Bk</v>
      </c>
      <c r="G140" s="33"/>
      <c r="H140" s="825">
        <v>0</v>
      </c>
      <c r="I140" s="804"/>
      <c r="J140" s="797">
        <v>0</v>
      </c>
      <c r="K140" s="797">
        <v>0</v>
      </c>
      <c r="L140" s="797">
        <v>0</v>
      </c>
      <c r="M140" s="797">
        <v>0</v>
      </c>
      <c r="N140" s="797">
        <v>0</v>
      </c>
      <c r="O140" s="797">
        <v>0</v>
      </c>
      <c r="P140" s="797">
        <v>0</v>
      </c>
      <c r="Q140" s="797">
        <f t="shared" si="23"/>
        <v>0</v>
      </c>
      <c r="R140" s="797">
        <f t="shared" si="24"/>
        <v>0</v>
      </c>
      <c r="S140" s="804"/>
      <c r="T140" s="364">
        <v>0</v>
      </c>
      <c r="U140" s="364">
        <v>0</v>
      </c>
      <c r="V140" s="364">
        <v>0</v>
      </c>
      <c r="W140" s="364">
        <v>0</v>
      </c>
      <c r="X140" s="364">
        <v>0</v>
      </c>
      <c r="Y140" s="364">
        <v>0</v>
      </c>
      <c r="Z140" s="364">
        <v>0</v>
      </c>
      <c r="AA140" s="364">
        <f t="shared" si="25"/>
        <v>0</v>
      </c>
      <c r="AB140" s="364">
        <f t="shared" si="26"/>
        <v>0</v>
      </c>
      <c r="AC140" s="804"/>
      <c r="AD140" s="817"/>
      <c r="AE140" s="817"/>
      <c r="AF140" s="817"/>
      <c r="AG140" s="817"/>
      <c r="AH140" s="817"/>
      <c r="AI140" s="817"/>
      <c r="AJ140" s="817"/>
      <c r="AK140" s="818"/>
      <c r="AL140" s="817"/>
      <c r="AM140" s="275"/>
      <c r="AN140" s="886">
        <v>0</v>
      </c>
      <c r="AO140" s="886">
        <v>0</v>
      </c>
      <c r="AP140" s="275"/>
      <c r="AQ140" s="834"/>
      <c r="AR140" s="834"/>
      <c r="AS140" s="834"/>
      <c r="AT140" s="834"/>
      <c r="AU140" s="834"/>
      <c r="AV140" s="834"/>
      <c r="AW140" s="834"/>
      <c r="AX140" s="834"/>
      <c r="AZ140" s="835"/>
      <c r="BA140" s="835"/>
      <c r="BB140" s="835"/>
      <c r="BC140" s="835"/>
      <c r="BD140" s="835"/>
      <c r="BE140" s="835"/>
      <c r="BF140" s="835"/>
      <c r="BG140" s="835"/>
      <c r="BH140" s="814"/>
      <c r="BI140" s="834"/>
      <c r="BJ140" s="834"/>
      <c r="BK140" s="834"/>
      <c r="BL140" s="834"/>
      <c r="BM140" s="834"/>
      <c r="BN140" s="834"/>
      <c r="BO140" s="834"/>
      <c r="BP140" s="834"/>
      <c r="BQ140" s="275"/>
      <c r="BR140" s="843"/>
      <c r="BS140" s="843"/>
      <c r="BT140" s="843"/>
      <c r="BU140" s="843"/>
      <c r="BV140" s="843"/>
      <c r="BW140" s="843"/>
      <c r="BX140" s="843"/>
      <c r="BY140" s="843"/>
      <c r="BZ140" s="843"/>
      <c r="CA140" s="843"/>
      <c r="CB140" s="843"/>
      <c r="CC140" s="843"/>
      <c r="CD140" s="843"/>
      <c r="CE140" s="843"/>
      <c r="CF140" s="843"/>
      <c r="CG140" s="843"/>
      <c r="CH140" s="843"/>
      <c r="CI140" s="843"/>
      <c r="CJ140" s="844"/>
      <c r="CK140" s="364"/>
      <c r="CL140" s="364"/>
      <c r="CM140" s="364"/>
      <c r="CN140" s="364"/>
      <c r="CO140" s="364"/>
      <c r="CP140" s="364"/>
      <c r="CQ140" s="364"/>
      <c r="CR140" s="804"/>
      <c r="CS140" s="852"/>
      <c r="CT140" s="853"/>
      <c r="CU140" s="853"/>
      <c r="CV140" s="853"/>
      <c r="CW140" s="853"/>
      <c r="CX140" s="853"/>
      <c r="CY140" s="853"/>
      <c r="CZ140" s="853"/>
      <c r="DA140" s="853"/>
      <c r="DC140" s="853"/>
      <c r="DD140" s="853"/>
      <c r="DE140" s="853"/>
      <c r="DF140" s="853"/>
      <c r="DG140" s="853"/>
      <c r="DH140" s="853"/>
      <c r="DI140" s="853"/>
      <c r="DJ140" s="853"/>
      <c r="DK140" s="853"/>
      <c r="DM140" s="853"/>
      <c r="DN140" s="853"/>
      <c r="DO140" s="853"/>
      <c r="DP140" s="853"/>
      <c r="DQ140" s="853"/>
      <c r="DR140" s="853"/>
      <c r="DS140" s="805"/>
      <c r="DT140" s="805"/>
      <c r="DV140" s="806">
        <f t="shared" si="20"/>
        <v>0</v>
      </c>
      <c r="DW140" s="806">
        <f t="shared" si="21"/>
        <v>0</v>
      </c>
      <c r="DX140" s="794">
        <f t="shared" si="22"/>
        <v>0</v>
      </c>
    </row>
    <row r="141" spans="1:128" hidden="1">
      <c r="A141" s="198">
        <v>2183</v>
      </c>
      <c r="B141" s="2">
        <v>103261</v>
      </c>
      <c r="C141" s="2" t="s">
        <v>305</v>
      </c>
      <c r="D141" s="2" t="s">
        <v>306</v>
      </c>
      <c r="E141" s="190" t="s">
        <v>39</v>
      </c>
      <c r="F141" s="211" t="str">
        <f>VLOOKUP(A141,'Summary June 2026'!A:F,6,FALSE)</f>
        <v>Chq Bk</v>
      </c>
      <c r="G141" s="33"/>
      <c r="H141" s="825">
        <v>0</v>
      </c>
      <c r="I141" s="804"/>
      <c r="J141" s="797">
        <v>0</v>
      </c>
      <c r="K141" s="797">
        <v>0</v>
      </c>
      <c r="L141" s="797">
        <v>0</v>
      </c>
      <c r="M141" s="797">
        <v>0</v>
      </c>
      <c r="N141" s="797">
        <v>0</v>
      </c>
      <c r="O141" s="797">
        <v>0</v>
      </c>
      <c r="P141" s="797">
        <v>0</v>
      </c>
      <c r="Q141" s="797">
        <f t="shared" si="23"/>
        <v>0</v>
      </c>
      <c r="R141" s="797">
        <f t="shared" si="24"/>
        <v>0</v>
      </c>
      <c r="S141" s="804"/>
      <c r="T141" s="364">
        <v>0</v>
      </c>
      <c r="U141" s="364">
        <v>0</v>
      </c>
      <c r="V141" s="364">
        <v>0</v>
      </c>
      <c r="W141" s="364">
        <v>0</v>
      </c>
      <c r="X141" s="364">
        <v>0</v>
      </c>
      <c r="Y141" s="364">
        <v>0</v>
      </c>
      <c r="Z141" s="364">
        <v>0</v>
      </c>
      <c r="AA141" s="364">
        <f t="shared" si="25"/>
        <v>0</v>
      </c>
      <c r="AB141" s="364">
        <f t="shared" si="26"/>
        <v>0</v>
      </c>
      <c r="AC141" s="804"/>
      <c r="AD141" s="817"/>
      <c r="AE141" s="817"/>
      <c r="AF141" s="817"/>
      <c r="AG141" s="817"/>
      <c r="AH141" s="817"/>
      <c r="AI141" s="817"/>
      <c r="AJ141" s="817"/>
      <c r="AK141" s="818"/>
      <c r="AL141" s="817"/>
      <c r="AM141" s="275"/>
      <c r="AN141" s="886">
        <v>0</v>
      </c>
      <c r="AO141" s="886">
        <v>0</v>
      </c>
      <c r="AP141" s="275"/>
      <c r="AQ141" s="834"/>
      <c r="AR141" s="834"/>
      <c r="AS141" s="834"/>
      <c r="AT141" s="834"/>
      <c r="AU141" s="834"/>
      <c r="AV141" s="834"/>
      <c r="AW141" s="834"/>
      <c r="AX141" s="834"/>
      <c r="AZ141" s="835"/>
      <c r="BA141" s="835"/>
      <c r="BB141" s="835"/>
      <c r="BC141" s="835"/>
      <c r="BD141" s="835"/>
      <c r="BE141" s="835"/>
      <c r="BF141" s="835"/>
      <c r="BG141" s="835"/>
      <c r="BH141" s="814"/>
      <c r="BI141" s="834"/>
      <c r="BJ141" s="834"/>
      <c r="BK141" s="834"/>
      <c r="BL141" s="834"/>
      <c r="BM141" s="834"/>
      <c r="BN141" s="834"/>
      <c r="BO141" s="834"/>
      <c r="BP141" s="834"/>
      <c r="BQ141" s="275"/>
      <c r="BR141" s="843"/>
      <c r="BS141" s="843"/>
      <c r="BT141" s="843"/>
      <c r="BU141" s="843"/>
      <c r="BV141" s="843"/>
      <c r="BW141" s="843"/>
      <c r="BX141" s="843"/>
      <c r="BY141" s="843"/>
      <c r="BZ141" s="843"/>
      <c r="CA141" s="843"/>
      <c r="CB141" s="843"/>
      <c r="CC141" s="843"/>
      <c r="CD141" s="843"/>
      <c r="CE141" s="843"/>
      <c r="CF141" s="843"/>
      <c r="CG141" s="843"/>
      <c r="CH141" s="843"/>
      <c r="CI141" s="843"/>
      <c r="CJ141" s="844"/>
      <c r="CK141" s="364"/>
      <c r="CL141" s="364"/>
      <c r="CM141" s="364"/>
      <c r="CN141" s="364"/>
      <c r="CO141" s="364"/>
      <c r="CP141" s="364"/>
      <c r="CQ141" s="364"/>
      <c r="CR141" s="804"/>
      <c r="CS141" s="852"/>
      <c r="CT141" s="853"/>
      <c r="CU141" s="853"/>
      <c r="CV141" s="853"/>
      <c r="CW141" s="853"/>
      <c r="CX141" s="853"/>
      <c r="CY141" s="853"/>
      <c r="CZ141" s="853"/>
      <c r="DA141" s="853"/>
      <c r="DC141" s="853"/>
      <c r="DD141" s="853"/>
      <c r="DE141" s="853"/>
      <c r="DF141" s="853"/>
      <c r="DG141" s="853"/>
      <c r="DH141" s="853"/>
      <c r="DI141" s="853"/>
      <c r="DJ141" s="853"/>
      <c r="DK141" s="853"/>
      <c r="DM141" s="853"/>
      <c r="DN141" s="853"/>
      <c r="DO141" s="853"/>
      <c r="DP141" s="853"/>
      <c r="DQ141" s="853"/>
      <c r="DR141" s="853"/>
      <c r="DS141" s="805"/>
      <c r="DT141" s="805"/>
      <c r="DV141" s="806">
        <f t="shared" si="20"/>
        <v>0</v>
      </c>
      <c r="DW141" s="806">
        <f t="shared" si="21"/>
        <v>0</v>
      </c>
      <c r="DX141" s="794">
        <f t="shared" si="22"/>
        <v>0</v>
      </c>
    </row>
    <row r="142" spans="1:128" hidden="1">
      <c r="A142" s="198">
        <v>3372</v>
      </c>
      <c r="B142" s="2">
        <v>103460</v>
      </c>
      <c r="C142" s="2" t="s">
        <v>307</v>
      </c>
      <c r="D142" s="2" t="s">
        <v>308</v>
      </c>
      <c r="E142" s="190" t="s">
        <v>39</v>
      </c>
      <c r="F142" s="211" t="str">
        <f>VLOOKUP(A142,'Summary June 2026'!A:F,6,FALSE)</f>
        <v>Chq Bk</v>
      </c>
      <c r="G142" s="33"/>
      <c r="H142" s="825">
        <v>0</v>
      </c>
      <c r="I142" s="804"/>
      <c r="J142" s="797">
        <v>0</v>
      </c>
      <c r="K142" s="797">
        <v>0</v>
      </c>
      <c r="L142" s="797">
        <v>69802.2</v>
      </c>
      <c r="M142" s="797">
        <v>4260.75</v>
      </c>
      <c r="N142" s="797">
        <v>1529.6073684210528</v>
      </c>
      <c r="O142" s="797">
        <v>1881.75</v>
      </c>
      <c r="P142" s="797">
        <v>0</v>
      </c>
      <c r="Q142" s="797">
        <f t="shared" si="23"/>
        <v>77474.307368421054</v>
      </c>
      <c r="R142" s="797">
        <f t="shared" si="24"/>
        <v>61979.445894736848</v>
      </c>
      <c r="S142" s="804"/>
      <c r="T142" s="364">
        <v>0</v>
      </c>
      <c r="U142" s="364">
        <v>0</v>
      </c>
      <c r="V142" s="364">
        <v>51433.200000000004</v>
      </c>
      <c r="W142" s="364">
        <v>3587.9999999999995</v>
      </c>
      <c r="X142" s="364">
        <v>1193.92</v>
      </c>
      <c r="Y142" s="364">
        <v>1076.3999999999999</v>
      </c>
      <c r="Z142" s="364">
        <v>0</v>
      </c>
      <c r="AA142" s="364">
        <f t="shared" si="25"/>
        <v>57291.520000000004</v>
      </c>
      <c r="AB142" s="364">
        <f t="shared" si="26"/>
        <v>45833.216000000008</v>
      </c>
      <c r="AC142" s="804"/>
      <c r="AD142" s="817"/>
      <c r="AE142" s="817"/>
      <c r="AF142" s="817"/>
      <c r="AG142" s="817"/>
      <c r="AH142" s="817"/>
      <c r="AI142" s="817"/>
      <c r="AJ142" s="817"/>
      <c r="AK142" s="818"/>
      <c r="AL142" s="817"/>
      <c r="AM142" s="275"/>
      <c r="AN142" s="886">
        <v>3708.7310249307466</v>
      </c>
      <c r="AO142" s="886">
        <v>0</v>
      </c>
      <c r="AP142" s="275"/>
      <c r="AQ142" s="834"/>
      <c r="AR142" s="834"/>
      <c r="AS142" s="834"/>
      <c r="AT142" s="834"/>
      <c r="AU142" s="834"/>
      <c r="AV142" s="834"/>
      <c r="AW142" s="834"/>
      <c r="AX142" s="834"/>
      <c r="AZ142" s="835"/>
      <c r="BA142" s="835"/>
      <c r="BB142" s="835"/>
      <c r="BC142" s="835"/>
      <c r="BD142" s="835"/>
      <c r="BE142" s="835"/>
      <c r="BF142" s="835"/>
      <c r="BG142" s="835"/>
      <c r="BH142" s="814"/>
      <c r="BI142" s="834"/>
      <c r="BJ142" s="834"/>
      <c r="BK142" s="834"/>
      <c r="BL142" s="834"/>
      <c r="BM142" s="834"/>
      <c r="BN142" s="834"/>
      <c r="BO142" s="834"/>
      <c r="BP142" s="834"/>
      <c r="BQ142" s="275"/>
      <c r="BR142" s="843"/>
      <c r="BS142" s="843"/>
      <c r="BT142" s="843"/>
      <c r="BU142" s="843"/>
      <c r="BV142" s="843"/>
      <c r="BW142" s="843"/>
      <c r="BX142" s="843"/>
      <c r="BY142" s="843"/>
      <c r="BZ142" s="843"/>
      <c r="CA142" s="843"/>
      <c r="CB142" s="843"/>
      <c r="CC142" s="843"/>
      <c r="CD142" s="843"/>
      <c r="CE142" s="843"/>
      <c r="CF142" s="843"/>
      <c r="CG142" s="843"/>
      <c r="CH142" s="843"/>
      <c r="CI142" s="843"/>
      <c r="CJ142" s="844"/>
      <c r="CK142" s="364"/>
      <c r="CL142" s="364"/>
      <c r="CM142" s="364"/>
      <c r="CN142" s="364"/>
      <c r="CO142" s="364"/>
      <c r="CP142" s="364"/>
      <c r="CQ142" s="364"/>
      <c r="CR142" s="804"/>
      <c r="CS142" s="852"/>
      <c r="CT142" s="853"/>
      <c r="CU142" s="853"/>
      <c r="CV142" s="853"/>
      <c r="CW142" s="853"/>
      <c r="CX142" s="853"/>
      <c r="CY142" s="853"/>
      <c r="CZ142" s="853"/>
      <c r="DA142" s="853"/>
      <c r="DC142" s="853"/>
      <c r="DD142" s="853"/>
      <c r="DE142" s="853"/>
      <c r="DF142" s="853"/>
      <c r="DG142" s="853"/>
      <c r="DH142" s="853"/>
      <c r="DI142" s="853"/>
      <c r="DJ142" s="853"/>
      <c r="DK142" s="853"/>
      <c r="DM142" s="853"/>
      <c r="DN142" s="853"/>
      <c r="DO142" s="853"/>
      <c r="DP142" s="853"/>
      <c r="DQ142" s="853"/>
      <c r="DR142" s="853"/>
      <c r="DS142" s="805"/>
      <c r="DT142" s="805"/>
      <c r="DV142" s="806">
        <f t="shared" si="20"/>
        <v>111521.39291966762</v>
      </c>
      <c r="DW142" s="806">
        <f t="shared" si="21"/>
        <v>0</v>
      </c>
      <c r="DX142" s="794">
        <f t="shared" si="22"/>
        <v>111521.39291966762</v>
      </c>
    </row>
    <row r="143" spans="1:128" hidden="1">
      <c r="A143" s="198">
        <v>3375</v>
      </c>
      <c r="B143" s="2">
        <v>103462</v>
      </c>
      <c r="C143" s="2" t="s">
        <v>309</v>
      </c>
      <c r="D143" s="2" t="s">
        <v>310</v>
      </c>
      <c r="E143" s="190" t="s">
        <v>39</v>
      </c>
      <c r="F143" s="211" t="str">
        <f>VLOOKUP(A143,'Summary June 2026'!A:F,6,FALSE)</f>
        <v>Chq Bk</v>
      </c>
      <c r="G143" s="33"/>
      <c r="H143" s="825">
        <v>0</v>
      </c>
      <c r="I143" s="804"/>
      <c r="J143" s="797">
        <v>0</v>
      </c>
      <c r="K143" s="797">
        <v>0</v>
      </c>
      <c r="L143" s="797">
        <v>0</v>
      </c>
      <c r="M143" s="797">
        <v>0</v>
      </c>
      <c r="N143" s="797">
        <v>0</v>
      </c>
      <c r="O143" s="797">
        <v>0</v>
      </c>
      <c r="P143" s="797">
        <v>0</v>
      </c>
      <c r="Q143" s="797">
        <f t="shared" si="23"/>
        <v>0</v>
      </c>
      <c r="R143" s="797">
        <f t="shared" si="24"/>
        <v>0</v>
      </c>
      <c r="S143" s="804"/>
      <c r="T143" s="364">
        <v>0</v>
      </c>
      <c r="U143" s="364">
        <v>0</v>
      </c>
      <c r="V143" s="364">
        <v>0</v>
      </c>
      <c r="W143" s="364">
        <v>0</v>
      </c>
      <c r="X143" s="364">
        <v>0</v>
      </c>
      <c r="Y143" s="364">
        <v>0</v>
      </c>
      <c r="Z143" s="364">
        <v>0</v>
      </c>
      <c r="AA143" s="364">
        <f t="shared" si="25"/>
        <v>0</v>
      </c>
      <c r="AB143" s="364">
        <f t="shared" si="26"/>
        <v>0</v>
      </c>
      <c r="AC143" s="804"/>
      <c r="AD143" s="817"/>
      <c r="AE143" s="817"/>
      <c r="AF143" s="817"/>
      <c r="AG143" s="817"/>
      <c r="AH143" s="817"/>
      <c r="AI143" s="817"/>
      <c r="AJ143" s="817"/>
      <c r="AK143" s="818"/>
      <c r="AL143" s="817"/>
      <c r="AM143" s="275"/>
      <c r="AN143" s="886">
        <v>0</v>
      </c>
      <c r="AO143" s="886">
        <v>0</v>
      </c>
      <c r="AP143" s="275"/>
      <c r="AQ143" s="834"/>
      <c r="AR143" s="834"/>
      <c r="AS143" s="834"/>
      <c r="AT143" s="834"/>
      <c r="AU143" s="834"/>
      <c r="AV143" s="834"/>
      <c r="AW143" s="834"/>
      <c r="AX143" s="834"/>
      <c r="AZ143" s="835"/>
      <c r="BA143" s="835"/>
      <c r="BB143" s="835"/>
      <c r="BC143" s="835"/>
      <c r="BD143" s="835"/>
      <c r="BE143" s="835"/>
      <c r="BF143" s="835"/>
      <c r="BG143" s="835"/>
      <c r="BH143" s="814"/>
      <c r="BI143" s="834"/>
      <c r="BJ143" s="834"/>
      <c r="BK143" s="834"/>
      <c r="BL143" s="834"/>
      <c r="BM143" s="834"/>
      <c r="BN143" s="834"/>
      <c r="BO143" s="834"/>
      <c r="BP143" s="834"/>
      <c r="BQ143" s="275"/>
      <c r="BR143" s="843"/>
      <c r="BS143" s="843"/>
      <c r="BT143" s="843"/>
      <c r="BU143" s="843"/>
      <c r="BV143" s="843"/>
      <c r="BW143" s="843"/>
      <c r="BX143" s="843"/>
      <c r="BY143" s="843"/>
      <c r="BZ143" s="843"/>
      <c r="CA143" s="843"/>
      <c r="CB143" s="843"/>
      <c r="CC143" s="843"/>
      <c r="CD143" s="843"/>
      <c r="CE143" s="843"/>
      <c r="CF143" s="843"/>
      <c r="CG143" s="843"/>
      <c r="CH143" s="843"/>
      <c r="CI143" s="843"/>
      <c r="CJ143" s="844"/>
      <c r="CK143" s="364"/>
      <c r="CL143" s="364"/>
      <c r="CM143" s="364"/>
      <c r="CN143" s="364"/>
      <c r="CO143" s="364"/>
      <c r="CP143" s="364"/>
      <c r="CQ143" s="364"/>
      <c r="CR143" s="804"/>
      <c r="CS143" s="852"/>
      <c r="CT143" s="853"/>
      <c r="CU143" s="853"/>
      <c r="CV143" s="853"/>
      <c r="CW143" s="853"/>
      <c r="CX143" s="853"/>
      <c r="CY143" s="853"/>
      <c r="CZ143" s="853"/>
      <c r="DA143" s="853"/>
      <c r="DC143" s="853"/>
      <c r="DD143" s="853"/>
      <c r="DE143" s="853"/>
      <c r="DF143" s="853"/>
      <c r="DG143" s="853"/>
      <c r="DH143" s="853"/>
      <c r="DI143" s="853"/>
      <c r="DJ143" s="853"/>
      <c r="DK143" s="853"/>
      <c r="DM143" s="853"/>
      <c r="DN143" s="853"/>
      <c r="DO143" s="853"/>
      <c r="DP143" s="853"/>
      <c r="DQ143" s="853"/>
      <c r="DR143" s="853"/>
      <c r="DS143" s="805"/>
      <c r="DT143" s="805"/>
      <c r="DV143" s="806">
        <f t="shared" si="20"/>
        <v>0</v>
      </c>
      <c r="DW143" s="806">
        <f t="shared" si="21"/>
        <v>0</v>
      </c>
      <c r="DX143" s="794">
        <f t="shared" si="22"/>
        <v>0</v>
      </c>
    </row>
    <row r="144" spans="1:128" hidden="1">
      <c r="A144" s="198">
        <v>3331</v>
      </c>
      <c r="B144" s="2">
        <v>103433</v>
      </c>
      <c r="C144" s="2" t="s">
        <v>311</v>
      </c>
      <c r="D144" s="2" t="s">
        <v>312</v>
      </c>
      <c r="E144" s="190" t="s">
        <v>39</v>
      </c>
      <c r="F144" s="211" t="str">
        <f>VLOOKUP(A144,'Summary June 2026'!A:F,6,FALSE)</f>
        <v>Chq Bk</v>
      </c>
      <c r="G144" s="33"/>
      <c r="H144" s="825">
        <v>0</v>
      </c>
      <c r="I144" s="804"/>
      <c r="J144" s="797">
        <v>0</v>
      </c>
      <c r="K144" s="797">
        <v>0</v>
      </c>
      <c r="L144" s="797">
        <v>60005.400000000009</v>
      </c>
      <c r="M144" s="797">
        <v>2691</v>
      </c>
      <c r="N144" s="797">
        <v>1007.2673684210527</v>
      </c>
      <c r="O144" s="797">
        <v>2109.8999999999996</v>
      </c>
      <c r="P144" s="797">
        <v>0</v>
      </c>
      <c r="Q144" s="797">
        <f t="shared" si="23"/>
        <v>65813.567368421063</v>
      </c>
      <c r="R144" s="797">
        <f t="shared" si="24"/>
        <v>52650.853894736851</v>
      </c>
      <c r="S144" s="804"/>
      <c r="T144" s="364">
        <v>0</v>
      </c>
      <c r="U144" s="364">
        <v>0</v>
      </c>
      <c r="V144" s="364">
        <v>42861</v>
      </c>
      <c r="W144" s="364">
        <v>1569.7499999999998</v>
      </c>
      <c r="X144" s="364">
        <v>522.34</v>
      </c>
      <c r="Y144" s="364">
        <v>1255.7999999999997</v>
      </c>
      <c r="Z144" s="364">
        <v>0</v>
      </c>
      <c r="AA144" s="364">
        <f t="shared" si="25"/>
        <v>46208.89</v>
      </c>
      <c r="AB144" s="364">
        <f t="shared" si="26"/>
        <v>36967.112000000001</v>
      </c>
      <c r="AC144" s="804"/>
      <c r="AD144" s="817"/>
      <c r="AE144" s="817"/>
      <c r="AF144" s="817"/>
      <c r="AG144" s="817"/>
      <c r="AH144" s="817"/>
      <c r="AI144" s="817"/>
      <c r="AJ144" s="817"/>
      <c r="AK144" s="818"/>
      <c r="AL144" s="817"/>
      <c r="AM144" s="275"/>
      <c r="AN144" s="886">
        <v>10489.12537396122</v>
      </c>
      <c r="AO144" s="886">
        <v>0</v>
      </c>
      <c r="AP144" s="275"/>
      <c r="AQ144" s="834"/>
      <c r="AR144" s="834"/>
      <c r="AS144" s="834"/>
      <c r="AT144" s="834"/>
      <c r="AU144" s="834"/>
      <c r="AV144" s="834"/>
      <c r="AW144" s="834"/>
      <c r="AX144" s="834"/>
      <c r="AZ144" s="835"/>
      <c r="BA144" s="835"/>
      <c r="BB144" s="835"/>
      <c r="BC144" s="835"/>
      <c r="BD144" s="835"/>
      <c r="BE144" s="835"/>
      <c r="BF144" s="835"/>
      <c r="BG144" s="835"/>
      <c r="BH144" s="814"/>
      <c r="BI144" s="834"/>
      <c r="BJ144" s="834"/>
      <c r="BK144" s="834"/>
      <c r="BL144" s="834"/>
      <c r="BM144" s="834"/>
      <c r="BN144" s="834"/>
      <c r="BO144" s="834"/>
      <c r="BP144" s="834"/>
      <c r="BQ144" s="275"/>
      <c r="BR144" s="843"/>
      <c r="BS144" s="843"/>
      <c r="BT144" s="843"/>
      <c r="BU144" s="843"/>
      <c r="BV144" s="843"/>
      <c r="BW144" s="843"/>
      <c r="BX144" s="843"/>
      <c r="BY144" s="843"/>
      <c r="BZ144" s="843"/>
      <c r="CA144" s="843"/>
      <c r="CB144" s="843"/>
      <c r="CC144" s="843"/>
      <c r="CD144" s="843"/>
      <c r="CE144" s="843"/>
      <c r="CF144" s="843"/>
      <c r="CG144" s="843"/>
      <c r="CH144" s="843"/>
      <c r="CI144" s="843"/>
      <c r="CJ144" s="844"/>
      <c r="CK144" s="364"/>
      <c r="CL144" s="364"/>
      <c r="CM144" s="364"/>
      <c r="CN144" s="364"/>
      <c r="CO144" s="364"/>
      <c r="CP144" s="364"/>
      <c r="CQ144" s="364"/>
      <c r="CR144" s="804"/>
      <c r="CS144" s="852"/>
      <c r="CT144" s="853"/>
      <c r="CU144" s="853"/>
      <c r="CV144" s="853"/>
      <c r="CW144" s="853"/>
      <c r="CX144" s="853"/>
      <c r="CY144" s="853"/>
      <c r="CZ144" s="853"/>
      <c r="DA144" s="853"/>
      <c r="DC144" s="853"/>
      <c r="DD144" s="853"/>
      <c r="DE144" s="853"/>
      <c r="DF144" s="853"/>
      <c r="DG144" s="853"/>
      <c r="DH144" s="853"/>
      <c r="DI144" s="853"/>
      <c r="DJ144" s="853"/>
      <c r="DK144" s="853"/>
      <c r="DM144" s="853"/>
      <c r="DN144" s="853"/>
      <c r="DO144" s="853"/>
      <c r="DP144" s="853"/>
      <c r="DQ144" s="853"/>
      <c r="DR144" s="853"/>
      <c r="DS144" s="805"/>
      <c r="DT144" s="805"/>
      <c r="DV144" s="806">
        <f t="shared" si="20"/>
        <v>100107.09126869807</v>
      </c>
      <c r="DW144" s="806">
        <f t="shared" si="21"/>
        <v>0</v>
      </c>
      <c r="DX144" s="794">
        <f t="shared" si="22"/>
        <v>100107.09126869807</v>
      </c>
    </row>
    <row r="145" spans="1:128" hidden="1">
      <c r="A145" s="198">
        <v>3386</v>
      </c>
      <c r="B145" s="2">
        <v>103470</v>
      </c>
      <c r="C145" s="2" t="s">
        <v>313</v>
      </c>
      <c r="D145" s="2" t="s">
        <v>314</v>
      </c>
      <c r="E145" s="190" t="s">
        <v>39</v>
      </c>
      <c r="F145" s="211" t="str">
        <f>VLOOKUP(A145,'Summary June 2026'!A:F,6,FALSE)</f>
        <v>Chq Bk</v>
      </c>
      <c r="G145" s="33"/>
      <c r="H145" s="825">
        <v>0</v>
      </c>
      <c r="I145" s="804"/>
      <c r="J145" s="797">
        <v>0</v>
      </c>
      <c r="K145" s="797">
        <v>0</v>
      </c>
      <c r="L145" s="797">
        <v>50208.600000000006</v>
      </c>
      <c r="M145" s="797">
        <v>3587.9999999999995</v>
      </c>
      <c r="N145" s="797">
        <v>1193.7147368421054</v>
      </c>
      <c r="O145" s="797">
        <v>1524.8999999999996</v>
      </c>
      <c r="P145" s="797">
        <v>0</v>
      </c>
      <c r="Q145" s="797">
        <f t="shared" si="23"/>
        <v>56515.214736842114</v>
      </c>
      <c r="R145" s="797">
        <f t="shared" si="24"/>
        <v>45212.171789473694</v>
      </c>
      <c r="S145" s="804"/>
      <c r="T145" s="364">
        <v>0</v>
      </c>
      <c r="U145" s="364">
        <v>0</v>
      </c>
      <c r="V145" s="364">
        <v>39799.500000000007</v>
      </c>
      <c r="W145" s="364">
        <v>2354.625</v>
      </c>
      <c r="X145" s="364">
        <v>895.33736842105259</v>
      </c>
      <c r="Y145" s="364">
        <v>1126.125</v>
      </c>
      <c r="Z145" s="364">
        <v>0</v>
      </c>
      <c r="AA145" s="364">
        <f t="shared" si="25"/>
        <v>44175.58736842106</v>
      </c>
      <c r="AB145" s="364">
        <f t="shared" si="26"/>
        <v>35340.469894736852</v>
      </c>
      <c r="AC145" s="804"/>
      <c r="AD145" s="817"/>
      <c r="AE145" s="817"/>
      <c r="AF145" s="817"/>
      <c r="AG145" s="817"/>
      <c r="AH145" s="817"/>
      <c r="AI145" s="817"/>
      <c r="AJ145" s="817"/>
      <c r="AK145" s="818"/>
      <c r="AL145" s="817"/>
      <c r="AM145" s="275"/>
      <c r="AN145" s="886">
        <v>1998.6063434903056</v>
      </c>
      <c r="AO145" s="886">
        <v>0</v>
      </c>
      <c r="AP145" s="275"/>
      <c r="AQ145" s="834"/>
      <c r="AR145" s="834"/>
      <c r="AS145" s="834"/>
      <c r="AT145" s="834"/>
      <c r="AU145" s="834"/>
      <c r="AV145" s="834"/>
      <c r="AW145" s="834"/>
      <c r="AX145" s="834"/>
      <c r="AZ145" s="835"/>
      <c r="BA145" s="835"/>
      <c r="BB145" s="835"/>
      <c r="BC145" s="835"/>
      <c r="BD145" s="835"/>
      <c r="BE145" s="835"/>
      <c r="BF145" s="835"/>
      <c r="BG145" s="835"/>
      <c r="BH145" s="814"/>
      <c r="BI145" s="834"/>
      <c r="BJ145" s="834"/>
      <c r="BK145" s="834"/>
      <c r="BL145" s="834"/>
      <c r="BM145" s="834"/>
      <c r="BN145" s="834"/>
      <c r="BO145" s="834"/>
      <c r="BP145" s="834"/>
      <c r="BQ145" s="275"/>
      <c r="BR145" s="843"/>
      <c r="BS145" s="843"/>
      <c r="BT145" s="843"/>
      <c r="BU145" s="843"/>
      <c r="BV145" s="843"/>
      <c r="BW145" s="843"/>
      <c r="BX145" s="843"/>
      <c r="BY145" s="843"/>
      <c r="BZ145" s="843"/>
      <c r="CA145" s="843"/>
      <c r="CB145" s="843"/>
      <c r="CC145" s="843"/>
      <c r="CD145" s="843"/>
      <c r="CE145" s="843"/>
      <c r="CF145" s="843"/>
      <c r="CG145" s="843"/>
      <c r="CH145" s="843"/>
      <c r="CI145" s="843"/>
      <c r="CJ145" s="844"/>
      <c r="CK145" s="364"/>
      <c r="CL145" s="364"/>
      <c r="CM145" s="364"/>
      <c r="CN145" s="364"/>
      <c r="CO145" s="364"/>
      <c r="CP145" s="364"/>
      <c r="CQ145" s="364"/>
      <c r="CR145" s="804"/>
      <c r="CS145" s="852"/>
      <c r="CT145" s="853"/>
      <c r="CU145" s="853"/>
      <c r="CV145" s="853"/>
      <c r="CW145" s="853"/>
      <c r="CX145" s="853"/>
      <c r="CY145" s="853"/>
      <c r="CZ145" s="853"/>
      <c r="DA145" s="853"/>
      <c r="DC145" s="853"/>
      <c r="DD145" s="853"/>
      <c r="DE145" s="853"/>
      <c r="DF145" s="853"/>
      <c r="DG145" s="853"/>
      <c r="DH145" s="853"/>
      <c r="DI145" s="853"/>
      <c r="DJ145" s="853"/>
      <c r="DK145" s="853"/>
      <c r="DM145" s="853"/>
      <c r="DN145" s="853"/>
      <c r="DO145" s="853"/>
      <c r="DP145" s="853"/>
      <c r="DQ145" s="853"/>
      <c r="DR145" s="853"/>
      <c r="DS145" s="805"/>
      <c r="DT145" s="805"/>
      <c r="DV145" s="806">
        <f t="shared" si="20"/>
        <v>82551.248027700844</v>
      </c>
      <c r="DW145" s="806">
        <f t="shared" si="21"/>
        <v>0</v>
      </c>
      <c r="DX145" s="794">
        <f t="shared" si="22"/>
        <v>82551.248027700844</v>
      </c>
    </row>
    <row r="146" spans="1:128" hidden="1">
      <c r="A146" s="198">
        <v>3363</v>
      </c>
      <c r="B146" s="2">
        <v>103455</v>
      </c>
      <c r="C146" s="2" t="s">
        <v>315</v>
      </c>
      <c r="D146" s="2" t="s">
        <v>316</v>
      </c>
      <c r="E146" s="190" t="s">
        <v>39</v>
      </c>
      <c r="F146" s="211" t="str">
        <f>VLOOKUP(A146,'Summary June 2026'!A:F,6,FALSE)</f>
        <v>Chq Bk</v>
      </c>
      <c r="G146" s="33"/>
      <c r="H146" s="825">
        <v>0</v>
      </c>
      <c r="I146" s="804"/>
      <c r="J146" s="797">
        <v>0</v>
      </c>
      <c r="K146" s="797">
        <v>0</v>
      </c>
      <c r="L146" s="797">
        <v>29390.400000000001</v>
      </c>
      <c r="M146" s="797">
        <v>1345.5</v>
      </c>
      <c r="N146" s="797">
        <v>447.71999999999997</v>
      </c>
      <c r="O146" s="797">
        <v>403.65</v>
      </c>
      <c r="P146" s="797">
        <v>0</v>
      </c>
      <c r="Q146" s="797">
        <f t="shared" si="23"/>
        <v>31587.270000000004</v>
      </c>
      <c r="R146" s="797">
        <f t="shared" si="24"/>
        <v>25269.816000000006</v>
      </c>
      <c r="S146" s="804"/>
      <c r="T146" s="364">
        <v>0</v>
      </c>
      <c r="U146" s="364">
        <v>0</v>
      </c>
      <c r="V146" s="364">
        <v>29390.400000000001</v>
      </c>
      <c r="W146" s="364">
        <v>1569.7499999999998</v>
      </c>
      <c r="X146" s="364">
        <v>522.34</v>
      </c>
      <c r="Y146" s="364">
        <v>315.89999999999998</v>
      </c>
      <c r="Z146" s="364">
        <v>0</v>
      </c>
      <c r="AA146" s="364">
        <f t="shared" si="25"/>
        <v>31798.390000000003</v>
      </c>
      <c r="AB146" s="364">
        <f t="shared" si="26"/>
        <v>25438.712000000003</v>
      </c>
      <c r="AC146" s="804"/>
      <c r="AD146" s="817"/>
      <c r="AE146" s="817"/>
      <c r="AF146" s="817"/>
      <c r="AG146" s="817"/>
      <c r="AH146" s="817"/>
      <c r="AI146" s="817"/>
      <c r="AJ146" s="817"/>
      <c r="AK146" s="818"/>
      <c r="AL146" s="817"/>
      <c r="AM146" s="275"/>
      <c r="AN146" s="886">
        <v>9354.6838504155112</v>
      </c>
      <c r="AO146" s="886">
        <v>0</v>
      </c>
      <c r="AP146" s="275"/>
      <c r="AQ146" s="834"/>
      <c r="AR146" s="834"/>
      <c r="AS146" s="834"/>
      <c r="AT146" s="834"/>
      <c r="AU146" s="834"/>
      <c r="AV146" s="834"/>
      <c r="AW146" s="834"/>
      <c r="AX146" s="834"/>
      <c r="AZ146" s="835"/>
      <c r="BA146" s="835"/>
      <c r="BB146" s="835"/>
      <c r="BC146" s="835"/>
      <c r="BD146" s="835"/>
      <c r="BE146" s="835"/>
      <c r="BF146" s="835"/>
      <c r="BG146" s="835"/>
      <c r="BH146" s="814"/>
      <c r="BI146" s="834"/>
      <c r="BJ146" s="834"/>
      <c r="BK146" s="834"/>
      <c r="BL146" s="834"/>
      <c r="BM146" s="834"/>
      <c r="BN146" s="834"/>
      <c r="BO146" s="834"/>
      <c r="BP146" s="834"/>
      <c r="BQ146" s="275"/>
      <c r="BR146" s="843"/>
      <c r="BS146" s="843"/>
      <c r="BT146" s="843"/>
      <c r="BU146" s="843"/>
      <c r="BV146" s="843"/>
      <c r="BW146" s="843"/>
      <c r="BX146" s="843"/>
      <c r="BY146" s="843"/>
      <c r="BZ146" s="843"/>
      <c r="CA146" s="843"/>
      <c r="CB146" s="843"/>
      <c r="CC146" s="843"/>
      <c r="CD146" s="843"/>
      <c r="CE146" s="843"/>
      <c r="CF146" s="843"/>
      <c r="CG146" s="843"/>
      <c r="CH146" s="843"/>
      <c r="CI146" s="843"/>
      <c r="CJ146" s="844"/>
      <c r="CK146" s="364"/>
      <c r="CL146" s="364"/>
      <c r="CM146" s="364"/>
      <c r="CN146" s="364"/>
      <c r="CO146" s="364"/>
      <c r="CP146" s="364"/>
      <c r="CQ146" s="364"/>
      <c r="CR146" s="804"/>
      <c r="CS146" s="852"/>
      <c r="CT146" s="853"/>
      <c r="CU146" s="853"/>
      <c r="CV146" s="853"/>
      <c r="CW146" s="853"/>
      <c r="CX146" s="853"/>
      <c r="CY146" s="853"/>
      <c r="CZ146" s="853"/>
      <c r="DA146" s="853"/>
      <c r="DC146" s="853"/>
      <c r="DD146" s="853"/>
      <c r="DE146" s="853"/>
      <c r="DF146" s="853"/>
      <c r="DG146" s="853"/>
      <c r="DH146" s="853"/>
      <c r="DI146" s="853"/>
      <c r="DJ146" s="853"/>
      <c r="DK146" s="853"/>
      <c r="DM146" s="853"/>
      <c r="DN146" s="853"/>
      <c r="DO146" s="853"/>
      <c r="DP146" s="853"/>
      <c r="DQ146" s="853"/>
      <c r="DR146" s="853"/>
      <c r="DS146" s="805"/>
      <c r="DT146" s="805"/>
      <c r="DV146" s="806">
        <f t="shared" si="20"/>
        <v>60063.211850415515</v>
      </c>
      <c r="DW146" s="806">
        <f t="shared" si="21"/>
        <v>0</v>
      </c>
      <c r="DX146" s="794">
        <f t="shared" si="22"/>
        <v>60063.211850415515</v>
      </c>
    </row>
    <row r="147" spans="1:128" hidden="1">
      <c r="A147" s="198">
        <v>3355</v>
      </c>
      <c r="B147" s="2">
        <v>103447</v>
      </c>
      <c r="C147" s="2" t="s">
        <v>317</v>
      </c>
      <c r="D147" s="2" t="s">
        <v>318</v>
      </c>
      <c r="E147" s="190" t="s">
        <v>39</v>
      </c>
      <c r="F147" s="211" t="str">
        <f>VLOOKUP(A147,'Summary June 2026'!A:F,6,FALSE)</f>
        <v>Chq Bk</v>
      </c>
      <c r="G147" s="33"/>
      <c r="H147" s="825">
        <v>0</v>
      </c>
      <c r="I147" s="804"/>
      <c r="J147" s="797">
        <v>0</v>
      </c>
      <c r="K147" s="797">
        <v>0</v>
      </c>
      <c r="L147" s="797">
        <v>0</v>
      </c>
      <c r="M147" s="797">
        <v>0</v>
      </c>
      <c r="N147" s="797">
        <v>0</v>
      </c>
      <c r="O147" s="797">
        <v>0</v>
      </c>
      <c r="P147" s="797">
        <v>0</v>
      </c>
      <c r="Q147" s="797">
        <f t="shared" si="23"/>
        <v>0</v>
      </c>
      <c r="R147" s="797">
        <f t="shared" si="24"/>
        <v>0</v>
      </c>
      <c r="S147" s="804"/>
      <c r="T147" s="364">
        <v>0</v>
      </c>
      <c r="U147" s="364">
        <v>0</v>
      </c>
      <c r="V147" s="364">
        <v>0</v>
      </c>
      <c r="W147" s="364">
        <v>0</v>
      </c>
      <c r="X147" s="364">
        <v>0</v>
      </c>
      <c r="Y147" s="364">
        <v>0</v>
      </c>
      <c r="Z147" s="364">
        <v>0</v>
      </c>
      <c r="AA147" s="364">
        <f t="shared" si="25"/>
        <v>0</v>
      </c>
      <c r="AB147" s="364">
        <f t="shared" si="26"/>
        <v>0</v>
      </c>
      <c r="AC147" s="804"/>
      <c r="AD147" s="817"/>
      <c r="AE147" s="817"/>
      <c r="AF147" s="817"/>
      <c r="AG147" s="817"/>
      <c r="AH147" s="817"/>
      <c r="AI147" s="817"/>
      <c r="AJ147" s="817"/>
      <c r="AK147" s="818"/>
      <c r="AL147" s="817"/>
      <c r="AM147" s="275"/>
      <c r="AN147" s="886">
        <v>0</v>
      </c>
      <c r="AO147" s="886">
        <v>0</v>
      </c>
      <c r="AP147" s="275"/>
      <c r="AQ147" s="834"/>
      <c r="AR147" s="834"/>
      <c r="AS147" s="834"/>
      <c r="AT147" s="834"/>
      <c r="AU147" s="834"/>
      <c r="AV147" s="834"/>
      <c r="AW147" s="834"/>
      <c r="AX147" s="834"/>
      <c r="AZ147" s="835"/>
      <c r="BA147" s="835"/>
      <c r="BB147" s="835"/>
      <c r="BC147" s="835"/>
      <c r="BD147" s="835"/>
      <c r="BE147" s="835"/>
      <c r="BF147" s="835"/>
      <c r="BG147" s="835"/>
      <c r="BH147" s="814"/>
      <c r="BI147" s="834"/>
      <c r="BJ147" s="834"/>
      <c r="BK147" s="834"/>
      <c r="BL147" s="834"/>
      <c r="BM147" s="834"/>
      <c r="BN147" s="834"/>
      <c r="BO147" s="834"/>
      <c r="BP147" s="834"/>
      <c r="BQ147" s="275"/>
      <c r="BR147" s="843"/>
      <c r="BS147" s="843"/>
      <c r="BT147" s="843"/>
      <c r="BU147" s="843"/>
      <c r="BV147" s="843"/>
      <c r="BW147" s="843"/>
      <c r="BX147" s="843"/>
      <c r="BY147" s="843"/>
      <c r="BZ147" s="843"/>
      <c r="CA147" s="843"/>
      <c r="CB147" s="843"/>
      <c r="CC147" s="843"/>
      <c r="CD147" s="843"/>
      <c r="CE147" s="843"/>
      <c r="CF147" s="843"/>
      <c r="CG147" s="843"/>
      <c r="CH147" s="843"/>
      <c r="CI147" s="843"/>
      <c r="CJ147" s="844"/>
      <c r="CK147" s="364"/>
      <c r="CL147" s="364"/>
      <c r="CM147" s="364"/>
      <c r="CN147" s="364"/>
      <c r="CO147" s="364"/>
      <c r="CP147" s="364"/>
      <c r="CQ147" s="364"/>
      <c r="CR147" s="804"/>
      <c r="CS147" s="852"/>
      <c r="CT147" s="853"/>
      <c r="CU147" s="853"/>
      <c r="CV147" s="853"/>
      <c r="CW147" s="853"/>
      <c r="CX147" s="853"/>
      <c r="CY147" s="853"/>
      <c r="CZ147" s="853"/>
      <c r="DA147" s="853"/>
      <c r="DC147" s="853"/>
      <c r="DD147" s="853"/>
      <c r="DE147" s="853"/>
      <c r="DF147" s="853"/>
      <c r="DG147" s="853"/>
      <c r="DH147" s="853"/>
      <c r="DI147" s="853"/>
      <c r="DJ147" s="853"/>
      <c r="DK147" s="853"/>
      <c r="DM147" s="853"/>
      <c r="DN147" s="853"/>
      <c r="DO147" s="853"/>
      <c r="DP147" s="853"/>
      <c r="DQ147" s="853"/>
      <c r="DR147" s="853"/>
      <c r="DS147" s="805"/>
      <c r="DT147" s="805"/>
      <c r="DV147" s="806">
        <f t="shared" si="20"/>
        <v>0</v>
      </c>
      <c r="DW147" s="806">
        <f t="shared" si="21"/>
        <v>0</v>
      </c>
      <c r="DX147" s="794">
        <f t="shared" si="22"/>
        <v>0</v>
      </c>
    </row>
    <row r="148" spans="1:128" hidden="1">
      <c r="A148" s="198">
        <v>3367</v>
      </c>
      <c r="B148" s="2">
        <v>103458</v>
      </c>
      <c r="C148" s="2" t="s">
        <v>319</v>
      </c>
      <c r="D148" s="2" t="s">
        <v>320</v>
      </c>
      <c r="E148" s="190" t="s">
        <v>39</v>
      </c>
      <c r="F148" s="211" t="str">
        <f>VLOOKUP(A148,'Summary June 2026'!A:F,6,FALSE)</f>
        <v>Chq Bk</v>
      </c>
      <c r="G148" s="33"/>
      <c r="H148" s="825">
        <v>0</v>
      </c>
      <c r="I148" s="804"/>
      <c r="J148" s="797">
        <v>0</v>
      </c>
      <c r="K148" s="797">
        <v>0</v>
      </c>
      <c r="L148" s="797">
        <v>42861</v>
      </c>
      <c r="M148" s="797">
        <v>1569.7499999999998</v>
      </c>
      <c r="N148" s="797">
        <v>522.34</v>
      </c>
      <c r="O148" s="797">
        <v>1969.5</v>
      </c>
      <c r="P148" s="797">
        <v>0</v>
      </c>
      <c r="Q148" s="797">
        <f t="shared" si="23"/>
        <v>46922.59</v>
      </c>
      <c r="R148" s="797">
        <f t="shared" si="24"/>
        <v>37538.072</v>
      </c>
      <c r="S148" s="804"/>
      <c r="T148" s="364">
        <v>0</v>
      </c>
      <c r="U148" s="364">
        <v>0</v>
      </c>
      <c r="V148" s="364">
        <v>43595.76</v>
      </c>
      <c r="W148" s="364">
        <v>2018.2499999999998</v>
      </c>
      <c r="X148" s="364">
        <v>895.23473684210535</v>
      </c>
      <c r="Y148" s="364">
        <v>2575.9499999999998</v>
      </c>
      <c r="Z148" s="364">
        <v>0</v>
      </c>
      <c r="AA148" s="364">
        <f t="shared" si="25"/>
        <v>49085.194736842102</v>
      </c>
      <c r="AB148" s="364">
        <f t="shared" si="26"/>
        <v>39268.155789473683</v>
      </c>
      <c r="AC148" s="804"/>
      <c r="AD148" s="817"/>
      <c r="AE148" s="817"/>
      <c r="AF148" s="817"/>
      <c r="AG148" s="817"/>
      <c r="AH148" s="817"/>
      <c r="AI148" s="817"/>
      <c r="AJ148" s="817"/>
      <c r="AK148" s="818"/>
      <c r="AL148" s="817"/>
      <c r="AM148" s="275"/>
      <c r="AN148" s="886">
        <v>5660.9947368420999</v>
      </c>
      <c r="AO148" s="886">
        <v>0</v>
      </c>
      <c r="AP148" s="275"/>
      <c r="AQ148" s="834"/>
      <c r="AR148" s="834"/>
      <c r="AS148" s="834"/>
      <c r="AT148" s="834"/>
      <c r="AU148" s="834"/>
      <c r="AV148" s="834"/>
      <c r="AW148" s="834"/>
      <c r="AX148" s="834"/>
      <c r="AZ148" s="835"/>
      <c r="BA148" s="835"/>
      <c r="BB148" s="835"/>
      <c r="BC148" s="835"/>
      <c r="BD148" s="835"/>
      <c r="BE148" s="835"/>
      <c r="BF148" s="835"/>
      <c r="BG148" s="835"/>
      <c r="BH148" s="814"/>
      <c r="BI148" s="834"/>
      <c r="BJ148" s="834"/>
      <c r="BK148" s="834"/>
      <c r="BL148" s="834"/>
      <c r="BM148" s="834"/>
      <c r="BN148" s="834"/>
      <c r="BO148" s="834"/>
      <c r="BP148" s="834"/>
      <c r="BQ148" s="275"/>
      <c r="BR148" s="843"/>
      <c r="BS148" s="843"/>
      <c r="BT148" s="843"/>
      <c r="BU148" s="843"/>
      <c r="BV148" s="843"/>
      <c r="BW148" s="843"/>
      <c r="BX148" s="843"/>
      <c r="BY148" s="843"/>
      <c r="BZ148" s="843"/>
      <c r="CA148" s="843"/>
      <c r="CB148" s="843"/>
      <c r="CC148" s="843"/>
      <c r="CD148" s="843"/>
      <c r="CE148" s="843"/>
      <c r="CF148" s="843"/>
      <c r="CG148" s="843"/>
      <c r="CH148" s="843"/>
      <c r="CI148" s="843"/>
      <c r="CJ148" s="844"/>
      <c r="CK148" s="364"/>
      <c r="CL148" s="364"/>
      <c r="CM148" s="364"/>
      <c r="CN148" s="364"/>
      <c r="CO148" s="364"/>
      <c r="CP148" s="364"/>
      <c r="CQ148" s="364"/>
      <c r="CR148" s="804"/>
      <c r="CS148" s="852"/>
      <c r="CT148" s="853"/>
      <c r="CU148" s="853"/>
      <c r="CV148" s="853"/>
      <c r="CW148" s="853"/>
      <c r="CX148" s="853"/>
      <c r="CY148" s="853"/>
      <c r="CZ148" s="853"/>
      <c r="DA148" s="853"/>
      <c r="DC148" s="853"/>
      <c r="DD148" s="853"/>
      <c r="DE148" s="853"/>
      <c r="DF148" s="853"/>
      <c r="DG148" s="853"/>
      <c r="DH148" s="853"/>
      <c r="DI148" s="853"/>
      <c r="DJ148" s="853"/>
      <c r="DK148" s="853"/>
      <c r="DM148" s="853"/>
      <c r="DN148" s="853"/>
      <c r="DO148" s="853"/>
      <c r="DP148" s="853"/>
      <c r="DQ148" s="853"/>
      <c r="DR148" s="853"/>
      <c r="DS148" s="805"/>
      <c r="DT148" s="805"/>
      <c r="DV148" s="806">
        <f t="shared" si="20"/>
        <v>82467.222526315789</v>
      </c>
      <c r="DW148" s="806">
        <f t="shared" si="21"/>
        <v>0</v>
      </c>
      <c r="DX148" s="794">
        <f t="shared" si="22"/>
        <v>82467.222526315789</v>
      </c>
    </row>
    <row r="149" spans="1:128" hidden="1">
      <c r="A149" s="198">
        <v>3010</v>
      </c>
      <c r="B149" s="2">
        <v>103401</v>
      </c>
      <c r="C149" s="2" t="s">
        <v>321</v>
      </c>
      <c r="D149" s="2" t="s">
        <v>322</v>
      </c>
      <c r="E149" s="190" t="s">
        <v>39</v>
      </c>
      <c r="F149" s="211" t="str">
        <f>VLOOKUP(A149,'Summary June 2026'!A:F,6,FALSE)</f>
        <v>Chq Bk</v>
      </c>
      <c r="G149" s="33"/>
      <c r="H149" s="825">
        <v>0</v>
      </c>
      <c r="I149" s="804"/>
      <c r="J149" s="797">
        <v>0</v>
      </c>
      <c r="K149" s="797">
        <v>0</v>
      </c>
      <c r="L149" s="797">
        <v>0</v>
      </c>
      <c r="M149" s="797">
        <v>0</v>
      </c>
      <c r="N149" s="797">
        <v>0</v>
      </c>
      <c r="O149" s="797">
        <v>0</v>
      </c>
      <c r="P149" s="797">
        <v>0</v>
      </c>
      <c r="Q149" s="797">
        <f t="shared" si="23"/>
        <v>0</v>
      </c>
      <c r="R149" s="797">
        <f t="shared" si="24"/>
        <v>0</v>
      </c>
      <c r="S149" s="804"/>
      <c r="T149" s="364">
        <v>0</v>
      </c>
      <c r="U149" s="364">
        <v>0</v>
      </c>
      <c r="V149" s="364">
        <v>0</v>
      </c>
      <c r="W149" s="364">
        <v>0</v>
      </c>
      <c r="X149" s="364">
        <v>0</v>
      </c>
      <c r="Y149" s="364">
        <v>0</v>
      </c>
      <c r="Z149" s="364">
        <v>0</v>
      </c>
      <c r="AA149" s="364">
        <f t="shared" si="25"/>
        <v>0</v>
      </c>
      <c r="AB149" s="364">
        <f t="shared" si="26"/>
        <v>0</v>
      </c>
      <c r="AC149" s="804"/>
      <c r="AD149" s="817"/>
      <c r="AE149" s="817"/>
      <c r="AF149" s="817"/>
      <c r="AG149" s="817"/>
      <c r="AH149" s="817"/>
      <c r="AI149" s="817"/>
      <c r="AJ149" s="817"/>
      <c r="AK149" s="818"/>
      <c r="AL149" s="817"/>
      <c r="AM149" s="275"/>
      <c r="AN149" s="886">
        <v>0</v>
      </c>
      <c r="AO149" s="886">
        <v>0</v>
      </c>
      <c r="AP149" s="275"/>
      <c r="AQ149" s="834"/>
      <c r="AR149" s="834"/>
      <c r="AS149" s="834"/>
      <c r="AT149" s="834"/>
      <c r="AU149" s="834"/>
      <c r="AV149" s="834"/>
      <c r="AW149" s="834"/>
      <c r="AX149" s="834"/>
      <c r="AZ149" s="835"/>
      <c r="BA149" s="835"/>
      <c r="BB149" s="835"/>
      <c r="BC149" s="835"/>
      <c r="BD149" s="835"/>
      <c r="BE149" s="835"/>
      <c r="BF149" s="835"/>
      <c r="BG149" s="835"/>
      <c r="BH149" s="814"/>
      <c r="BI149" s="834"/>
      <c r="BJ149" s="834"/>
      <c r="BK149" s="834"/>
      <c r="BL149" s="834"/>
      <c r="BM149" s="834"/>
      <c r="BN149" s="834"/>
      <c r="BO149" s="834"/>
      <c r="BP149" s="834"/>
      <c r="BQ149" s="275"/>
      <c r="BR149" s="843"/>
      <c r="BS149" s="843"/>
      <c r="BT149" s="843"/>
      <c r="BU149" s="843"/>
      <c r="BV149" s="843"/>
      <c r="BW149" s="843"/>
      <c r="BX149" s="843"/>
      <c r="BY149" s="843"/>
      <c r="BZ149" s="843"/>
      <c r="CA149" s="843"/>
      <c r="CB149" s="843"/>
      <c r="CC149" s="843"/>
      <c r="CD149" s="843"/>
      <c r="CE149" s="843"/>
      <c r="CF149" s="843"/>
      <c r="CG149" s="843"/>
      <c r="CH149" s="843"/>
      <c r="CI149" s="843"/>
      <c r="CJ149" s="844"/>
      <c r="CK149" s="364"/>
      <c r="CL149" s="364"/>
      <c r="CM149" s="364"/>
      <c r="CN149" s="364"/>
      <c r="CO149" s="364"/>
      <c r="CP149" s="364"/>
      <c r="CQ149" s="364"/>
      <c r="CR149" s="804"/>
      <c r="CS149" s="852"/>
      <c r="CT149" s="853"/>
      <c r="CU149" s="853"/>
      <c r="CV149" s="853"/>
      <c r="CW149" s="853"/>
      <c r="CX149" s="853"/>
      <c r="CY149" s="853"/>
      <c r="CZ149" s="853"/>
      <c r="DA149" s="853"/>
      <c r="DC149" s="853"/>
      <c r="DD149" s="853"/>
      <c r="DE149" s="853"/>
      <c r="DF149" s="853"/>
      <c r="DG149" s="853"/>
      <c r="DH149" s="853"/>
      <c r="DI149" s="853"/>
      <c r="DJ149" s="853"/>
      <c r="DK149" s="853"/>
      <c r="DM149" s="853"/>
      <c r="DN149" s="853"/>
      <c r="DO149" s="853"/>
      <c r="DP149" s="853"/>
      <c r="DQ149" s="853"/>
      <c r="DR149" s="853"/>
      <c r="DS149" s="805"/>
      <c r="DT149" s="805"/>
      <c r="DV149" s="806">
        <f t="shared" si="20"/>
        <v>0</v>
      </c>
      <c r="DW149" s="806">
        <f t="shared" si="21"/>
        <v>0</v>
      </c>
      <c r="DX149" s="794">
        <f t="shared" si="22"/>
        <v>0</v>
      </c>
    </row>
    <row r="150" spans="1:128" hidden="1">
      <c r="A150" s="198">
        <v>4625</v>
      </c>
      <c r="B150" s="2">
        <v>103534</v>
      </c>
      <c r="C150" s="2" t="s">
        <v>323</v>
      </c>
      <c r="D150" s="2" t="s">
        <v>324</v>
      </c>
      <c r="E150" s="190" t="s">
        <v>71</v>
      </c>
      <c r="F150" s="211" t="str">
        <f>VLOOKUP(A150,'Summary June 2026'!A:F,6,FALSE)</f>
        <v>Chq Bk</v>
      </c>
      <c r="G150" s="33"/>
      <c r="H150" s="825">
        <v>0</v>
      </c>
      <c r="I150" s="804"/>
      <c r="J150" s="797">
        <v>0</v>
      </c>
      <c r="K150" s="797">
        <v>0</v>
      </c>
      <c r="L150" s="797">
        <v>0</v>
      </c>
      <c r="M150" s="797">
        <v>0</v>
      </c>
      <c r="N150" s="797">
        <v>0</v>
      </c>
      <c r="O150" s="797">
        <v>0</v>
      </c>
      <c r="P150" s="797">
        <v>0</v>
      </c>
      <c r="Q150" s="797">
        <f t="shared" si="23"/>
        <v>0</v>
      </c>
      <c r="R150" s="797">
        <f t="shared" si="24"/>
        <v>0</v>
      </c>
      <c r="S150" s="804"/>
      <c r="T150" s="364">
        <v>0</v>
      </c>
      <c r="U150" s="364">
        <v>0</v>
      </c>
      <c r="V150" s="364">
        <v>0</v>
      </c>
      <c r="W150" s="364">
        <v>0</v>
      </c>
      <c r="X150" s="364">
        <v>0</v>
      </c>
      <c r="Y150" s="364">
        <v>0</v>
      </c>
      <c r="Z150" s="364">
        <v>0</v>
      </c>
      <c r="AA150" s="364">
        <f t="shared" si="25"/>
        <v>0</v>
      </c>
      <c r="AB150" s="364">
        <f t="shared" si="26"/>
        <v>0</v>
      </c>
      <c r="AC150" s="804"/>
      <c r="AD150" s="817"/>
      <c r="AE150" s="817"/>
      <c r="AF150" s="817"/>
      <c r="AG150" s="817"/>
      <c r="AH150" s="817"/>
      <c r="AI150" s="817"/>
      <c r="AJ150" s="817"/>
      <c r="AK150" s="818"/>
      <c r="AL150" s="817"/>
      <c r="AM150" s="275"/>
      <c r="AN150" s="886">
        <v>0</v>
      </c>
      <c r="AO150" s="886">
        <v>0</v>
      </c>
      <c r="AP150" s="275"/>
      <c r="AQ150" s="834"/>
      <c r="AR150" s="834"/>
      <c r="AS150" s="834"/>
      <c r="AT150" s="834"/>
      <c r="AU150" s="834"/>
      <c r="AV150" s="834"/>
      <c r="AW150" s="834"/>
      <c r="AX150" s="834"/>
      <c r="AZ150" s="835"/>
      <c r="BA150" s="835"/>
      <c r="BB150" s="835"/>
      <c r="BC150" s="835"/>
      <c r="BD150" s="835"/>
      <c r="BE150" s="835"/>
      <c r="BF150" s="835"/>
      <c r="BG150" s="835"/>
      <c r="BH150" s="814"/>
      <c r="BI150" s="834"/>
      <c r="BJ150" s="834"/>
      <c r="BK150" s="834"/>
      <c r="BL150" s="834"/>
      <c r="BM150" s="834"/>
      <c r="BN150" s="834"/>
      <c r="BO150" s="834"/>
      <c r="BP150" s="834"/>
      <c r="BQ150" s="275"/>
      <c r="BR150" s="843"/>
      <c r="BS150" s="843"/>
      <c r="BT150" s="843"/>
      <c r="BU150" s="843"/>
      <c r="BV150" s="843"/>
      <c r="BW150" s="843"/>
      <c r="BX150" s="843"/>
      <c r="BY150" s="843"/>
      <c r="BZ150" s="843"/>
      <c r="CA150" s="843"/>
      <c r="CB150" s="843"/>
      <c r="CC150" s="843"/>
      <c r="CD150" s="843"/>
      <c r="CE150" s="843"/>
      <c r="CF150" s="843"/>
      <c r="CG150" s="843"/>
      <c r="CH150" s="843"/>
      <c r="CI150" s="843"/>
      <c r="CJ150" s="844"/>
      <c r="CK150" s="364"/>
      <c r="CL150" s="364"/>
      <c r="CM150" s="364"/>
      <c r="CN150" s="364"/>
      <c r="CO150" s="364"/>
      <c r="CP150" s="364"/>
      <c r="CQ150" s="364"/>
      <c r="CR150" s="804"/>
      <c r="CS150" s="852"/>
      <c r="CT150" s="853"/>
      <c r="CU150" s="853"/>
      <c r="CV150" s="853"/>
      <c r="CW150" s="853"/>
      <c r="CX150" s="853"/>
      <c r="CY150" s="853"/>
      <c r="CZ150" s="853"/>
      <c r="DA150" s="853"/>
      <c r="DC150" s="853"/>
      <c r="DD150" s="853"/>
      <c r="DE150" s="853"/>
      <c r="DF150" s="853"/>
      <c r="DG150" s="853"/>
      <c r="DH150" s="853"/>
      <c r="DI150" s="853"/>
      <c r="DJ150" s="853"/>
      <c r="DK150" s="853"/>
      <c r="DM150" s="853"/>
      <c r="DN150" s="853"/>
      <c r="DO150" s="853"/>
      <c r="DP150" s="853"/>
      <c r="DQ150" s="853"/>
      <c r="DR150" s="853"/>
      <c r="DS150" s="805"/>
      <c r="DT150" s="805"/>
      <c r="DV150" s="806">
        <f t="shared" si="20"/>
        <v>0</v>
      </c>
      <c r="DW150" s="806">
        <f t="shared" si="21"/>
        <v>0</v>
      </c>
      <c r="DX150" s="794">
        <f t="shared" si="22"/>
        <v>0</v>
      </c>
    </row>
    <row r="151" spans="1:128" hidden="1">
      <c r="A151" s="198">
        <v>3377</v>
      </c>
      <c r="B151" s="2">
        <v>103463</v>
      </c>
      <c r="C151" s="2" t="s">
        <v>325</v>
      </c>
      <c r="D151" s="2" t="s">
        <v>326</v>
      </c>
      <c r="E151" s="190" t="s">
        <v>39</v>
      </c>
      <c r="F151" s="211" t="str">
        <f>VLOOKUP(A151,'Summary June 2026'!A:F,6,FALSE)</f>
        <v>Chq Bk</v>
      </c>
      <c r="G151" s="33"/>
      <c r="H151" s="825">
        <v>0</v>
      </c>
      <c r="I151" s="804"/>
      <c r="J151" s="797">
        <v>0</v>
      </c>
      <c r="K151" s="797">
        <v>0</v>
      </c>
      <c r="L151" s="797">
        <v>23267.4</v>
      </c>
      <c r="M151" s="797">
        <v>2915.25</v>
      </c>
      <c r="N151" s="797">
        <v>0</v>
      </c>
      <c r="O151" s="797">
        <v>1834.9499999999998</v>
      </c>
      <c r="P151" s="797">
        <v>0</v>
      </c>
      <c r="Q151" s="797">
        <f t="shared" si="23"/>
        <v>28017.600000000002</v>
      </c>
      <c r="R151" s="797">
        <f t="shared" si="24"/>
        <v>22414.080000000002</v>
      </c>
      <c r="S151" s="804"/>
      <c r="T151" s="364">
        <v>0</v>
      </c>
      <c r="U151" s="364">
        <v>0</v>
      </c>
      <c r="V151" s="364">
        <v>3673.8</v>
      </c>
      <c r="W151" s="364">
        <v>0</v>
      </c>
      <c r="X151" s="364">
        <v>0</v>
      </c>
      <c r="Y151" s="364">
        <v>15.6</v>
      </c>
      <c r="Z151" s="364">
        <v>0</v>
      </c>
      <c r="AA151" s="364">
        <f t="shared" si="25"/>
        <v>3689.4</v>
      </c>
      <c r="AB151" s="364">
        <f t="shared" si="26"/>
        <v>2951.5200000000004</v>
      </c>
      <c r="AC151" s="804"/>
      <c r="AD151" s="817"/>
      <c r="AE151" s="817"/>
      <c r="AF151" s="817"/>
      <c r="AG151" s="817"/>
      <c r="AH151" s="817"/>
      <c r="AI151" s="817"/>
      <c r="AJ151" s="817"/>
      <c r="AK151" s="818"/>
      <c r="AL151" s="817"/>
      <c r="AM151" s="275"/>
      <c r="AN151" s="886">
        <v>1193.2857894736826</v>
      </c>
      <c r="AO151" s="886">
        <v>0</v>
      </c>
      <c r="AP151" s="275"/>
      <c r="AQ151" s="834"/>
      <c r="AR151" s="834"/>
      <c r="AS151" s="834"/>
      <c r="AT151" s="834"/>
      <c r="AU151" s="834"/>
      <c r="AV151" s="834"/>
      <c r="AW151" s="834"/>
      <c r="AX151" s="834"/>
      <c r="AZ151" s="835"/>
      <c r="BA151" s="835"/>
      <c r="BB151" s="835"/>
      <c r="BC151" s="835"/>
      <c r="BD151" s="835"/>
      <c r="BE151" s="835"/>
      <c r="BF151" s="835"/>
      <c r="BG151" s="835"/>
      <c r="BH151" s="814"/>
      <c r="BI151" s="834"/>
      <c r="BJ151" s="834"/>
      <c r="BK151" s="834"/>
      <c r="BL151" s="834"/>
      <c r="BM151" s="834"/>
      <c r="BN151" s="834"/>
      <c r="BO151" s="834"/>
      <c r="BP151" s="834"/>
      <c r="BQ151" s="275"/>
      <c r="BR151" s="843"/>
      <c r="BS151" s="843"/>
      <c r="BT151" s="843"/>
      <c r="BU151" s="843"/>
      <c r="BV151" s="843"/>
      <c r="BW151" s="843"/>
      <c r="BX151" s="843"/>
      <c r="BY151" s="843"/>
      <c r="BZ151" s="843"/>
      <c r="CA151" s="843"/>
      <c r="CB151" s="843"/>
      <c r="CC151" s="843"/>
      <c r="CD151" s="843"/>
      <c r="CE151" s="843"/>
      <c r="CF151" s="843"/>
      <c r="CG151" s="843"/>
      <c r="CH151" s="843"/>
      <c r="CI151" s="843"/>
      <c r="CJ151" s="844"/>
      <c r="CK151" s="364"/>
      <c r="CL151" s="364"/>
      <c r="CM151" s="364"/>
      <c r="CN151" s="364"/>
      <c r="CO151" s="364"/>
      <c r="CP151" s="364"/>
      <c r="CQ151" s="364"/>
      <c r="CR151" s="804"/>
      <c r="CS151" s="852"/>
      <c r="CT151" s="853"/>
      <c r="CU151" s="853"/>
      <c r="CV151" s="853"/>
      <c r="CW151" s="853"/>
      <c r="CX151" s="853"/>
      <c r="CY151" s="853"/>
      <c r="CZ151" s="853"/>
      <c r="DA151" s="853"/>
      <c r="DC151" s="853"/>
      <c r="DD151" s="853"/>
      <c r="DE151" s="853"/>
      <c r="DF151" s="853"/>
      <c r="DG151" s="853"/>
      <c r="DH151" s="853"/>
      <c r="DI151" s="853"/>
      <c r="DJ151" s="853"/>
      <c r="DK151" s="853"/>
      <c r="DM151" s="853"/>
      <c r="DN151" s="853"/>
      <c r="DO151" s="853"/>
      <c r="DP151" s="853"/>
      <c r="DQ151" s="853"/>
      <c r="DR151" s="853"/>
      <c r="DS151" s="805"/>
      <c r="DT151" s="805"/>
      <c r="DV151" s="806">
        <f t="shared" si="20"/>
        <v>26558.885789473687</v>
      </c>
      <c r="DW151" s="806">
        <f t="shared" si="21"/>
        <v>0</v>
      </c>
      <c r="DX151" s="794">
        <f t="shared" si="22"/>
        <v>26558.885789473687</v>
      </c>
    </row>
    <row r="152" spans="1:128" hidden="1">
      <c r="A152" s="198">
        <v>3371</v>
      </c>
      <c r="B152" s="2">
        <v>103459</v>
      </c>
      <c r="C152" s="2" t="s">
        <v>327</v>
      </c>
      <c r="D152" s="2" t="s">
        <v>328</v>
      </c>
      <c r="E152" s="190" t="s">
        <v>39</v>
      </c>
      <c r="F152" s="211" t="str">
        <f>VLOOKUP(A152,'Summary June 2026'!A:F,6,FALSE)</f>
        <v>Academy</v>
      </c>
      <c r="G152" s="33"/>
      <c r="H152" s="825">
        <v>0</v>
      </c>
      <c r="I152" s="804"/>
      <c r="J152" s="797">
        <v>0</v>
      </c>
      <c r="K152" s="797">
        <v>0</v>
      </c>
      <c r="L152" s="797">
        <v>0</v>
      </c>
      <c r="M152" s="797">
        <v>0</v>
      </c>
      <c r="N152" s="797">
        <v>0</v>
      </c>
      <c r="O152" s="797">
        <v>0</v>
      </c>
      <c r="P152" s="797">
        <v>0</v>
      </c>
      <c r="Q152" s="797">
        <f t="shared" si="23"/>
        <v>0</v>
      </c>
      <c r="R152" s="797">
        <f t="shared" si="24"/>
        <v>0</v>
      </c>
      <c r="S152" s="804"/>
      <c r="T152" s="364">
        <v>0</v>
      </c>
      <c r="U152" s="364">
        <v>0</v>
      </c>
      <c r="V152" s="364">
        <v>0</v>
      </c>
      <c r="W152" s="364">
        <v>0</v>
      </c>
      <c r="X152" s="364">
        <v>0</v>
      </c>
      <c r="Y152" s="364">
        <v>0</v>
      </c>
      <c r="Z152" s="364">
        <v>0</v>
      </c>
      <c r="AA152" s="364">
        <f t="shared" si="25"/>
        <v>0</v>
      </c>
      <c r="AB152" s="364">
        <f t="shared" si="26"/>
        <v>0</v>
      </c>
      <c r="AC152" s="804"/>
      <c r="AD152" s="817"/>
      <c r="AE152" s="817"/>
      <c r="AF152" s="817"/>
      <c r="AG152" s="817"/>
      <c r="AH152" s="817"/>
      <c r="AI152" s="817"/>
      <c r="AJ152" s="817"/>
      <c r="AK152" s="818"/>
      <c r="AL152" s="817"/>
      <c r="AM152" s="275"/>
      <c r="AN152" s="886">
        <v>0</v>
      </c>
      <c r="AO152" s="886">
        <v>0</v>
      </c>
      <c r="AP152" s="275"/>
      <c r="AQ152" s="834"/>
      <c r="AR152" s="834"/>
      <c r="AS152" s="834"/>
      <c r="AT152" s="834"/>
      <c r="AU152" s="834"/>
      <c r="AV152" s="834"/>
      <c r="AW152" s="834"/>
      <c r="AX152" s="834"/>
      <c r="AZ152" s="835"/>
      <c r="BA152" s="835"/>
      <c r="BB152" s="835"/>
      <c r="BC152" s="835"/>
      <c r="BD152" s="835"/>
      <c r="BE152" s="835"/>
      <c r="BF152" s="835"/>
      <c r="BG152" s="835"/>
      <c r="BH152" s="814"/>
      <c r="BI152" s="834"/>
      <c r="BJ152" s="834"/>
      <c r="BK152" s="834"/>
      <c r="BL152" s="834"/>
      <c r="BM152" s="834"/>
      <c r="BN152" s="834"/>
      <c r="BO152" s="834"/>
      <c r="BP152" s="834"/>
      <c r="BQ152" s="275"/>
      <c r="BR152" s="843"/>
      <c r="BS152" s="843"/>
      <c r="BT152" s="843"/>
      <c r="BU152" s="843"/>
      <c r="BV152" s="843"/>
      <c r="BW152" s="843"/>
      <c r="BX152" s="843"/>
      <c r="BY152" s="843"/>
      <c r="BZ152" s="843"/>
      <c r="CA152" s="843"/>
      <c r="CB152" s="843"/>
      <c r="CC152" s="843"/>
      <c r="CD152" s="843"/>
      <c r="CE152" s="843"/>
      <c r="CF152" s="843"/>
      <c r="CG152" s="843"/>
      <c r="CH152" s="843"/>
      <c r="CI152" s="843"/>
      <c r="CJ152" s="844"/>
      <c r="CK152" s="364"/>
      <c r="CL152" s="364"/>
      <c r="CM152" s="364"/>
      <c r="CN152" s="364"/>
      <c r="CO152" s="364"/>
      <c r="CP152" s="364"/>
      <c r="CQ152" s="364"/>
      <c r="CR152" s="804"/>
      <c r="CS152" s="852"/>
      <c r="CT152" s="853"/>
      <c r="CU152" s="853"/>
      <c r="CV152" s="853"/>
      <c r="CW152" s="853"/>
      <c r="CX152" s="853"/>
      <c r="CY152" s="853"/>
      <c r="CZ152" s="853"/>
      <c r="DA152" s="853"/>
      <c r="DC152" s="853"/>
      <c r="DD152" s="853"/>
      <c r="DE152" s="853"/>
      <c r="DF152" s="853"/>
      <c r="DG152" s="853"/>
      <c r="DH152" s="853"/>
      <c r="DI152" s="853"/>
      <c r="DJ152" s="853"/>
      <c r="DK152" s="853"/>
      <c r="DM152" s="853"/>
      <c r="DN152" s="853"/>
      <c r="DO152" s="853"/>
      <c r="DP152" s="853"/>
      <c r="DQ152" s="853"/>
      <c r="DR152" s="853"/>
      <c r="DS152" s="805"/>
      <c r="DT152" s="805"/>
      <c r="DV152" s="806">
        <f t="shared" si="20"/>
        <v>0</v>
      </c>
      <c r="DW152" s="806">
        <f t="shared" si="21"/>
        <v>0</v>
      </c>
      <c r="DX152" s="794">
        <f t="shared" si="22"/>
        <v>0</v>
      </c>
    </row>
    <row r="153" spans="1:128" hidden="1">
      <c r="A153" s="198">
        <v>3307</v>
      </c>
      <c r="B153" s="2">
        <v>103416</v>
      </c>
      <c r="C153" s="2" t="s">
        <v>329</v>
      </c>
      <c r="D153" s="2" t="s">
        <v>330</v>
      </c>
      <c r="E153" s="190" t="s">
        <v>39</v>
      </c>
      <c r="F153" s="211" t="str">
        <f>VLOOKUP(A153,'Summary June 2026'!A:F,6,FALSE)</f>
        <v>Academy</v>
      </c>
      <c r="G153" s="33"/>
      <c r="H153" s="825">
        <v>0</v>
      </c>
      <c r="I153" s="804"/>
      <c r="J153" s="797">
        <v>0</v>
      </c>
      <c r="K153" s="797">
        <v>0</v>
      </c>
      <c r="L153" s="797">
        <v>0</v>
      </c>
      <c r="M153" s="797">
        <v>0</v>
      </c>
      <c r="N153" s="797">
        <v>0</v>
      </c>
      <c r="O153" s="797">
        <v>0</v>
      </c>
      <c r="P153" s="797">
        <v>0</v>
      </c>
      <c r="Q153" s="797">
        <f t="shared" si="23"/>
        <v>0</v>
      </c>
      <c r="R153" s="797">
        <f t="shared" si="24"/>
        <v>0</v>
      </c>
      <c r="S153" s="804"/>
      <c r="T153" s="364">
        <v>0</v>
      </c>
      <c r="U153" s="364">
        <v>0</v>
      </c>
      <c r="V153" s="364">
        <v>0</v>
      </c>
      <c r="W153" s="364">
        <v>0</v>
      </c>
      <c r="X153" s="364">
        <v>0</v>
      </c>
      <c r="Y153" s="364">
        <v>0</v>
      </c>
      <c r="Z153" s="364">
        <v>0</v>
      </c>
      <c r="AA153" s="364">
        <f t="shared" si="25"/>
        <v>0</v>
      </c>
      <c r="AB153" s="364">
        <f t="shared" si="26"/>
        <v>0</v>
      </c>
      <c r="AC153" s="804"/>
      <c r="AD153" s="817"/>
      <c r="AE153" s="817"/>
      <c r="AF153" s="817"/>
      <c r="AG153" s="817"/>
      <c r="AH153" s="817"/>
      <c r="AI153" s="817"/>
      <c r="AJ153" s="817"/>
      <c r="AK153" s="818"/>
      <c r="AL153" s="817"/>
      <c r="AM153" s="275"/>
      <c r="AN153" s="886">
        <v>0</v>
      </c>
      <c r="AO153" s="886">
        <v>0</v>
      </c>
      <c r="AP153" s="275"/>
      <c r="AQ153" s="834"/>
      <c r="AR153" s="834"/>
      <c r="AS153" s="834"/>
      <c r="AT153" s="834"/>
      <c r="AU153" s="834"/>
      <c r="AV153" s="834"/>
      <c r="AW153" s="834"/>
      <c r="AX153" s="834"/>
      <c r="AZ153" s="835"/>
      <c r="BA153" s="835"/>
      <c r="BB153" s="835"/>
      <c r="BC153" s="835"/>
      <c r="BD153" s="835"/>
      <c r="BE153" s="835"/>
      <c r="BF153" s="835"/>
      <c r="BG153" s="835"/>
      <c r="BH153" s="814"/>
      <c r="BI153" s="834"/>
      <c r="BJ153" s="834"/>
      <c r="BK153" s="834"/>
      <c r="BL153" s="834"/>
      <c r="BM153" s="834"/>
      <c r="BN153" s="834"/>
      <c r="BO153" s="834"/>
      <c r="BP153" s="834"/>
      <c r="BQ153" s="275"/>
      <c r="BR153" s="843"/>
      <c r="BS153" s="843"/>
      <c r="BT153" s="843"/>
      <c r="BU153" s="843"/>
      <c r="BV153" s="843"/>
      <c r="BW153" s="843"/>
      <c r="BX153" s="843"/>
      <c r="BY153" s="843"/>
      <c r="BZ153" s="843"/>
      <c r="CA153" s="843"/>
      <c r="CB153" s="843"/>
      <c r="CC153" s="843"/>
      <c r="CD153" s="843"/>
      <c r="CE153" s="843"/>
      <c r="CF153" s="843"/>
      <c r="CG153" s="843"/>
      <c r="CH153" s="843"/>
      <c r="CI153" s="843"/>
      <c r="CJ153" s="844"/>
      <c r="CK153" s="364"/>
      <c r="CL153" s="364"/>
      <c r="CM153" s="364"/>
      <c r="CN153" s="364"/>
      <c r="CO153" s="364"/>
      <c r="CP153" s="364"/>
      <c r="CQ153" s="364"/>
      <c r="CR153" s="804"/>
      <c r="CS153" s="852"/>
      <c r="CT153" s="853"/>
      <c r="CU153" s="853"/>
      <c r="CV153" s="853"/>
      <c r="CW153" s="853"/>
      <c r="CX153" s="853"/>
      <c r="CY153" s="853"/>
      <c r="CZ153" s="853"/>
      <c r="DA153" s="853"/>
      <c r="DC153" s="853"/>
      <c r="DD153" s="853"/>
      <c r="DE153" s="853"/>
      <c r="DF153" s="853"/>
      <c r="DG153" s="853"/>
      <c r="DH153" s="853"/>
      <c r="DI153" s="853"/>
      <c r="DJ153" s="853"/>
      <c r="DK153" s="853"/>
      <c r="DM153" s="853"/>
      <c r="DN153" s="853"/>
      <c r="DO153" s="853"/>
      <c r="DP153" s="853"/>
      <c r="DQ153" s="853"/>
      <c r="DR153" s="853"/>
      <c r="DS153" s="805"/>
      <c r="DT153" s="805"/>
      <c r="DV153" s="806">
        <f t="shared" si="20"/>
        <v>0</v>
      </c>
      <c r="DW153" s="806">
        <f t="shared" si="21"/>
        <v>0</v>
      </c>
      <c r="DX153" s="794">
        <f t="shared" si="22"/>
        <v>0</v>
      </c>
    </row>
    <row r="154" spans="1:128" hidden="1">
      <c r="A154" s="198">
        <v>3361</v>
      </c>
      <c r="B154" s="2">
        <v>103453</v>
      </c>
      <c r="C154" s="2" t="s">
        <v>331</v>
      </c>
      <c r="D154" s="2" t="s">
        <v>332</v>
      </c>
      <c r="E154" s="190" t="s">
        <v>39</v>
      </c>
      <c r="F154" s="211" t="str">
        <f>VLOOKUP(A154,'Summary June 2026'!A:F,6,FALSE)</f>
        <v>Chq Bk</v>
      </c>
      <c r="G154" s="33"/>
      <c r="H154" s="825">
        <v>0</v>
      </c>
      <c r="I154" s="804"/>
      <c r="J154" s="797">
        <v>0</v>
      </c>
      <c r="K154" s="797">
        <v>0</v>
      </c>
      <c r="L154" s="797">
        <v>30615</v>
      </c>
      <c r="M154" s="797">
        <v>2242.5</v>
      </c>
      <c r="N154" s="797">
        <v>746.2</v>
      </c>
      <c r="O154" s="797">
        <v>1021.8</v>
      </c>
      <c r="P154" s="797">
        <v>0</v>
      </c>
      <c r="Q154" s="797">
        <f t="shared" si="23"/>
        <v>34625.5</v>
      </c>
      <c r="R154" s="797">
        <f t="shared" si="24"/>
        <v>27700.400000000001</v>
      </c>
      <c r="S154" s="804"/>
      <c r="T154" s="364">
        <v>0</v>
      </c>
      <c r="U154" s="364">
        <v>0</v>
      </c>
      <c r="V154" s="364">
        <v>35513.4</v>
      </c>
      <c r="W154" s="364">
        <v>1793.9999999999998</v>
      </c>
      <c r="X154" s="364">
        <v>708.78736842105263</v>
      </c>
      <c r="Y154" s="364">
        <v>1041.3</v>
      </c>
      <c r="Z154" s="364">
        <v>0</v>
      </c>
      <c r="AA154" s="364">
        <f t="shared" si="25"/>
        <v>39057.487368421054</v>
      </c>
      <c r="AB154" s="364">
        <f t="shared" si="26"/>
        <v>31245.989894736846</v>
      </c>
      <c r="AC154" s="804"/>
      <c r="AD154" s="817"/>
      <c r="AE154" s="817"/>
      <c r="AF154" s="817"/>
      <c r="AG154" s="817"/>
      <c r="AH154" s="817"/>
      <c r="AI154" s="817"/>
      <c r="AJ154" s="817"/>
      <c r="AK154" s="818"/>
      <c r="AL154" s="817"/>
      <c r="AM154" s="275"/>
      <c r="AN154" s="886">
        <v>4011.5944875346249</v>
      </c>
      <c r="AO154" s="886">
        <v>0</v>
      </c>
      <c r="AP154" s="275"/>
      <c r="AQ154" s="834"/>
      <c r="AR154" s="834"/>
      <c r="AS154" s="834"/>
      <c r="AT154" s="834"/>
      <c r="AU154" s="834"/>
      <c r="AV154" s="834"/>
      <c r="AW154" s="834"/>
      <c r="AX154" s="834"/>
      <c r="AZ154" s="835"/>
      <c r="BA154" s="835"/>
      <c r="BB154" s="835"/>
      <c r="BC154" s="835"/>
      <c r="BD154" s="835"/>
      <c r="BE154" s="835"/>
      <c r="BF154" s="835"/>
      <c r="BG154" s="835"/>
      <c r="BH154" s="814"/>
      <c r="BI154" s="834"/>
      <c r="BJ154" s="834"/>
      <c r="BK154" s="834"/>
      <c r="BL154" s="834"/>
      <c r="BM154" s="834"/>
      <c r="BN154" s="834"/>
      <c r="BO154" s="834"/>
      <c r="BP154" s="834"/>
      <c r="BQ154" s="275"/>
      <c r="BR154" s="843"/>
      <c r="BS154" s="843"/>
      <c r="BT154" s="843"/>
      <c r="BU154" s="843"/>
      <c r="BV154" s="843"/>
      <c r="BW154" s="843"/>
      <c r="BX154" s="843"/>
      <c r="BY154" s="843"/>
      <c r="BZ154" s="843"/>
      <c r="CA154" s="843"/>
      <c r="CB154" s="843"/>
      <c r="CC154" s="843"/>
      <c r="CD154" s="843"/>
      <c r="CE154" s="843"/>
      <c r="CF154" s="843"/>
      <c r="CG154" s="843"/>
      <c r="CH154" s="843"/>
      <c r="CI154" s="843"/>
      <c r="CJ154" s="844"/>
      <c r="CK154" s="364"/>
      <c r="CL154" s="364"/>
      <c r="CM154" s="364"/>
      <c r="CN154" s="364"/>
      <c r="CO154" s="364"/>
      <c r="CP154" s="364"/>
      <c r="CQ154" s="364"/>
      <c r="CR154" s="804"/>
      <c r="CS154" s="852"/>
      <c r="CT154" s="853"/>
      <c r="CU154" s="853"/>
      <c r="CV154" s="853"/>
      <c r="CW154" s="853"/>
      <c r="CX154" s="853"/>
      <c r="CY154" s="853"/>
      <c r="CZ154" s="853"/>
      <c r="DA154" s="853"/>
      <c r="DC154" s="853"/>
      <c r="DD154" s="853"/>
      <c r="DE154" s="853"/>
      <c r="DF154" s="853"/>
      <c r="DG154" s="853"/>
      <c r="DH154" s="853"/>
      <c r="DI154" s="853"/>
      <c r="DJ154" s="853"/>
      <c r="DK154" s="853"/>
      <c r="DM154" s="853"/>
      <c r="DN154" s="853"/>
      <c r="DO154" s="853"/>
      <c r="DP154" s="853"/>
      <c r="DQ154" s="853"/>
      <c r="DR154" s="853"/>
      <c r="DS154" s="805"/>
      <c r="DT154" s="805"/>
      <c r="DV154" s="806">
        <f t="shared" si="20"/>
        <v>62957.984382271468</v>
      </c>
      <c r="DW154" s="806">
        <f t="shared" si="21"/>
        <v>0</v>
      </c>
      <c r="DX154" s="794">
        <f t="shared" si="22"/>
        <v>62957.984382271468</v>
      </c>
    </row>
    <row r="155" spans="1:128" hidden="1">
      <c r="A155" s="198">
        <v>3382</v>
      </c>
      <c r="B155" s="2">
        <v>103467</v>
      </c>
      <c r="C155" s="2" t="s">
        <v>333</v>
      </c>
      <c r="D155" s="2" t="s">
        <v>334</v>
      </c>
      <c r="E155" s="190" t="s">
        <v>39</v>
      </c>
      <c r="F155" s="211" t="str">
        <f>VLOOKUP(A155,'Summary June 2026'!A:F,6,FALSE)</f>
        <v>Chq Bk</v>
      </c>
      <c r="G155" s="33"/>
      <c r="H155" s="825">
        <v>0</v>
      </c>
      <c r="I155" s="804"/>
      <c r="J155" s="797">
        <v>0</v>
      </c>
      <c r="K155" s="797">
        <v>0</v>
      </c>
      <c r="L155" s="797">
        <v>0</v>
      </c>
      <c r="M155" s="797">
        <v>0</v>
      </c>
      <c r="N155" s="797">
        <v>0</v>
      </c>
      <c r="O155" s="797">
        <v>0</v>
      </c>
      <c r="P155" s="797">
        <v>0</v>
      </c>
      <c r="Q155" s="797">
        <f t="shared" si="23"/>
        <v>0</v>
      </c>
      <c r="R155" s="797">
        <f t="shared" si="24"/>
        <v>0</v>
      </c>
      <c r="S155" s="804"/>
      <c r="T155" s="364">
        <v>0</v>
      </c>
      <c r="U155" s="364">
        <v>0</v>
      </c>
      <c r="V155" s="364">
        <v>0</v>
      </c>
      <c r="W155" s="364">
        <v>0</v>
      </c>
      <c r="X155" s="364">
        <v>0</v>
      </c>
      <c r="Y155" s="364">
        <v>0</v>
      </c>
      <c r="Z155" s="364">
        <v>0</v>
      </c>
      <c r="AA155" s="364">
        <f t="shared" si="25"/>
        <v>0</v>
      </c>
      <c r="AB155" s="364">
        <f t="shared" si="26"/>
        <v>0</v>
      </c>
      <c r="AC155" s="804"/>
      <c r="AD155" s="817"/>
      <c r="AE155" s="817"/>
      <c r="AF155" s="817"/>
      <c r="AG155" s="817"/>
      <c r="AH155" s="817"/>
      <c r="AI155" s="817"/>
      <c r="AJ155" s="817"/>
      <c r="AK155" s="818"/>
      <c r="AL155" s="817"/>
      <c r="AM155" s="275"/>
      <c r="AN155" s="886">
        <v>0</v>
      </c>
      <c r="AO155" s="886">
        <v>0</v>
      </c>
      <c r="AP155" s="275"/>
      <c r="AQ155" s="834"/>
      <c r="AR155" s="834"/>
      <c r="AS155" s="834"/>
      <c r="AT155" s="834"/>
      <c r="AU155" s="834"/>
      <c r="AV155" s="834"/>
      <c r="AW155" s="834"/>
      <c r="AX155" s="834"/>
      <c r="AZ155" s="835"/>
      <c r="BA155" s="835"/>
      <c r="BB155" s="835"/>
      <c r="BC155" s="835"/>
      <c r="BD155" s="835"/>
      <c r="BE155" s="835"/>
      <c r="BF155" s="835"/>
      <c r="BG155" s="835"/>
      <c r="BH155" s="814"/>
      <c r="BI155" s="834"/>
      <c r="BJ155" s="834"/>
      <c r="BK155" s="834"/>
      <c r="BL155" s="834"/>
      <c r="BM155" s="834"/>
      <c r="BN155" s="834"/>
      <c r="BO155" s="834"/>
      <c r="BP155" s="834"/>
      <c r="BQ155" s="275"/>
      <c r="BR155" s="843"/>
      <c r="BS155" s="843"/>
      <c r="BT155" s="843"/>
      <c r="BU155" s="843"/>
      <c r="BV155" s="843"/>
      <c r="BW155" s="843"/>
      <c r="BX155" s="843"/>
      <c r="BY155" s="843"/>
      <c r="BZ155" s="843"/>
      <c r="CA155" s="843"/>
      <c r="CB155" s="843"/>
      <c r="CC155" s="843"/>
      <c r="CD155" s="843"/>
      <c r="CE155" s="843"/>
      <c r="CF155" s="843"/>
      <c r="CG155" s="843"/>
      <c r="CH155" s="843"/>
      <c r="CI155" s="843"/>
      <c r="CJ155" s="844"/>
      <c r="CK155" s="364"/>
      <c r="CL155" s="364"/>
      <c r="CM155" s="364"/>
      <c r="CN155" s="364"/>
      <c r="CO155" s="364"/>
      <c r="CP155" s="364"/>
      <c r="CQ155" s="364"/>
      <c r="CR155" s="804"/>
      <c r="CS155" s="852"/>
      <c r="CT155" s="853"/>
      <c r="CU155" s="853"/>
      <c r="CV155" s="853"/>
      <c r="CW155" s="853"/>
      <c r="CX155" s="853"/>
      <c r="CY155" s="853"/>
      <c r="CZ155" s="853"/>
      <c r="DA155" s="853"/>
      <c r="DC155" s="853"/>
      <c r="DD155" s="853"/>
      <c r="DE155" s="853"/>
      <c r="DF155" s="853"/>
      <c r="DG155" s="853"/>
      <c r="DH155" s="853"/>
      <c r="DI155" s="853"/>
      <c r="DJ155" s="853"/>
      <c r="DK155" s="853"/>
      <c r="DM155" s="853"/>
      <c r="DN155" s="853"/>
      <c r="DO155" s="853"/>
      <c r="DP155" s="853"/>
      <c r="DQ155" s="853"/>
      <c r="DR155" s="853"/>
      <c r="DS155" s="805"/>
      <c r="DT155" s="805"/>
      <c r="DV155" s="806">
        <f t="shared" si="20"/>
        <v>0</v>
      </c>
      <c r="DW155" s="806">
        <f t="shared" si="21"/>
        <v>0</v>
      </c>
      <c r="DX155" s="794">
        <f t="shared" si="22"/>
        <v>0</v>
      </c>
    </row>
    <row r="156" spans="1:128" hidden="1">
      <c r="A156" s="198">
        <v>3344</v>
      </c>
      <c r="B156" s="2">
        <v>103438</v>
      </c>
      <c r="C156" s="2" t="s">
        <v>335</v>
      </c>
      <c r="D156" s="2" t="s">
        <v>336</v>
      </c>
      <c r="E156" s="190" t="s">
        <v>39</v>
      </c>
      <c r="F156" s="211" t="str">
        <f>VLOOKUP(A156,'Summary June 2026'!A:F,6,FALSE)</f>
        <v>Chq Bk</v>
      </c>
      <c r="G156" s="33"/>
      <c r="H156" s="825">
        <v>0</v>
      </c>
      <c r="I156" s="804"/>
      <c r="J156" s="797">
        <v>0</v>
      </c>
      <c r="K156" s="797">
        <v>0</v>
      </c>
      <c r="L156" s="797">
        <v>0</v>
      </c>
      <c r="M156" s="797">
        <v>0</v>
      </c>
      <c r="N156" s="797">
        <v>0</v>
      </c>
      <c r="O156" s="797">
        <v>0</v>
      </c>
      <c r="P156" s="797">
        <v>0</v>
      </c>
      <c r="Q156" s="797">
        <f t="shared" si="23"/>
        <v>0</v>
      </c>
      <c r="R156" s="797">
        <f t="shared" si="24"/>
        <v>0</v>
      </c>
      <c r="S156" s="804"/>
      <c r="T156" s="364">
        <v>0</v>
      </c>
      <c r="U156" s="364">
        <v>0</v>
      </c>
      <c r="V156" s="364">
        <v>0</v>
      </c>
      <c r="W156" s="364">
        <v>0</v>
      </c>
      <c r="X156" s="364">
        <v>0</v>
      </c>
      <c r="Y156" s="364">
        <v>0</v>
      </c>
      <c r="Z156" s="364">
        <v>0</v>
      </c>
      <c r="AA156" s="364">
        <f t="shared" si="25"/>
        <v>0</v>
      </c>
      <c r="AB156" s="364">
        <f t="shared" si="26"/>
        <v>0</v>
      </c>
      <c r="AC156" s="804"/>
      <c r="AD156" s="817"/>
      <c r="AE156" s="817"/>
      <c r="AF156" s="817"/>
      <c r="AG156" s="817"/>
      <c r="AH156" s="817"/>
      <c r="AI156" s="817"/>
      <c r="AJ156" s="817"/>
      <c r="AK156" s="818"/>
      <c r="AL156" s="817"/>
      <c r="AM156" s="275"/>
      <c r="AN156" s="886">
        <v>0</v>
      </c>
      <c r="AO156" s="886">
        <v>0</v>
      </c>
      <c r="AP156" s="275"/>
      <c r="AQ156" s="834"/>
      <c r="AR156" s="834"/>
      <c r="AS156" s="834"/>
      <c r="AT156" s="834"/>
      <c r="AU156" s="834"/>
      <c r="AV156" s="834"/>
      <c r="AW156" s="834"/>
      <c r="AX156" s="834"/>
      <c r="AZ156" s="835"/>
      <c r="BA156" s="835"/>
      <c r="BB156" s="835"/>
      <c r="BC156" s="835"/>
      <c r="BD156" s="835"/>
      <c r="BE156" s="835"/>
      <c r="BF156" s="835"/>
      <c r="BG156" s="835"/>
      <c r="BH156" s="814"/>
      <c r="BI156" s="834"/>
      <c r="BJ156" s="834"/>
      <c r="BK156" s="834"/>
      <c r="BL156" s="834"/>
      <c r="BM156" s="834"/>
      <c r="BN156" s="834"/>
      <c r="BO156" s="834"/>
      <c r="BP156" s="834"/>
      <c r="BQ156" s="275"/>
      <c r="BR156" s="843"/>
      <c r="BS156" s="843"/>
      <c r="BT156" s="843"/>
      <c r="BU156" s="843"/>
      <c r="BV156" s="843"/>
      <c r="BW156" s="843"/>
      <c r="BX156" s="843"/>
      <c r="BY156" s="843"/>
      <c r="BZ156" s="843"/>
      <c r="CA156" s="843"/>
      <c r="CB156" s="843"/>
      <c r="CC156" s="843"/>
      <c r="CD156" s="843"/>
      <c r="CE156" s="843"/>
      <c r="CF156" s="843"/>
      <c r="CG156" s="843"/>
      <c r="CH156" s="843"/>
      <c r="CI156" s="843"/>
      <c r="CJ156" s="844"/>
      <c r="CK156" s="364"/>
      <c r="CL156" s="364"/>
      <c r="CM156" s="364"/>
      <c r="CN156" s="364"/>
      <c r="CO156" s="364"/>
      <c r="CP156" s="364"/>
      <c r="CQ156" s="364"/>
      <c r="CR156" s="804"/>
      <c r="CS156" s="852"/>
      <c r="CT156" s="853"/>
      <c r="CU156" s="853"/>
      <c r="CV156" s="853"/>
      <c r="CW156" s="853"/>
      <c r="CX156" s="853"/>
      <c r="CY156" s="853"/>
      <c r="CZ156" s="853"/>
      <c r="DA156" s="853"/>
      <c r="DC156" s="853"/>
      <c r="DD156" s="853"/>
      <c r="DE156" s="853"/>
      <c r="DF156" s="853"/>
      <c r="DG156" s="853"/>
      <c r="DH156" s="853"/>
      <c r="DI156" s="853"/>
      <c r="DJ156" s="853"/>
      <c r="DK156" s="853"/>
      <c r="DM156" s="853"/>
      <c r="DN156" s="853"/>
      <c r="DO156" s="853"/>
      <c r="DP156" s="853"/>
      <c r="DQ156" s="853"/>
      <c r="DR156" s="853"/>
      <c r="DS156" s="805"/>
      <c r="DT156" s="805"/>
      <c r="DV156" s="806">
        <f t="shared" si="20"/>
        <v>0</v>
      </c>
      <c r="DW156" s="806">
        <f t="shared" si="21"/>
        <v>0</v>
      </c>
      <c r="DX156" s="794">
        <f t="shared" si="22"/>
        <v>0</v>
      </c>
    </row>
    <row r="157" spans="1:128" hidden="1">
      <c r="A157" s="198">
        <v>3025</v>
      </c>
      <c r="B157" s="2">
        <v>103410</v>
      </c>
      <c r="C157" s="2" t="s">
        <v>337</v>
      </c>
      <c r="D157" s="2" t="s">
        <v>338</v>
      </c>
      <c r="E157" s="190" t="s">
        <v>39</v>
      </c>
      <c r="F157" s="211" t="str">
        <f>VLOOKUP(A157,'Summary June 2026'!A:F,6,FALSE)</f>
        <v>Chq Bk</v>
      </c>
      <c r="G157" s="33"/>
      <c r="H157" s="825">
        <v>0</v>
      </c>
      <c r="I157" s="804"/>
      <c r="J157" s="797">
        <v>0</v>
      </c>
      <c r="K157" s="797">
        <v>0</v>
      </c>
      <c r="L157" s="797">
        <v>0</v>
      </c>
      <c r="M157" s="797">
        <v>0</v>
      </c>
      <c r="N157" s="797">
        <v>0</v>
      </c>
      <c r="O157" s="797">
        <v>0</v>
      </c>
      <c r="P157" s="797">
        <v>0</v>
      </c>
      <c r="Q157" s="797">
        <f t="shared" si="23"/>
        <v>0</v>
      </c>
      <c r="R157" s="797">
        <f t="shared" si="24"/>
        <v>0</v>
      </c>
      <c r="S157" s="804"/>
      <c r="T157" s="364">
        <v>0</v>
      </c>
      <c r="U157" s="364">
        <v>0</v>
      </c>
      <c r="V157" s="364">
        <v>0</v>
      </c>
      <c r="W157" s="364">
        <v>0</v>
      </c>
      <c r="X157" s="364">
        <v>0</v>
      </c>
      <c r="Y157" s="364">
        <v>0</v>
      </c>
      <c r="Z157" s="364">
        <v>0</v>
      </c>
      <c r="AA157" s="364">
        <f t="shared" si="25"/>
        <v>0</v>
      </c>
      <c r="AB157" s="364">
        <f t="shared" si="26"/>
        <v>0</v>
      </c>
      <c r="AC157" s="804"/>
      <c r="AD157" s="817"/>
      <c r="AE157" s="817"/>
      <c r="AF157" s="817"/>
      <c r="AG157" s="817"/>
      <c r="AH157" s="817"/>
      <c r="AI157" s="817"/>
      <c r="AJ157" s="817"/>
      <c r="AK157" s="818"/>
      <c r="AL157" s="817"/>
      <c r="AM157" s="275"/>
      <c r="AN157" s="886">
        <v>0</v>
      </c>
      <c r="AO157" s="886">
        <v>0</v>
      </c>
      <c r="AP157" s="275"/>
      <c r="AQ157" s="834"/>
      <c r="AR157" s="834"/>
      <c r="AS157" s="834"/>
      <c r="AT157" s="834"/>
      <c r="AU157" s="834"/>
      <c r="AV157" s="834"/>
      <c r="AW157" s="834"/>
      <c r="AX157" s="834"/>
      <c r="AZ157" s="835"/>
      <c r="BA157" s="835"/>
      <c r="BB157" s="835"/>
      <c r="BC157" s="835"/>
      <c r="BD157" s="835"/>
      <c r="BE157" s="835"/>
      <c r="BF157" s="835"/>
      <c r="BG157" s="835"/>
      <c r="BH157" s="814"/>
      <c r="BI157" s="834"/>
      <c r="BJ157" s="834"/>
      <c r="BK157" s="834"/>
      <c r="BL157" s="834"/>
      <c r="BM157" s="834"/>
      <c r="BN157" s="834"/>
      <c r="BO157" s="834"/>
      <c r="BP157" s="834"/>
      <c r="BQ157" s="275"/>
      <c r="BR157" s="843"/>
      <c r="BS157" s="843"/>
      <c r="BT157" s="843"/>
      <c r="BU157" s="843"/>
      <c r="BV157" s="843"/>
      <c r="BW157" s="843"/>
      <c r="BX157" s="843"/>
      <c r="BY157" s="843"/>
      <c r="BZ157" s="843"/>
      <c r="CA157" s="843"/>
      <c r="CB157" s="843"/>
      <c r="CC157" s="843"/>
      <c r="CD157" s="843"/>
      <c r="CE157" s="843"/>
      <c r="CF157" s="843"/>
      <c r="CG157" s="843"/>
      <c r="CH157" s="843"/>
      <c r="CI157" s="843"/>
      <c r="CJ157" s="844"/>
      <c r="CK157" s="364"/>
      <c r="CL157" s="364"/>
      <c r="CM157" s="364"/>
      <c r="CN157" s="364"/>
      <c r="CO157" s="364"/>
      <c r="CP157" s="364"/>
      <c r="CQ157" s="364"/>
      <c r="CR157" s="804"/>
      <c r="CS157" s="852"/>
      <c r="CT157" s="853"/>
      <c r="CU157" s="853"/>
      <c r="CV157" s="853"/>
      <c r="CW157" s="853"/>
      <c r="CX157" s="853"/>
      <c r="CY157" s="853"/>
      <c r="CZ157" s="853"/>
      <c r="DA157" s="853"/>
      <c r="DC157" s="853"/>
      <c r="DD157" s="853"/>
      <c r="DE157" s="853"/>
      <c r="DF157" s="853"/>
      <c r="DG157" s="853"/>
      <c r="DH157" s="853"/>
      <c r="DI157" s="853"/>
      <c r="DJ157" s="853"/>
      <c r="DK157" s="853"/>
      <c r="DM157" s="853"/>
      <c r="DN157" s="853"/>
      <c r="DO157" s="853"/>
      <c r="DP157" s="853"/>
      <c r="DQ157" s="853"/>
      <c r="DR157" s="853"/>
      <c r="DS157" s="805"/>
      <c r="DT157" s="805"/>
      <c r="DV157" s="806">
        <f t="shared" si="20"/>
        <v>0</v>
      </c>
      <c r="DW157" s="806">
        <f t="shared" si="21"/>
        <v>0</v>
      </c>
      <c r="DX157" s="794">
        <f t="shared" si="22"/>
        <v>0</v>
      </c>
    </row>
    <row r="158" spans="1:128" hidden="1">
      <c r="A158" s="198">
        <v>3016</v>
      </c>
      <c r="B158" s="2">
        <v>103404</v>
      </c>
      <c r="C158" s="2" t="s">
        <v>339</v>
      </c>
      <c r="D158" s="2" t="s">
        <v>340</v>
      </c>
      <c r="E158" s="190" t="s">
        <v>39</v>
      </c>
      <c r="F158" s="211" t="str">
        <f>VLOOKUP(A158,'Summary June 2026'!A:F,6,FALSE)</f>
        <v>Chq Bk</v>
      </c>
      <c r="G158" s="33"/>
      <c r="H158" s="825">
        <v>0</v>
      </c>
      <c r="I158" s="804"/>
      <c r="J158" s="797">
        <v>0</v>
      </c>
      <c r="K158" s="797">
        <v>0</v>
      </c>
      <c r="L158" s="797">
        <v>0</v>
      </c>
      <c r="M158" s="797">
        <v>0</v>
      </c>
      <c r="N158" s="797">
        <v>0</v>
      </c>
      <c r="O158" s="797">
        <v>0</v>
      </c>
      <c r="P158" s="797">
        <v>0</v>
      </c>
      <c r="Q158" s="797">
        <f t="shared" si="23"/>
        <v>0</v>
      </c>
      <c r="R158" s="797">
        <f t="shared" si="24"/>
        <v>0</v>
      </c>
      <c r="S158" s="804"/>
      <c r="T158" s="364">
        <v>0</v>
      </c>
      <c r="U158" s="364">
        <v>0</v>
      </c>
      <c r="V158" s="364">
        <v>0</v>
      </c>
      <c r="W158" s="364">
        <v>0</v>
      </c>
      <c r="X158" s="364">
        <v>0</v>
      </c>
      <c r="Y158" s="364">
        <v>0</v>
      </c>
      <c r="Z158" s="364">
        <v>0</v>
      </c>
      <c r="AA158" s="364">
        <f t="shared" si="25"/>
        <v>0</v>
      </c>
      <c r="AB158" s="364">
        <f t="shared" si="26"/>
        <v>0</v>
      </c>
      <c r="AC158" s="804"/>
      <c r="AD158" s="817"/>
      <c r="AE158" s="817"/>
      <c r="AF158" s="817"/>
      <c r="AG158" s="817"/>
      <c r="AH158" s="817"/>
      <c r="AI158" s="817"/>
      <c r="AJ158" s="817"/>
      <c r="AK158" s="818"/>
      <c r="AL158" s="817"/>
      <c r="AM158" s="275"/>
      <c r="AN158" s="886">
        <v>0</v>
      </c>
      <c r="AO158" s="886">
        <v>0</v>
      </c>
      <c r="AP158" s="275"/>
      <c r="AQ158" s="834"/>
      <c r="AR158" s="834"/>
      <c r="AS158" s="834"/>
      <c r="AT158" s="834"/>
      <c r="AU158" s="834"/>
      <c r="AV158" s="834"/>
      <c r="AW158" s="834"/>
      <c r="AX158" s="834"/>
      <c r="AZ158" s="835"/>
      <c r="BA158" s="835"/>
      <c r="BB158" s="835"/>
      <c r="BC158" s="835"/>
      <c r="BD158" s="835"/>
      <c r="BE158" s="835"/>
      <c r="BF158" s="835"/>
      <c r="BG158" s="835"/>
      <c r="BH158" s="814"/>
      <c r="BI158" s="834"/>
      <c r="BJ158" s="834"/>
      <c r="BK158" s="834"/>
      <c r="BL158" s="834"/>
      <c r="BM158" s="834"/>
      <c r="BN158" s="834"/>
      <c r="BO158" s="834"/>
      <c r="BP158" s="834"/>
      <c r="BQ158" s="275"/>
      <c r="BR158" s="843"/>
      <c r="BS158" s="843"/>
      <c r="BT158" s="843"/>
      <c r="BU158" s="843"/>
      <c r="BV158" s="843"/>
      <c r="BW158" s="843"/>
      <c r="BX158" s="843"/>
      <c r="BY158" s="843"/>
      <c r="BZ158" s="843"/>
      <c r="CA158" s="843"/>
      <c r="CB158" s="843"/>
      <c r="CC158" s="843"/>
      <c r="CD158" s="843"/>
      <c r="CE158" s="843"/>
      <c r="CF158" s="843"/>
      <c r="CG158" s="843"/>
      <c r="CH158" s="843"/>
      <c r="CI158" s="843"/>
      <c r="CJ158" s="844"/>
      <c r="CK158" s="364"/>
      <c r="CL158" s="364"/>
      <c r="CM158" s="364"/>
      <c r="CN158" s="364"/>
      <c r="CO158" s="364"/>
      <c r="CP158" s="364"/>
      <c r="CQ158" s="364"/>
      <c r="CR158" s="804"/>
      <c r="CS158" s="852"/>
      <c r="CT158" s="853"/>
      <c r="CU158" s="853"/>
      <c r="CV158" s="853"/>
      <c r="CW158" s="853"/>
      <c r="CX158" s="853"/>
      <c r="CY158" s="853"/>
      <c r="CZ158" s="853"/>
      <c r="DA158" s="853"/>
      <c r="DC158" s="853"/>
      <c r="DD158" s="853"/>
      <c r="DE158" s="853"/>
      <c r="DF158" s="853"/>
      <c r="DG158" s="853"/>
      <c r="DH158" s="853"/>
      <c r="DI158" s="853"/>
      <c r="DJ158" s="853"/>
      <c r="DK158" s="853"/>
      <c r="DM158" s="853"/>
      <c r="DN158" s="853"/>
      <c r="DO158" s="853"/>
      <c r="DP158" s="853"/>
      <c r="DQ158" s="853"/>
      <c r="DR158" s="853"/>
      <c r="DS158" s="805"/>
      <c r="DT158" s="805"/>
      <c r="DV158" s="806">
        <f t="shared" si="20"/>
        <v>0</v>
      </c>
      <c r="DW158" s="806">
        <f t="shared" si="21"/>
        <v>0</v>
      </c>
      <c r="DX158" s="794">
        <f t="shared" si="22"/>
        <v>0</v>
      </c>
    </row>
    <row r="159" spans="1:128" hidden="1">
      <c r="A159" s="198">
        <v>3346</v>
      </c>
      <c r="B159" s="2">
        <v>103439</v>
      </c>
      <c r="C159" s="2" t="s">
        <v>341</v>
      </c>
      <c r="D159" s="2" t="s">
        <v>342</v>
      </c>
      <c r="E159" s="190" t="s">
        <v>39</v>
      </c>
      <c r="F159" s="211" t="str">
        <f>VLOOKUP(A159,'Summary June 2026'!A:F,6,FALSE)</f>
        <v>Chq Bk</v>
      </c>
      <c r="G159" s="33"/>
      <c r="H159" s="825">
        <v>0</v>
      </c>
      <c r="I159" s="804"/>
      <c r="J159" s="797">
        <v>0</v>
      </c>
      <c r="K159" s="797">
        <v>0</v>
      </c>
      <c r="L159" s="797">
        <v>35513.4</v>
      </c>
      <c r="M159" s="797">
        <v>672.75</v>
      </c>
      <c r="N159" s="797">
        <v>0</v>
      </c>
      <c r="O159" s="797">
        <v>1797.8999999999999</v>
      </c>
      <c r="P159" s="797">
        <v>0</v>
      </c>
      <c r="Q159" s="797">
        <f t="shared" si="23"/>
        <v>37984.050000000003</v>
      </c>
      <c r="R159" s="797">
        <f t="shared" si="24"/>
        <v>30387.240000000005</v>
      </c>
      <c r="S159" s="804"/>
      <c r="T159" s="364">
        <v>0</v>
      </c>
      <c r="U159" s="364">
        <v>0</v>
      </c>
      <c r="V159" s="364">
        <v>11021.4</v>
      </c>
      <c r="W159" s="364">
        <v>1121.25</v>
      </c>
      <c r="X159" s="364">
        <v>373.1</v>
      </c>
      <c r="Y159" s="364">
        <v>479.70000000000005</v>
      </c>
      <c r="Z159" s="364">
        <v>0</v>
      </c>
      <c r="AA159" s="364">
        <f t="shared" si="25"/>
        <v>12995.45</v>
      </c>
      <c r="AB159" s="364">
        <f t="shared" si="26"/>
        <v>10396.36</v>
      </c>
      <c r="AC159" s="804"/>
      <c r="AD159" s="817"/>
      <c r="AE159" s="817"/>
      <c r="AF159" s="817"/>
      <c r="AG159" s="817"/>
      <c r="AH159" s="817"/>
      <c r="AI159" s="817"/>
      <c r="AJ159" s="817"/>
      <c r="AK159" s="818"/>
      <c r="AL159" s="817"/>
      <c r="AM159" s="275"/>
      <c r="AN159" s="886">
        <v>-10466.324404432129</v>
      </c>
      <c r="AO159" s="886">
        <v>0</v>
      </c>
      <c r="AP159" s="275"/>
      <c r="AQ159" s="834"/>
      <c r="AR159" s="834"/>
      <c r="AS159" s="834"/>
      <c r="AT159" s="834"/>
      <c r="AU159" s="834"/>
      <c r="AV159" s="834"/>
      <c r="AW159" s="834"/>
      <c r="AX159" s="834"/>
      <c r="AZ159" s="835"/>
      <c r="BA159" s="835"/>
      <c r="BB159" s="835"/>
      <c r="BC159" s="835"/>
      <c r="BD159" s="835"/>
      <c r="BE159" s="835"/>
      <c r="BF159" s="835"/>
      <c r="BG159" s="835"/>
      <c r="BH159" s="814"/>
      <c r="BI159" s="834"/>
      <c r="BJ159" s="834"/>
      <c r="BK159" s="834"/>
      <c r="BL159" s="834"/>
      <c r="BM159" s="834"/>
      <c r="BN159" s="834"/>
      <c r="BO159" s="834"/>
      <c r="BP159" s="834"/>
      <c r="BQ159" s="275"/>
      <c r="BR159" s="843"/>
      <c r="BS159" s="843"/>
      <c r="BT159" s="843"/>
      <c r="BU159" s="843"/>
      <c r="BV159" s="843"/>
      <c r="BW159" s="843"/>
      <c r="BX159" s="843"/>
      <c r="BY159" s="843"/>
      <c r="BZ159" s="843"/>
      <c r="CA159" s="843"/>
      <c r="CB159" s="843"/>
      <c r="CC159" s="843"/>
      <c r="CD159" s="843"/>
      <c r="CE159" s="843"/>
      <c r="CF159" s="843"/>
      <c r="CG159" s="843"/>
      <c r="CH159" s="843"/>
      <c r="CI159" s="843"/>
      <c r="CJ159" s="844"/>
      <c r="CK159" s="364"/>
      <c r="CL159" s="364"/>
      <c r="CM159" s="364"/>
      <c r="CN159" s="364"/>
      <c r="CO159" s="364"/>
      <c r="CP159" s="364"/>
      <c r="CQ159" s="364"/>
      <c r="CR159" s="804"/>
      <c r="CS159" s="852"/>
      <c r="CT159" s="853"/>
      <c r="CU159" s="853"/>
      <c r="CV159" s="853"/>
      <c r="CW159" s="853"/>
      <c r="CX159" s="853"/>
      <c r="CY159" s="853"/>
      <c r="CZ159" s="853"/>
      <c r="DA159" s="853"/>
      <c r="DC159" s="853"/>
      <c r="DD159" s="853"/>
      <c r="DE159" s="853"/>
      <c r="DF159" s="853"/>
      <c r="DG159" s="853"/>
      <c r="DH159" s="853"/>
      <c r="DI159" s="853"/>
      <c r="DJ159" s="853"/>
      <c r="DK159" s="853"/>
      <c r="DM159" s="853"/>
      <c r="DN159" s="853"/>
      <c r="DO159" s="853"/>
      <c r="DP159" s="853"/>
      <c r="DQ159" s="853"/>
      <c r="DR159" s="853"/>
      <c r="DS159" s="805"/>
      <c r="DT159" s="805"/>
      <c r="DV159" s="806">
        <f t="shared" si="20"/>
        <v>30317.275595567877</v>
      </c>
      <c r="DW159" s="806">
        <f t="shared" si="21"/>
        <v>0</v>
      </c>
      <c r="DX159" s="794">
        <f t="shared" si="22"/>
        <v>30317.275595567877</v>
      </c>
    </row>
    <row r="160" spans="1:128" hidden="1">
      <c r="A160" s="198">
        <v>4606</v>
      </c>
      <c r="B160" s="2">
        <v>103531</v>
      </c>
      <c r="C160" s="2" t="s">
        <v>343</v>
      </c>
      <c r="D160" s="2" t="s">
        <v>344</v>
      </c>
      <c r="E160" s="190" t="s">
        <v>71</v>
      </c>
      <c r="F160" s="211" t="str">
        <f>VLOOKUP(A160,'Summary June 2026'!A:F,6,FALSE)</f>
        <v>Chq Bk</v>
      </c>
      <c r="G160" s="33"/>
      <c r="H160" s="825">
        <v>0</v>
      </c>
      <c r="I160" s="804"/>
      <c r="J160" s="797">
        <v>0</v>
      </c>
      <c r="K160" s="797">
        <v>0</v>
      </c>
      <c r="L160" s="797">
        <v>0</v>
      </c>
      <c r="M160" s="797">
        <v>0</v>
      </c>
      <c r="N160" s="797">
        <v>0</v>
      </c>
      <c r="O160" s="797">
        <v>0</v>
      </c>
      <c r="P160" s="797">
        <v>0</v>
      </c>
      <c r="Q160" s="797">
        <f t="shared" si="23"/>
        <v>0</v>
      </c>
      <c r="R160" s="797">
        <f t="shared" si="24"/>
        <v>0</v>
      </c>
      <c r="S160" s="804"/>
      <c r="T160" s="364">
        <v>0</v>
      </c>
      <c r="U160" s="364">
        <v>0</v>
      </c>
      <c r="V160" s="364">
        <v>0</v>
      </c>
      <c r="W160" s="364">
        <v>0</v>
      </c>
      <c r="X160" s="364">
        <v>0</v>
      </c>
      <c r="Y160" s="364">
        <v>0</v>
      </c>
      <c r="Z160" s="364">
        <v>0</v>
      </c>
      <c r="AA160" s="364">
        <f t="shared" si="25"/>
        <v>0</v>
      </c>
      <c r="AB160" s="364">
        <f t="shared" si="26"/>
        <v>0</v>
      </c>
      <c r="AC160" s="804"/>
      <c r="AD160" s="817"/>
      <c r="AE160" s="817"/>
      <c r="AF160" s="817"/>
      <c r="AG160" s="817"/>
      <c r="AH160" s="817"/>
      <c r="AI160" s="817"/>
      <c r="AJ160" s="817"/>
      <c r="AK160" s="818"/>
      <c r="AL160" s="817"/>
      <c r="AM160" s="275"/>
      <c r="AN160" s="886">
        <v>0</v>
      </c>
      <c r="AO160" s="886">
        <v>0</v>
      </c>
      <c r="AP160" s="275"/>
      <c r="AQ160" s="834"/>
      <c r="AR160" s="834"/>
      <c r="AS160" s="834"/>
      <c r="AT160" s="834"/>
      <c r="AU160" s="834"/>
      <c r="AV160" s="834"/>
      <c r="AW160" s="834"/>
      <c r="AX160" s="834"/>
      <c r="AZ160" s="835"/>
      <c r="BA160" s="835"/>
      <c r="BB160" s="835"/>
      <c r="BC160" s="835"/>
      <c r="BD160" s="835"/>
      <c r="BE160" s="835"/>
      <c r="BF160" s="835"/>
      <c r="BG160" s="835"/>
      <c r="BH160" s="814"/>
      <c r="BI160" s="834"/>
      <c r="BJ160" s="834"/>
      <c r="BK160" s="834"/>
      <c r="BL160" s="834"/>
      <c r="BM160" s="834"/>
      <c r="BN160" s="834"/>
      <c r="BO160" s="834"/>
      <c r="BP160" s="834"/>
      <c r="BQ160" s="275"/>
      <c r="BR160" s="843"/>
      <c r="BS160" s="843"/>
      <c r="BT160" s="843"/>
      <c r="BU160" s="843"/>
      <c r="BV160" s="843"/>
      <c r="BW160" s="843"/>
      <c r="BX160" s="843"/>
      <c r="BY160" s="843"/>
      <c r="BZ160" s="843"/>
      <c r="CA160" s="843"/>
      <c r="CB160" s="843"/>
      <c r="CC160" s="843"/>
      <c r="CD160" s="843"/>
      <c r="CE160" s="843"/>
      <c r="CF160" s="843"/>
      <c r="CG160" s="843"/>
      <c r="CH160" s="843"/>
      <c r="CI160" s="843"/>
      <c r="CJ160" s="844"/>
      <c r="CK160" s="364"/>
      <c r="CL160" s="364"/>
      <c r="CM160" s="364"/>
      <c r="CN160" s="364"/>
      <c r="CO160" s="364"/>
      <c r="CP160" s="364"/>
      <c r="CQ160" s="364"/>
      <c r="CR160" s="804"/>
      <c r="CS160" s="852"/>
      <c r="CT160" s="853"/>
      <c r="CU160" s="853"/>
      <c r="CV160" s="853"/>
      <c r="CW160" s="853"/>
      <c r="CX160" s="853"/>
      <c r="CY160" s="853"/>
      <c r="CZ160" s="853"/>
      <c r="DA160" s="853"/>
      <c r="DC160" s="853"/>
      <c r="DD160" s="853"/>
      <c r="DE160" s="853"/>
      <c r="DF160" s="853"/>
      <c r="DG160" s="853"/>
      <c r="DH160" s="853"/>
      <c r="DI160" s="853"/>
      <c r="DJ160" s="853"/>
      <c r="DK160" s="853"/>
      <c r="DM160" s="853"/>
      <c r="DN160" s="853"/>
      <c r="DO160" s="853"/>
      <c r="DP160" s="853"/>
      <c r="DQ160" s="853"/>
      <c r="DR160" s="853"/>
      <c r="DS160" s="805"/>
      <c r="DT160" s="805"/>
      <c r="DV160" s="806">
        <f t="shared" si="20"/>
        <v>0</v>
      </c>
      <c r="DW160" s="806">
        <f t="shared" si="21"/>
        <v>0</v>
      </c>
      <c r="DX160" s="794">
        <f t="shared" si="22"/>
        <v>0</v>
      </c>
    </row>
    <row r="161" spans="1:128" hidden="1">
      <c r="A161" s="198">
        <v>3428</v>
      </c>
      <c r="B161" s="2">
        <v>134476</v>
      </c>
      <c r="C161" s="2" t="s">
        <v>345</v>
      </c>
      <c r="D161" s="2" t="s">
        <v>346</v>
      </c>
      <c r="E161" s="190" t="s">
        <v>39</v>
      </c>
      <c r="F161" s="211" t="str">
        <f>VLOOKUP(A161,'Summary June 2026'!A:F,6,FALSE)</f>
        <v>Chq Bk</v>
      </c>
      <c r="G161" s="33"/>
      <c r="H161" s="825">
        <v>0</v>
      </c>
      <c r="I161" s="804"/>
      <c r="J161" s="797">
        <v>0</v>
      </c>
      <c r="K161" s="797">
        <v>0</v>
      </c>
      <c r="L161" s="797">
        <v>50208.600000000006</v>
      </c>
      <c r="M161" s="797">
        <v>1121.25</v>
      </c>
      <c r="N161" s="797">
        <v>708.58210526315793</v>
      </c>
      <c r="O161" s="797">
        <v>360.75</v>
      </c>
      <c r="P161" s="797">
        <v>0</v>
      </c>
      <c r="Q161" s="797">
        <f t="shared" si="23"/>
        <v>52399.182105263164</v>
      </c>
      <c r="R161" s="797">
        <f t="shared" si="24"/>
        <v>41919.345684210537</v>
      </c>
      <c r="S161" s="804"/>
      <c r="T161" s="364">
        <v>0</v>
      </c>
      <c r="U161" s="364">
        <v>0</v>
      </c>
      <c r="V161" s="364">
        <v>35513.4</v>
      </c>
      <c r="W161" s="364">
        <v>224.24999999999997</v>
      </c>
      <c r="X161" s="364">
        <v>74.62</v>
      </c>
      <c r="Y161" s="364">
        <v>282.75</v>
      </c>
      <c r="Z161" s="364">
        <v>0</v>
      </c>
      <c r="AA161" s="364">
        <f t="shared" si="25"/>
        <v>36095.020000000004</v>
      </c>
      <c r="AB161" s="364">
        <f t="shared" si="26"/>
        <v>28876.016000000003</v>
      </c>
      <c r="AC161" s="804"/>
      <c r="AD161" s="817"/>
      <c r="AE161" s="817"/>
      <c r="AF161" s="817"/>
      <c r="AG161" s="817"/>
      <c r="AH161" s="817"/>
      <c r="AI161" s="817"/>
      <c r="AJ161" s="817"/>
      <c r="AK161" s="818"/>
      <c r="AL161" s="817"/>
      <c r="AM161" s="275"/>
      <c r="AN161" s="886">
        <v>-3614.5173961218875</v>
      </c>
      <c r="AO161" s="886">
        <v>0</v>
      </c>
      <c r="AP161" s="275"/>
      <c r="AQ161" s="834"/>
      <c r="AR161" s="834"/>
      <c r="AS161" s="834"/>
      <c r="AT161" s="834"/>
      <c r="AU161" s="834"/>
      <c r="AV161" s="834"/>
      <c r="AW161" s="834"/>
      <c r="AX161" s="834"/>
      <c r="AZ161" s="835"/>
      <c r="BA161" s="835"/>
      <c r="BB161" s="835"/>
      <c r="BC161" s="835"/>
      <c r="BD161" s="835"/>
      <c r="BE161" s="835"/>
      <c r="BF161" s="835"/>
      <c r="BG161" s="835"/>
      <c r="BH161" s="814"/>
      <c r="BI161" s="834"/>
      <c r="BJ161" s="834"/>
      <c r="BK161" s="834"/>
      <c r="BL161" s="834"/>
      <c r="BM161" s="834"/>
      <c r="BN161" s="834"/>
      <c r="BO161" s="834"/>
      <c r="BP161" s="834"/>
      <c r="BQ161" s="275"/>
      <c r="BR161" s="843"/>
      <c r="BS161" s="843"/>
      <c r="BT161" s="843"/>
      <c r="BU161" s="843"/>
      <c r="BV161" s="843"/>
      <c r="BW161" s="843"/>
      <c r="BX161" s="843"/>
      <c r="BY161" s="843"/>
      <c r="BZ161" s="843"/>
      <c r="CA161" s="843"/>
      <c r="CB161" s="843"/>
      <c r="CC161" s="843"/>
      <c r="CD161" s="843"/>
      <c r="CE161" s="843"/>
      <c r="CF161" s="843"/>
      <c r="CG161" s="843"/>
      <c r="CH161" s="843"/>
      <c r="CI161" s="843"/>
      <c r="CJ161" s="844"/>
      <c r="CK161" s="364"/>
      <c r="CL161" s="364"/>
      <c r="CM161" s="364"/>
      <c r="CN161" s="364"/>
      <c r="CO161" s="364"/>
      <c r="CP161" s="364"/>
      <c r="CQ161" s="364"/>
      <c r="CR161" s="804"/>
      <c r="CS161" s="852"/>
      <c r="CT161" s="853"/>
      <c r="CU161" s="853"/>
      <c r="CV161" s="853"/>
      <c r="CW161" s="853"/>
      <c r="CX161" s="853"/>
      <c r="CY161" s="853"/>
      <c r="CZ161" s="853"/>
      <c r="DA161" s="853"/>
      <c r="DC161" s="853"/>
      <c r="DD161" s="853"/>
      <c r="DE161" s="853"/>
      <c r="DF161" s="853"/>
      <c r="DG161" s="853"/>
      <c r="DH161" s="853"/>
      <c r="DI161" s="853"/>
      <c r="DJ161" s="853"/>
      <c r="DK161" s="853"/>
      <c r="DM161" s="853"/>
      <c r="DN161" s="853"/>
      <c r="DO161" s="853"/>
      <c r="DP161" s="853"/>
      <c r="DQ161" s="853"/>
      <c r="DR161" s="853"/>
      <c r="DS161" s="805"/>
      <c r="DT161" s="805"/>
      <c r="DV161" s="806">
        <f t="shared" si="20"/>
        <v>67180.844288088643</v>
      </c>
      <c r="DW161" s="806">
        <f t="shared" si="21"/>
        <v>0</v>
      </c>
      <c r="DX161" s="794">
        <f t="shared" si="22"/>
        <v>67180.844288088643</v>
      </c>
    </row>
    <row r="162" spans="1:128" hidden="1">
      <c r="A162" s="198">
        <v>3019</v>
      </c>
      <c r="B162" s="2">
        <v>103406</v>
      </c>
      <c r="C162" s="2" t="s">
        <v>347</v>
      </c>
      <c r="D162" s="2" t="s">
        <v>348</v>
      </c>
      <c r="E162" s="190" t="s">
        <v>39</v>
      </c>
      <c r="F162" s="211" t="str">
        <f>VLOOKUP(A162,'Summary June 2026'!A:F,6,FALSE)</f>
        <v>Chq Bk</v>
      </c>
      <c r="G162" s="33"/>
      <c r="H162" s="825">
        <v>0</v>
      </c>
      <c r="I162" s="804"/>
      <c r="J162" s="797">
        <v>0</v>
      </c>
      <c r="K162" s="797">
        <v>0</v>
      </c>
      <c r="L162" s="797">
        <v>0</v>
      </c>
      <c r="M162" s="797">
        <v>0</v>
      </c>
      <c r="N162" s="797">
        <v>0</v>
      </c>
      <c r="O162" s="797">
        <v>0</v>
      </c>
      <c r="P162" s="797">
        <v>0</v>
      </c>
      <c r="Q162" s="797">
        <f t="shared" si="23"/>
        <v>0</v>
      </c>
      <c r="R162" s="797">
        <f t="shared" si="24"/>
        <v>0</v>
      </c>
      <c r="S162" s="804"/>
      <c r="T162" s="364">
        <v>0</v>
      </c>
      <c r="U162" s="364">
        <v>0</v>
      </c>
      <c r="V162" s="364">
        <v>0</v>
      </c>
      <c r="W162" s="364">
        <v>0</v>
      </c>
      <c r="X162" s="364">
        <v>0</v>
      </c>
      <c r="Y162" s="364">
        <v>0</v>
      </c>
      <c r="Z162" s="364">
        <v>0</v>
      </c>
      <c r="AA162" s="364">
        <f t="shared" si="25"/>
        <v>0</v>
      </c>
      <c r="AB162" s="364">
        <f t="shared" si="26"/>
        <v>0</v>
      </c>
      <c r="AC162" s="804"/>
      <c r="AD162" s="817"/>
      <c r="AE162" s="817"/>
      <c r="AF162" s="817"/>
      <c r="AG162" s="817"/>
      <c r="AH162" s="817"/>
      <c r="AI162" s="817"/>
      <c r="AJ162" s="817"/>
      <c r="AK162" s="818"/>
      <c r="AL162" s="817"/>
      <c r="AM162" s="275"/>
      <c r="AN162" s="886">
        <v>0</v>
      </c>
      <c r="AO162" s="886">
        <v>0</v>
      </c>
      <c r="AP162" s="275"/>
      <c r="AQ162" s="834"/>
      <c r="AR162" s="834"/>
      <c r="AS162" s="834"/>
      <c r="AT162" s="834"/>
      <c r="AU162" s="834"/>
      <c r="AV162" s="834"/>
      <c r="AW162" s="834"/>
      <c r="AX162" s="834"/>
      <c r="AZ162" s="835"/>
      <c r="BA162" s="835"/>
      <c r="BB162" s="835"/>
      <c r="BC162" s="835"/>
      <c r="BD162" s="835"/>
      <c r="BE162" s="835"/>
      <c r="BF162" s="835"/>
      <c r="BG162" s="835"/>
      <c r="BH162" s="814"/>
      <c r="BI162" s="834"/>
      <c r="BJ162" s="834"/>
      <c r="BK162" s="834"/>
      <c r="BL162" s="834"/>
      <c r="BM162" s="834"/>
      <c r="BN162" s="834"/>
      <c r="BO162" s="834"/>
      <c r="BP162" s="834"/>
      <c r="BQ162" s="275"/>
      <c r="BR162" s="843"/>
      <c r="BS162" s="843"/>
      <c r="BT162" s="843"/>
      <c r="BU162" s="843"/>
      <c r="BV162" s="843"/>
      <c r="BW162" s="843"/>
      <c r="BX162" s="843"/>
      <c r="BY162" s="843"/>
      <c r="BZ162" s="843"/>
      <c r="CA162" s="843"/>
      <c r="CB162" s="843"/>
      <c r="CC162" s="843"/>
      <c r="CD162" s="843"/>
      <c r="CE162" s="843"/>
      <c r="CF162" s="843"/>
      <c r="CG162" s="843"/>
      <c r="CH162" s="843"/>
      <c r="CI162" s="843"/>
      <c r="CJ162" s="844"/>
      <c r="CK162" s="364"/>
      <c r="CL162" s="364"/>
      <c r="CM162" s="364"/>
      <c r="CN162" s="364"/>
      <c r="CO162" s="364"/>
      <c r="CP162" s="364"/>
      <c r="CQ162" s="364"/>
      <c r="CR162" s="804"/>
      <c r="CS162" s="852"/>
      <c r="CT162" s="853"/>
      <c r="CU162" s="853"/>
      <c r="CV162" s="853"/>
      <c r="CW162" s="853"/>
      <c r="CX162" s="853"/>
      <c r="CY162" s="853"/>
      <c r="CZ162" s="853"/>
      <c r="DA162" s="853"/>
      <c r="DC162" s="853"/>
      <c r="DD162" s="853"/>
      <c r="DE162" s="853"/>
      <c r="DF162" s="853"/>
      <c r="DG162" s="853"/>
      <c r="DH162" s="853"/>
      <c r="DI162" s="853"/>
      <c r="DJ162" s="853"/>
      <c r="DK162" s="853"/>
      <c r="DM162" s="853"/>
      <c r="DN162" s="853"/>
      <c r="DO162" s="853"/>
      <c r="DP162" s="853"/>
      <c r="DQ162" s="853"/>
      <c r="DR162" s="853"/>
      <c r="DS162" s="805"/>
      <c r="DT162" s="805"/>
      <c r="DV162" s="806">
        <f t="shared" si="20"/>
        <v>0</v>
      </c>
      <c r="DW162" s="806">
        <f t="shared" si="21"/>
        <v>0</v>
      </c>
      <c r="DX162" s="794">
        <f t="shared" si="22"/>
        <v>0</v>
      </c>
    </row>
    <row r="163" spans="1:128" hidden="1">
      <c r="A163" s="198">
        <v>1009</v>
      </c>
      <c r="B163" s="2">
        <v>103124</v>
      </c>
      <c r="C163" s="2" t="s">
        <v>349</v>
      </c>
      <c r="D163" s="2" t="s">
        <v>350</v>
      </c>
      <c r="E163" s="190" t="s">
        <v>36</v>
      </c>
      <c r="F163" s="211" t="str">
        <f>VLOOKUP(A163,'Summary June 2026'!A:F,6,FALSE)</f>
        <v>Chq Bk</v>
      </c>
      <c r="G163" s="33"/>
      <c r="H163" s="825">
        <v>230122.74842530911</v>
      </c>
      <c r="I163" s="804"/>
      <c r="J163" s="797">
        <v>0</v>
      </c>
      <c r="K163" s="797">
        <v>46700.549999999996</v>
      </c>
      <c r="L163" s="797">
        <v>127358.39999999999</v>
      </c>
      <c r="M163" s="797">
        <v>9867</v>
      </c>
      <c r="N163" s="797">
        <v>2984.8</v>
      </c>
      <c r="O163" s="797">
        <v>6934.2</v>
      </c>
      <c r="P163" s="797">
        <v>6825</v>
      </c>
      <c r="Q163" s="797">
        <f t="shared" si="23"/>
        <v>200669.94999999998</v>
      </c>
      <c r="R163" s="797">
        <f t="shared" si="24"/>
        <v>160535.96</v>
      </c>
      <c r="S163" s="804"/>
      <c r="T163" s="364">
        <v>0</v>
      </c>
      <c r="U163" s="364">
        <v>50692.049999999996</v>
      </c>
      <c r="V163" s="364">
        <v>78374.399999999994</v>
      </c>
      <c r="W163" s="364">
        <v>7011.7499999999991</v>
      </c>
      <c r="X163" s="364">
        <v>2574.0821052631582</v>
      </c>
      <c r="Y163" s="364">
        <v>5315.7</v>
      </c>
      <c r="Z163" s="364">
        <v>2925</v>
      </c>
      <c r="AA163" s="364">
        <f t="shared" si="25"/>
        <v>146892.98210526316</v>
      </c>
      <c r="AB163" s="364">
        <f t="shared" si="26"/>
        <v>117514.38568421053</v>
      </c>
      <c r="AC163" s="804"/>
      <c r="AD163" s="817"/>
      <c r="AE163" s="817"/>
      <c r="AF163" s="817"/>
      <c r="AG163" s="817"/>
      <c r="AH163" s="817"/>
      <c r="AI163" s="817"/>
      <c r="AJ163" s="817"/>
      <c r="AK163" s="818"/>
      <c r="AL163" s="817"/>
      <c r="AM163" s="275"/>
      <c r="AN163" s="886">
        <v>-5321.282742382271</v>
      </c>
      <c r="AO163" s="886">
        <v>2814</v>
      </c>
      <c r="AP163" s="275"/>
      <c r="AQ163" s="834"/>
      <c r="AR163" s="834"/>
      <c r="AS163" s="834"/>
      <c r="AT163" s="834"/>
      <c r="AU163" s="834"/>
      <c r="AV163" s="834"/>
      <c r="AW163" s="834"/>
      <c r="AX163" s="834"/>
      <c r="AZ163" s="835"/>
      <c r="BA163" s="835"/>
      <c r="BB163" s="835"/>
      <c r="BC163" s="835"/>
      <c r="BD163" s="835"/>
      <c r="BE163" s="835"/>
      <c r="BF163" s="835"/>
      <c r="BG163" s="835"/>
      <c r="BH163" s="814"/>
      <c r="BI163" s="834"/>
      <c r="BJ163" s="834"/>
      <c r="BK163" s="834"/>
      <c r="BL163" s="834"/>
      <c r="BM163" s="834"/>
      <c r="BN163" s="834"/>
      <c r="BO163" s="834"/>
      <c r="BP163" s="834"/>
      <c r="BQ163" s="275"/>
      <c r="BR163" s="843"/>
      <c r="BS163" s="843"/>
      <c r="BT163" s="843"/>
      <c r="BU163" s="843"/>
      <c r="BV163" s="843"/>
      <c r="BW163" s="843"/>
      <c r="BX163" s="843"/>
      <c r="BY163" s="843"/>
      <c r="BZ163" s="843"/>
      <c r="CA163" s="843"/>
      <c r="CB163" s="843"/>
      <c r="CC163" s="843"/>
      <c r="CD163" s="843"/>
      <c r="CE163" s="843"/>
      <c r="CF163" s="843"/>
      <c r="CG163" s="843"/>
      <c r="CH163" s="843"/>
      <c r="CI163" s="843"/>
      <c r="CJ163" s="844"/>
      <c r="CK163" s="364"/>
      <c r="CL163" s="364"/>
      <c r="CM163" s="364"/>
      <c r="CN163" s="364"/>
      <c r="CO163" s="364"/>
      <c r="CP163" s="364"/>
      <c r="CQ163" s="364"/>
      <c r="CR163" s="804"/>
      <c r="CS163" s="852"/>
      <c r="CT163" s="853"/>
      <c r="CU163" s="853"/>
      <c r="CV163" s="853"/>
      <c r="CW163" s="853"/>
      <c r="CX163" s="853"/>
      <c r="CY163" s="853"/>
      <c r="CZ163" s="853"/>
      <c r="DA163" s="853"/>
      <c r="DC163" s="853"/>
      <c r="DD163" s="853"/>
      <c r="DE163" s="853"/>
      <c r="DF163" s="853"/>
      <c r="DG163" s="853"/>
      <c r="DH163" s="853"/>
      <c r="DI163" s="853"/>
      <c r="DJ163" s="853"/>
      <c r="DK163" s="853"/>
      <c r="DM163" s="853"/>
      <c r="DN163" s="853"/>
      <c r="DO163" s="853"/>
      <c r="DP163" s="853"/>
      <c r="DQ163" s="853"/>
      <c r="DR163" s="853"/>
      <c r="DS163" s="805"/>
      <c r="DT163" s="805"/>
      <c r="DV163" s="806">
        <f t="shared" si="20"/>
        <v>495051.81136713736</v>
      </c>
      <c r="DW163" s="806">
        <f t="shared" si="21"/>
        <v>10614</v>
      </c>
      <c r="DX163" s="794">
        <f t="shared" si="22"/>
        <v>505665.81136713736</v>
      </c>
    </row>
    <row r="164" spans="1:128" hidden="1">
      <c r="A164" s="198">
        <v>2178</v>
      </c>
      <c r="B164" s="2">
        <v>103257</v>
      </c>
      <c r="C164" s="2" t="s">
        <v>351</v>
      </c>
      <c r="D164" s="2" t="s">
        <v>352</v>
      </c>
      <c r="E164" s="190" t="s">
        <v>39</v>
      </c>
      <c r="F164" s="211" t="str">
        <f>VLOOKUP(A164,'Summary June 2026'!A:F,6,FALSE)</f>
        <v>Chq Bk</v>
      </c>
      <c r="G164" s="33"/>
      <c r="H164" s="825">
        <v>0</v>
      </c>
      <c r="I164" s="804"/>
      <c r="J164" s="797">
        <v>0</v>
      </c>
      <c r="K164" s="797">
        <v>0</v>
      </c>
      <c r="L164" s="797">
        <v>38697.360000000001</v>
      </c>
      <c r="M164" s="797">
        <v>1121.25</v>
      </c>
      <c r="N164" s="797">
        <v>223.85999999999999</v>
      </c>
      <c r="O164" s="797">
        <v>1251.9000000000001</v>
      </c>
      <c r="P164" s="797">
        <v>0</v>
      </c>
      <c r="Q164" s="797">
        <f t="shared" si="23"/>
        <v>41294.370000000003</v>
      </c>
      <c r="R164" s="797">
        <f t="shared" si="24"/>
        <v>33035.496000000006</v>
      </c>
      <c r="S164" s="804"/>
      <c r="T164" s="364">
        <v>0</v>
      </c>
      <c r="U164" s="364">
        <v>0</v>
      </c>
      <c r="V164" s="364">
        <v>33064.199999999997</v>
      </c>
      <c r="W164" s="364">
        <v>1121.25</v>
      </c>
      <c r="X164" s="364">
        <v>74.62</v>
      </c>
      <c r="Y164" s="364">
        <v>1489.8</v>
      </c>
      <c r="Z164" s="364">
        <v>0</v>
      </c>
      <c r="AA164" s="364">
        <f t="shared" si="25"/>
        <v>35749.870000000003</v>
      </c>
      <c r="AB164" s="364">
        <f t="shared" si="26"/>
        <v>28599.896000000004</v>
      </c>
      <c r="AC164" s="804"/>
      <c r="AD164" s="817"/>
      <c r="AE164" s="817"/>
      <c r="AF164" s="817"/>
      <c r="AG164" s="817"/>
      <c r="AH164" s="817"/>
      <c r="AI164" s="817"/>
      <c r="AJ164" s="817"/>
      <c r="AK164" s="818"/>
      <c r="AL164" s="817"/>
      <c r="AM164" s="275"/>
      <c r="AN164" s="886">
        <v>7002.1580720221609</v>
      </c>
      <c r="AO164" s="886">
        <v>0</v>
      </c>
      <c r="AP164" s="275"/>
      <c r="AQ164" s="834"/>
      <c r="AR164" s="834"/>
      <c r="AS164" s="834"/>
      <c r="AT164" s="834"/>
      <c r="AU164" s="834"/>
      <c r="AV164" s="834"/>
      <c r="AW164" s="834"/>
      <c r="AX164" s="834"/>
      <c r="AZ164" s="835"/>
      <c r="BA164" s="835"/>
      <c r="BB164" s="835"/>
      <c r="BC164" s="835"/>
      <c r="BD164" s="835"/>
      <c r="BE164" s="835"/>
      <c r="BF164" s="835"/>
      <c r="BG164" s="835"/>
      <c r="BH164" s="814"/>
      <c r="BI164" s="834"/>
      <c r="BJ164" s="834"/>
      <c r="BK164" s="834"/>
      <c r="BL164" s="834"/>
      <c r="BM164" s="834"/>
      <c r="BN164" s="834"/>
      <c r="BO164" s="834"/>
      <c r="BP164" s="834"/>
      <c r="BQ164" s="275"/>
      <c r="BR164" s="843"/>
      <c r="BS164" s="843"/>
      <c r="BT164" s="843"/>
      <c r="BU164" s="843"/>
      <c r="BV164" s="843"/>
      <c r="BW164" s="843"/>
      <c r="BX164" s="843"/>
      <c r="BY164" s="843"/>
      <c r="BZ164" s="843"/>
      <c r="CA164" s="843"/>
      <c r="CB164" s="843"/>
      <c r="CC164" s="843"/>
      <c r="CD164" s="843"/>
      <c r="CE164" s="843"/>
      <c r="CF164" s="843"/>
      <c r="CG164" s="843"/>
      <c r="CH164" s="843"/>
      <c r="CI164" s="843"/>
      <c r="CJ164" s="844"/>
      <c r="CK164" s="364"/>
      <c r="CL164" s="364"/>
      <c r="CM164" s="364"/>
      <c r="CN164" s="364"/>
      <c r="CO164" s="364"/>
      <c r="CP164" s="364"/>
      <c r="CQ164" s="364"/>
      <c r="CR164" s="804"/>
      <c r="CS164" s="852"/>
      <c r="CT164" s="853"/>
      <c r="CU164" s="853"/>
      <c r="CV164" s="853"/>
      <c r="CW164" s="853"/>
      <c r="CX164" s="853"/>
      <c r="CY164" s="853"/>
      <c r="CZ164" s="853"/>
      <c r="DA164" s="853"/>
      <c r="DC164" s="853"/>
      <c r="DD164" s="853"/>
      <c r="DE164" s="853"/>
      <c r="DF164" s="853"/>
      <c r="DG164" s="853"/>
      <c r="DH164" s="853"/>
      <c r="DI164" s="853"/>
      <c r="DJ164" s="853"/>
      <c r="DK164" s="853"/>
      <c r="DM164" s="853"/>
      <c r="DN164" s="853"/>
      <c r="DO164" s="853"/>
      <c r="DP164" s="853"/>
      <c r="DQ164" s="853"/>
      <c r="DR164" s="853"/>
      <c r="DS164" s="805"/>
      <c r="DT164" s="805"/>
      <c r="DV164" s="806">
        <f t="shared" si="20"/>
        <v>68637.550072022161</v>
      </c>
      <c r="DW164" s="806">
        <f t="shared" si="21"/>
        <v>0</v>
      </c>
      <c r="DX164" s="794">
        <f t="shared" si="22"/>
        <v>68637.550072022161</v>
      </c>
    </row>
    <row r="165" spans="1:128" hidden="1">
      <c r="A165" s="198">
        <v>2184</v>
      </c>
      <c r="B165" s="2">
        <v>103262</v>
      </c>
      <c r="C165" s="2" t="s">
        <v>353</v>
      </c>
      <c r="D165" s="2" t="s">
        <v>354</v>
      </c>
      <c r="E165" s="190" t="s">
        <v>39</v>
      </c>
      <c r="F165" s="211" t="str">
        <f>VLOOKUP(A165,'Summary June 2026'!A:F,6,FALSE)</f>
        <v>Chq Bk</v>
      </c>
      <c r="G165" s="33"/>
      <c r="H165" s="825">
        <v>0</v>
      </c>
      <c r="I165" s="804"/>
      <c r="J165" s="797">
        <v>0</v>
      </c>
      <c r="K165" s="797">
        <v>0</v>
      </c>
      <c r="L165" s="797">
        <v>0</v>
      </c>
      <c r="M165" s="797">
        <v>0</v>
      </c>
      <c r="N165" s="797">
        <v>0</v>
      </c>
      <c r="O165" s="797">
        <v>0</v>
      </c>
      <c r="P165" s="797">
        <v>0</v>
      </c>
      <c r="Q165" s="797">
        <f t="shared" si="23"/>
        <v>0</v>
      </c>
      <c r="R165" s="797">
        <f t="shared" si="24"/>
        <v>0</v>
      </c>
      <c r="S165" s="804"/>
      <c r="T165" s="364">
        <v>0</v>
      </c>
      <c r="U165" s="364">
        <v>0</v>
      </c>
      <c r="V165" s="364">
        <v>0</v>
      </c>
      <c r="W165" s="364">
        <v>0</v>
      </c>
      <c r="X165" s="364">
        <v>0</v>
      </c>
      <c r="Y165" s="364">
        <v>0</v>
      </c>
      <c r="Z165" s="364">
        <v>0</v>
      </c>
      <c r="AA165" s="364">
        <f t="shared" si="25"/>
        <v>0</v>
      </c>
      <c r="AB165" s="364">
        <f t="shared" si="26"/>
        <v>0</v>
      </c>
      <c r="AC165" s="804"/>
      <c r="AD165" s="817"/>
      <c r="AE165" s="817"/>
      <c r="AF165" s="817"/>
      <c r="AG165" s="817"/>
      <c r="AH165" s="817"/>
      <c r="AI165" s="817"/>
      <c r="AJ165" s="817"/>
      <c r="AK165" s="818"/>
      <c r="AL165" s="817"/>
      <c r="AM165" s="275"/>
      <c r="AN165" s="886">
        <v>0</v>
      </c>
      <c r="AO165" s="886">
        <v>0</v>
      </c>
      <c r="AP165" s="275"/>
      <c r="AQ165" s="834"/>
      <c r="AR165" s="834"/>
      <c r="AS165" s="834"/>
      <c r="AT165" s="834"/>
      <c r="AU165" s="834"/>
      <c r="AV165" s="834"/>
      <c r="AW165" s="834"/>
      <c r="AX165" s="834"/>
      <c r="AZ165" s="835"/>
      <c r="BA165" s="835"/>
      <c r="BB165" s="835"/>
      <c r="BC165" s="835"/>
      <c r="BD165" s="835"/>
      <c r="BE165" s="835"/>
      <c r="BF165" s="835"/>
      <c r="BG165" s="835"/>
      <c r="BH165" s="814"/>
      <c r="BI165" s="834"/>
      <c r="BJ165" s="834"/>
      <c r="BK165" s="834"/>
      <c r="BL165" s="834"/>
      <c r="BM165" s="834"/>
      <c r="BN165" s="834"/>
      <c r="BO165" s="834"/>
      <c r="BP165" s="834"/>
      <c r="BQ165" s="275"/>
      <c r="BR165" s="843"/>
      <c r="BS165" s="843"/>
      <c r="BT165" s="843"/>
      <c r="BU165" s="843"/>
      <c r="BV165" s="843"/>
      <c r="BW165" s="843"/>
      <c r="BX165" s="843"/>
      <c r="BY165" s="843"/>
      <c r="BZ165" s="843"/>
      <c r="CA165" s="843"/>
      <c r="CB165" s="843"/>
      <c r="CC165" s="843"/>
      <c r="CD165" s="843"/>
      <c r="CE165" s="843"/>
      <c r="CF165" s="843"/>
      <c r="CG165" s="843"/>
      <c r="CH165" s="843"/>
      <c r="CI165" s="843"/>
      <c r="CJ165" s="844"/>
      <c r="CK165" s="364"/>
      <c r="CL165" s="364"/>
      <c r="CM165" s="364"/>
      <c r="CN165" s="364"/>
      <c r="CO165" s="364"/>
      <c r="CP165" s="364"/>
      <c r="CQ165" s="364"/>
      <c r="CR165" s="804"/>
      <c r="CS165" s="852"/>
      <c r="CT165" s="853"/>
      <c r="CU165" s="853"/>
      <c r="CV165" s="853"/>
      <c r="CW165" s="853"/>
      <c r="CX165" s="853"/>
      <c r="CY165" s="853"/>
      <c r="CZ165" s="853"/>
      <c r="DA165" s="853"/>
      <c r="DC165" s="853"/>
      <c r="DD165" s="853"/>
      <c r="DE165" s="853"/>
      <c r="DF165" s="853"/>
      <c r="DG165" s="853"/>
      <c r="DH165" s="853"/>
      <c r="DI165" s="853"/>
      <c r="DJ165" s="853"/>
      <c r="DK165" s="853"/>
      <c r="DM165" s="853"/>
      <c r="DN165" s="853"/>
      <c r="DO165" s="853"/>
      <c r="DP165" s="853"/>
      <c r="DQ165" s="853"/>
      <c r="DR165" s="853"/>
      <c r="DS165" s="805"/>
      <c r="DT165" s="805"/>
      <c r="DV165" s="806">
        <f t="shared" si="20"/>
        <v>0</v>
      </c>
      <c r="DW165" s="806">
        <f t="shared" si="21"/>
        <v>0</v>
      </c>
      <c r="DX165" s="794">
        <f t="shared" si="22"/>
        <v>0</v>
      </c>
    </row>
    <row r="166" spans="1:128" hidden="1">
      <c r="A166" s="198">
        <v>2190</v>
      </c>
      <c r="B166" s="2">
        <v>103266</v>
      </c>
      <c r="C166" s="2" t="s">
        <v>355</v>
      </c>
      <c r="D166" s="2" t="s">
        <v>356</v>
      </c>
      <c r="E166" s="190" t="s">
        <v>39</v>
      </c>
      <c r="F166" s="211" t="str">
        <f>VLOOKUP(A166,'Summary June 2026'!A:F,6,FALSE)</f>
        <v>Chq Bk</v>
      </c>
      <c r="G166" s="33"/>
      <c r="H166" s="825">
        <v>0</v>
      </c>
      <c r="I166" s="804"/>
      <c r="J166" s="797">
        <v>0</v>
      </c>
      <c r="K166" s="797">
        <v>0</v>
      </c>
      <c r="L166" s="797">
        <v>0</v>
      </c>
      <c r="M166" s="797">
        <v>0</v>
      </c>
      <c r="N166" s="797">
        <v>0</v>
      </c>
      <c r="O166" s="797">
        <v>0</v>
      </c>
      <c r="P166" s="797">
        <v>0</v>
      </c>
      <c r="Q166" s="797">
        <f t="shared" si="23"/>
        <v>0</v>
      </c>
      <c r="R166" s="797">
        <f t="shared" si="24"/>
        <v>0</v>
      </c>
      <c r="S166" s="804"/>
      <c r="T166" s="364">
        <v>0</v>
      </c>
      <c r="U166" s="364">
        <v>0</v>
      </c>
      <c r="V166" s="364">
        <v>0</v>
      </c>
      <c r="W166" s="364">
        <v>0</v>
      </c>
      <c r="X166" s="364">
        <v>0</v>
      </c>
      <c r="Y166" s="364">
        <v>0</v>
      </c>
      <c r="Z166" s="364">
        <v>0</v>
      </c>
      <c r="AA166" s="364">
        <f t="shared" si="25"/>
        <v>0</v>
      </c>
      <c r="AB166" s="364">
        <f t="shared" si="26"/>
        <v>0</v>
      </c>
      <c r="AC166" s="804"/>
      <c r="AD166" s="817"/>
      <c r="AE166" s="817"/>
      <c r="AF166" s="817"/>
      <c r="AG166" s="817"/>
      <c r="AH166" s="817"/>
      <c r="AI166" s="817"/>
      <c r="AJ166" s="817"/>
      <c r="AK166" s="818"/>
      <c r="AL166" s="817"/>
      <c r="AM166" s="275"/>
      <c r="AN166" s="886">
        <v>0</v>
      </c>
      <c r="AO166" s="886">
        <v>0</v>
      </c>
      <c r="AP166" s="275"/>
      <c r="AQ166" s="834"/>
      <c r="AR166" s="834"/>
      <c r="AS166" s="834"/>
      <c r="AT166" s="834"/>
      <c r="AU166" s="834"/>
      <c r="AV166" s="834"/>
      <c r="AW166" s="834"/>
      <c r="AX166" s="834"/>
      <c r="AZ166" s="835"/>
      <c r="BA166" s="835"/>
      <c r="BB166" s="835"/>
      <c r="BC166" s="835"/>
      <c r="BD166" s="835"/>
      <c r="BE166" s="835"/>
      <c r="BF166" s="835"/>
      <c r="BG166" s="835"/>
      <c r="BH166" s="814"/>
      <c r="BI166" s="834"/>
      <c r="BJ166" s="834"/>
      <c r="BK166" s="834"/>
      <c r="BL166" s="834"/>
      <c r="BM166" s="834"/>
      <c r="BN166" s="834"/>
      <c r="BO166" s="834"/>
      <c r="BP166" s="834"/>
      <c r="BQ166" s="275"/>
      <c r="BR166" s="843"/>
      <c r="BS166" s="843"/>
      <c r="BT166" s="843"/>
      <c r="BU166" s="843"/>
      <c r="BV166" s="843"/>
      <c r="BW166" s="843"/>
      <c r="BX166" s="843"/>
      <c r="BY166" s="843"/>
      <c r="BZ166" s="843"/>
      <c r="CA166" s="843"/>
      <c r="CB166" s="843"/>
      <c r="CC166" s="843"/>
      <c r="CD166" s="843"/>
      <c r="CE166" s="843"/>
      <c r="CF166" s="843"/>
      <c r="CG166" s="843"/>
      <c r="CH166" s="843"/>
      <c r="CI166" s="843"/>
      <c r="CJ166" s="844"/>
      <c r="CK166" s="364"/>
      <c r="CL166" s="364"/>
      <c r="CM166" s="364"/>
      <c r="CN166" s="364"/>
      <c r="CO166" s="364"/>
      <c r="CP166" s="364"/>
      <c r="CQ166" s="364"/>
      <c r="CR166" s="804"/>
      <c r="CS166" s="852"/>
      <c r="CT166" s="853"/>
      <c r="CU166" s="853"/>
      <c r="CV166" s="853"/>
      <c r="CW166" s="853"/>
      <c r="CX166" s="853"/>
      <c r="CY166" s="853"/>
      <c r="CZ166" s="853"/>
      <c r="DA166" s="853"/>
      <c r="DC166" s="853"/>
      <c r="DD166" s="853"/>
      <c r="DE166" s="853"/>
      <c r="DF166" s="853"/>
      <c r="DG166" s="853"/>
      <c r="DH166" s="853"/>
      <c r="DI166" s="853"/>
      <c r="DJ166" s="853"/>
      <c r="DK166" s="853"/>
      <c r="DM166" s="853"/>
      <c r="DN166" s="853"/>
      <c r="DO166" s="853"/>
      <c r="DP166" s="853"/>
      <c r="DQ166" s="853"/>
      <c r="DR166" s="853"/>
      <c r="DS166" s="805"/>
      <c r="DT166" s="805"/>
      <c r="DV166" s="806">
        <f t="shared" si="20"/>
        <v>0</v>
      </c>
      <c r="DW166" s="806">
        <f t="shared" si="21"/>
        <v>0</v>
      </c>
      <c r="DX166" s="794">
        <f t="shared" si="22"/>
        <v>0</v>
      </c>
    </row>
    <row r="167" spans="1:128" hidden="1">
      <c r="A167" s="198">
        <v>7035</v>
      </c>
      <c r="B167" s="2">
        <v>103615</v>
      </c>
      <c r="C167" s="2" t="s">
        <v>357</v>
      </c>
      <c r="D167" s="2" t="s">
        <v>358</v>
      </c>
      <c r="E167" s="190" t="s">
        <v>56</v>
      </c>
      <c r="F167" s="211" t="str">
        <f>VLOOKUP(A167,'Summary June 2026'!A:F,6,FALSE)</f>
        <v>Chq Bk</v>
      </c>
      <c r="G167" s="33"/>
      <c r="H167" s="825">
        <v>0</v>
      </c>
      <c r="I167" s="804"/>
      <c r="J167" s="797"/>
      <c r="K167" s="797"/>
      <c r="L167" s="797"/>
      <c r="M167" s="797"/>
      <c r="N167" s="797"/>
      <c r="O167" s="797"/>
      <c r="P167" s="797"/>
      <c r="Q167" s="797"/>
      <c r="R167" s="797"/>
      <c r="S167" s="804"/>
      <c r="T167" s="364"/>
      <c r="U167" s="364"/>
      <c r="V167" s="364"/>
      <c r="W167" s="364"/>
      <c r="X167" s="364"/>
      <c r="Y167" s="364"/>
      <c r="Z167" s="364"/>
      <c r="AA167" s="364"/>
      <c r="AB167" s="364"/>
      <c r="AC167" s="804"/>
      <c r="AD167" s="817"/>
      <c r="AE167" s="817"/>
      <c r="AF167" s="817"/>
      <c r="AG167" s="817"/>
      <c r="AH167" s="817"/>
      <c r="AI167" s="817"/>
      <c r="AJ167" s="817"/>
      <c r="AK167" s="818"/>
      <c r="AL167" s="817"/>
      <c r="AM167" s="275"/>
      <c r="AN167" s="886">
        <v>0</v>
      </c>
      <c r="AO167" s="886">
        <v>0</v>
      </c>
      <c r="AP167" s="275"/>
      <c r="AQ167" s="834"/>
      <c r="AR167" s="834"/>
      <c r="AS167" s="834"/>
      <c r="AT167" s="834"/>
      <c r="AU167" s="834"/>
      <c r="AV167" s="834"/>
      <c r="AW167" s="834"/>
      <c r="AX167" s="834"/>
      <c r="AZ167" s="835"/>
      <c r="BA167" s="835"/>
      <c r="BB167" s="835"/>
      <c r="BC167" s="835"/>
      <c r="BD167" s="835"/>
      <c r="BE167" s="835"/>
      <c r="BF167" s="835"/>
      <c r="BG167" s="835"/>
      <c r="BH167" s="814"/>
      <c r="BI167" s="834"/>
      <c r="BJ167" s="834"/>
      <c r="BK167" s="834"/>
      <c r="BL167" s="834"/>
      <c r="BM167" s="834"/>
      <c r="BN167" s="834"/>
      <c r="BO167" s="834"/>
      <c r="BP167" s="834"/>
      <c r="BQ167" s="275"/>
      <c r="BR167" s="843"/>
      <c r="BS167" s="843"/>
      <c r="BT167" s="843"/>
      <c r="BU167" s="843"/>
      <c r="BV167" s="843"/>
      <c r="BW167" s="843"/>
      <c r="BX167" s="843"/>
      <c r="BY167" s="843"/>
      <c r="BZ167" s="843"/>
      <c r="CA167" s="843"/>
      <c r="CB167" s="843"/>
      <c r="CC167" s="843"/>
      <c r="CD167" s="843"/>
      <c r="CE167" s="843"/>
      <c r="CF167" s="843"/>
      <c r="CG167" s="843"/>
      <c r="CH167" s="843"/>
      <c r="CI167" s="843"/>
      <c r="CJ167" s="844"/>
      <c r="CK167" s="364"/>
      <c r="CL167" s="364"/>
      <c r="CM167" s="364"/>
      <c r="CN167" s="364"/>
      <c r="CO167" s="364"/>
      <c r="CP167" s="364"/>
      <c r="CQ167" s="364"/>
      <c r="CR167" s="804"/>
      <c r="CS167" s="852"/>
      <c r="CT167" s="853"/>
      <c r="CU167" s="853"/>
      <c r="CV167" s="853"/>
      <c r="CW167" s="853"/>
      <c r="CX167" s="853"/>
      <c r="CY167" s="853"/>
      <c r="CZ167" s="853"/>
      <c r="DA167" s="853"/>
      <c r="DC167" s="853"/>
      <c r="DD167" s="853"/>
      <c r="DE167" s="853"/>
      <c r="DF167" s="853"/>
      <c r="DG167" s="853"/>
      <c r="DH167" s="853"/>
      <c r="DI167" s="853"/>
      <c r="DJ167" s="853"/>
      <c r="DK167" s="853"/>
      <c r="DM167" s="853"/>
      <c r="DN167" s="853"/>
      <c r="DO167" s="853"/>
      <c r="DP167" s="853"/>
      <c r="DQ167" s="853"/>
      <c r="DR167" s="853"/>
      <c r="DS167" s="805"/>
      <c r="DT167" s="805"/>
      <c r="DV167" s="806">
        <f t="shared" si="20"/>
        <v>0</v>
      </c>
      <c r="DW167" s="806">
        <f t="shared" si="21"/>
        <v>0</v>
      </c>
      <c r="DX167" s="794">
        <f t="shared" si="22"/>
        <v>0</v>
      </c>
    </row>
    <row r="168" spans="1:128" hidden="1">
      <c r="A168" s="198">
        <v>7045</v>
      </c>
      <c r="B168" s="2">
        <v>103622</v>
      </c>
      <c r="C168" s="2" t="s">
        <v>359</v>
      </c>
      <c r="D168" s="2" t="s">
        <v>360</v>
      </c>
      <c r="E168" s="190" t="s">
        <v>56</v>
      </c>
      <c r="F168" s="211" t="str">
        <f>VLOOKUP(A168,'Summary June 2026'!A:F,6,FALSE)</f>
        <v>Chq Bk</v>
      </c>
      <c r="G168" s="33"/>
      <c r="H168" s="825">
        <v>0</v>
      </c>
      <c r="I168" s="804"/>
      <c r="J168" s="797"/>
      <c r="K168" s="797"/>
      <c r="L168" s="797"/>
      <c r="M168" s="797"/>
      <c r="N168" s="797"/>
      <c r="O168" s="797"/>
      <c r="P168" s="797"/>
      <c r="Q168" s="797"/>
      <c r="R168" s="797"/>
      <c r="S168" s="804"/>
      <c r="T168" s="364"/>
      <c r="U168" s="364"/>
      <c r="V168" s="364"/>
      <c r="W168" s="364"/>
      <c r="X168" s="364"/>
      <c r="Y168" s="364"/>
      <c r="Z168" s="364"/>
      <c r="AA168" s="364"/>
      <c r="AB168" s="364"/>
      <c r="AC168" s="804"/>
      <c r="AD168" s="817"/>
      <c r="AE168" s="817"/>
      <c r="AF168" s="817"/>
      <c r="AG168" s="817"/>
      <c r="AH168" s="817"/>
      <c r="AI168" s="817"/>
      <c r="AJ168" s="817"/>
      <c r="AK168" s="818"/>
      <c r="AL168" s="817"/>
      <c r="AM168" s="275"/>
      <c r="AN168" s="886">
        <v>0</v>
      </c>
      <c r="AO168" s="886">
        <v>0</v>
      </c>
      <c r="AP168" s="275"/>
      <c r="AQ168" s="834"/>
      <c r="AR168" s="834"/>
      <c r="AS168" s="834"/>
      <c r="AT168" s="834"/>
      <c r="AU168" s="834"/>
      <c r="AV168" s="834"/>
      <c r="AW168" s="834"/>
      <c r="AX168" s="834"/>
      <c r="AZ168" s="835"/>
      <c r="BA168" s="835"/>
      <c r="BB168" s="835"/>
      <c r="BC168" s="835"/>
      <c r="BD168" s="835"/>
      <c r="BE168" s="835"/>
      <c r="BF168" s="835"/>
      <c r="BG168" s="835"/>
      <c r="BH168" s="814"/>
      <c r="BI168" s="834"/>
      <c r="BJ168" s="834"/>
      <c r="BK168" s="834"/>
      <c r="BL168" s="834"/>
      <c r="BM168" s="834"/>
      <c r="BN168" s="834"/>
      <c r="BO168" s="834"/>
      <c r="BP168" s="834"/>
      <c r="BQ168" s="275"/>
      <c r="BR168" s="843"/>
      <c r="BS168" s="843"/>
      <c r="BT168" s="843"/>
      <c r="BU168" s="843"/>
      <c r="BV168" s="843"/>
      <c r="BW168" s="843"/>
      <c r="BX168" s="843"/>
      <c r="BY168" s="843"/>
      <c r="BZ168" s="843"/>
      <c r="CA168" s="843"/>
      <c r="CB168" s="843"/>
      <c r="CC168" s="843"/>
      <c r="CD168" s="843"/>
      <c r="CE168" s="843"/>
      <c r="CF168" s="843"/>
      <c r="CG168" s="843"/>
      <c r="CH168" s="843"/>
      <c r="CI168" s="843"/>
      <c r="CJ168" s="844"/>
      <c r="CK168" s="364"/>
      <c r="CL168" s="364"/>
      <c r="CM168" s="364"/>
      <c r="CN168" s="364"/>
      <c r="CO168" s="364"/>
      <c r="CP168" s="364"/>
      <c r="CQ168" s="364"/>
      <c r="CR168" s="804"/>
      <c r="CS168" s="852"/>
      <c r="CT168" s="853"/>
      <c r="CU168" s="853"/>
      <c r="CV168" s="853"/>
      <c r="CW168" s="853"/>
      <c r="CX168" s="853"/>
      <c r="CY168" s="853"/>
      <c r="CZ168" s="853"/>
      <c r="DA168" s="853"/>
      <c r="DC168" s="853"/>
      <c r="DD168" s="853"/>
      <c r="DE168" s="853"/>
      <c r="DF168" s="853"/>
      <c r="DG168" s="853"/>
      <c r="DH168" s="853"/>
      <c r="DI168" s="853"/>
      <c r="DJ168" s="853"/>
      <c r="DK168" s="853"/>
      <c r="DM168" s="853"/>
      <c r="DN168" s="853"/>
      <c r="DO168" s="853"/>
      <c r="DP168" s="853"/>
      <c r="DQ168" s="853"/>
      <c r="DR168" s="853"/>
      <c r="DS168" s="805"/>
      <c r="DT168" s="805"/>
      <c r="DV168" s="806">
        <f t="shared" si="20"/>
        <v>0</v>
      </c>
      <c r="DW168" s="806">
        <f t="shared" si="21"/>
        <v>0</v>
      </c>
      <c r="DX168" s="794">
        <f t="shared" si="22"/>
        <v>0</v>
      </c>
    </row>
    <row r="169" spans="1:128" hidden="1">
      <c r="A169" s="198">
        <v>2192</v>
      </c>
      <c r="B169" s="2">
        <v>103268</v>
      </c>
      <c r="C169" s="2" t="s">
        <v>361</v>
      </c>
      <c r="D169" s="2" t="s">
        <v>362</v>
      </c>
      <c r="E169" s="190" t="s">
        <v>39</v>
      </c>
      <c r="F169" s="211" t="str">
        <f>VLOOKUP(A169,'Summary June 2026'!A:F,6,FALSE)</f>
        <v>Chq Bk</v>
      </c>
      <c r="G169" s="33"/>
      <c r="H169" s="825">
        <v>0</v>
      </c>
      <c r="I169" s="804"/>
      <c r="J169" s="797">
        <v>0</v>
      </c>
      <c r="K169" s="797">
        <v>0</v>
      </c>
      <c r="L169" s="797">
        <v>0</v>
      </c>
      <c r="M169" s="797">
        <v>0</v>
      </c>
      <c r="N169" s="797">
        <v>0</v>
      </c>
      <c r="O169" s="797">
        <v>0</v>
      </c>
      <c r="P169" s="797">
        <v>0</v>
      </c>
      <c r="Q169" s="797">
        <f>SUM(J169:P169)</f>
        <v>0</v>
      </c>
      <c r="R169" s="797">
        <f t="shared" si="24"/>
        <v>0</v>
      </c>
      <c r="S169" s="804"/>
      <c r="T169" s="364">
        <v>0</v>
      </c>
      <c r="U169" s="364">
        <v>0</v>
      </c>
      <c r="V169" s="364">
        <v>0</v>
      </c>
      <c r="W169" s="364">
        <v>0</v>
      </c>
      <c r="X169" s="364">
        <v>0</v>
      </c>
      <c r="Y169" s="364">
        <v>0</v>
      </c>
      <c r="Z169" s="364">
        <v>0</v>
      </c>
      <c r="AA169" s="364">
        <f t="shared" si="25"/>
        <v>0</v>
      </c>
      <c r="AB169" s="364">
        <f t="shared" si="26"/>
        <v>0</v>
      </c>
      <c r="AC169" s="804"/>
      <c r="AD169" s="817"/>
      <c r="AE169" s="817"/>
      <c r="AF169" s="817"/>
      <c r="AG169" s="817"/>
      <c r="AH169" s="817"/>
      <c r="AI169" s="817"/>
      <c r="AJ169" s="817"/>
      <c r="AK169" s="818"/>
      <c r="AL169" s="817"/>
      <c r="AM169" s="275"/>
      <c r="AN169" s="886">
        <v>0</v>
      </c>
      <c r="AO169" s="886">
        <v>0</v>
      </c>
      <c r="AP169" s="275"/>
      <c r="AQ169" s="834"/>
      <c r="AR169" s="834"/>
      <c r="AS169" s="834"/>
      <c r="AT169" s="834"/>
      <c r="AU169" s="834"/>
      <c r="AV169" s="834"/>
      <c r="AW169" s="834"/>
      <c r="AX169" s="834"/>
      <c r="AZ169" s="835"/>
      <c r="BA169" s="835"/>
      <c r="BB169" s="835"/>
      <c r="BC169" s="835"/>
      <c r="BD169" s="835"/>
      <c r="BE169" s="835"/>
      <c r="BF169" s="835"/>
      <c r="BG169" s="835"/>
      <c r="BH169" s="814"/>
      <c r="BI169" s="834"/>
      <c r="BJ169" s="834"/>
      <c r="BK169" s="834"/>
      <c r="BL169" s="834"/>
      <c r="BM169" s="834"/>
      <c r="BN169" s="834"/>
      <c r="BO169" s="834"/>
      <c r="BP169" s="834"/>
      <c r="BQ169" s="275"/>
      <c r="BR169" s="843"/>
      <c r="BS169" s="843"/>
      <c r="BT169" s="843"/>
      <c r="BU169" s="843"/>
      <c r="BV169" s="843"/>
      <c r="BW169" s="843"/>
      <c r="BX169" s="843"/>
      <c r="BY169" s="843"/>
      <c r="BZ169" s="843"/>
      <c r="CA169" s="843"/>
      <c r="CB169" s="843"/>
      <c r="CC169" s="843"/>
      <c r="CD169" s="843"/>
      <c r="CE169" s="843"/>
      <c r="CF169" s="843"/>
      <c r="CG169" s="843"/>
      <c r="CH169" s="843"/>
      <c r="CI169" s="843"/>
      <c r="CJ169" s="844"/>
      <c r="CK169" s="364"/>
      <c r="CL169" s="364"/>
      <c r="CM169" s="364"/>
      <c r="CN169" s="364"/>
      <c r="CO169" s="364"/>
      <c r="CP169" s="364"/>
      <c r="CQ169" s="364"/>
      <c r="CR169" s="804"/>
      <c r="CS169" s="852"/>
      <c r="CT169" s="853"/>
      <c r="CU169" s="853"/>
      <c r="CV169" s="853"/>
      <c r="CW169" s="853"/>
      <c r="CX169" s="853"/>
      <c r="CY169" s="853"/>
      <c r="CZ169" s="853"/>
      <c r="DA169" s="853"/>
      <c r="DC169" s="853"/>
      <c r="DD169" s="853"/>
      <c r="DE169" s="853"/>
      <c r="DF169" s="853"/>
      <c r="DG169" s="853"/>
      <c r="DH169" s="853"/>
      <c r="DI169" s="853"/>
      <c r="DJ169" s="853"/>
      <c r="DK169" s="853"/>
      <c r="DM169" s="853"/>
      <c r="DN169" s="853"/>
      <c r="DO169" s="853"/>
      <c r="DP169" s="853"/>
      <c r="DQ169" s="853"/>
      <c r="DR169" s="853"/>
      <c r="DS169" s="805"/>
      <c r="DT169" s="805"/>
      <c r="DV169" s="806">
        <f t="shared" si="20"/>
        <v>0</v>
      </c>
      <c r="DW169" s="806">
        <f t="shared" si="21"/>
        <v>0</v>
      </c>
      <c r="DX169" s="794">
        <f t="shared" si="22"/>
        <v>0</v>
      </c>
    </row>
    <row r="170" spans="1:128" hidden="1">
      <c r="A170" s="198">
        <v>7014</v>
      </c>
      <c r="B170" s="2">
        <v>103605</v>
      </c>
      <c r="C170" s="2" t="s">
        <v>363</v>
      </c>
      <c r="D170" s="2" t="s">
        <v>364</v>
      </c>
      <c r="E170" s="190" t="s">
        <v>56</v>
      </c>
      <c r="F170" s="211" t="str">
        <f>VLOOKUP(A170,'Summary June 2026'!A:F,6,FALSE)</f>
        <v>Chq Bk</v>
      </c>
      <c r="G170" s="33"/>
      <c r="H170" s="825">
        <v>0</v>
      </c>
      <c r="I170" s="804"/>
      <c r="J170" s="797"/>
      <c r="K170" s="797"/>
      <c r="L170" s="797"/>
      <c r="M170" s="797"/>
      <c r="N170" s="797"/>
      <c r="O170" s="797"/>
      <c r="P170" s="797"/>
      <c r="Q170" s="797"/>
      <c r="R170" s="797"/>
      <c r="S170" s="804"/>
      <c r="T170" s="364"/>
      <c r="U170" s="364"/>
      <c r="V170" s="364"/>
      <c r="W170" s="364"/>
      <c r="X170" s="364"/>
      <c r="Y170" s="364"/>
      <c r="Z170" s="364"/>
      <c r="AA170" s="364"/>
      <c r="AB170" s="364"/>
      <c r="AC170" s="804"/>
      <c r="AD170" s="817"/>
      <c r="AE170" s="817"/>
      <c r="AF170" s="817"/>
      <c r="AG170" s="817"/>
      <c r="AH170" s="817"/>
      <c r="AI170" s="817"/>
      <c r="AJ170" s="817"/>
      <c r="AK170" s="818"/>
      <c r="AL170" s="817"/>
      <c r="AM170" s="275"/>
      <c r="AN170" s="886">
        <v>0</v>
      </c>
      <c r="AO170" s="886">
        <v>0</v>
      </c>
      <c r="AP170" s="275"/>
      <c r="AQ170" s="834"/>
      <c r="AR170" s="834"/>
      <c r="AS170" s="834"/>
      <c r="AT170" s="834"/>
      <c r="AU170" s="834"/>
      <c r="AV170" s="834"/>
      <c r="AW170" s="834"/>
      <c r="AX170" s="834"/>
      <c r="AZ170" s="835"/>
      <c r="BA170" s="835"/>
      <c r="BB170" s="835"/>
      <c r="BC170" s="835"/>
      <c r="BD170" s="835"/>
      <c r="BE170" s="835"/>
      <c r="BF170" s="835"/>
      <c r="BG170" s="835"/>
      <c r="BH170" s="814"/>
      <c r="BI170" s="834"/>
      <c r="BJ170" s="834"/>
      <c r="BK170" s="834"/>
      <c r="BL170" s="834"/>
      <c r="BM170" s="834"/>
      <c r="BN170" s="834"/>
      <c r="BO170" s="834"/>
      <c r="BP170" s="834"/>
      <c r="BQ170" s="275"/>
      <c r="BR170" s="843"/>
      <c r="BS170" s="843"/>
      <c r="BT170" s="843"/>
      <c r="BU170" s="843"/>
      <c r="BV170" s="843"/>
      <c r="BW170" s="843"/>
      <c r="BX170" s="843"/>
      <c r="BY170" s="843"/>
      <c r="BZ170" s="843"/>
      <c r="CA170" s="843"/>
      <c r="CB170" s="843"/>
      <c r="CC170" s="843"/>
      <c r="CD170" s="843"/>
      <c r="CE170" s="843"/>
      <c r="CF170" s="843"/>
      <c r="CG170" s="843"/>
      <c r="CH170" s="843"/>
      <c r="CI170" s="843"/>
      <c r="CJ170" s="844"/>
      <c r="CK170" s="364"/>
      <c r="CL170" s="364"/>
      <c r="CM170" s="364"/>
      <c r="CN170" s="364"/>
      <c r="CO170" s="364"/>
      <c r="CP170" s="364"/>
      <c r="CQ170" s="364"/>
      <c r="CR170" s="804"/>
      <c r="CS170" s="852"/>
      <c r="CT170" s="853"/>
      <c r="CU170" s="853"/>
      <c r="CV170" s="853"/>
      <c r="CW170" s="853"/>
      <c r="CX170" s="853"/>
      <c r="CY170" s="853"/>
      <c r="CZ170" s="853"/>
      <c r="DA170" s="853"/>
      <c r="DC170" s="853"/>
      <c r="DD170" s="853"/>
      <c r="DE170" s="853"/>
      <c r="DF170" s="853"/>
      <c r="DG170" s="853"/>
      <c r="DH170" s="853"/>
      <c r="DI170" s="853"/>
      <c r="DJ170" s="853"/>
      <c r="DK170" s="853"/>
      <c r="DM170" s="853"/>
      <c r="DN170" s="853"/>
      <c r="DO170" s="853"/>
      <c r="DP170" s="853"/>
      <c r="DQ170" s="853"/>
      <c r="DR170" s="853"/>
      <c r="DS170" s="805"/>
      <c r="DT170" s="805"/>
      <c r="DV170" s="806">
        <f t="shared" si="20"/>
        <v>0</v>
      </c>
      <c r="DW170" s="806">
        <f t="shared" si="21"/>
        <v>0</v>
      </c>
      <c r="DX170" s="794">
        <f t="shared" si="22"/>
        <v>0</v>
      </c>
    </row>
    <row r="171" spans="1:128" hidden="1">
      <c r="A171" s="198">
        <v>7009</v>
      </c>
      <c r="B171" s="2">
        <v>103601</v>
      </c>
      <c r="C171" s="2" t="s">
        <v>365</v>
      </c>
      <c r="D171" s="2" t="s">
        <v>366</v>
      </c>
      <c r="E171" s="190" t="s">
        <v>56</v>
      </c>
      <c r="F171" s="211" t="str">
        <f>VLOOKUP(A171,'Summary June 2026'!A:F,6,FALSE)</f>
        <v>Chq Bk</v>
      </c>
      <c r="G171" s="33"/>
      <c r="H171" s="825">
        <v>0</v>
      </c>
      <c r="I171" s="804"/>
      <c r="J171" s="797"/>
      <c r="K171" s="797"/>
      <c r="L171" s="797"/>
      <c r="M171" s="797"/>
      <c r="N171" s="797"/>
      <c r="O171" s="797"/>
      <c r="P171" s="797"/>
      <c r="Q171" s="797"/>
      <c r="R171" s="797"/>
      <c r="S171" s="804"/>
      <c r="T171" s="364"/>
      <c r="U171" s="364"/>
      <c r="V171" s="364"/>
      <c r="W171" s="364"/>
      <c r="X171" s="364"/>
      <c r="Y171" s="364"/>
      <c r="Z171" s="364"/>
      <c r="AA171" s="364"/>
      <c r="AB171" s="364"/>
      <c r="AC171" s="804"/>
      <c r="AD171" s="817"/>
      <c r="AE171" s="817"/>
      <c r="AF171" s="817"/>
      <c r="AG171" s="817"/>
      <c r="AH171" s="817"/>
      <c r="AI171" s="817"/>
      <c r="AJ171" s="817"/>
      <c r="AK171" s="818"/>
      <c r="AL171" s="817"/>
      <c r="AM171" s="275"/>
      <c r="AN171" s="886">
        <v>0</v>
      </c>
      <c r="AO171" s="886">
        <v>0</v>
      </c>
      <c r="AP171" s="275"/>
      <c r="AQ171" s="834"/>
      <c r="AR171" s="834"/>
      <c r="AS171" s="834"/>
      <c r="AT171" s="834"/>
      <c r="AU171" s="834"/>
      <c r="AV171" s="834"/>
      <c r="AW171" s="834"/>
      <c r="AX171" s="834"/>
      <c r="AZ171" s="835"/>
      <c r="BA171" s="835"/>
      <c r="BB171" s="835"/>
      <c r="BC171" s="835"/>
      <c r="BD171" s="835"/>
      <c r="BE171" s="835"/>
      <c r="BF171" s="835"/>
      <c r="BG171" s="835"/>
      <c r="BH171" s="814"/>
      <c r="BI171" s="834"/>
      <c r="BJ171" s="834"/>
      <c r="BK171" s="834"/>
      <c r="BL171" s="834"/>
      <c r="BM171" s="834"/>
      <c r="BN171" s="834"/>
      <c r="BO171" s="834"/>
      <c r="BP171" s="834"/>
      <c r="BQ171" s="275"/>
      <c r="BR171" s="843"/>
      <c r="BS171" s="843"/>
      <c r="BT171" s="843"/>
      <c r="BU171" s="843"/>
      <c r="BV171" s="843"/>
      <c r="BW171" s="843"/>
      <c r="BX171" s="843"/>
      <c r="BY171" s="843"/>
      <c r="BZ171" s="843"/>
      <c r="CA171" s="843"/>
      <c r="CB171" s="843"/>
      <c r="CC171" s="843"/>
      <c r="CD171" s="843"/>
      <c r="CE171" s="843"/>
      <c r="CF171" s="843"/>
      <c r="CG171" s="843"/>
      <c r="CH171" s="843"/>
      <c r="CI171" s="843"/>
      <c r="CJ171" s="844"/>
      <c r="CK171" s="364"/>
      <c r="CL171" s="364"/>
      <c r="CM171" s="364"/>
      <c r="CN171" s="364"/>
      <c r="CO171" s="364"/>
      <c r="CP171" s="364"/>
      <c r="CQ171" s="364"/>
      <c r="CR171" s="804"/>
      <c r="CS171" s="852"/>
      <c r="CT171" s="853"/>
      <c r="CU171" s="853"/>
      <c r="CV171" s="853"/>
      <c r="CW171" s="853"/>
      <c r="CX171" s="853"/>
      <c r="CY171" s="853"/>
      <c r="CZ171" s="853"/>
      <c r="DA171" s="853"/>
      <c r="DC171" s="853"/>
      <c r="DD171" s="853"/>
      <c r="DE171" s="853"/>
      <c r="DF171" s="853"/>
      <c r="DG171" s="853"/>
      <c r="DH171" s="853"/>
      <c r="DI171" s="853"/>
      <c r="DJ171" s="853"/>
      <c r="DK171" s="853"/>
      <c r="DM171" s="853"/>
      <c r="DN171" s="853"/>
      <c r="DO171" s="853"/>
      <c r="DP171" s="853"/>
      <c r="DQ171" s="853"/>
      <c r="DR171" s="853"/>
      <c r="DS171" s="805"/>
      <c r="DT171" s="805"/>
      <c r="DV171" s="806">
        <f t="shared" si="20"/>
        <v>0</v>
      </c>
      <c r="DW171" s="806">
        <f t="shared" si="21"/>
        <v>0</v>
      </c>
      <c r="DX171" s="794">
        <f t="shared" si="22"/>
        <v>0</v>
      </c>
    </row>
    <row r="172" spans="1:128" hidden="1">
      <c r="A172" s="198">
        <v>5203</v>
      </c>
      <c r="B172" s="2">
        <v>103544</v>
      </c>
      <c r="C172" s="2" t="s">
        <v>367</v>
      </c>
      <c r="D172" s="2" t="s">
        <v>368</v>
      </c>
      <c r="E172" s="190" t="s">
        <v>39</v>
      </c>
      <c r="F172" s="211" t="str">
        <f>VLOOKUP(A172,'Summary June 2026'!A:F,6,FALSE)</f>
        <v>Chq Bk</v>
      </c>
      <c r="G172" s="33"/>
      <c r="H172" s="825">
        <v>0</v>
      </c>
      <c r="I172" s="804"/>
      <c r="J172" s="797">
        <v>0</v>
      </c>
      <c r="K172" s="797">
        <v>0</v>
      </c>
      <c r="L172" s="797">
        <v>116337</v>
      </c>
      <c r="M172" s="797">
        <v>896.99999999999989</v>
      </c>
      <c r="N172" s="797">
        <v>335.68736842105261</v>
      </c>
      <c r="O172" s="797">
        <v>62.4</v>
      </c>
      <c r="P172" s="797">
        <v>0</v>
      </c>
      <c r="Q172" s="797">
        <f t="shared" ref="Q172:Q192" si="27">SUM(J172:P172)</f>
        <v>117632.08736842105</v>
      </c>
      <c r="R172" s="797">
        <f t="shared" si="24"/>
        <v>94105.669894736842</v>
      </c>
      <c r="S172" s="804"/>
      <c r="T172" s="364">
        <v>0</v>
      </c>
      <c r="U172" s="364">
        <v>0</v>
      </c>
      <c r="V172" s="364">
        <v>117561.60000000001</v>
      </c>
      <c r="W172" s="364">
        <v>1121.25</v>
      </c>
      <c r="X172" s="364">
        <v>298.48</v>
      </c>
      <c r="Y172" s="364">
        <v>1023.75</v>
      </c>
      <c r="Z172" s="364">
        <v>0</v>
      </c>
      <c r="AA172" s="364">
        <f t="shared" si="25"/>
        <v>120005.08</v>
      </c>
      <c r="AB172" s="364">
        <f t="shared" si="26"/>
        <v>96004.064000000013</v>
      </c>
      <c r="AC172" s="804"/>
      <c r="AD172" s="817"/>
      <c r="AE172" s="817"/>
      <c r="AF172" s="817"/>
      <c r="AG172" s="817"/>
      <c r="AH172" s="817"/>
      <c r="AI172" s="817"/>
      <c r="AJ172" s="817"/>
      <c r="AK172" s="818"/>
      <c r="AL172" s="817"/>
      <c r="AM172" s="275"/>
      <c r="AN172" s="886">
        <v>14422.058199445983</v>
      </c>
      <c r="AO172" s="886">
        <v>0</v>
      </c>
      <c r="AP172" s="275"/>
      <c r="AQ172" s="834"/>
      <c r="AR172" s="834"/>
      <c r="AS172" s="834"/>
      <c r="AT172" s="834"/>
      <c r="AU172" s="834"/>
      <c r="AV172" s="834"/>
      <c r="AW172" s="834"/>
      <c r="AX172" s="834"/>
      <c r="AZ172" s="835"/>
      <c r="BA172" s="835"/>
      <c r="BB172" s="835"/>
      <c r="BC172" s="835"/>
      <c r="BD172" s="835"/>
      <c r="BE172" s="835"/>
      <c r="BF172" s="835"/>
      <c r="BG172" s="835"/>
      <c r="BH172" s="814"/>
      <c r="BI172" s="834"/>
      <c r="BJ172" s="834"/>
      <c r="BK172" s="834"/>
      <c r="BL172" s="834"/>
      <c r="BM172" s="834"/>
      <c r="BN172" s="834"/>
      <c r="BO172" s="834"/>
      <c r="BP172" s="834"/>
      <c r="BQ172" s="275"/>
      <c r="BR172" s="843"/>
      <c r="BS172" s="843"/>
      <c r="BT172" s="843"/>
      <c r="BU172" s="843"/>
      <c r="BV172" s="843"/>
      <c r="BW172" s="843"/>
      <c r="BX172" s="843"/>
      <c r="BY172" s="843"/>
      <c r="BZ172" s="843"/>
      <c r="CA172" s="843"/>
      <c r="CB172" s="843"/>
      <c r="CC172" s="843"/>
      <c r="CD172" s="843"/>
      <c r="CE172" s="843"/>
      <c r="CF172" s="843"/>
      <c r="CG172" s="843"/>
      <c r="CH172" s="843"/>
      <c r="CI172" s="843"/>
      <c r="CJ172" s="844"/>
      <c r="CK172" s="364"/>
      <c r="CL172" s="364"/>
      <c r="CM172" s="364"/>
      <c r="CN172" s="364"/>
      <c r="CO172" s="364"/>
      <c r="CP172" s="364"/>
      <c r="CQ172" s="364"/>
      <c r="CR172" s="804"/>
      <c r="CS172" s="852"/>
      <c r="CT172" s="853"/>
      <c r="CU172" s="853"/>
      <c r="CV172" s="853"/>
      <c r="CW172" s="853"/>
      <c r="CX172" s="853"/>
      <c r="CY172" s="853"/>
      <c r="CZ172" s="853"/>
      <c r="DA172" s="853"/>
      <c r="DC172" s="853"/>
      <c r="DD172" s="853"/>
      <c r="DE172" s="853"/>
      <c r="DF172" s="853"/>
      <c r="DG172" s="853"/>
      <c r="DH172" s="853"/>
      <c r="DI172" s="853"/>
      <c r="DJ172" s="853"/>
      <c r="DK172" s="853"/>
      <c r="DM172" s="853"/>
      <c r="DN172" s="853"/>
      <c r="DO172" s="853"/>
      <c r="DP172" s="853"/>
      <c r="DQ172" s="853"/>
      <c r="DR172" s="853"/>
      <c r="DS172" s="805"/>
      <c r="DT172" s="805"/>
      <c r="DV172" s="806">
        <f t="shared" si="20"/>
        <v>204531.79209418283</v>
      </c>
      <c r="DW172" s="806">
        <f t="shared" si="21"/>
        <v>0</v>
      </c>
      <c r="DX172" s="794">
        <f t="shared" si="22"/>
        <v>204531.79209418283</v>
      </c>
    </row>
    <row r="173" spans="1:128" hidden="1">
      <c r="A173" s="198">
        <v>5202</v>
      </c>
      <c r="B173" s="2">
        <v>103543</v>
      </c>
      <c r="C173" s="2" t="s">
        <v>369</v>
      </c>
      <c r="D173" s="2" t="s">
        <v>370</v>
      </c>
      <c r="E173" s="190" t="s">
        <v>39</v>
      </c>
      <c r="F173" s="211" t="str">
        <f>VLOOKUP(A173,'Summary June 2026'!A:F,6,FALSE)</f>
        <v>Chq Bk</v>
      </c>
      <c r="G173" s="33"/>
      <c r="H173" s="825">
        <v>0</v>
      </c>
      <c r="I173" s="804"/>
      <c r="J173" s="797">
        <v>0</v>
      </c>
      <c r="K173" s="797">
        <v>0</v>
      </c>
      <c r="L173" s="797">
        <v>0</v>
      </c>
      <c r="M173" s="797">
        <v>0</v>
      </c>
      <c r="N173" s="797">
        <v>0</v>
      </c>
      <c r="O173" s="797">
        <v>0</v>
      </c>
      <c r="P173" s="797">
        <v>0</v>
      </c>
      <c r="Q173" s="797">
        <f t="shared" si="27"/>
        <v>0</v>
      </c>
      <c r="R173" s="797">
        <f t="shared" si="24"/>
        <v>0</v>
      </c>
      <c r="S173" s="804"/>
      <c r="T173" s="364">
        <v>0</v>
      </c>
      <c r="U173" s="364">
        <v>0</v>
      </c>
      <c r="V173" s="364">
        <v>0</v>
      </c>
      <c r="W173" s="364">
        <v>0</v>
      </c>
      <c r="X173" s="364">
        <v>0</v>
      </c>
      <c r="Y173" s="364">
        <v>0</v>
      </c>
      <c r="Z173" s="364">
        <v>0</v>
      </c>
      <c r="AA173" s="364">
        <f t="shared" si="25"/>
        <v>0</v>
      </c>
      <c r="AB173" s="364">
        <f t="shared" si="26"/>
        <v>0</v>
      </c>
      <c r="AC173" s="804"/>
      <c r="AD173" s="817"/>
      <c r="AE173" s="817"/>
      <c r="AF173" s="817"/>
      <c r="AG173" s="817"/>
      <c r="AH173" s="817"/>
      <c r="AI173" s="817"/>
      <c r="AJ173" s="817"/>
      <c r="AK173" s="818"/>
      <c r="AL173" s="817"/>
      <c r="AM173" s="275"/>
      <c r="AN173" s="886">
        <v>0</v>
      </c>
      <c r="AO173" s="886">
        <v>0</v>
      </c>
      <c r="AP173" s="275"/>
      <c r="AQ173" s="834"/>
      <c r="AR173" s="834"/>
      <c r="AS173" s="834"/>
      <c r="AT173" s="834"/>
      <c r="AU173" s="834"/>
      <c r="AV173" s="834"/>
      <c r="AW173" s="834"/>
      <c r="AX173" s="834"/>
      <c r="AZ173" s="835"/>
      <c r="BA173" s="835"/>
      <c r="BB173" s="835"/>
      <c r="BC173" s="835"/>
      <c r="BD173" s="835"/>
      <c r="BE173" s="835"/>
      <c r="BF173" s="835"/>
      <c r="BG173" s="835"/>
      <c r="BH173" s="814"/>
      <c r="BI173" s="834"/>
      <c r="BJ173" s="834"/>
      <c r="BK173" s="834"/>
      <c r="BL173" s="834"/>
      <c r="BM173" s="834"/>
      <c r="BN173" s="834"/>
      <c r="BO173" s="834"/>
      <c r="BP173" s="834"/>
      <c r="BQ173" s="275"/>
      <c r="BR173" s="843"/>
      <c r="BS173" s="843"/>
      <c r="BT173" s="843"/>
      <c r="BU173" s="843"/>
      <c r="BV173" s="843"/>
      <c r="BW173" s="843"/>
      <c r="BX173" s="843"/>
      <c r="BY173" s="843"/>
      <c r="BZ173" s="843"/>
      <c r="CA173" s="843"/>
      <c r="CB173" s="843"/>
      <c r="CC173" s="843"/>
      <c r="CD173" s="843"/>
      <c r="CE173" s="843"/>
      <c r="CF173" s="843"/>
      <c r="CG173" s="843"/>
      <c r="CH173" s="843"/>
      <c r="CI173" s="843"/>
      <c r="CJ173" s="844"/>
      <c r="CK173" s="364"/>
      <c r="CL173" s="364"/>
      <c r="CM173" s="364"/>
      <c r="CN173" s="364"/>
      <c r="CO173" s="364"/>
      <c r="CP173" s="364"/>
      <c r="CQ173" s="364"/>
      <c r="CR173" s="804"/>
      <c r="CS173" s="852"/>
      <c r="CT173" s="853"/>
      <c r="CU173" s="853"/>
      <c r="CV173" s="853"/>
      <c r="CW173" s="853"/>
      <c r="CX173" s="853"/>
      <c r="CY173" s="853"/>
      <c r="CZ173" s="853"/>
      <c r="DA173" s="853"/>
      <c r="DC173" s="853"/>
      <c r="DD173" s="853"/>
      <c r="DE173" s="853"/>
      <c r="DF173" s="853"/>
      <c r="DG173" s="853"/>
      <c r="DH173" s="853"/>
      <c r="DI173" s="853"/>
      <c r="DJ173" s="853"/>
      <c r="DK173" s="853"/>
      <c r="DM173" s="853"/>
      <c r="DN173" s="853"/>
      <c r="DO173" s="853"/>
      <c r="DP173" s="853"/>
      <c r="DQ173" s="853"/>
      <c r="DR173" s="853"/>
      <c r="DS173" s="805"/>
      <c r="DT173" s="805"/>
      <c r="DV173" s="806">
        <f t="shared" si="20"/>
        <v>0</v>
      </c>
      <c r="DW173" s="806">
        <f t="shared" si="21"/>
        <v>0</v>
      </c>
      <c r="DX173" s="794">
        <f t="shared" si="22"/>
        <v>0</v>
      </c>
    </row>
    <row r="174" spans="1:128" hidden="1">
      <c r="A174" s="198">
        <v>2108</v>
      </c>
      <c r="B174" s="2">
        <v>103217</v>
      </c>
      <c r="C174" s="2" t="s">
        <v>371</v>
      </c>
      <c r="D174" s="2" t="s">
        <v>372</v>
      </c>
      <c r="E174" s="190" t="s">
        <v>39</v>
      </c>
      <c r="F174" s="211" t="str">
        <f>VLOOKUP(A174,'Summary June 2026'!A:F,6,FALSE)</f>
        <v>Chq Bk</v>
      </c>
      <c r="G174" s="33"/>
      <c r="H174" s="825">
        <v>0</v>
      </c>
      <c r="I174" s="804"/>
      <c r="J174" s="797">
        <v>0</v>
      </c>
      <c r="K174" s="797">
        <v>0</v>
      </c>
      <c r="L174" s="797">
        <v>55107</v>
      </c>
      <c r="M174" s="797">
        <v>224.24999999999997</v>
      </c>
      <c r="N174" s="797">
        <v>0</v>
      </c>
      <c r="O174" s="797">
        <v>1811.5499999999997</v>
      </c>
      <c r="P174" s="797">
        <v>0</v>
      </c>
      <c r="Q174" s="797">
        <f t="shared" si="27"/>
        <v>57142.8</v>
      </c>
      <c r="R174" s="797">
        <f t="shared" si="24"/>
        <v>45714.240000000005</v>
      </c>
      <c r="S174" s="804"/>
      <c r="T174" s="364">
        <v>0</v>
      </c>
      <c r="U174" s="364">
        <v>0</v>
      </c>
      <c r="V174" s="364">
        <v>50208.6</v>
      </c>
      <c r="W174" s="364">
        <v>0</v>
      </c>
      <c r="X174" s="364">
        <v>0</v>
      </c>
      <c r="Y174" s="364">
        <v>1770.6</v>
      </c>
      <c r="Z174" s="364">
        <v>0</v>
      </c>
      <c r="AA174" s="364">
        <f t="shared" si="25"/>
        <v>51979.199999999997</v>
      </c>
      <c r="AB174" s="364">
        <f t="shared" si="26"/>
        <v>41583.360000000001</v>
      </c>
      <c r="AC174" s="804"/>
      <c r="AD174" s="817"/>
      <c r="AE174" s="817"/>
      <c r="AF174" s="817"/>
      <c r="AG174" s="817"/>
      <c r="AH174" s="817"/>
      <c r="AI174" s="817"/>
      <c r="AJ174" s="817"/>
      <c r="AK174" s="818"/>
      <c r="AL174" s="817"/>
      <c r="AM174" s="275"/>
      <c r="AN174" s="886">
        <v>385.9277839335241</v>
      </c>
      <c r="AO174" s="886">
        <v>0</v>
      </c>
      <c r="AP174" s="275"/>
      <c r="AQ174" s="834"/>
      <c r="AR174" s="834"/>
      <c r="AS174" s="834"/>
      <c r="AT174" s="834"/>
      <c r="AU174" s="834"/>
      <c r="AV174" s="834"/>
      <c r="AW174" s="834"/>
      <c r="AX174" s="834"/>
      <c r="AZ174" s="835"/>
      <c r="BA174" s="835"/>
      <c r="BB174" s="835"/>
      <c r="BC174" s="835"/>
      <c r="BD174" s="835"/>
      <c r="BE174" s="835"/>
      <c r="BF174" s="835"/>
      <c r="BG174" s="835"/>
      <c r="BH174" s="814"/>
      <c r="BI174" s="834"/>
      <c r="BJ174" s="834"/>
      <c r="BK174" s="834"/>
      <c r="BL174" s="834"/>
      <c r="BM174" s="834"/>
      <c r="BN174" s="834"/>
      <c r="BO174" s="834"/>
      <c r="BP174" s="834"/>
      <c r="BQ174" s="275"/>
      <c r="BR174" s="843"/>
      <c r="BS174" s="843"/>
      <c r="BT174" s="843"/>
      <c r="BU174" s="843"/>
      <c r="BV174" s="843"/>
      <c r="BW174" s="843"/>
      <c r="BX174" s="843"/>
      <c r="BY174" s="843"/>
      <c r="BZ174" s="843"/>
      <c r="CA174" s="843"/>
      <c r="CB174" s="843"/>
      <c r="CC174" s="843"/>
      <c r="CD174" s="843"/>
      <c r="CE174" s="843"/>
      <c r="CF174" s="843"/>
      <c r="CG174" s="843"/>
      <c r="CH174" s="843"/>
      <c r="CI174" s="843"/>
      <c r="CJ174" s="844"/>
      <c r="CK174" s="364"/>
      <c r="CL174" s="364"/>
      <c r="CM174" s="364"/>
      <c r="CN174" s="364"/>
      <c r="CO174" s="364"/>
      <c r="CP174" s="364"/>
      <c r="CQ174" s="364"/>
      <c r="CR174" s="804"/>
      <c r="CS174" s="852"/>
      <c r="CT174" s="853"/>
      <c r="CU174" s="853"/>
      <c r="CV174" s="853"/>
      <c r="CW174" s="853"/>
      <c r="CX174" s="853"/>
      <c r="CY174" s="853"/>
      <c r="CZ174" s="853"/>
      <c r="DA174" s="853"/>
      <c r="DC174" s="853"/>
      <c r="DD174" s="853"/>
      <c r="DE174" s="853"/>
      <c r="DF174" s="853"/>
      <c r="DG174" s="853"/>
      <c r="DH174" s="853"/>
      <c r="DI174" s="853"/>
      <c r="DJ174" s="853"/>
      <c r="DK174" s="853"/>
      <c r="DM174" s="853"/>
      <c r="DN174" s="853"/>
      <c r="DO174" s="853"/>
      <c r="DP174" s="853"/>
      <c r="DQ174" s="853"/>
      <c r="DR174" s="853"/>
      <c r="DS174" s="805"/>
      <c r="DT174" s="805"/>
      <c r="DV174" s="806">
        <f t="shared" si="20"/>
        <v>87683.527783933532</v>
      </c>
      <c r="DW174" s="806">
        <f t="shared" si="21"/>
        <v>0</v>
      </c>
      <c r="DX174" s="794">
        <f t="shared" si="22"/>
        <v>87683.527783933532</v>
      </c>
    </row>
    <row r="175" spans="1:128" hidden="1">
      <c r="A175" s="198">
        <v>1019</v>
      </c>
      <c r="B175" s="2">
        <v>103132</v>
      </c>
      <c r="C175" s="2" t="s">
        <v>373</v>
      </c>
      <c r="D175" s="2" t="s">
        <v>374</v>
      </c>
      <c r="E175" s="190" t="s">
        <v>36</v>
      </c>
      <c r="F175" s="211" t="str">
        <f>VLOOKUP(A175,'Summary June 2026'!A:F,6,FALSE)</f>
        <v>Chq Bk</v>
      </c>
      <c r="G175" s="33"/>
      <c r="H175" s="825">
        <v>213101.56730487212</v>
      </c>
      <c r="I175" s="804"/>
      <c r="J175" s="797">
        <v>0</v>
      </c>
      <c r="K175" s="797">
        <v>39781.949999999997</v>
      </c>
      <c r="L175" s="797">
        <v>154299.6</v>
      </c>
      <c r="M175" s="797">
        <v>9642.75</v>
      </c>
      <c r="N175" s="797">
        <v>298.48</v>
      </c>
      <c r="O175" s="797">
        <v>6056.7</v>
      </c>
      <c r="P175" s="797">
        <v>975</v>
      </c>
      <c r="Q175" s="797">
        <f t="shared" si="27"/>
        <v>211054.48</v>
      </c>
      <c r="R175" s="797">
        <f t="shared" si="24"/>
        <v>168843.58400000003</v>
      </c>
      <c r="S175" s="804"/>
      <c r="T175" s="364">
        <v>0</v>
      </c>
      <c r="U175" s="364">
        <v>0</v>
      </c>
      <c r="V175" s="364">
        <v>44085.600000000006</v>
      </c>
      <c r="W175" s="364">
        <v>1121.25</v>
      </c>
      <c r="X175" s="364">
        <v>186.44736842105263</v>
      </c>
      <c r="Y175" s="364">
        <v>1191.45</v>
      </c>
      <c r="Z175" s="364">
        <v>0</v>
      </c>
      <c r="AA175" s="364">
        <f t="shared" si="25"/>
        <v>46584.747368421056</v>
      </c>
      <c r="AB175" s="364">
        <f t="shared" si="26"/>
        <v>37267.797894736847</v>
      </c>
      <c r="AC175" s="804"/>
      <c r="AD175" s="817"/>
      <c r="AE175" s="817"/>
      <c r="AF175" s="817"/>
      <c r="AG175" s="817"/>
      <c r="AH175" s="817"/>
      <c r="AI175" s="817"/>
      <c r="AJ175" s="817"/>
      <c r="AK175" s="818"/>
      <c r="AL175" s="817"/>
      <c r="AM175" s="275"/>
      <c r="AN175" s="886">
        <v>24080.836371191133</v>
      </c>
      <c r="AO175" s="886">
        <v>1726.3357340720222</v>
      </c>
      <c r="AP175" s="275"/>
      <c r="AQ175" s="834"/>
      <c r="AR175" s="834"/>
      <c r="AS175" s="834"/>
      <c r="AT175" s="834"/>
      <c r="AU175" s="834"/>
      <c r="AV175" s="834"/>
      <c r="AW175" s="834"/>
      <c r="AX175" s="834"/>
      <c r="AZ175" s="835"/>
      <c r="BA175" s="835"/>
      <c r="BB175" s="835"/>
      <c r="BC175" s="835"/>
      <c r="BD175" s="835"/>
      <c r="BE175" s="835"/>
      <c r="BF175" s="835"/>
      <c r="BG175" s="835"/>
      <c r="BH175" s="814"/>
      <c r="BI175" s="834"/>
      <c r="BJ175" s="834"/>
      <c r="BK175" s="834"/>
      <c r="BL175" s="834"/>
      <c r="BM175" s="834"/>
      <c r="BN175" s="834"/>
      <c r="BO175" s="834"/>
      <c r="BP175" s="834"/>
      <c r="BQ175" s="275"/>
      <c r="BR175" s="843"/>
      <c r="BS175" s="843"/>
      <c r="BT175" s="843"/>
      <c r="BU175" s="843"/>
      <c r="BV175" s="843"/>
      <c r="BW175" s="843"/>
      <c r="BX175" s="843"/>
      <c r="BY175" s="843"/>
      <c r="BZ175" s="843"/>
      <c r="CA175" s="843"/>
      <c r="CB175" s="843"/>
      <c r="CC175" s="843"/>
      <c r="CD175" s="843"/>
      <c r="CE175" s="843"/>
      <c r="CF175" s="843"/>
      <c r="CG175" s="843"/>
      <c r="CH175" s="843"/>
      <c r="CI175" s="843"/>
      <c r="CJ175" s="844"/>
      <c r="CK175" s="364"/>
      <c r="CL175" s="364"/>
      <c r="CM175" s="364"/>
      <c r="CN175" s="364"/>
      <c r="CO175" s="364"/>
      <c r="CP175" s="364"/>
      <c r="CQ175" s="364"/>
      <c r="CR175" s="804"/>
      <c r="CS175" s="852"/>
      <c r="CT175" s="853"/>
      <c r="CU175" s="853"/>
      <c r="CV175" s="853"/>
      <c r="CW175" s="853"/>
      <c r="CX175" s="853"/>
      <c r="CY175" s="853"/>
      <c r="CZ175" s="853"/>
      <c r="DA175" s="853"/>
      <c r="DC175" s="853"/>
      <c r="DD175" s="853"/>
      <c r="DE175" s="853"/>
      <c r="DF175" s="853"/>
      <c r="DG175" s="853"/>
      <c r="DH175" s="853"/>
      <c r="DI175" s="853"/>
      <c r="DJ175" s="853"/>
      <c r="DK175" s="853"/>
      <c r="DM175" s="853"/>
      <c r="DN175" s="853"/>
      <c r="DO175" s="853"/>
      <c r="DP175" s="853"/>
      <c r="DQ175" s="853"/>
      <c r="DR175" s="853"/>
      <c r="DS175" s="805"/>
      <c r="DT175" s="805"/>
      <c r="DV175" s="806">
        <f t="shared" si="20"/>
        <v>442513.78557080013</v>
      </c>
      <c r="DW175" s="806">
        <f t="shared" si="21"/>
        <v>2506.3357340720222</v>
      </c>
      <c r="DX175" s="794">
        <f t="shared" si="22"/>
        <v>445020.12130487215</v>
      </c>
    </row>
    <row r="176" spans="1:128" hidden="1">
      <c r="A176" s="198">
        <v>2306</v>
      </c>
      <c r="B176" s="2">
        <v>103326</v>
      </c>
      <c r="C176" s="2" t="s">
        <v>375</v>
      </c>
      <c r="D176" s="2" t="s">
        <v>376</v>
      </c>
      <c r="E176" s="190" t="s">
        <v>39</v>
      </c>
      <c r="F176" s="211" t="str">
        <f>VLOOKUP(A176,'Summary June 2026'!A:F,6,FALSE)</f>
        <v>Chq Bk</v>
      </c>
      <c r="G176" s="33"/>
      <c r="H176" s="825">
        <v>0</v>
      </c>
      <c r="I176" s="804"/>
      <c r="J176" s="797">
        <v>0</v>
      </c>
      <c r="K176" s="797">
        <v>0</v>
      </c>
      <c r="L176" s="797">
        <v>0</v>
      </c>
      <c r="M176" s="797">
        <v>0</v>
      </c>
      <c r="N176" s="797">
        <v>0</v>
      </c>
      <c r="O176" s="797">
        <v>0</v>
      </c>
      <c r="P176" s="797">
        <v>0</v>
      </c>
      <c r="Q176" s="797">
        <f t="shared" si="27"/>
        <v>0</v>
      </c>
      <c r="R176" s="797">
        <f t="shared" si="24"/>
        <v>0</v>
      </c>
      <c r="S176" s="804"/>
      <c r="T176" s="364">
        <v>0</v>
      </c>
      <c r="U176" s="364">
        <v>0</v>
      </c>
      <c r="V176" s="364">
        <v>0</v>
      </c>
      <c r="W176" s="364">
        <v>0</v>
      </c>
      <c r="X176" s="364">
        <v>0</v>
      </c>
      <c r="Y176" s="364">
        <v>0</v>
      </c>
      <c r="Z176" s="364">
        <v>0</v>
      </c>
      <c r="AA176" s="364">
        <f t="shared" si="25"/>
        <v>0</v>
      </c>
      <c r="AB176" s="364">
        <f t="shared" si="26"/>
        <v>0</v>
      </c>
      <c r="AC176" s="804"/>
      <c r="AD176" s="817"/>
      <c r="AE176" s="817"/>
      <c r="AF176" s="817"/>
      <c r="AG176" s="817"/>
      <c r="AH176" s="817"/>
      <c r="AI176" s="817"/>
      <c r="AJ176" s="817"/>
      <c r="AK176" s="818"/>
      <c r="AL176" s="817"/>
      <c r="AM176" s="275"/>
      <c r="AN176" s="886">
        <v>0</v>
      </c>
      <c r="AO176" s="886">
        <v>0</v>
      </c>
      <c r="AP176" s="275"/>
      <c r="AQ176" s="834"/>
      <c r="AR176" s="834"/>
      <c r="AS176" s="834"/>
      <c r="AT176" s="834"/>
      <c r="AU176" s="834"/>
      <c r="AV176" s="834"/>
      <c r="AW176" s="834"/>
      <c r="AX176" s="834"/>
      <c r="AZ176" s="835"/>
      <c r="BA176" s="835"/>
      <c r="BB176" s="835"/>
      <c r="BC176" s="835"/>
      <c r="BD176" s="835"/>
      <c r="BE176" s="835"/>
      <c r="BF176" s="835"/>
      <c r="BG176" s="835"/>
      <c r="BH176" s="814"/>
      <c r="BI176" s="834"/>
      <c r="BJ176" s="834"/>
      <c r="BK176" s="834"/>
      <c r="BL176" s="834"/>
      <c r="BM176" s="834"/>
      <c r="BN176" s="834"/>
      <c r="BO176" s="834"/>
      <c r="BP176" s="834"/>
      <c r="BQ176" s="275"/>
      <c r="BR176" s="843"/>
      <c r="BS176" s="843"/>
      <c r="BT176" s="843"/>
      <c r="BU176" s="843"/>
      <c r="BV176" s="843"/>
      <c r="BW176" s="843"/>
      <c r="BX176" s="843"/>
      <c r="BY176" s="843"/>
      <c r="BZ176" s="843"/>
      <c r="CA176" s="843"/>
      <c r="CB176" s="843"/>
      <c r="CC176" s="843"/>
      <c r="CD176" s="843"/>
      <c r="CE176" s="843"/>
      <c r="CF176" s="843"/>
      <c r="CG176" s="843"/>
      <c r="CH176" s="843"/>
      <c r="CI176" s="843"/>
      <c r="CJ176" s="844"/>
      <c r="CK176" s="364"/>
      <c r="CL176" s="364"/>
      <c r="CM176" s="364"/>
      <c r="CN176" s="364"/>
      <c r="CO176" s="364"/>
      <c r="CP176" s="364"/>
      <c r="CQ176" s="364"/>
      <c r="CR176" s="804"/>
      <c r="CS176" s="852"/>
      <c r="CT176" s="853"/>
      <c r="CU176" s="853"/>
      <c r="CV176" s="853"/>
      <c r="CW176" s="853"/>
      <c r="CX176" s="853"/>
      <c r="CY176" s="853"/>
      <c r="CZ176" s="853"/>
      <c r="DA176" s="853"/>
      <c r="DC176" s="853"/>
      <c r="DD176" s="853"/>
      <c r="DE176" s="853"/>
      <c r="DF176" s="853"/>
      <c r="DG176" s="853"/>
      <c r="DH176" s="853"/>
      <c r="DI176" s="853"/>
      <c r="DJ176" s="853"/>
      <c r="DK176" s="853"/>
      <c r="DM176" s="853"/>
      <c r="DN176" s="853"/>
      <c r="DO176" s="853"/>
      <c r="DP176" s="853"/>
      <c r="DQ176" s="853"/>
      <c r="DR176" s="853"/>
      <c r="DS176" s="805"/>
      <c r="DT176" s="805"/>
      <c r="DV176" s="806">
        <f t="shared" si="20"/>
        <v>0</v>
      </c>
      <c r="DW176" s="806">
        <f t="shared" si="21"/>
        <v>0</v>
      </c>
      <c r="DX176" s="794">
        <f t="shared" si="22"/>
        <v>0</v>
      </c>
    </row>
    <row r="177" spans="1:128" hidden="1">
      <c r="A177" s="198">
        <v>2308</v>
      </c>
      <c r="B177" s="2">
        <v>103328</v>
      </c>
      <c r="C177" s="2" t="s">
        <v>377</v>
      </c>
      <c r="D177" s="2" t="s">
        <v>378</v>
      </c>
      <c r="E177" s="190" t="s">
        <v>39</v>
      </c>
      <c r="F177" s="211" t="str">
        <f>VLOOKUP(A177,'Summary June 2026'!A:F,6,FALSE)</f>
        <v>Chq Bk</v>
      </c>
      <c r="G177" s="33"/>
      <c r="H177" s="825">
        <v>0</v>
      </c>
      <c r="I177" s="804"/>
      <c r="J177" s="797">
        <v>0</v>
      </c>
      <c r="K177" s="797">
        <v>0</v>
      </c>
      <c r="L177" s="797">
        <v>53882.400000000001</v>
      </c>
      <c r="M177" s="797">
        <v>2466.75</v>
      </c>
      <c r="N177" s="797">
        <v>0</v>
      </c>
      <c r="O177" s="797">
        <v>2113.8000000000002</v>
      </c>
      <c r="P177" s="797">
        <v>0</v>
      </c>
      <c r="Q177" s="797">
        <f t="shared" si="27"/>
        <v>58462.950000000004</v>
      </c>
      <c r="R177" s="797">
        <f t="shared" si="24"/>
        <v>46770.360000000008</v>
      </c>
      <c r="S177" s="804"/>
      <c r="T177" s="364">
        <v>0</v>
      </c>
      <c r="U177" s="364">
        <v>0</v>
      </c>
      <c r="V177" s="364">
        <v>37962.6</v>
      </c>
      <c r="W177" s="364">
        <v>2018.2499999999998</v>
      </c>
      <c r="X177" s="364">
        <v>372.89473684210526</v>
      </c>
      <c r="Y177" s="364">
        <v>1476.15</v>
      </c>
      <c r="Z177" s="364">
        <v>0</v>
      </c>
      <c r="AA177" s="364">
        <f t="shared" si="25"/>
        <v>41829.894736842107</v>
      </c>
      <c r="AB177" s="364">
        <f t="shared" si="26"/>
        <v>33463.915789473685</v>
      </c>
      <c r="AC177" s="804"/>
      <c r="AD177" s="817"/>
      <c r="AE177" s="817"/>
      <c r="AF177" s="817"/>
      <c r="AG177" s="817"/>
      <c r="AH177" s="817"/>
      <c r="AI177" s="817"/>
      <c r="AJ177" s="817"/>
      <c r="AK177" s="818"/>
      <c r="AL177" s="817"/>
      <c r="AM177" s="275"/>
      <c r="AN177" s="886">
        <v>8066.4248199445938</v>
      </c>
      <c r="AO177" s="886">
        <v>0</v>
      </c>
      <c r="AP177" s="275"/>
      <c r="AQ177" s="834"/>
      <c r="AR177" s="834"/>
      <c r="AS177" s="834"/>
      <c r="AT177" s="834"/>
      <c r="AU177" s="834"/>
      <c r="AV177" s="834"/>
      <c r="AW177" s="834"/>
      <c r="AX177" s="834"/>
      <c r="AZ177" s="835"/>
      <c r="BA177" s="835"/>
      <c r="BB177" s="835"/>
      <c r="BC177" s="835"/>
      <c r="BD177" s="835"/>
      <c r="BE177" s="835"/>
      <c r="BF177" s="835"/>
      <c r="BG177" s="835"/>
      <c r="BH177" s="814"/>
      <c r="BI177" s="834"/>
      <c r="BJ177" s="834"/>
      <c r="BK177" s="834"/>
      <c r="BL177" s="834"/>
      <c r="BM177" s="834"/>
      <c r="BN177" s="834"/>
      <c r="BO177" s="834"/>
      <c r="BP177" s="834"/>
      <c r="BQ177" s="275"/>
      <c r="BR177" s="843"/>
      <c r="BS177" s="843"/>
      <c r="BT177" s="843"/>
      <c r="BU177" s="843"/>
      <c r="BV177" s="843"/>
      <c r="BW177" s="843"/>
      <c r="BX177" s="843"/>
      <c r="BY177" s="843"/>
      <c r="BZ177" s="843"/>
      <c r="CA177" s="843"/>
      <c r="CB177" s="843"/>
      <c r="CC177" s="843"/>
      <c r="CD177" s="843"/>
      <c r="CE177" s="843"/>
      <c r="CF177" s="843"/>
      <c r="CG177" s="843"/>
      <c r="CH177" s="843"/>
      <c r="CI177" s="843"/>
      <c r="CJ177" s="844"/>
      <c r="CK177" s="364"/>
      <c r="CL177" s="364"/>
      <c r="CM177" s="364"/>
      <c r="CN177" s="364"/>
      <c r="CO177" s="364"/>
      <c r="CP177" s="364"/>
      <c r="CQ177" s="364"/>
      <c r="CR177" s="804"/>
      <c r="CS177" s="852"/>
      <c r="CT177" s="853"/>
      <c r="CU177" s="853"/>
      <c r="CV177" s="853"/>
      <c r="CW177" s="853"/>
      <c r="CX177" s="853"/>
      <c r="CY177" s="853"/>
      <c r="CZ177" s="853"/>
      <c r="DA177" s="853"/>
      <c r="DC177" s="853"/>
      <c r="DD177" s="853"/>
      <c r="DE177" s="853"/>
      <c r="DF177" s="853"/>
      <c r="DG177" s="853"/>
      <c r="DH177" s="853"/>
      <c r="DI177" s="853"/>
      <c r="DJ177" s="853"/>
      <c r="DK177" s="853"/>
      <c r="DM177" s="853"/>
      <c r="DN177" s="853"/>
      <c r="DO177" s="853"/>
      <c r="DP177" s="853"/>
      <c r="DQ177" s="853"/>
      <c r="DR177" s="853"/>
      <c r="DS177" s="805"/>
      <c r="DT177" s="805"/>
      <c r="DV177" s="806">
        <f t="shared" si="20"/>
        <v>88300.700609418273</v>
      </c>
      <c r="DW177" s="806">
        <f t="shared" si="21"/>
        <v>0</v>
      </c>
      <c r="DX177" s="794">
        <f t="shared" si="22"/>
        <v>88300.700609418273</v>
      </c>
    </row>
    <row r="178" spans="1:128" hidden="1">
      <c r="A178" s="198">
        <v>2245</v>
      </c>
      <c r="B178" s="2">
        <v>103295</v>
      </c>
      <c r="C178" s="2" t="s">
        <v>379</v>
      </c>
      <c r="D178" s="2" t="s">
        <v>380</v>
      </c>
      <c r="E178" s="190" t="s">
        <v>39</v>
      </c>
      <c r="F178" s="211" t="str">
        <f>VLOOKUP(A178,'Summary June 2026'!A:F,6,FALSE)</f>
        <v>Chq Bk</v>
      </c>
      <c r="G178" s="33"/>
      <c r="H178" s="825">
        <v>0</v>
      </c>
      <c r="I178" s="804"/>
      <c r="J178" s="797">
        <v>0</v>
      </c>
      <c r="K178" s="797">
        <v>0</v>
      </c>
      <c r="L178" s="797">
        <v>26941.200000000001</v>
      </c>
      <c r="M178" s="797">
        <v>4260.75</v>
      </c>
      <c r="N178" s="797">
        <v>1417.78</v>
      </c>
      <c r="O178" s="797">
        <v>2316.6</v>
      </c>
      <c r="P178" s="797">
        <v>0</v>
      </c>
      <c r="Q178" s="797">
        <f t="shared" si="27"/>
        <v>34936.33</v>
      </c>
      <c r="R178" s="797">
        <f t="shared" si="24"/>
        <v>27949.064000000002</v>
      </c>
      <c r="S178" s="804"/>
      <c r="T178" s="364">
        <v>0</v>
      </c>
      <c r="U178" s="364">
        <v>0</v>
      </c>
      <c r="V178" s="364">
        <v>26941.200000000001</v>
      </c>
      <c r="W178" s="364">
        <v>3139.4999999999995</v>
      </c>
      <c r="X178" s="364">
        <v>1044.68</v>
      </c>
      <c r="Y178" s="364">
        <v>2213.25</v>
      </c>
      <c r="Z178" s="364">
        <v>0</v>
      </c>
      <c r="AA178" s="364">
        <f t="shared" si="25"/>
        <v>33338.630000000005</v>
      </c>
      <c r="AB178" s="364">
        <f t="shared" si="26"/>
        <v>26670.904000000006</v>
      </c>
      <c r="AC178" s="804"/>
      <c r="AD178" s="817"/>
      <c r="AE178" s="817"/>
      <c r="AF178" s="817"/>
      <c r="AG178" s="817"/>
      <c r="AH178" s="817"/>
      <c r="AI178" s="817"/>
      <c r="AJ178" s="817"/>
      <c r="AK178" s="818"/>
      <c r="AL178" s="817"/>
      <c r="AM178" s="275"/>
      <c r="AN178" s="886">
        <v>3205.7423268698076</v>
      </c>
      <c r="AO178" s="886">
        <v>0</v>
      </c>
      <c r="AP178" s="275"/>
      <c r="AQ178" s="834"/>
      <c r="AR178" s="834"/>
      <c r="AS178" s="834"/>
      <c r="AT178" s="834"/>
      <c r="AU178" s="834"/>
      <c r="AV178" s="834"/>
      <c r="AW178" s="834"/>
      <c r="AX178" s="834"/>
      <c r="AZ178" s="835"/>
      <c r="BA178" s="835"/>
      <c r="BB178" s="835"/>
      <c r="BC178" s="835"/>
      <c r="BD178" s="835"/>
      <c r="BE178" s="835"/>
      <c r="BF178" s="835"/>
      <c r="BG178" s="835"/>
      <c r="BH178" s="814"/>
      <c r="BI178" s="834"/>
      <c r="BJ178" s="834"/>
      <c r="BK178" s="834"/>
      <c r="BL178" s="834"/>
      <c r="BM178" s="834"/>
      <c r="BN178" s="834"/>
      <c r="BO178" s="834"/>
      <c r="BP178" s="834"/>
      <c r="BQ178" s="275"/>
      <c r="BR178" s="843"/>
      <c r="BS178" s="843"/>
      <c r="BT178" s="843"/>
      <c r="BU178" s="843"/>
      <c r="BV178" s="843"/>
      <c r="BW178" s="843"/>
      <c r="BX178" s="843"/>
      <c r="BY178" s="843"/>
      <c r="BZ178" s="843"/>
      <c r="CA178" s="843"/>
      <c r="CB178" s="843"/>
      <c r="CC178" s="843"/>
      <c r="CD178" s="843"/>
      <c r="CE178" s="843"/>
      <c r="CF178" s="843"/>
      <c r="CG178" s="843"/>
      <c r="CH178" s="843"/>
      <c r="CI178" s="843"/>
      <c r="CJ178" s="844"/>
      <c r="CK178" s="364"/>
      <c r="CL178" s="364"/>
      <c r="CM178" s="364"/>
      <c r="CN178" s="364"/>
      <c r="CO178" s="364"/>
      <c r="CP178" s="364"/>
      <c r="CQ178" s="364"/>
      <c r="CR178" s="804"/>
      <c r="CS178" s="852"/>
      <c r="CT178" s="853"/>
      <c r="CU178" s="853"/>
      <c r="CV178" s="853"/>
      <c r="CW178" s="853"/>
      <c r="CX178" s="853"/>
      <c r="CY178" s="853"/>
      <c r="CZ178" s="853"/>
      <c r="DA178" s="853"/>
      <c r="DC178" s="853"/>
      <c r="DD178" s="853"/>
      <c r="DE178" s="853"/>
      <c r="DF178" s="853"/>
      <c r="DG178" s="853"/>
      <c r="DH178" s="853"/>
      <c r="DI178" s="853"/>
      <c r="DJ178" s="853"/>
      <c r="DK178" s="853"/>
      <c r="DM178" s="853"/>
      <c r="DN178" s="853"/>
      <c r="DO178" s="853"/>
      <c r="DP178" s="853"/>
      <c r="DQ178" s="853"/>
      <c r="DR178" s="853"/>
      <c r="DS178" s="805"/>
      <c r="DT178" s="805"/>
      <c r="DV178" s="806">
        <f t="shared" si="20"/>
        <v>57825.710326869797</v>
      </c>
      <c r="DW178" s="806">
        <f t="shared" si="21"/>
        <v>0</v>
      </c>
      <c r="DX178" s="794">
        <f t="shared" si="22"/>
        <v>57825.710326869797</v>
      </c>
    </row>
    <row r="179" spans="1:128" hidden="1">
      <c r="A179" s="198">
        <v>1020</v>
      </c>
      <c r="B179" s="2">
        <v>103133</v>
      </c>
      <c r="C179" s="2" t="s">
        <v>381</v>
      </c>
      <c r="D179" s="2" t="s">
        <v>382</v>
      </c>
      <c r="E179" s="190" t="s">
        <v>36</v>
      </c>
      <c r="F179" s="211" t="str">
        <f>VLOOKUP(A179,'Summary June 2026'!A:F,6,FALSE)</f>
        <v>Chq Bk</v>
      </c>
      <c r="G179" s="33"/>
      <c r="H179" s="825">
        <v>362223.88613228098</v>
      </c>
      <c r="I179" s="804"/>
      <c r="J179" s="797">
        <v>4793.0999999999995</v>
      </c>
      <c r="K179" s="797">
        <v>122805.15</v>
      </c>
      <c r="L179" s="797">
        <v>225326.40000000002</v>
      </c>
      <c r="M179" s="797">
        <v>26685.749999999996</v>
      </c>
      <c r="N179" s="797">
        <v>9513.3315789473672</v>
      </c>
      <c r="O179" s="797">
        <v>14704.949999999999</v>
      </c>
      <c r="P179" s="797">
        <v>10725</v>
      </c>
      <c r="Q179" s="797">
        <f t="shared" si="27"/>
        <v>414553.68157894741</v>
      </c>
      <c r="R179" s="797">
        <f t="shared" si="24"/>
        <v>331642.94526315795</v>
      </c>
      <c r="S179" s="804"/>
      <c r="T179" s="364">
        <v>4793.0999999999995</v>
      </c>
      <c r="U179" s="364">
        <v>147818.54999999999</v>
      </c>
      <c r="V179" s="364">
        <v>115112.40000000001</v>
      </c>
      <c r="W179" s="364">
        <v>19285.5</v>
      </c>
      <c r="X179" s="364">
        <v>7125.4915789473689</v>
      </c>
      <c r="Y179" s="364">
        <v>10933.65</v>
      </c>
      <c r="Z179" s="364">
        <v>0</v>
      </c>
      <c r="AA179" s="364">
        <f t="shared" si="25"/>
        <v>305068.69157894736</v>
      </c>
      <c r="AB179" s="364">
        <f t="shared" si="26"/>
        <v>244054.95326315789</v>
      </c>
      <c r="AC179" s="804"/>
      <c r="AD179" s="817"/>
      <c r="AE179" s="817"/>
      <c r="AF179" s="817"/>
      <c r="AG179" s="817"/>
      <c r="AH179" s="817"/>
      <c r="AI179" s="817"/>
      <c r="AJ179" s="817"/>
      <c r="AK179" s="818"/>
      <c r="AL179" s="817"/>
      <c r="AM179" s="275"/>
      <c r="AN179" s="886">
        <v>45157.285013850407</v>
      </c>
      <c r="AO179" s="886">
        <v>6571.1966759002771</v>
      </c>
      <c r="AP179" s="275"/>
      <c r="AQ179" s="834"/>
      <c r="AR179" s="834"/>
      <c r="AS179" s="834"/>
      <c r="AT179" s="834"/>
      <c r="AU179" s="834"/>
      <c r="AV179" s="834"/>
      <c r="AW179" s="834"/>
      <c r="AX179" s="834"/>
      <c r="AZ179" s="835"/>
      <c r="BA179" s="835"/>
      <c r="BB179" s="835"/>
      <c r="BC179" s="835"/>
      <c r="BD179" s="835"/>
      <c r="BE179" s="835"/>
      <c r="BF179" s="835"/>
      <c r="BG179" s="835"/>
      <c r="BH179" s="814"/>
      <c r="BI179" s="834"/>
      <c r="BJ179" s="834"/>
      <c r="BK179" s="834"/>
      <c r="BL179" s="834"/>
      <c r="BM179" s="834"/>
      <c r="BN179" s="834"/>
      <c r="BO179" s="834"/>
      <c r="BP179" s="834"/>
      <c r="BQ179" s="275"/>
      <c r="BR179" s="843"/>
      <c r="BS179" s="843"/>
      <c r="BT179" s="843"/>
      <c r="BU179" s="843"/>
      <c r="BV179" s="843"/>
      <c r="BW179" s="843"/>
      <c r="BX179" s="843"/>
      <c r="BY179" s="843"/>
      <c r="BZ179" s="843"/>
      <c r="CA179" s="843"/>
      <c r="CB179" s="843"/>
      <c r="CC179" s="843"/>
      <c r="CD179" s="843"/>
      <c r="CE179" s="843"/>
      <c r="CF179" s="843"/>
      <c r="CG179" s="843"/>
      <c r="CH179" s="843"/>
      <c r="CI179" s="843"/>
      <c r="CJ179" s="844"/>
      <c r="CK179" s="364"/>
      <c r="CL179" s="364"/>
      <c r="CM179" s="364"/>
      <c r="CN179" s="364"/>
      <c r="CO179" s="364"/>
      <c r="CP179" s="364"/>
      <c r="CQ179" s="364"/>
      <c r="CR179" s="804"/>
      <c r="CS179" s="852"/>
      <c r="CT179" s="853"/>
      <c r="CU179" s="853"/>
      <c r="CV179" s="853"/>
      <c r="CW179" s="853"/>
      <c r="CX179" s="853"/>
      <c r="CY179" s="853"/>
      <c r="CZ179" s="853"/>
      <c r="DA179" s="853"/>
      <c r="DC179" s="853"/>
      <c r="DD179" s="853"/>
      <c r="DE179" s="853"/>
      <c r="DF179" s="853"/>
      <c r="DG179" s="853"/>
      <c r="DH179" s="853"/>
      <c r="DI179" s="853"/>
      <c r="DJ179" s="853"/>
      <c r="DK179" s="853"/>
      <c r="DM179" s="853"/>
      <c r="DN179" s="853"/>
      <c r="DO179" s="853"/>
      <c r="DP179" s="853"/>
      <c r="DQ179" s="853"/>
      <c r="DR179" s="853"/>
      <c r="DS179" s="805"/>
      <c r="DT179" s="805"/>
      <c r="DV179" s="806">
        <f t="shared" si="20"/>
        <v>974499.06967244728</v>
      </c>
      <c r="DW179" s="806">
        <f t="shared" si="21"/>
        <v>15151.196675900277</v>
      </c>
      <c r="DX179" s="794">
        <f t="shared" si="22"/>
        <v>989650.26634834753</v>
      </c>
    </row>
    <row r="180" spans="1:128" hidden="1">
      <c r="A180" s="198">
        <v>1014</v>
      </c>
      <c r="B180" s="2">
        <v>103127</v>
      </c>
      <c r="C180" s="2" t="s">
        <v>383</v>
      </c>
      <c r="D180" s="2" t="s">
        <v>384</v>
      </c>
      <c r="E180" s="190" t="s">
        <v>36</v>
      </c>
      <c r="F180" s="211" t="str">
        <f>VLOOKUP(A180,'Summary June 2026'!A:F,6,FALSE)</f>
        <v>Chq Bk</v>
      </c>
      <c r="G180" s="33"/>
      <c r="H180" s="825">
        <v>242714.53692543146</v>
      </c>
      <c r="I180" s="804"/>
      <c r="J180" s="797">
        <v>0</v>
      </c>
      <c r="K180" s="797">
        <v>38052.299999999996</v>
      </c>
      <c r="L180" s="797">
        <v>149401.20000000001</v>
      </c>
      <c r="M180" s="797">
        <v>15248.999999999998</v>
      </c>
      <c r="N180" s="797">
        <v>2611.2894736842104</v>
      </c>
      <c r="O180" s="797">
        <v>7330.05</v>
      </c>
      <c r="P180" s="797">
        <v>5850</v>
      </c>
      <c r="Q180" s="797">
        <f t="shared" si="27"/>
        <v>218493.8394736842</v>
      </c>
      <c r="R180" s="797">
        <f t="shared" si="24"/>
        <v>174795.07157894736</v>
      </c>
      <c r="S180" s="804"/>
      <c r="T180" s="364">
        <v>0</v>
      </c>
      <c r="U180" s="364">
        <v>52421.7</v>
      </c>
      <c r="V180" s="364">
        <v>109743</v>
      </c>
      <c r="W180" s="364">
        <v>12035.249999999998</v>
      </c>
      <c r="X180" s="364">
        <v>4140.4863157894742</v>
      </c>
      <c r="Y180" s="364">
        <v>6286.8</v>
      </c>
      <c r="Z180" s="364">
        <v>1950</v>
      </c>
      <c r="AA180" s="364">
        <f t="shared" si="25"/>
        <v>186577.23631578949</v>
      </c>
      <c r="AB180" s="364">
        <f t="shared" si="26"/>
        <v>149261.78905263159</v>
      </c>
      <c r="AC180" s="804"/>
      <c r="AD180" s="817"/>
      <c r="AE180" s="817"/>
      <c r="AF180" s="817"/>
      <c r="AG180" s="817"/>
      <c r="AH180" s="817"/>
      <c r="AI180" s="817"/>
      <c r="AJ180" s="817"/>
      <c r="AK180" s="818"/>
      <c r="AL180" s="817"/>
      <c r="AM180" s="275"/>
      <c r="AN180" s="886">
        <v>35433.201108033245</v>
      </c>
      <c r="AO180" s="886">
        <v>1691.5180055401663</v>
      </c>
      <c r="AP180" s="275"/>
      <c r="AQ180" s="834"/>
      <c r="AR180" s="834"/>
      <c r="AS180" s="834"/>
      <c r="AT180" s="834"/>
      <c r="AU180" s="834"/>
      <c r="AV180" s="834"/>
      <c r="AW180" s="834"/>
      <c r="AX180" s="834"/>
      <c r="AZ180" s="835"/>
      <c r="BA180" s="835"/>
      <c r="BB180" s="835"/>
      <c r="BC180" s="835"/>
      <c r="BD180" s="835"/>
      <c r="BE180" s="835"/>
      <c r="BF180" s="835"/>
      <c r="BG180" s="835"/>
      <c r="BH180" s="814"/>
      <c r="BI180" s="834"/>
      <c r="BJ180" s="834"/>
      <c r="BK180" s="834"/>
      <c r="BL180" s="834"/>
      <c r="BM180" s="834"/>
      <c r="BN180" s="834"/>
      <c r="BO180" s="834"/>
      <c r="BP180" s="834"/>
      <c r="BQ180" s="275"/>
      <c r="BR180" s="843"/>
      <c r="BS180" s="843"/>
      <c r="BT180" s="843"/>
      <c r="BU180" s="843"/>
      <c r="BV180" s="843"/>
      <c r="BW180" s="843"/>
      <c r="BX180" s="843"/>
      <c r="BY180" s="843"/>
      <c r="BZ180" s="843"/>
      <c r="CA180" s="843"/>
      <c r="CB180" s="843"/>
      <c r="CC180" s="843"/>
      <c r="CD180" s="843"/>
      <c r="CE180" s="843"/>
      <c r="CF180" s="843"/>
      <c r="CG180" s="843"/>
      <c r="CH180" s="843"/>
      <c r="CI180" s="843"/>
      <c r="CJ180" s="844"/>
      <c r="CK180" s="364"/>
      <c r="CL180" s="364"/>
      <c r="CM180" s="364"/>
      <c r="CN180" s="364"/>
      <c r="CO180" s="364"/>
      <c r="CP180" s="364"/>
      <c r="CQ180" s="364"/>
      <c r="CR180" s="804"/>
      <c r="CS180" s="852"/>
      <c r="CT180" s="853"/>
      <c r="CU180" s="853"/>
      <c r="CV180" s="853"/>
      <c r="CW180" s="853"/>
      <c r="CX180" s="853"/>
      <c r="CY180" s="853"/>
      <c r="CZ180" s="853"/>
      <c r="DA180" s="853"/>
      <c r="DC180" s="853"/>
      <c r="DD180" s="853"/>
      <c r="DE180" s="853"/>
      <c r="DF180" s="853"/>
      <c r="DG180" s="853"/>
      <c r="DH180" s="853"/>
      <c r="DI180" s="853"/>
      <c r="DJ180" s="853"/>
      <c r="DK180" s="853"/>
      <c r="DM180" s="853"/>
      <c r="DN180" s="853"/>
      <c r="DO180" s="853"/>
      <c r="DP180" s="853"/>
      <c r="DQ180" s="853"/>
      <c r="DR180" s="853"/>
      <c r="DS180" s="805"/>
      <c r="DT180" s="805"/>
      <c r="DV180" s="806">
        <f t="shared" si="20"/>
        <v>595964.59866504371</v>
      </c>
      <c r="DW180" s="806">
        <f t="shared" si="21"/>
        <v>7931.5180055401661</v>
      </c>
      <c r="DX180" s="794">
        <f t="shared" si="22"/>
        <v>603896.11667058384</v>
      </c>
    </row>
    <row r="181" spans="1:128" hidden="1">
      <c r="A181" s="198">
        <v>2019</v>
      </c>
      <c r="B181" s="2">
        <v>134279</v>
      </c>
      <c r="C181" s="2" t="s">
        <v>385</v>
      </c>
      <c r="D181" s="2" t="s">
        <v>386</v>
      </c>
      <c r="E181" s="190" t="s">
        <v>39</v>
      </c>
      <c r="F181" s="211" t="str">
        <f>VLOOKUP(A181,'Summary June 2026'!A:F,6,FALSE)</f>
        <v>Chq Bk</v>
      </c>
      <c r="G181" s="33"/>
      <c r="H181" s="825">
        <v>0</v>
      </c>
      <c r="I181" s="804"/>
      <c r="J181" s="797">
        <v>0</v>
      </c>
      <c r="K181" s="797">
        <v>0</v>
      </c>
      <c r="L181" s="797">
        <v>0</v>
      </c>
      <c r="M181" s="797">
        <v>0</v>
      </c>
      <c r="N181" s="797">
        <v>0</v>
      </c>
      <c r="O181" s="797">
        <v>0</v>
      </c>
      <c r="P181" s="797">
        <v>0</v>
      </c>
      <c r="Q181" s="797">
        <f t="shared" si="27"/>
        <v>0</v>
      </c>
      <c r="R181" s="797">
        <f t="shared" si="24"/>
        <v>0</v>
      </c>
      <c r="S181" s="804"/>
      <c r="T181" s="364">
        <v>0</v>
      </c>
      <c r="U181" s="364">
        <v>0</v>
      </c>
      <c r="V181" s="364">
        <v>0</v>
      </c>
      <c r="W181" s="364">
        <v>0</v>
      </c>
      <c r="X181" s="364">
        <v>0</v>
      </c>
      <c r="Y181" s="364">
        <v>0</v>
      </c>
      <c r="Z181" s="364">
        <v>0</v>
      </c>
      <c r="AA181" s="364">
        <f t="shared" si="25"/>
        <v>0</v>
      </c>
      <c r="AB181" s="364">
        <f t="shared" si="26"/>
        <v>0</v>
      </c>
      <c r="AC181" s="804"/>
      <c r="AD181" s="817"/>
      <c r="AE181" s="817"/>
      <c r="AF181" s="817"/>
      <c r="AG181" s="817"/>
      <c r="AH181" s="817"/>
      <c r="AI181" s="817"/>
      <c r="AJ181" s="817"/>
      <c r="AK181" s="818"/>
      <c r="AL181" s="817"/>
      <c r="AM181" s="275"/>
      <c r="AN181" s="886">
        <v>0</v>
      </c>
      <c r="AO181" s="886">
        <v>0</v>
      </c>
      <c r="AP181" s="275"/>
      <c r="AQ181" s="834"/>
      <c r="AR181" s="834"/>
      <c r="AS181" s="834"/>
      <c r="AT181" s="834"/>
      <c r="AU181" s="834"/>
      <c r="AV181" s="834"/>
      <c r="AW181" s="834"/>
      <c r="AX181" s="834"/>
      <c r="AZ181" s="835"/>
      <c r="BA181" s="835"/>
      <c r="BB181" s="835"/>
      <c r="BC181" s="835"/>
      <c r="BD181" s="835"/>
      <c r="BE181" s="835"/>
      <c r="BF181" s="835"/>
      <c r="BG181" s="835"/>
      <c r="BH181" s="814"/>
      <c r="BI181" s="834"/>
      <c r="BJ181" s="834"/>
      <c r="BK181" s="834"/>
      <c r="BL181" s="834"/>
      <c r="BM181" s="834"/>
      <c r="BN181" s="834"/>
      <c r="BO181" s="834"/>
      <c r="BP181" s="834"/>
      <c r="BQ181" s="275"/>
      <c r="BR181" s="843"/>
      <c r="BS181" s="843"/>
      <c r="BT181" s="843"/>
      <c r="BU181" s="843"/>
      <c r="BV181" s="843"/>
      <c r="BW181" s="843"/>
      <c r="BX181" s="843"/>
      <c r="BY181" s="843"/>
      <c r="BZ181" s="843"/>
      <c r="CA181" s="843"/>
      <c r="CB181" s="843"/>
      <c r="CC181" s="843"/>
      <c r="CD181" s="843"/>
      <c r="CE181" s="843"/>
      <c r="CF181" s="843"/>
      <c r="CG181" s="843"/>
      <c r="CH181" s="843"/>
      <c r="CI181" s="843"/>
      <c r="CJ181" s="844"/>
      <c r="CK181" s="364"/>
      <c r="CL181" s="364"/>
      <c r="CM181" s="364"/>
      <c r="CN181" s="364"/>
      <c r="CO181" s="364"/>
      <c r="CP181" s="364"/>
      <c r="CQ181" s="364"/>
      <c r="CR181" s="804"/>
      <c r="CS181" s="852"/>
      <c r="CT181" s="853"/>
      <c r="CU181" s="853"/>
      <c r="CV181" s="853"/>
      <c r="CW181" s="853"/>
      <c r="CX181" s="853"/>
      <c r="CY181" s="853"/>
      <c r="CZ181" s="853"/>
      <c r="DA181" s="853"/>
      <c r="DC181" s="853"/>
      <c r="DD181" s="853"/>
      <c r="DE181" s="853"/>
      <c r="DF181" s="853"/>
      <c r="DG181" s="853"/>
      <c r="DH181" s="853"/>
      <c r="DI181" s="853"/>
      <c r="DJ181" s="853"/>
      <c r="DK181" s="853"/>
      <c r="DM181" s="853"/>
      <c r="DN181" s="853"/>
      <c r="DO181" s="853"/>
      <c r="DP181" s="853"/>
      <c r="DQ181" s="853"/>
      <c r="DR181" s="853"/>
      <c r="DS181" s="805"/>
      <c r="DT181" s="805"/>
      <c r="DV181" s="806">
        <f t="shared" si="20"/>
        <v>0</v>
      </c>
      <c r="DW181" s="806">
        <f t="shared" si="21"/>
        <v>0</v>
      </c>
      <c r="DX181" s="794">
        <f t="shared" si="22"/>
        <v>0</v>
      </c>
    </row>
    <row r="182" spans="1:128" hidden="1">
      <c r="A182" s="198">
        <v>2011</v>
      </c>
      <c r="B182" s="2">
        <v>134099</v>
      </c>
      <c r="C182" s="2" t="s">
        <v>387</v>
      </c>
      <c r="D182" s="2" t="s">
        <v>388</v>
      </c>
      <c r="E182" s="190" t="s">
        <v>39</v>
      </c>
      <c r="F182" s="211" t="str">
        <f>VLOOKUP(A182,'Summary June 2026'!A:F,6,FALSE)</f>
        <v>Chq Bk</v>
      </c>
      <c r="G182" s="33"/>
      <c r="H182" s="825">
        <v>0</v>
      </c>
      <c r="I182" s="804"/>
      <c r="J182" s="797">
        <v>0</v>
      </c>
      <c r="K182" s="797">
        <v>0</v>
      </c>
      <c r="L182" s="797">
        <v>47759.4</v>
      </c>
      <c r="M182" s="797">
        <v>3587.9999999999995</v>
      </c>
      <c r="N182" s="797">
        <v>0</v>
      </c>
      <c r="O182" s="797">
        <v>1468.35</v>
      </c>
      <c r="P182" s="797">
        <v>0</v>
      </c>
      <c r="Q182" s="797">
        <f t="shared" si="27"/>
        <v>52815.75</v>
      </c>
      <c r="R182" s="797">
        <f t="shared" si="24"/>
        <v>42252.600000000006</v>
      </c>
      <c r="S182" s="804"/>
      <c r="T182" s="364">
        <v>0</v>
      </c>
      <c r="U182" s="364">
        <v>0</v>
      </c>
      <c r="V182" s="364">
        <v>46534.8</v>
      </c>
      <c r="W182" s="364">
        <v>1569.7499999999998</v>
      </c>
      <c r="X182" s="364">
        <v>0</v>
      </c>
      <c r="Y182" s="364">
        <v>879.44999999999993</v>
      </c>
      <c r="Z182" s="364">
        <v>0</v>
      </c>
      <c r="AA182" s="364">
        <f t="shared" si="25"/>
        <v>48984</v>
      </c>
      <c r="AB182" s="364">
        <f t="shared" si="26"/>
        <v>39187.200000000004</v>
      </c>
      <c r="AC182" s="804"/>
      <c r="AD182" s="817"/>
      <c r="AE182" s="817"/>
      <c r="AF182" s="817"/>
      <c r="AG182" s="817"/>
      <c r="AH182" s="817"/>
      <c r="AI182" s="817"/>
      <c r="AJ182" s="817"/>
      <c r="AK182" s="818"/>
      <c r="AL182" s="817"/>
      <c r="AM182" s="275"/>
      <c r="AN182" s="886">
        <v>5816.1154016620458</v>
      </c>
      <c r="AO182" s="886">
        <v>0</v>
      </c>
      <c r="AP182" s="275"/>
      <c r="AQ182" s="834"/>
      <c r="AR182" s="834"/>
      <c r="AS182" s="834"/>
      <c r="AT182" s="834"/>
      <c r="AU182" s="834"/>
      <c r="AV182" s="834"/>
      <c r="AW182" s="834"/>
      <c r="AX182" s="834"/>
      <c r="AZ182" s="835"/>
      <c r="BA182" s="835"/>
      <c r="BB182" s="835"/>
      <c r="BC182" s="835"/>
      <c r="BD182" s="835"/>
      <c r="BE182" s="835"/>
      <c r="BF182" s="835"/>
      <c r="BG182" s="835"/>
      <c r="BH182" s="814"/>
      <c r="BI182" s="834"/>
      <c r="BJ182" s="834"/>
      <c r="BK182" s="834"/>
      <c r="BL182" s="834"/>
      <c r="BM182" s="834"/>
      <c r="BN182" s="834"/>
      <c r="BO182" s="834"/>
      <c r="BP182" s="834"/>
      <c r="BQ182" s="275"/>
      <c r="BR182" s="843"/>
      <c r="BS182" s="843"/>
      <c r="BT182" s="843"/>
      <c r="BU182" s="843"/>
      <c r="BV182" s="843"/>
      <c r="BW182" s="843"/>
      <c r="BX182" s="843"/>
      <c r="BY182" s="843"/>
      <c r="BZ182" s="843"/>
      <c r="CA182" s="843"/>
      <c r="CB182" s="843"/>
      <c r="CC182" s="843"/>
      <c r="CD182" s="843"/>
      <c r="CE182" s="843"/>
      <c r="CF182" s="843"/>
      <c r="CG182" s="843"/>
      <c r="CH182" s="843"/>
      <c r="CI182" s="843"/>
      <c r="CJ182" s="844"/>
      <c r="CK182" s="364"/>
      <c r="CL182" s="364"/>
      <c r="CM182" s="364"/>
      <c r="CN182" s="364"/>
      <c r="CO182" s="364"/>
      <c r="CP182" s="364"/>
      <c r="CQ182" s="364"/>
      <c r="CR182" s="804"/>
      <c r="CS182" s="852"/>
      <c r="CT182" s="853"/>
      <c r="CU182" s="853"/>
      <c r="CV182" s="853"/>
      <c r="CW182" s="853"/>
      <c r="CX182" s="853"/>
      <c r="CY182" s="853"/>
      <c r="CZ182" s="853"/>
      <c r="DA182" s="853"/>
      <c r="DC182" s="853"/>
      <c r="DD182" s="853"/>
      <c r="DE182" s="853"/>
      <c r="DF182" s="853"/>
      <c r="DG182" s="853"/>
      <c r="DH182" s="853"/>
      <c r="DI182" s="853"/>
      <c r="DJ182" s="853"/>
      <c r="DK182" s="853"/>
      <c r="DM182" s="853"/>
      <c r="DN182" s="853"/>
      <c r="DO182" s="853"/>
      <c r="DP182" s="853"/>
      <c r="DQ182" s="853"/>
      <c r="DR182" s="853"/>
      <c r="DS182" s="805"/>
      <c r="DT182" s="805"/>
      <c r="DV182" s="806">
        <f t="shared" si="20"/>
        <v>87255.915401662045</v>
      </c>
      <c r="DW182" s="806">
        <f t="shared" si="21"/>
        <v>0</v>
      </c>
      <c r="DX182" s="794">
        <f t="shared" si="22"/>
        <v>87255.915401662045</v>
      </c>
    </row>
    <row r="183" spans="1:128" hidden="1">
      <c r="A183" s="198">
        <v>4193</v>
      </c>
      <c r="B183" s="2">
        <v>103501</v>
      </c>
      <c r="C183" s="2" t="s">
        <v>389</v>
      </c>
      <c r="D183" s="2" t="s">
        <v>390</v>
      </c>
      <c r="E183" s="190" t="s">
        <v>71</v>
      </c>
      <c r="F183" s="211" t="str">
        <f>VLOOKUP(A183,'Summary June 2026'!A:F,6,FALSE)</f>
        <v>Chq Bk</v>
      </c>
      <c r="G183" s="33"/>
      <c r="H183" s="825">
        <v>0</v>
      </c>
      <c r="I183" s="804"/>
      <c r="J183" s="797">
        <v>0</v>
      </c>
      <c r="K183" s="797">
        <v>0</v>
      </c>
      <c r="L183" s="797">
        <v>0</v>
      </c>
      <c r="M183" s="797">
        <v>0</v>
      </c>
      <c r="N183" s="797">
        <v>0</v>
      </c>
      <c r="O183" s="797">
        <v>0</v>
      </c>
      <c r="P183" s="797">
        <v>0</v>
      </c>
      <c r="Q183" s="797">
        <f t="shared" si="27"/>
        <v>0</v>
      </c>
      <c r="R183" s="797">
        <f t="shared" si="24"/>
        <v>0</v>
      </c>
      <c r="S183" s="804"/>
      <c r="T183" s="364">
        <v>0</v>
      </c>
      <c r="U183" s="364">
        <v>0</v>
      </c>
      <c r="V183" s="364">
        <v>0</v>
      </c>
      <c r="W183" s="364">
        <v>0</v>
      </c>
      <c r="X183" s="364">
        <v>0</v>
      </c>
      <c r="Y183" s="364">
        <v>0</v>
      </c>
      <c r="Z183" s="364">
        <v>0</v>
      </c>
      <c r="AA183" s="364">
        <f t="shared" si="25"/>
        <v>0</v>
      </c>
      <c r="AB183" s="364">
        <f t="shared" si="26"/>
        <v>0</v>
      </c>
      <c r="AC183" s="804"/>
      <c r="AD183" s="817"/>
      <c r="AE183" s="817"/>
      <c r="AF183" s="817"/>
      <c r="AG183" s="817"/>
      <c r="AH183" s="817"/>
      <c r="AI183" s="817"/>
      <c r="AJ183" s="817"/>
      <c r="AK183" s="818"/>
      <c r="AL183" s="817"/>
      <c r="AM183" s="275"/>
      <c r="AN183" s="886">
        <v>0</v>
      </c>
      <c r="AO183" s="886">
        <v>0</v>
      </c>
      <c r="AP183" s="275"/>
      <c r="AQ183" s="834"/>
      <c r="AR183" s="834"/>
      <c r="AS183" s="834"/>
      <c r="AT183" s="834"/>
      <c r="AU183" s="834"/>
      <c r="AV183" s="834"/>
      <c r="AW183" s="834"/>
      <c r="AX183" s="834"/>
      <c r="AZ183" s="835"/>
      <c r="BA183" s="835"/>
      <c r="BB183" s="835"/>
      <c r="BC183" s="835"/>
      <c r="BD183" s="835"/>
      <c r="BE183" s="835"/>
      <c r="BF183" s="835"/>
      <c r="BG183" s="835"/>
      <c r="BH183" s="814"/>
      <c r="BI183" s="834"/>
      <c r="BJ183" s="834"/>
      <c r="BK183" s="834"/>
      <c r="BL183" s="834"/>
      <c r="BM183" s="834"/>
      <c r="BN183" s="834"/>
      <c r="BO183" s="834"/>
      <c r="BP183" s="834"/>
      <c r="BQ183" s="275"/>
      <c r="BR183" s="843"/>
      <c r="BS183" s="843"/>
      <c r="BT183" s="843"/>
      <c r="BU183" s="843"/>
      <c r="BV183" s="843"/>
      <c r="BW183" s="843"/>
      <c r="BX183" s="843"/>
      <c r="BY183" s="843"/>
      <c r="BZ183" s="843"/>
      <c r="CA183" s="843"/>
      <c r="CB183" s="843"/>
      <c r="CC183" s="843"/>
      <c r="CD183" s="843"/>
      <c r="CE183" s="843"/>
      <c r="CF183" s="843"/>
      <c r="CG183" s="843"/>
      <c r="CH183" s="843"/>
      <c r="CI183" s="843"/>
      <c r="CJ183" s="844"/>
      <c r="CK183" s="364"/>
      <c r="CL183" s="364"/>
      <c r="CM183" s="364"/>
      <c r="CN183" s="364"/>
      <c r="CO183" s="364"/>
      <c r="CP183" s="364"/>
      <c r="CQ183" s="364"/>
      <c r="CR183" s="804"/>
      <c r="CS183" s="852"/>
      <c r="CT183" s="853"/>
      <c r="CU183" s="853"/>
      <c r="CV183" s="853"/>
      <c r="CW183" s="853"/>
      <c r="CX183" s="853"/>
      <c r="CY183" s="853"/>
      <c r="CZ183" s="853"/>
      <c r="DA183" s="853"/>
      <c r="DC183" s="853"/>
      <c r="DD183" s="853"/>
      <c r="DE183" s="853"/>
      <c r="DF183" s="853"/>
      <c r="DG183" s="853"/>
      <c r="DH183" s="853"/>
      <c r="DI183" s="853"/>
      <c r="DJ183" s="853"/>
      <c r="DK183" s="853"/>
      <c r="DM183" s="853"/>
      <c r="DN183" s="853"/>
      <c r="DO183" s="853"/>
      <c r="DP183" s="853"/>
      <c r="DQ183" s="853"/>
      <c r="DR183" s="853"/>
      <c r="DS183" s="805"/>
      <c r="DT183" s="805"/>
      <c r="DV183" s="806">
        <f t="shared" si="20"/>
        <v>0</v>
      </c>
      <c r="DW183" s="806">
        <f t="shared" si="21"/>
        <v>0</v>
      </c>
      <c r="DX183" s="794">
        <f t="shared" si="22"/>
        <v>0</v>
      </c>
    </row>
    <row r="184" spans="1:128" hidden="1">
      <c r="A184" s="198">
        <v>2478</v>
      </c>
      <c r="B184" s="2">
        <v>132007</v>
      </c>
      <c r="C184" s="2" t="s">
        <v>391</v>
      </c>
      <c r="D184" s="2" t="s">
        <v>392</v>
      </c>
      <c r="E184" s="190" t="s">
        <v>39</v>
      </c>
      <c r="F184" s="211" t="str">
        <f>VLOOKUP(A184,'Summary June 2026'!A:F,6,FALSE)</f>
        <v>Chq Bk</v>
      </c>
      <c r="G184" s="33"/>
      <c r="H184" s="825">
        <v>0</v>
      </c>
      <c r="I184" s="804"/>
      <c r="J184" s="797">
        <v>0</v>
      </c>
      <c r="K184" s="797">
        <v>0</v>
      </c>
      <c r="L184" s="797">
        <v>53882.400000000001</v>
      </c>
      <c r="M184" s="797">
        <v>448.49999999999994</v>
      </c>
      <c r="N184" s="797">
        <v>372.89473684210526</v>
      </c>
      <c r="O184" s="797">
        <v>62.4</v>
      </c>
      <c r="P184" s="797">
        <v>0</v>
      </c>
      <c r="Q184" s="797">
        <f t="shared" si="27"/>
        <v>54766.19473684211</v>
      </c>
      <c r="R184" s="797">
        <f t="shared" si="24"/>
        <v>43812.955789473694</v>
      </c>
      <c r="S184" s="804"/>
      <c r="T184" s="364">
        <v>0</v>
      </c>
      <c r="U184" s="364">
        <v>0</v>
      </c>
      <c r="V184" s="364">
        <v>45310.200000000004</v>
      </c>
      <c r="W184" s="364">
        <v>448.49999999999994</v>
      </c>
      <c r="X184" s="364">
        <v>261.06736842105261</v>
      </c>
      <c r="Y184" s="364">
        <v>31.2</v>
      </c>
      <c r="Z184" s="364">
        <v>0</v>
      </c>
      <c r="AA184" s="364">
        <f t="shared" si="25"/>
        <v>46050.967368421057</v>
      </c>
      <c r="AB184" s="364">
        <f t="shared" si="26"/>
        <v>36840.773894736849</v>
      </c>
      <c r="AC184" s="804"/>
      <c r="AD184" s="817"/>
      <c r="AE184" s="817"/>
      <c r="AF184" s="817"/>
      <c r="AG184" s="817"/>
      <c r="AH184" s="817"/>
      <c r="AI184" s="817"/>
      <c r="AJ184" s="817"/>
      <c r="AK184" s="818"/>
      <c r="AL184" s="817"/>
      <c r="AM184" s="275"/>
      <c r="AN184" s="886">
        <v>5521.4073684210562</v>
      </c>
      <c r="AO184" s="886">
        <v>0</v>
      </c>
      <c r="AP184" s="275"/>
      <c r="AQ184" s="834"/>
      <c r="AR184" s="834"/>
      <c r="AS184" s="834"/>
      <c r="AT184" s="834"/>
      <c r="AU184" s="834"/>
      <c r="AV184" s="834"/>
      <c r="AW184" s="834"/>
      <c r="AX184" s="834"/>
      <c r="AZ184" s="835"/>
      <c r="BA184" s="835"/>
      <c r="BB184" s="835"/>
      <c r="BC184" s="835"/>
      <c r="BD184" s="835"/>
      <c r="BE184" s="835"/>
      <c r="BF184" s="835"/>
      <c r="BG184" s="835"/>
      <c r="BH184" s="814"/>
      <c r="BI184" s="834"/>
      <c r="BJ184" s="834"/>
      <c r="BK184" s="834"/>
      <c r="BL184" s="834"/>
      <c r="BM184" s="834"/>
      <c r="BN184" s="834"/>
      <c r="BO184" s="834"/>
      <c r="BP184" s="834"/>
      <c r="BQ184" s="275"/>
      <c r="BR184" s="843"/>
      <c r="BS184" s="843"/>
      <c r="BT184" s="843"/>
      <c r="BU184" s="843"/>
      <c r="BV184" s="843"/>
      <c r="BW184" s="843"/>
      <c r="BX184" s="843"/>
      <c r="BY184" s="843"/>
      <c r="BZ184" s="843"/>
      <c r="CA184" s="843"/>
      <c r="CB184" s="843"/>
      <c r="CC184" s="843"/>
      <c r="CD184" s="843"/>
      <c r="CE184" s="843"/>
      <c r="CF184" s="843"/>
      <c r="CG184" s="843"/>
      <c r="CH184" s="843"/>
      <c r="CI184" s="843"/>
      <c r="CJ184" s="844"/>
      <c r="CK184" s="364"/>
      <c r="CL184" s="364"/>
      <c r="CM184" s="364"/>
      <c r="CN184" s="364"/>
      <c r="CO184" s="364"/>
      <c r="CP184" s="364"/>
      <c r="CQ184" s="364"/>
      <c r="CR184" s="804"/>
      <c r="CS184" s="852"/>
      <c r="CT184" s="853"/>
      <c r="CU184" s="853"/>
      <c r="CV184" s="853"/>
      <c r="CW184" s="853"/>
      <c r="CX184" s="853"/>
      <c r="CY184" s="853"/>
      <c r="CZ184" s="853"/>
      <c r="DA184" s="853"/>
      <c r="DC184" s="853"/>
      <c r="DD184" s="853"/>
      <c r="DE184" s="853"/>
      <c r="DF184" s="853"/>
      <c r="DG184" s="853"/>
      <c r="DH184" s="853"/>
      <c r="DI184" s="853"/>
      <c r="DJ184" s="853"/>
      <c r="DK184" s="853"/>
      <c r="DM184" s="853"/>
      <c r="DN184" s="853"/>
      <c r="DO184" s="853"/>
      <c r="DP184" s="853"/>
      <c r="DQ184" s="853"/>
      <c r="DR184" s="853"/>
      <c r="DS184" s="805"/>
      <c r="DT184" s="805"/>
      <c r="DV184" s="806">
        <f t="shared" si="20"/>
        <v>86175.137052631588</v>
      </c>
      <c r="DW184" s="806">
        <f t="shared" si="21"/>
        <v>0</v>
      </c>
      <c r="DX184" s="794">
        <f t="shared" si="22"/>
        <v>86175.137052631588</v>
      </c>
    </row>
    <row r="185" spans="1:128" hidden="1">
      <c r="A185" s="198">
        <v>2293</v>
      </c>
      <c r="B185" s="2">
        <v>103317</v>
      </c>
      <c r="C185" s="2" t="s">
        <v>393</v>
      </c>
      <c r="D185" s="2" t="s">
        <v>394</v>
      </c>
      <c r="E185" s="190" t="s">
        <v>39</v>
      </c>
      <c r="F185" s="211" t="str">
        <f>VLOOKUP(A185,'Summary June 2026'!A:F,6,FALSE)</f>
        <v>Chq Bk</v>
      </c>
      <c r="G185" s="33"/>
      <c r="H185" s="825">
        <v>0</v>
      </c>
      <c r="I185" s="804"/>
      <c r="J185" s="797">
        <v>0</v>
      </c>
      <c r="K185" s="797">
        <v>0</v>
      </c>
      <c r="L185" s="797">
        <v>80823.600000000006</v>
      </c>
      <c r="M185" s="797">
        <v>5382</v>
      </c>
      <c r="N185" s="797">
        <v>0</v>
      </c>
      <c r="O185" s="797">
        <v>1402.05</v>
      </c>
      <c r="P185" s="797">
        <v>0</v>
      </c>
      <c r="Q185" s="797">
        <f t="shared" si="27"/>
        <v>87607.650000000009</v>
      </c>
      <c r="R185" s="797">
        <f t="shared" si="24"/>
        <v>70086.12000000001</v>
      </c>
      <c r="S185" s="804"/>
      <c r="T185" s="364">
        <v>0</v>
      </c>
      <c r="U185" s="364">
        <v>0</v>
      </c>
      <c r="V185" s="364">
        <v>39187.200000000004</v>
      </c>
      <c r="W185" s="364">
        <v>1345.5</v>
      </c>
      <c r="X185" s="364">
        <v>0</v>
      </c>
      <c r="Y185" s="364">
        <v>879.45</v>
      </c>
      <c r="Z185" s="364">
        <v>0</v>
      </c>
      <c r="AA185" s="364">
        <f t="shared" si="25"/>
        <v>41412.15</v>
      </c>
      <c r="AB185" s="364">
        <f t="shared" si="26"/>
        <v>33129.72</v>
      </c>
      <c r="AC185" s="804"/>
      <c r="AD185" s="817"/>
      <c r="AE185" s="817"/>
      <c r="AF185" s="817"/>
      <c r="AG185" s="817"/>
      <c r="AH185" s="817"/>
      <c r="AI185" s="817"/>
      <c r="AJ185" s="817"/>
      <c r="AK185" s="818"/>
      <c r="AL185" s="817"/>
      <c r="AM185" s="275"/>
      <c r="AN185" s="886">
        <v>-15324.932105263151</v>
      </c>
      <c r="AO185" s="886">
        <v>0</v>
      </c>
      <c r="AP185" s="275"/>
      <c r="AQ185" s="834"/>
      <c r="AR185" s="834"/>
      <c r="AS185" s="834"/>
      <c r="AT185" s="834"/>
      <c r="AU185" s="834"/>
      <c r="AV185" s="834"/>
      <c r="AW185" s="834"/>
      <c r="AX185" s="834"/>
      <c r="AZ185" s="835"/>
      <c r="BA185" s="835"/>
      <c r="BB185" s="835"/>
      <c r="BC185" s="835"/>
      <c r="BD185" s="835"/>
      <c r="BE185" s="835"/>
      <c r="BF185" s="835"/>
      <c r="BG185" s="835"/>
      <c r="BH185" s="814"/>
      <c r="BI185" s="834"/>
      <c r="BJ185" s="834"/>
      <c r="BK185" s="834"/>
      <c r="BL185" s="834"/>
      <c r="BM185" s="834"/>
      <c r="BN185" s="834"/>
      <c r="BO185" s="834"/>
      <c r="BP185" s="834"/>
      <c r="BQ185" s="275"/>
      <c r="BR185" s="843"/>
      <c r="BS185" s="843"/>
      <c r="BT185" s="843"/>
      <c r="BU185" s="843"/>
      <c r="BV185" s="843"/>
      <c r="BW185" s="843"/>
      <c r="BX185" s="843"/>
      <c r="BY185" s="843"/>
      <c r="BZ185" s="843"/>
      <c r="CA185" s="843"/>
      <c r="CB185" s="843"/>
      <c r="CC185" s="843"/>
      <c r="CD185" s="843"/>
      <c r="CE185" s="843"/>
      <c r="CF185" s="843"/>
      <c r="CG185" s="843"/>
      <c r="CH185" s="843"/>
      <c r="CI185" s="843"/>
      <c r="CJ185" s="844"/>
      <c r="CK185" s="364"/>
      <c r="CL185" s="364"/>
      <c r="CM185" s="364"/>
      <c r="CN185" s="364"/>
      <c r="CO185" s="364"/>
      <c r="CP185" s="364"/>
      <c r="CQ185" s="364"/>
      <c r="CR185" s="804"/>
      <c r="CS185" s="852"/>
      <c r="CT185" s="853"/>
      <c r="CU185" s="853"/>
      <c r="CV185" s="853"/>
      <c r="CW185" s="853"/>
      <c r="CX185" s="853"/>
      <c r="CY185" s="853"/>
      <c r="CZ185" s="853"/>
      <c r="DA185" s="853"/>
      <c r="DC185" s="853"/>
      <c r="DD185" s="853"/>
      <c r="DE185" s="853"/>
      <c r="DF185" s="853"/>
      <c r="DG185" s="853"/>
      <c r="DH185" s="853"/>
      <c r="DI185" s="853"/>
      <c r="DJ185" s="853"/>
      <c r="DK185" s="853"/>
      <c r="DM185" s="853"/>
      <c r="DN185" s="853"/>
      <c r="DO185" s="853"/>
      <c r="DP185" s="853"/>
      <c r="DQ185" s="853"/>
      <c r="DR185" s="853"/>
      <c r="DS185" s="805"/>
      <c r="DT185" s="805"/>
      <c r="DV185" s="806">
        <f t="shared" si="20"/>
        <v>87890.907894736854</v>
      </c>
      <c r="DW185" s="806">
        <f t="shared" si="21"/>
        <v>0</v>
      </c>
      <c r="DX185" s="794">
        <f t="shared" si="22"/>
        <v>87890.907894736854</v>
      </c>
    </row>
    <row r="186" spans="1:128" hidden="1">
      <c r="A186" s="198">
        <v>2445</v>
      </c>
      <c r="B186" s="2">
        <v>103372</v>
      </c>
      <c r="C186" s="2" t="s">
        <v>395</v>
      </c>
      <c r="D186" s="2" t="s">
        <v>396</v>
      </c>
      <c r="E186" s="190" t="s">
        <v>39</v>
      </c>
      <c r="F186" s="211" t="str">
        <f>VLOOKUP(A186,'Summary June 2026'!A:F,6,FALSE)</f>
        <v>Chq Bk</v>
      </c>
      <c r="G186" s="33"/>
      <c r="H186" s="825">
        <v>0</v>
      </c>
      <c r="I186" s="804"/>
      <c r="J186" s="797">
        <v>0</v>
      </c>
      <c r="K186" s="797">
        <v>0</v>
      </c>
      <c r="L186" s="797">
        <v>0</v>
      </c>
      <c r="M186" s="797">
        <v>0</v>
      </c>
      <c r="N186" s="797">
        <v>0</v>
      </c>
      <c r="O186" s="797">
        <v>0</v>
      </c>
      <c r="P186" s="797">
        <v>0</v>
      </c>
      <c r="Q186" s="797">
        <f t="shared" si="27"/>
        <v>0</v>
      </c>
      <c r="R186" s="797">
        <f t="shared" si="24"/>
        <v>0</v>
      </c>
      <c r="S186" s="804"/>
      <c r="T186" s="364">
        <v>0</v>
      </c>
      <c r="U186" s="364">
        <v>0</v>
      </c>
      <c r="V186" s="364">
        <v>0</v>
      </c>
      <c r="W186" s="364">
        <v>0</v>
      </c>
      <c r="X186" s="364">
        <v>0</v>
      </c>
      <c r="Y186" s="364">
        <v>0</v>
      </c>
      <c r="Z186" s="364">
        <v>0</v>
      </c>
      <c r="AA186" s="364">
        <f t="shared" si="25"/>
        <v>0</v>
      </c>
      <c r="AB186" s="364">
        <f t="shared" si="26"/>
        <v>0</v>
      </c>
      <c r="AC186" s="804"/>
      <c r="AD186" s="817"/>
      <c r="AE186" s="817"/>
      <c r="AF186" s="817"/>
      <c r="AG186" s="817"/>
      <c r="AH186" s="817"/>
      <c r="AI186" s="817"/>
      <c r="AJ186" s="817"/>
      <c r="AK186" s="818"/>
      <c r="AL186" s="817"/>
      <c r="AM186" s="275"/>
      <c r="AN186" s="886">
        <v>0</v>
      </c>
      <c r="AO186" s="886">
        <v>0</v>
      </c>
      <c r="AP186" s="275"/>
      <c r="AQ186" s="834"/>
      <c r="AR186" s="834"/>
      <c r="AS186" s="834"/>
      <c r="AT186" s="834"/>
      <c r="AU186" s="834"/>
      <c r="AV186" s="834"/>
      <c r="AW186" s="834"/>
      <c r="AX186" s="834"/>
      <c r="AZ186" s="835"/>
      <c r="BA186" s="835"/>
      <c r="BB186" s="835"/>
      <c r="BC186" s="835"/>
      <c r="BD186" s="835"/>
      <c r="BE186" s="835"/>
      <c r="BF186" s="835"/>
      <c r="BG186" s="835"/>
      <c r="BH186" s="814"/>
      <c r="BI186" s="834"/>
      <c r="BJ186" s="834"/>
      <c r="BK186" s="834"/>
      <c r="BL186" s="834"/>
      <c r="BM186" s="834"/>
      <c r="BN186" s="834"/>
      <c r="BO186" s="834"/>
      <c r="BP186" s="834"/>
      <c r="BQ186" s="275"/>
      <c r="BR186" s="843"/>
      <c r="BS186" s="843"/>
      <c r="BT186" s="843"/>
      <c r="BU186" s="843"/>
      <c r="BV186" s="843"/>
      <c r="BW186" s="843"/>
      <c r="BX186" s="843"/>
      <c r="BY186" s="843"/>
      <c r="BZ186" s="843"/>
      <c r="CA186" s="843"/>
      <c r="CB186" s="843"/>
      <c r="CC186" s="843"/>
      <c r="CD186" s="843"/>
      <c r="CE186" s="843"/>
      <c r="CF186" s="843"/>
      <c r="CG186" s="843"/>
      <c r="CH186" s="843"/>
      <c r="CI186" s="843"/>
      <c r="CJ186" s="844"/>
      <c r="CK186" s="364"/>
      <c r="CL186" s="364"/>
      <c r="CM186" s="364"/>
      <c r="CN186" s="364"/>
      <c r="CO186" s="364"/>
      <c r="CP186" s="364"/>
      <c r="CQ186" s="364"/>
      <c r="CR186" s="804"/>
      <c r="CS186" s="852"/>
      <c r="CT186" s="853"/>
      <c r="CU186" s="853"/>
      <c r="CV186" s="853"/>
      <c r="CW186" s="853"/>
      <c r="CX186" s="853"/>
      <c r="CY186" s="853"/>
      <c r="CZ186" s="853"/>
      <c r="DA186" s="853"/>
      <c r="DC186" s="853"/>
      <c r="DD186" s="853"/>
      <c r="DE186" s="853"/>
      <c r="DF186" s="853"/>
      <c r="DG186" s="853"/>
      <c r="DH186" s="853"/>
      <c r="DI186" s="853"/>
      <c r="DJ186" s="853"/>
      <c r="DK186" s="853"/>
      <c r="DM186" s="853"/>
      <c r="DN186" s="853"/>
      <c r="DO186" s="853"/>
      <c r="DP186" s="853"/>
      <c r="DQ186" s="853"/>
      <c r="DR186" s="853"/>
      <c r="DS186" s="805"/>
      <c r="DT186" s="805"/>
      <c r="DV186" s="806">
        <f t="shared" si="20"/>
        <v>0</v>
      </c>
      <c r="DW186" s="806">
        <f t="shared" si="21"/>
        <v>0</v>
      </c>
      <c r="DX186" s="794">
        <f t="shared" si="22"/>
        <v>0</v>
      </c>
    </row>
    <row r="187" spans="1:128" hidden="1">
      <c r="A187" s="198">
        <v>2278</v>
      </c>
      <c r="B187" s="2">
        <v>103310</v>
      </c>
      <c r="C187" s="2" t="s">
        <v>397</v>
      </c>
      <c r="D187" s="2" t="s">
        <v>398</v>
      </c>
      <c r="E187" s="190" t="s">
        <v>39</v>
      </c>
      <c r="F187" s="211" t="str">
        <f>VLOOKUP(A187,'Summary June 2026'!A:F,6,FALSE)</f>
        <v>Chq Bk</v>
      </c>
      <c r="G187" s="33"/>
      <c r="H187" s="825">
        <v>0</v>
      </c>
      <c r="I187" s="804"/>
      <c r="J187" s="797">
        <v>0</v>
      </c>
      <c r="K187" s="797">
        <v>0</v>
      </c>
      <c r="L187" s="797">
        <v>0</v>
      </c>
      <c r="M187" s="797">
        <v>0</v>
      </c>
      <c r="N187" s="797">
        <v>0</v>
      </c>
      <c r="O187" s="797">
        <v>0</v>
      </c>
      <c r="P187" s="797">
        <v>0</v>
      </c>
      <c r="Q187" s="797">
        <f t="shared" si="27"/>
        <v>0</v>
      </c>
      <c r="R187" s="797">
        <f t="shared" si="24"/>
        <v>0</v>
      </c>
      <c r="S187" s="804"/>
      <c r="T187" s="364">
        <v>0</v>
      </c>
      <c r="U187" s="364">
        <v>0</v>
      </c>
      <c r="V187" s="364">
        <v>0</v>
      </c>
      <c r="W187" s="364">
        <v>0</v>
      </c>
      <c r="X187" s="364">
        <v>0</v>
      </c>
      <c r="Y187" s="364">
        <v>0</v>
      </c>
      <c r="Z187" s="364">
        <v>0</v>
      </c>
      <c r="AA187" s="364">
        <f t="shared" si="25"/>
        <v>0</v>
      </c>
      <c r="AB187" s="364">
        <f t="shared" si="26"/>
        <v>0</v>
      </c>
      <c r="AC187" s="804"/>
      <c r="AD187" s="817"/>
      <c r="AE187" s="817"/>
      <c r="AF187" s="817"/>
      <c r="AG187" s="817"/>
      <c r="AH187" s="817"/>
      <c r="AI187" s="817"/>
      <c r="AJ187" s="817"/>
      <c r="AK187" s="818"/>
      <c r="AL187" s="817"/>
      <c r="AM187" s="275"/>
      <c r="AN187" s="886">
        <v>0</v>
      </c>
      <c r="AO187" s="886">
        <v>0</v>
      </c>
      <c r="AP187" s="275"/>
      <c r="AQ187" s="834"/>
      <c r="AR187" s="834"/>
      <c r="AS187" s="834"/>
      <c r="AT187" s="834"/>
      <c r="AU187" s="834"/>
      <c r="AV187" s="834"/>
      <c r="AW187" s="834"/>
      <c r="AX187" s="834"/>
      <c r="AZ187" s="835"/>
      <c r="BA187" s="835"/>
      <c r="BB187" s="835"/>
      <c r="BC187" s="835"/>
      <c r="BD187" s="835"/>
      <c r="BE187" s="835"/>
      <c r="BF187" s="835"/>
      <c r="BG187" s="835"/>
      <c r="BH187" s="814"/>
      <c r="BI187" s="834"/>
      <c r="BJ187" s="834"/>
      <c r="BK187" s="834"/>
      <c r="BL187" s="834"/>
      <c r="BM187" s="834"/>
      <c r="BN187" s="834"/>
      <c r="BO187" s="834"/>
      <c r="BP187" s="834"/>
      <c r="BQ187" s="275"/>
      <c r="BR187" s="843"/>
      <c r="BS187" s="843"/>
      <c r="BT187" s="843"/>
      <c r="BU187" s="843"/>
      <c r="BV187" s="843"/>
      <c r="BW187" s="843"/>
      <c r="BX187" s="843"/>
      <c r="BY187" s="843"/>
      <c r="BZ187" s="843"/>
      <c r="CA187" s="843"/>
      <c r="CB187" s="843"/>
      <c r="CC187" s="843"/>
      <c r="CD187" s="843"/>
      <c r="CE187" s="843"/>
      <c r="CF187" s="843"/>
      <c r="CG187" s="843"/>
      <c r="CH187" s="843"/>
      <c r="CI187" s="843"/>
      <c r="CJ187" s="844"/>
      <c r="CK187" s="364"/>
      <c r="CL187" s="364"/>
      <c r="CM187" s="364"/>
      <c r="CN187" s="364"/>
      <c r="CO187" s="364"/>
      <c r="CP187" s="364"/>
      <c r="CQ187" s="364"/>
      <c r="CR187" s="804"/>
      <c r="CS187" s="852"/>
      <c r="CT187" s="853"/>
      <c r="CU187" s="853"/>
      <c r="CV187" s="853"/>
      <c r="CW187" s="853"/>
      <c r="CX187" s="853"/>
      <c r="CY187" s="853"/>
      <c r="CZ187" s="853"/>
      <c r="DA187" s="853"/>
      <c r="DC187" s="853"/>
      <c r="DD187" s="853"/>
      <c r="DE187" s="853"/>
      <c r="DF187" s="853"/>
      <c r="DG187" s="853"/>
      <c r="DH187" s="853"/>
      <c r="DI187" s="853"/>
      <c r="DJ187" s="853"/>
      <c r="DK187" s="853"/>
      <c r="DM187" s="853"/>
      <c r="DN187" s="853"/>
      <c r="DO187" s="853"/>
      <c r="DP187" s="853"/>
      <c r="DQ187" s="853"/>
      <c r="DR187" s="853"/>
      <c r="DS187" s="805"/>
      <c r="DT187" s="805"/>
      <c r="DV187" s="806">
        <f t="shared" si="20"/>
        <v>0</v>
      </c>
      <c r="DW187" s="806">
        <f t="shared" si="21"/>
        <v>0</v>
      </c>
      <c r="DX187" s="794">
        <f t="shared" si="22"/>
        <v>0</v>
      </c>
    </row>
    <row r="188" spans="1:128" hidden="1">
      <c r="A188" s="198">
        <v>2317</v>
      </c>
      <c r="B188" s="2">
        <v>103337</v>
      </c>
      <c r="C188" s="2" t="s">
        <v>399</v>
      </c>
      <c r="D188" s="2" t="s">
        <v>400</v>
      </c>
      <c r="E188" s="190" t="s">
        <v>39</v>
      </c>
      <c r="F188" s="211" t="str">
        <f>VLOOKUP(A188,'Summary June 2026'!A:F,6,FALSE)</f>
        <v>Chq Bk</v>
      </c>
      <c r="G188" s="33"/>
      <c r="H188" s="825">
        <v>0</v>
      </c>
      <c r="I188" s="804"/>
      <c r="J188" s="797">
        <v>0</v>
      </c>
      <c r="K188" s="797">
        <v>0</v>
      </c>
      <c r="L188" s="797">
        <v>101641.8</v>
      </c>
      <c r="M188" s="797">
        <v>2691</v>
      </c>
      <c r="N188" s="797">
        <v>1007.2673684210527</v>
      </c>
      <c r="O188" s="797">
        <v>2780.7</v>
      </c>
      <c r="P188" s="797">
        <v>0</v>
      </c>
      <c r="Q188" s="797">
        <f t="shared" si="27"/>
        <v>108120.76736842105</v>
      </c>
      <c r="R188" s="797">
        <f t="shared" si="24"/>
        <v>86496.613894736845</v>
      </c>
      <c r="S188" s="804"/>
      <c r="T188" s="364">
        <v>0</v>
      </c>
      <c r="U188" s="364">
        <v>0</v>
      </c>
      <c r="V188" s="364">
        <v>28165.800000000003</v>
      </c>
      <c r="W188" s="364">
        <v>1121.25</v>
      </c>
      <c r="X188" s="364">
        <v>0</v>
      </c>
      <c r="Y188" s="364">
        <v>15.6</v>
      </c>
      <c r="Z188" s="364">
        <v>0</v>
      </c>
      <c r="AA188" s="364">
        <f t="shared" si="25"/>
        <v>29302.65</v>
      </c>
      <c r="AB188" s="364">
        <f t="shared" si="26"/>
        <v>23442.120000000003</v>
      </c>
      <c r="AC188" s="804"/>
      <c r="AD188" s="817"/>
      <c r="AE188" s="817"/>
      <c r="AF188" s="817"/>
      <c r="AG188" s="817"/>
      <c r="AH188" s="817"/>
      <c r="AI188" s="817"/>
      <c r="AJ188" s="817"/>
      <c r="AK188" s="818"/>
      <c r="AL188" s="817"/>
      <c r="AM188" s="275"/>
      <c r="AN188" s="886">
        <v>2254.2289750692444</v>
      </c>
      <c r="AO188" s="886">
        <v>0</v>
      </c>
      <c r="AP188" s="275"/>
      <c r="AQ188" s="834"/>
      <c r="AR188" s="834"/>
      <c r="AS188" s="834"/>
      <c r="AT188" s="834"/>
      <c r="AU188" s="834"/>
      <c r="AV188" s="834"/>
      <c r="AW188" s="834"/>
      <c r="AX188" s="834"/>
      <c r="AZ188" s="835"/>
      <c r="BA188" s="835"/>
      <c r="BB188" s="835"/>
      <c r="BC188" s="835"/>
      <c r="BD188" s="835"/>
      <c r="BE188" s="835"/>
      <c r="BF188" s="835"/>
      <c r="BG188" s="835"/>
      <c r="BH188" s="814"/>
      <c r="BI188" s="834"/>
      <c r="BJ188" s="834"/>
      <c r="BK188" s="834"/>
      <c r="BL188" s="834"/>
      <c r="BM188" s="834"/>
      <c r="BN188" s="834"/>
      <c r="BO188" s="834"/>
      <c r="BP188" s="834"/>
      <c r="BQ188" s="275"/>
      <c r="BR188" s="843"/>
      <c r="BS188" s="843"/>
      <c r="BT188" s="843"/>
      <c r="BU188" s="843"/>
      <c r="BV188" s="843"/>
      <c r="BW188" s="843"/>
      <c r="BX188" s="843"/>
      <c r="BY188" s="843"/>
      <c r="BZ188" s="843"/>
      <c r="CA188" s="843"/>
      <c r="CB188" s="843"/>
      <c r="CC188" s="843"/>
      <c r="CD188" s="843"/>
      <c r="CE188" s="843"/>
      <c r="CF188" s="843"/>
      <c r="CG188" s="843"/>
      <c r="CH188" s="843"/>
      <c r="CI188" s="843"/>
      <c r="CJ188" s="844"/>
      <c r="CK188" s="364"/>
      <c r="CL188" s="364"/>
      <c r="CM188" s="364"/>
      <c r="CN188" s="364"/>
      <c r="CO188" s="364"/>
      <c r="CP188" s="364"/>
      <c r="CQ188" s="364"/>
      <c r="CR188" s="804"/>
      <c r="CS188" s="852"/>
      <c r="CT188" s="853"/>
      <c r="CU188" s="853"/>
      <c r="CV188" s="853"/>
      <c r="CW188" s="853"/>
      <c r="CX188" s="853"/>
      <c r="CY188" s="853"/>
      <c r="CZ188" s="853"/>
      <c r="DA188" s="853"/>
      <c r="DC188" s="853"/>
      <c r="DD188" s="853"/>
      <c r="DE188" s="853"/>
      <c r="DF188" s="853"/>
      <c r="DG188" s="853"/>
      <c r="DH188" s="853"/>
      <c r="DI188" s="853"/>
      <c r="DJ188" s="853"/>
      <c r="DK188" s="853"/>
      <c r="DM188" s="853"/>
      <c r="DN188" s="853"/>
      <c r="DO188" s="853"/>
      <c r="DP188" s="853"/>
      <c r="DQ188" s="853"/>
      <c r="DR188" s="853"/>
      <c r="DS188" s="805"/>
      <c r="DT188" s="805"/>
      <c r="DV188" s="806">
        <f t="shared" si="20"/>
        <v>112192.9628698061</v>
      </c>
      <c r="DW188" s="806">
        <f t="shared" si="21"/>
        <v>0</v>
      </c>
      <c r="DX188" s="794">
        <f t="shared" si="22"/>
        <v>112192.9628698061</v>
      </c>
    </row>
    <row r="189" spans="1:128" hidden="1">
      <c r="A189" s="198">
        <v>2225</v>
      </c>
      <c r="B189" s="2">
        <v>103279</v>
      </c>
      <c r="C189" s="2" t="s">
        <v>401</v>
      </c>
      <c r="D189" s="2" t="s">
        <v>402</v>
      </c>
      <c r="E189" s="190" t="s">
        <v>39</v>
      </c>
      <c r="F189" s="211" t="str">
        <f>VLOOKUP(A189,'Summary June 2026'!A:F,6,FALSE)</f>
        <v>Chq Bk</v>
      </c>
      <c r="G189" s="33"/>
      <c r="H189" s="825">
        <v>0</v>
      </c>
      <c r="I189" s="804"/>
      <c r="J189" s="797">
        <v>0</v>
      </c>
      <c r="K189" s="797">
        <v>0</v>
      </c>
      <c r="L189" s="797">
        <v>0</v>
      </c>
      <c r="M189" s="797">
        <v>0</v>
      </c>
      <c r="N189" s="797">
        <v>0</v>
      </c>
      <c r="O189" s="797">
        <v>0</v>
      </c>
      <c r="P189" s="797">
        <v>0</v>
      </c>
      <c r="Q189" s="797">
        <f t="shared" si="27"/>
        <v>0</v>
      </c>
      <c r="R189" s="797">
        <f t="shared" si="24"/>
        <v>0</v>
      </c>
      <c r="S189" s="804"/>
      <c r="T189" s="364">
        <v>0</v>
      </c>
      <c r="U189" s="364">
        <v>0</v>
      </c>
      <c r="V189" s="364">
        <v>0</v>
      </c>
      <c r="W189" s="364">
        <v>0</v>
      </c>
      <c r="X189" s="364">
        <v>0</v>
      </c>
      <c r="Y189" s="364">
        <v>0</v>
      </c>
      <c r="Z189" s="364">
        <v>0</v>
      </c>
      <c r="AA189" s="364">
        <f t="shared" si="25"/>
        <v>0</v>
      </c>
      <c r="AB189" s="364">
        <f t="shared" si="26"/>
        <v>0</v>
      </c>
      <c r="AC189" s="804"/>
      <c r="AD189" s="817"/>
      <c r="AE189" s="817"/>
      <c r="AF189" s="817"/>
      <c r="AG189" s="817"/>
      <c r="AH189" s="817"/>
      <c r="AI189" s="817"/>
      <c r="AJ189" s="817"/>
      <c r="AK189" s="818"/>
      <c r="AL189" s="817"/>
      <c r="AM189" s="275"/>
      <c r="AN189" s="886">
        <v>0</v>
      </c>
      <c r="AO189" s="886">
        <v>0</v>
      </c>
      <c r="AP189" s="275"/>
      <c r="AQ189" s="834"/>
      <c r="AR189" s="834"/>
      <c r="AS189" s="834"/>
      <c r="AT189" s="834"/>
      <c r="AU189" s="834"/>
      <c r="AV189" s="834"/>
      <c r="AW189" s="834"/>
      <c r="AX189" s="834"/>
      <c r="AZ189" s="835"/>
      <c r="BA189" s="835"/>
      <c r="BB189" s="835"/>
      <c r="BC189" s="835"/>
      <c r="BD189" s="835"/>
      <c r="BE189" s="835"/>
      <c r="BF189" s="835"/>
      <c r="BG189" s="835"/>
      <c r="BH189" s="814"/>
      <c r="BI189" s="834"/>
      <c r="BJ189" s="834"/>
      <c r="BK189" s="834"/>
      <c r="BL189" s="834"/>
      <c r="BM189" s="834"/>
      <c r="BN189" s="834"/>
      <c r="BO189" s="834"/>
      <c r="BP189" s="834"/>
      <c r="BQ189" s="275"/>
      <c r="BR189" s="843"/>
      <c r="BS189" s="843"/>
      <c r="BT189" s="843"/>
      <c r="BU189" s="843"/>
      <c r="BV189" s="843"/>
      <c r="BW189" s="843"/>
      <c r="BX189" s="843"/>
      <c r="BY189" s="843"/>
      <c r="BZ189" s="843"/>
      <c r="CA189" s="843"/>
      <c r="CB189" s="843"/>
      <c r="CC189" s="843"/>
      <c r="CD189" s="843"/>
      <c r="CE189" s="843"/>
      <c r="CF189" s="843"/>
      <c r="CG189" s="843"/>
      <c r="CH189" s="843"/>
      <c r="CI189" s="843"/>
      <c r="CJ189" s="844"/>
      <c r="CK189" s="364"/>
      <c r="CL189" s="364"/>
      <c r="CM189" s="364"/>
      <c r="CN189" s="364"/>
      <c r="CO189" s="364"/>
      <c r="CP189" s="364"/>
      <c r="CQ189" s="364"/>
      <c r="CR189" s="804"/>
      <c r="CS189" s="852"/>
      <c r="CT189" s="853"/>
      <c r="CU189" s="853"/>
      <c r="CV189" s="853"/>
      <c r="CW189" s="853"/>
      <c r="CX189" s="853"/>
      <c r="CY189" s="853"/>
      <c r="CZ189" s="853"/>
      <c r="DA189" s="853"/>
      <c r="DC189" s="853"/>
      <c r="DD189" s="853"/>
      <c r="DE189" s="853"/>
      <c r="DF189" s="853"/>
      <c r="DG189" s="853"/>
      <c r="DH189" s="853"/>
      <c r="DI189" s="853"/>
      <c r="DJ189" s="853"/>
      <c r="DK189" s="853"/>
      <c r="DM189" s="853"/>
      <c r="DN189" s="853"/>
      <c r="DO189" s="853"/>
      <c r="DP189" s="853"/>
      <c r="DQ189" s="853"/>
      <c r="DR189" s="853"/>
      <c r="DS189" s="805"/>
      <c r="DT189" s="805"/>
      <c r="DV189" s="806">
        <f t="shared" si="20"/>
        <v>0</v>
      </c>
      <c r="DW189" s="806">
        <f t="shared" si="21"/>
        <v>0</v>
      </c>
      <c r="DX189" s="794">
        <f t="shared" si="22"/>
        <v>0</v>
      </c>
    </row>
    <row r="190" spans="1:128" hidden="1">
      <c r="A190" s="198">
        <v>2412</v>
      </c>
      <c r="B190" s="2">
        <v>103349</v>
      </c>
      <c r="C190" s="2" t="s">
        <v>403</v>
      </c>
      <c r="D190" s="2" t="s">
        <v>404</v>
      </c>
      <c r="E190" s="190" t="s">
        <v>39</v>
      </c>
      <c r="F190" s="211" t="str">
        <f>VLOOKUP(A190,'Summary June 2026'!A:F,6,FALSE)</f>
        <v>Chq Bk</v>
      </c>
      <c r="G190" s="33"/>
      <c r="H190" s="825">
        <v>0</v>
      </c>
      <c r="I190" s="804"/>
      <c r="J190" s="797">
        <v>0</v>
      </c>
      <c r="K190" s="797">
        <v>0</v>
      </c>
      <c r="L190" s="797">
        <v>0</v>
      </c>
      <c r="M190" s="797">
        <v>0</v>
      </c>
      <c r="N190" s="797">
        <v>0</v>
      </c>
      <c r="O190" s="797">
        <v>0</v>
      </c>
      <c r="P190" s="797">
        <v>0</v>
      </c>
      <c r="Q190" s="797">
        <f t="shared" si="27"/>
        <v>0</v>
      </c>
      <c r="R190" s="797">
        <f t="shared" si="24"/>
        <v>0</v>
      </c>
      <c r="S190" s="804"/>
      <c r="T190" s="364">
        <v>0</v>
      </c>
      <c r="U190" s="364">
        <v>0</v>
      </c>
      <c r="V190" s="364">
        <v>0</v>
      </c>
      <c r="W190" s="364">
        <v>0</v>
      </c>
      <c r="X190" s="364">
        <v>0</v>
      </c>
      <c r="Y190" s="364">
        <v>0</v>
      </c>
      <c r="Z190" s="364">
        <v>0</v>
      </c>
      <c r="AA190" s="364">
        <f t="shared" si="25"/>
        <v>0</v>
      </c>
      <c r="AB190" s="364">
        <f t="shared" si="26"/>
        <v>0</v>
      </c>
      <c r="AC190" s="804"/>
      <c r="AD190" s="817"/>
      <c r="AE190" s="817"/>
      <c r="AF190" s="817"/>
      <c r="AG190" s="817"/>
      <c r="AH190" s="817"/>
      <c r="AI190" s="817"/>
      <c r="AJ190" s="817"/>
      <c r="AK190" s="818"/>
      <c r="AL190" s="817"/>
      <c r="AM190" s="275"/>
      <c r="AN190" s="886">
        <v>0</v>
      </c>
      <c r="AO190" s="886">
        <v>0</v>
      </c>
      <c r="AP190" s="275"/>
      <c r="AQ190" s="834"/>
      <c r="AR190" s="834"/>
      <c r="AS190" s="834"/>
      <c r="AT190" s="834"/>
      <c r="AU190" s="834"/>
      <c r="AV190" s="834"/>
      <c r="AW190" s="834"/>
      <c r="AX190" s="834"/>
      <c r="AZ190" s="835"/>
      <c r="BA190" s="835"/>
      <c r="BB190" s="835"/>
      <c r="BC190" s="835"/>
      <c r="BD190" s="835"/>
      <c r="BE190" s="835"/>
      <c r="BF190" s="835"/>
      <c r="BG190" s="835"/>
      <c r="BH190" s="814"/>
      <c r="BI190" s="834"/>
      <c r="BJ190" s="834"/>
      <c r="BK190" s="834"/>
      <c r="BL190" s="834"/>
      <c r="BM190" s="834"/>
      <c r="BN190" s="834"/>
      <c r="BO190" s="834"/>
      <c r="BP190" s="834"/>
      <c r="BQ190" s="275"/>
      <c r="BR190" s="843"/>
      <c r="BS190" s="843"/>
      <c r="BT190" s="843"/>
      <c r="BU190" s="843"/>
      <c r="BV190" s="843"/>
      <c r="BW190" s="843"/>
      <c r="BX190" s="843"/>
      <c r="BY190" s="843"/>
      <c r="BZ190" s="843"/>
      <c r="CA190" s="843"/>
      <c r="CB190" s="843"/>
      <c r="CC190" s="843"/>
      <c r="CD190" s="843"/>
      <c r="CE190" s="843"/>
      <c r="CF190" s="843"/>
      <c r="CG190" s="843"/>
      <c r="CH190" s="843"/>
      <c r="CI190" s="843"/>
      <c r="CJ190" s="844"/>
      <c r="CK190" s="364"/>
      <c r="CL190" s="364"/>
      <c r="CM190" s="364"/>
      <c r="CN190" s="364"/>
      <c r="CO190" s="364"/>
      <c r="CP190" s="364"/>
      <c r="CQ190" s="364"/>
      <c r="CR190" s="804"/>
      <c r="CS190" s="852"/>
      <c r="CT190" s="853"/>
      <c r="CU190" s="853"/>
      <c r="CV190" s="853"/>
      <c r="CW190" s="853"/>
      <c r="CX190" s="853"/>
      <c r="CY190" s="853"/>
      <c r="CZ190" s="853"/>
      <c r="DA190" s="853"/>
      <c r="DC190" s="853"/>
      <c r="DD190" s="853"/>
      <c r="DE190" s="853"/>
      <c r="DF190" s="853"/>
      <c r="DG190" s="853"/>
      <c r="DH190" s="853"/>
      <c r="DI190" s="853"/>
      <c r="DJ190" s="853"/>
      <c r="DK190" s="853"/>
      <c r="DM190" s="853"/>
      <c r="DN190" s="853"/>
      <c r="DO190" s="853"/>
      <c r="DP190" s="853"/>
      <c r="DQ190" s="853"/>
      <c r="DR190" s="853"/>
      <c r="DS190" s="805"/>
      <c r="DT190" s="805"/>
      <c r="DV190" s="806">
        <f t="shared" si="20"/>
        <v>0</v>
      </c>
      <c r="DW190" s="806">
        <f t="shared" si="21"/>
        <v>0</v>
      </c>
      <c r="DX190" s="794">
        <f t="shared" si="22"/>
        <v>0</v>
      </c>
    </row>
    <row r="191" spans="1:128" hidden="1">
      <c r="A191" s="198">
        <v>3421</v>
      </c>
      <c r="B191" s="2">
        <v>133996</v>
      </c>
      <c r="C191" s="2" t="s">
        <v>405</v>
      </c>
      <c r="D191" s="2" t="s">
        <v>406</v>
      </c>
      <c r="E191" s="190" t="s">
        <v>39</v>
      </c>
      <c r="F191" s="211" t="str">
        <f>VLOOKUP(A191,'Summary June 2026'!A:F,6,FALSE)</f>
        <v>Chq Bk</v>
      </c>
      <c r="G191" s="33"/>
      <c r="H191" s="825">
        <v>0</v>
      </c>
      <c r="I191" s="804"/>
      <c r="J191" s="797">
        <v>0</v>
      </c>
      <c r="K191" s="797">
        <v>0</v>
      </c>
      <c r="L191" s="797">
        <v>0</v>
      </c>
      <c r="M191" s="797">
        <v>0</v>
      </c>
      <c r="N191" s="797">
        <v>0</v>
      </c>
      <c r="O191" s="797">
        <v>0</v>
      </c>
      <c r="P191" s="797">
        <v>0</v>
      </c>
      <c r="Q191" s="797">
        <f t="shared" si="27"/>
        <v>0</v>
      </c>
      <c r="R191" s="797">
        <f t="shared" si="24"/>
        <v>0</v>
      </c>
      <c r="S191" s="804"/>
      <c r="T191" s="364">
        <v>0</v>
      </c>
      <c r="U191" s="364">
        <v>0</v>
      </c>
      <c r="V191" s="364">
        <v>0</v>
      </c>
      <c r="W191" s="364">
        <v>0</v>
      </c>
      <c r="X191" s="364">
        <v>0</v>
      </c>
      <c r="Y191" s="364">
        <v>0</v>
      </c>
      <c r="Z191" s="364">
        <v>0</v>
      </c>
      <c r="AA191" s="364">
        <f t="shared" si="25"/>
        <v>0</v>
      </c>
      <c r="AB191" s="364">
        <f t="shared" si="26"/>
        <v>0</v>
      </c>
      <c r="AC191" s="804"/>
      <c r="AD191" s="817"/>
      <c r="AE191" s="817"/>
      <c r="AF191" s="817"/>
      <c r="AG191" s="817"/>
      <c r="AH191" s="817"/>
      <c r="AI191" s="817"/>
      <c r="AJ191" s="817"/>
      <c r="AK191" s="818"/>
      <c r="AL191" s="817"/>
      <c r="AM191" s="275"/>
      <c r="AN191" s="886">
        <v>0</v>
      </c>
      <c r="AO191" s="886">
        <v>0</v>
      </c>
      <c r="AP191" s="275"/>
      <c r="AQ191" s="834"/>
      <c r="AR191" s="834"/>
      <c r="AS191" s="834"/>
      <c r="AT191" s="834"/>
      <c r="AU191" s="834"/>
      <c r="AV191" s="834"/>
      <c r="AW191" s="834"/>
      <c r="AX191" s="834"/>
      <c r="AZ191" s="835"/>
      <c r="BA191" s="835"/>
      <c r="BB191" s="835"/>
      <c r="BC191" s="835"/>
      <c r="BD191" s="835"/>
      <c r="BE191" s="835"/>
      <c r="BF191" s="835"/>
      <c r="BG191" s="835"/>
      <c r="BH191" s="814"/>
      <c r="BI191" s="834"/>
      <c r="BJ191" s="834"/>
      <c r="BK191" s="834"/>
      <c r="BL191" s="834"/>
      <c r="BM191" s="834"/>
      <c r="BN191" s="834"/>
      <c r="BO191" s="834"/>
      <c r="BP191" s="834"/>
      <c r="BQ191" s="275"/>
      <c r="BR191" s="843"/>
      <c r="BS191" s="843"/>
      <c r="BT191" s="843"/>
      <c r="BU191" s="843"/>
      <c r="BV191" s="843"/>
      <c r="BW191" s="843"/>
      <c r="BX191" s="843"/>
      <c r="BY191" s="843"/>
      <c r="BZ191" s="843"/>
      <c r="CA191" s="843"/>
      <c r="CB191" s="843"/>
      <c r="CC191" s="843"/>
      <c r="CD191" s="843"/>
      <c r="CE191" s="843"/>
      <c r="CF191" s="843"/>
      <c r="CG191" s="843"/>
      <c r="CH191" s="843"/>
      <c r="CI191" s="843"/>
      <c r="CJ191" s="844"/>
      <c r="CK191" s="364"/>
      <c r="CL191" s="364"/>
      <c r="CM191" s="364"/>
      <c r="CN191" s="364"/>
      <c r="CO191" s="364"/>
      <c r="CP191" s="364"/>
      <c r="CQ191" s="364"/>
      <c r="CR191" s="804"/>
      <c r="CS191" s="852"/>
      <c r="CT191" s="853"/>
      <c r="CU191" s="853"/>
      <c r="CV191" s="853"/>
      <c r="CW191" s="853"/>
      <c r="CX191" s="853"/>
      <c r="CY191" s="853"/>
      <c r="CZ191" s="853"/>
      <c r="DA191" s="853"/>
      <c r="DC191" s="853"/>
      <c r="DD191" s="853"/>
      <c r="DE191" s="853"/>
      <c r="DF191" s="853"/>
      <c r="DG191" s="853"/>
      <c r="DH191" s="853"/>
      <c r="DI191" s="853"/>
      <c r="DJ191" s="853"/>
      <c r="DK191" s="853"/>
      <c r="DM191" s="853"/>
      <c r="DN191" s="853"/>
      <c r="DO191" s="853"/>
      <c r="DP191" s="853"/>
      <c r="DQ191" s="853"/>
      <c r="DR191" s="853"/>
      <c r="DS191" s="805"/>
      <c r="DT191" s="805"/>
      <c r="DV191" s="806">
        <f t="shared" si="20"/>
        <v>0</v>
      </c>
      <c r="DW191" s="806">
        <f t="shared" si="21"/>
        <v>0</v>
      </c>
      <c r="DX191" s="794">
        <f t="shared" si="22"/>
        <v>0</v>
      </c>
    </row>
    <row r="192" spans="1:128" hidden="1">
      <c r="A192" s="198">
        <v>2227</v>
      </c>
      <c r="B192" s="2">
        <v>103281</v>
      </c>
      <c r="C192" s="2" t="s">
        <v>407</v>
      </c>
      <c r="D192" s="2" t="s">
        <v>408</v>
      </c>
      <c r="E192" s="190" t="s">
        <v>39</v>
      </c>
      <c r="F192" s="211" t="str">
        <f>VLOOKUP(A192,'Summary June 2026'!A:F,6,FALSE)</f>
        <v>Chq Bk</v>
      </c>
      <c r="G192" s="33"/>
      <c r="H192" s="825">
        <v>0</v>
      </c>
      <c r="I192" s="804"/>
      <c r="J192" s="797">
        <v>0</v>
      </c>
      <c r="K192" s="797">
        <v>0</v>
      </c>
      <c r="L192" s="797">
        <v>64903.8</v>
      </c>
      <c r="M192" s="797">
        <v>6054.7499999999991</v>
      </c>
      <c r="N192" s="797">
        <v>2126.5673684210528</v>
      </c>
      <c r="O192" s="797">
        <v>2636.4</v>
      </c>
      <c r="P192" s="797">
        <v>975</v>
      </c>
      <c r="Q192" s="797">
        <f t="shared" si="27"/>
        <v>76696.517368421046</v>
      </c>
      <c r="R192" s="797">
        <f t="shared" si="24"/>
        <v>61357.213894736837</v>
      </c>
      <c r="S192" s="804"/>
      <c r="T192" s="364">
        <v>0</v>
      </c>
      <c r="U192" s="364">
        <v>0</v>
      </c>
      <c r="V192" s="364">
        <v>52657.8</v>
      </c>
      <c r="W192" s="364">
        <v>5830.5</v>
      </c>
      <c r="X192" s="364">
        <v>2051.9473684210525</v>
      </c>
      <c r="Y192" s="364">
        <v>2445.2999999999997</v>
      </c>
      <c r="Z192" s="364">
        <v>975</v>
      </c>
      <c r="AA192" s="364">
        <f t="shared" si="25"/>
        <v>63960.547368421059</v>
      </c>
      <c r="AB192" s="364">
        <f t="shared" si="26"/>
        <v>51168.437894736853</v>
      </c>
      <c r="AC192" s="804"/>
      <c r="AD192" s="817"/>
      <c r="AE192" s="817"/>
      <c r="AF192" s="817"/>
      <c r="AG192" s="817"/>
      <c r="AH192" s="817"/>
      <c r="AI192" s="817"/>
      <c r="AJ192" s="817"/>
      <c r="AK192" s="818"/>
      <c r="AL192" s="817"/>
      <c r="AM192" s="275"/>
      <c r="AN192" s="886">
        <v>15451.606869806095</v>
      </c>
      <c r="AO192" s="886">
        <v>0</v>
      </c>
      <c r="AP192" s="275"/>
      <c r="AQ192" s="834"/>
      <c r="AR192" s="834"/>
      <c r="AS192" s="834"/>
      <c r="AT192" s="834"/>
      <c r="AU192" s="834"/>
      <c r="AV192" s="834"/>
      <c r="AW192" s="834"/>
      <c r="AX192" s="834"/>
      <c r="AZ192" s="835"/>
      <c r="BA192" s="835"/>
      <c r="BB192" s="835"/>
      <c r="BC192" s="835"/>
      <c r="BD192" s="835"/>
      <c r="BE192" s="835"/>
      <c r="BF192" s="835"/>
      <c r="BG192" s="835"/>
      <c r="BH192" s="814"/>
      <c r="BI192" s="834"/>
      <c r="BJ192" s="834"/>
      <c r="BK192" s="834"/>
      <c r="BL192" s="834"/>
      <c r="BM192" s="834"/>
      <c r="BN192" s="834"/>
      <c r="BO192" s="834"/>
      <c r="BP192" s="834"/>
      <c r="BQ192" s="275"/>
      <c r="BR192" s="843"/>
      <c r="BS192" s="843"/>
      <c r="BT192" s="843"/>
      <c r="BU192" s="843"/>
      <c r="BV192" s="843"/>
      <c r="BW192" s="843"/>
      <c r="BX192" s="843"/>
      <c r="BY192" s="843"/>
      <c r="BZ192" s="843"/>
      <c r="CA192" s="843"/>
      <c r="CB192" s="843"/>
      <c r="CC192" s="843"/>
      <c r="CD192" s="843"/>
      <c r="CE192" s="843"/>
      <c r="CF192" s="843"/>
      <c r="CG192" s="843"/>
      <c r="CH192" s="843"/>
      <c r="CI192" s="843"/>
      <c r="CJ192" s="844"/>
      <c r="CK192" s="364"/>
      <c r="CL192" s="364"/>
      <c r="CM192" s="364"/>
      <c r="CN192" s="364"/>
      <c r="CO192" s="364"/>
      <c r="CP192" s="364"/>
      <c r="CQ192" s="364"/>
      <c r="CR192" s="804"/>
      <c r="CS192" s="852"/>
      <c r="CT192" s="853"/>
      <c r="CU192" s="853"/>
      <c r="CV192" s="853"/>
      <c r="CW192" s="853"/>
      <c r="CX192" s="853"/>
      <c r="CY192" s="853"/>
      <c r="CZ192" s="853"/>
      <c r="DA192" s="853"/>
      <c r="DC192" s="853"/>
      <c r="DD192" s="853"/>
      <c r="DE192" s="853"/>
      <c r="DF192" s="853"/>
      <c r="DG192" s="853"/>
      <c r="DH192" s="853"/>
      <c r="DI192" s="853"/>
      <c r="DJ192" s="853"/>
      <c r="DK192" s="853"/>
      <c r="DM192" s="853"/>
      <c r="DN192" s="853"/>
      <c r="DO192" s="853"/>
      <c r="DP192" s="853"/>
      <c r="DQ192" s="853"/>
      <c r="DR192" s="853"/>
      <c r="DS192" s="805"/>
      <c r="DT192" s="805"/>
      <c r="DV192" s="806">
        <f t="shared" si="20"/>
        <v>126417.25865927977</v>
      </c>
      <c r="DW192" s="806">
        <f t="shared" si="21"/>
        <v>1560</v>
      </c>
      <c r="DX192" s="794">
        <f t="shared" si="22"/>
        <v>127977.25865927977</v>
      </c>
    </row>
    <row r="193" spans="1:128">
      <c r="A193" s="198">
        <v>2231</v>
      </c>
      <c r="B193" s="2">
        <v>103284</v>
      </c>
      <c r="C193" s="2" t="s">
        <v>409</v>
      </c>
      <c r="D193" s="2" t="s">
        <v>410</v>
      </c>
      <c r="E193" s="190" t="s">
        <v>39</v>
      </c>
      <c r="F193" s="211" t="str">
        <f>VLOOKUP(A193,'Summary June 2026'!A:F,6,FALSE)</f>
        <v>Academy</v>
      </c>
      <c r="G193" s="33"/>
      <c r="H193" s="825">
        <v>0</v>
      </c>
      <c r="I193" s="804"/>
      <c r="J193" s="797">
        <v>0</v>
      </c>
      <c r="K193" s="797">
        <v>0</v>
      </c>
      <c r="L193" s="797">
        <v>0</v>
      </c>
      <c r="M193" s="797">
        <v>0</v>
      </c>
      <c r="N193" s="797">
        <v>0</v>
      </c>
      <c r="O193" s="797">
        <v>0</v>
      </c>
      <c r="P193" s="797">
        <v>0</v>
      </c>
      <c r="Q193" s="797">
        <v>0</v>
      </c>
      <c r="R193" s="797">
        <f t="shared" si="24"/>
        <v>0</v>
      </c>
      <c r="S193" s="804"/>
      <c r="T193" s="364">
        <v>0</v>
      </c>
      <c r="U193" s="364">
        <v>0</v>
      </c>
      <c r="V193" s="364">
        <v>0</v>
      </c>
      <c r="W193" s="364">
        <v>0</v>
      </c>
      <c r="X193" s="364">
        <v>0</v>
      </c>
      <c r="Y193" s="364">
        <v>0</v>
      </c>
      <c r="Z193" s="364">
        <v>0</v>
      </c>
      <c r="AA193" s="364">
        <f t="shared" si="25"/>
        <v>0</v>
      </c>
      <c r="AB193" s="364">
        <f t="shared" si="26"/>
        <v>0</v>
      </c>
      <c r="AC193" s="804"/>
      <c r="AD193" s="817"/>
      <c r="AE193" s="817"/>
      <c r="AF193" s="817"/>
      <c r="AG193" s="817"/>
      <c r="AH193" s="817"/>
      <c r="AI193" s="817"/>
      <c r="AJ193" s="817"/>
      <c r="AK193" s="818"/>
      <c r="AL193" s="817"/>
      <c r="AM193" s="275"/>
      <c r="AN193" s="886">
        <v>0</v>
      </c>
      <c r="AO193" s="886">
        <v>0</v>
      </c>
      <c r="AP193" s="275"/>
      <c r="AQ193" s="834"/>
      <c r="AR193" s="834"/>
      <c r="AS193" s="834"/>
      <c r="AT193" s="834"/>
      <c r="AU193" s="834"/>
      <c r="AV193" s="834"/>
      <c r="AW193" s="834"/>
      <c r="AX193" s="834"/>
      <c r="AZ193" s="835"/>
      <c r="BA193" s="835"/>
      <c r="BB193" s="835"/>
      <c r="BC193" s="835"/>
      <c r="BD193" s="835"/>
      <c r="BE193" s="835"/>
      <c r="BF193" s="835"/>
      <c r="BG193" s="835"/>
      <c r="BH193" s="814"/>
      <c r="BI193" s="834"/>
      <c r="BJ193" s="834"/>
      <c r="BK193" s="834"/>
      <c r="BL193" s="834"/>
      <c r="BM193" s="834"/>
      <c r="BN193" s="834"/>
      <c r="BO193" s="834"/>
      <c r="BP193" s="834"/>
      <c r="BQ193" s="275"/>
      <c r="BR193" s="843"/>
      <c r="BS193" s="843"/>
      <c r="BT193" s="843"/>
      <c r="BU193" s="843"/>
      <c r="BV193" s="843"/>
      <c r="BW193" s="843"/>
      <c r="BX193" s="843"/>
      <c r="BY193" s="843"/>
      <c r="BZ193" s="843"/>
      <c r="CA193" s="843"/>
      <c r="CB193" s="843"/>
      <c r="CC193" s="843"/>
      <c r="CD193" s="843"/>
      <c r="CE193" s="843"/>
      <c r="CF193" s="843"/>
      <c r="CG193" s="843"/>
      <c r="CH193" s="843"/>
      <c r="CI193" s="843"/>
      <c r="CJ193" s="844"/>
      <c r="CK193" s="364"/>
      <c r="CL193" s="364"/>
      <c r="CM193" s="364"/>
      <c r="CN193" s="364"/>
      <c r="CO193" s="364"/>
      <c r="CP193" s="364"/>
      <c r="CQ193" s="364"/>
      <c r="CR193" s="804"/>
      <c r="CS193" s="852"/>
      <c r="CT193" s="853"/>
      <c r="CU193" s="853"/>
      <c r="CV193" s="853"/>
      <c r="CW193" s="853"/>
      <c r="CX193" s="853"/>
      <c r="CY193" s="853"/>
      <c r="CZ193" s="853"/>
      <c r="DA193" s="853"/>
      <c r="DC193" s="853"/>
      <c r="DD193" s="853"/>
      <c r="DE193" s="853"/>
      <c r="DF193" s="853"/>
      <c r="DG193" s="853"/>
      <c r="DH193" s="853"/>
      <c r="DI193" s="853"/>
      <c r="DJ193" s="853"/>
      <c r="DK193" s="853"/>
      <c r="DM193" s="853"/>
      <c r="DN193" s="853"/>
      <c r="DO193" s="853"/>
      <c r="DP193" s="853"/>
      <c r="DQ193" s="853"/>
      <c r="DR193" s="853"/>
      <c r="DS193" s="805"/>
      <c r="DT193" s="805"/>
      <c r="DV193" s="806">
        <f t="shared" si="20"/>
        <v>0</v>
      </c>
      <c r="DW193" s="806">
        <f t="shared" si="21"/>
        <v>0</v>
      </c>
      <c r="DX193" s="794">
        <f t="shared" si="22"/>
        <v>0</v>
      </c>
    </row>
    <row r="194" spans="1:128" hidden="1">
      <c r="A194" s="198"/>
      <c r="B194" s="2"/>
      <c r="C194" s="2"/>
      <c r="D194" s="2"/>
      <c r="E194" s="190"/>
      <c r="F194" s="211"/>
      <c r="G194" s="33"/>
      <c r="H194" s="826"/>
      <c r="I194" s="804"/>
      <c r="J194" s="813"/>
      <c r="K194" s="813"/>
      <c r="L194" s="813"/>
      <c r="M194" s="813"/>
      <c r="N194" s="813"/>
      <c r="O194" s="813"/>
      <c r="P194" s="813"/>
      <c r="Q194" s="814"/>
      <c r="R194" s="813"/>
      <c r="S194" s="804"/>
      <c r="T194" s="364"/>
      <c r="U194" s="364"/>
      <c r="V194" s="364"/>
      <c r="W194" s="364"/>
      <c r="X194" s="364"/>
      <c r="Y194" s="364"/>
      <c r="Z194" s="364"/>
      <c r="AA194" s="364"/>
      <c r="AB194" s="364"/>
      <c r="AC194" s="804"/>
      <c r="AD194" s="817"/>
      <c r="AE194" s="817"/>
      <c r="AF194" s="817"/>
      <c r="AG194" s="817"/>
      <c r="AH194" s="817"/>
      <c r="AI194" s="817"/>
      <c r="AJ194" s="817"/>
      <c r="AK194" s="818"/>
      <c r="AL194" s="817"/>
      <c r="AM194" s="275"/>
      <c r="AN194" s="886">
        <v>0</v>
      </c>
      <c r="AO194" s="886">
        <v>0</v>
      </c>
      <c r="AP194" s="275"/>
      <c r="AQ194" s="834"/>
      <c r="AR194" s="834"/>
      <c r="AS194" s="834"/>
      <c r="AT194" s="834"/>
      <c r="AU194" s="834"/>
      <c r="AV194" s="834"/>
      <c r="AW194" s="834"/>
      <c r="AX194" s="834"/>
      <c r="AZ194" s="835"/>
      <c r="BA194" s="835"/>
      <c r="BB194" s="835"/>
      <c r="BC194" s="835"/>
      <c r="BD194" s="835"/>
      <c r="BE194" s="835"/>
      <c r="BF194" s="835"/>
      <c r="BG194" s="835"/>
      <c r="BH194" s="814"/>
      <c r="BI194" s="834"/>
      <c r="BJ194" s="834"/>
      <c r="BK194" s="834"/>
      <c r="BL194" s="834"/>
      <c r="BM194" s="834"/>
      <c r="BN194" s="834"/>
      <c r="BO194" s="834"/>
      <c r="BP194" s="834"/>
      <c r="BQ194" s="275"/>
      <c r="BR194" s="843"/>
      <c r="BS194" s="843"/>
      <c r="BT194" s="843"/>
      <c r="BU194" s="843"/>
      <c r="BV194" s="843"/>
      <c r="BW194" s="843"/>
      <c r="BX194" s="843"/>
      <c r="BY194" s="843"/>
      <c r="BZ194" s="843"/>
      <c r="CA194" s="843"/>
      <c r="CB194" s="843"/>
      <c r="CC194" s="843"/>
      <c r="CD194" s="843"/>
      <c r="CE194" s="843"/>
      <c r="CF194" s="843"/>
      <c r="CG194" s="843"/>
      <c r="CH194" s="843"/>
      <c r="CI194" s="843"/>
      <c r="CJ194" s="844"/>
      <c r="CK194" s="364"/>
      <c r="CL194" s="364"/>
      <c r="CM194" s="364"/>
      <c r="CN194" s="364"/>
      <c r="CO194" s="364"/>
      <c r="CP194" s="364"/>
      <c r="CQ194" s="364"/>
      <c r="CR194" s="804"/>
      <c r="CS194" s="852"/>
      <c r="CT194" s="853"/>
      <c r="CU194" s="853"/>
      <c r="CV194" s="853"/>
      <c r="CW194" s="853"/>
      <c r="CX194" s="853"/>
      <c r="CY194" s="853"/>
      <c r="CZ194" s="853"/>
      <c r="DA194" s="853"/>
      <c r="DC194" s="853"/>
      <c r="DD194" s="853"/>
      <c r="DE194" s="853"/>
      <c r="DF194" s="853"/>
      <c r="DG194" s="853"/>
      <c r="DH194" s="853"/>
      <c r="DI194" s="853"/>
      <c r="DJ194" s="853"/>
      <c r="DK194" s="853"/>
      <c r="DM194" s="853"/>
      <c r="DN194" s="853"/>
      <c r="DO194" s="853"/>
      <c r="DP194" s="853"/>
      <c r="DQ194" s="853"/>
      <c r="DR194" s="853"/>
      <c r="DS194" s="805"/>
      <c r="DT194" s="805"/>
      <c r="DV194" s="806">
        <f t="shared" si="20"/>
        <v>0</v>
      </c>
      <c r="DW194" s="806">
        <f t="shared" si="21"/>
        <v>0</v>
      </c>
      <c r="DX194" s="794">
        <f t="shared" si="22"/>
        <v>0</v>
      </c>
    </row>
    <row r="195" spans="1:128" ht="15.75" hidden="1" thickBot="1">
      <c r="A195" s="198"/>
      <c r="B195" s="2"/>
      <c r="C195" s="2"/>
      <c r="D195" s="4"/>
      <c r="E195" s="190"/>
      <c r="F195" s="794"/>
      <c r="G195" s="33"/>
      <c r="H195" s="867">
        <f>SUM(H8:H194)</f>
        <v>6461349.0000000009</v>
      </c>
      <c r="I195" s="868"/>
      <c r="J195" s="869">
        <f>SUM(J8:J194)</f>
        <v>7189.65</v>
      </c>
      <c r="K195" s="869">
        <f t="shared" ref="K195:R195" si="28">SUM(K8:K194)</f>
        <v>1347232.368</v>
      </c>
      <c r="L195" s="869">
        <f t="shared" si="28"/>
        <v>6864402.9840000011</v>
      </c>
      <c r="M195" s="869">
        <f t="shared" si="28"/>
        <v>528557.25</v>
      </c>
      <c r="N195" s="869">
        <f t="shared" si="28"/>
        <v>128925.264</v>
      </c>
      <c r="O195" s="869">
        <f>SUM(O8:O194)</f>
        <v>272382.34400000004</v>
      </c>
      <c r="P195" s="869">
        <f t="shared" si="28"/>
        <v>157950</v>
      </c>
      <c r="Q195" s="869">
        <f t="shared" si="28"/>
        <v>9306639.8599999975</v>
      </c>
      <c r="R195" s="869">
        <f t="shared" si="28"/>
        <v>7445311.8879999993</v>
      </c>
      <c r="S195" s="807"/>
      <c r="T195" s="870">
        <f>SUM(T8:T194)</f>
        <v>21568.949999999997</v>
      </c>
      <c r="U195" s="870">
        <f t="shared" ref="U195:AB195" si="29">SUM(U8:U194)</f>
        <v>1701682.8900000001</v>
      </c>
      <c r="V195" s="870">
        <f t="shared" si="29"/>
        <v>4813974.1919999979</v>
      </c>
      <c r="W195" s="870">
        <f t="shared" si="29"/>
        <v>362490.375</v>
      </c>
      <c r="X195" s="870">
        <f t="shared" si="29"/>
        <v>98390.05</v>
      </c>
      <c r="Y195" s="870">
        <f t="shared" si="29"/>
        <v>206141.02600000001</v>
      </c>
      <c r="Z195" s="870">
        <f t="shared" si="29"/>
        <v>60450</v>
      </c>
      <c r="AA195" s="870">
        <f t="shared" si="29"/>
        <v>7264697.4830000009</v>
      </c>
      <c r="AB195" s="870">
        <f t="shared" si="29"/>
        <v>5811757.9864000008</v>
      </c>
      <c r="AC195" s="807"/>
      <c r="AD195" s="855"/>
      <c r="AE195" s="855"/>
      <c r="AF195" s="855"/>
      <c r="AG195" s="855"/>
      <c r="AH195" s="855"/>
      <c r="AI195" s="855"/>
      <c r="AJ195" s="855"/>
      <c r="AK195" s="855"/>
      <c r="AL195" s="855"/>
      <c r="AM195" s="808"/>
      <c r="AN195" s="887">
        <f t="shared" ref="AN195:AO195" si="30">SUM(AN8:AN194)</f>
        <v>1066463.4742271462</v>
      </c>
      <c r="AO195" s="887">
        <f t="shared" si="30"/>
        <v>15427.17783933518</v>
      </c>
      <c r="AP195" s="808"/>
      <c r="AQ195" s="834"/>
      <c r="AR195" s="834"/>
      <c r="AS195" s="834"/>
      <c r="AT195" s="834"/>
      <c r="AU195" s="834"/>
      <c r="AV195" s="834"/>
      <c r="AW195" s="834"/>
      <c r="AX195" s="834"/>
      <c r="AZ195" s="834"/>
      <c r="BA195" s="834"/>
      <c r="BB195" s="834"/>
      <c r="BC195" s="834"/>
      <c r="BD195" s="834"/>
      <c r="BE195" s="834"/>
      <c r="BF195" s="834"/>
      <c r="BG195" s="834"/>
      <c r="BH195" s="834"/>
      <c r="BI195" s="836"/>
      <c r="BJ195" s="836"/>
      <c r="BK195" s="836"/>
      <c r="BL195" s="836"/>
      <c r="BM195" s="836"/>
      <c r="BN195" s="836"/>
      <c r="BO195" s="836"/>
      <c r="BP195" s="836"/>
      <c r="BQ195" s="808"/>
      <c r="BR195" s="845"/>
      <c r="BS195" s="845"/>
      <c r="BT195" s="845"/>
      <c r="BU195" s="845"/>
      <c r="BV195" s="845"/>
      <c r="BW195" s="845"/>
      <c r="BX195" s="845"/>
      <c r="BY195" s="845"/>
      <c r="BZ195" s="845"/>
      <c r="CA195" s="845"/>
      <c r="CB195" s="845"/>
      <c r="CC195" s="845"/>
      <c r="CD195" s="845"/>
      <c r="CE195" s="845"/>
      <c r="CF195" s="845"/>
      <c r="CG195" s="845"/>
      <c r="CH195" s="845"/>
      <c r="CI195" s="845"/>
      <c r="CJ195" s="845"/>
      <c r="CK195" s="845"/>
      <c r="CL195" s="845"/>
      <c r="CM195" s="845"/>
      <c r="CN195" s="845"/>
      <c r="CO195" s="845"/>
      <c r="CP195" s="845"/>
      <c r="CQ195" s="845"/>
      <c r="CR195" s="808"/>
      <c r="CS195" s="854"/>
      <c r="CT195" s="854"/>
      <c r="CU195" s="854"/>
      <c r="CV195" s="854"/>
      <c r="CW195" s="854"/>
      <c r="CX195" s="854"/>
      <c r="CY195" s="854"/>
      <c r="CZ195" s="854"/>
      <c r="DA195" s="854"/>
      <c r="DC195" s="854"/>
      <c r="DD195" s="854"/>
      <c r="DE195" s="854"/>
      <c r="DF195" s="854"/>
      <c r="DG195" s="854"/>
      <c r="DH195" s="854"/>
      <c r="DI195" s="854"/>
      <c r="DJ195" s="854"/>
      <c r="DK195" s="854"/>
      <c r="DM195" s="854"/>
      <c r="DN195" s="854"/>
      <c r="DO195" s="854"/>
      <c r="DP195" s="854"/>
      <c r="DQ195" s="854"/>
      <c r="DR195" s="854"/>
      <c r="DS195" s="808"/>
      <c r="DT195" s="808"/>
      <c r="DV195" s="809">
        <f>SUM(DV8:DV194)</f>
        <v>20610162.348627139</v>
      </c>
      <c r="DW195" s="376">
        <f>SUM(DW8:DW194)</f>
        <v>190147.1778393352</v>
      </c>
      <c r="DX195" s="810">
        <f>SUM(DX8:DX194)</f>
        <v>20800309.526466481</v>
      </c>
    </row>
    <row r="197" spans="1:128">
      <c r="AX197" s="835"/>
    </row>
  </sheetData>
  <sheetProtection algorithmName="SHA-512" hashValue="LwAOl/bZOzF9jHNHWVJne28jeKcWTW+O8jRxd5khjraWrxnweNood9YMWCkbgSuTBnmVR0EHeE7N4tAy19DaMQ==" saltValue="cBefC4z7JY7e8w5jDJCJ1Q==" spinCount="100000" sheet="1" autoFilter="0"/>
  <autoFilter ref="A7:DZ195" xr:uid="{559EC715-CAF1-44E8-A16C-304CD5956029}">
    <filterColumn colId="3">
      <filters>
        <filter val="Yorkmead Junior and Infant School"/>
      </filters>
    </filterColumn>
  </autoFilter>
  <phoneticPr fontId="94" type="noConversion"/>
  <conditionalFormatting sqref="A7:F7 A8:E8 E9:E195">
    <cfRule type="cellIs" dxfId="5" priority="2" operator="lessThan">
      <formula>0</formula>
    </cfRule>
  </conditionalFormatting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5E7DA-57AD-470C-A196-8FC22E0C8349}">
  <sheetPr codeName="Sheet9">
    <tabColor theme="5" tint="0.79998168889431442"/>
  </sheetPr>
  <dimension ref="A1:AR23"/>
  <sheetViews>
    <sheetView zoomScale="80" zoomScaleNormal="80" workbookViewId="0">
      <pane xSplit="5" ySplit="8" topLeftCell="N9" activePane="bottomRight" state="frozen"/>
      <selection pane="topRight" activeCell="F1" sqref="F1"/>
      <selection pane="bottomLeft" activeCell="A9" sqref="A9"/>
      <selection pane="bottomRight" activeCell="AM14" sqref="AM14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14.28515625" bestFit="1" customWidth="1"/>
    <col min="9" max="14" width="12.28515625" bestFit="1" customWidth="1"/>
    <col min="15" max="15" width="13.85546875" bestFit="1" customWidth="1"/>
    <col min="16" max="16" width="12.28515625" bestFit="1" customWidth="1"/>
    <col min="17" max="17" width="13.85546875" bestFit="1" customWidth="1"/>
    <col min="18" max="21" width="12.28515625" bestFit="1" customWidth="1"/>
    <col min="22" max="22" width="13.85546875" bestFit="1" customWidth="1"/>
    <col min="23" max="23" width="18.140625" bestFit="1" customWidth="1"/>
    <col min="24" max="24" width="3.42578125" bestFit="1" customWidth="1"/>
    <col min="25" max="38" width="18.140625" customWidth="1"/>
    <col min="39" max="39" width="18.140625" bestFit="1" customWidth="1"/>
    <col min="40" max="40" width="11.7109375" bestFit="1" customWidth="1"/>
    <col min="41" max="41" width="14.140625" customWidth="1"/>
    <col min="44" max="44" width="13.85546875" customWidth="1"/>
  </cols>
  <sheetData>
    <row r="1" spans="1:44">
      <c r="A1" s="1" t="s">
        <v>1012</v>
      </c>
      <c r="B1" s="1"/>
    </row>
    <row r="2" spans="1:44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</row>
    <row r="3" spans="1:44">
      <c r="D3" s="66"/>
      <c r="G3" s="66" t="s">
        <v>959</v>
      </c>
    </row>
    <row r="4" spans="1:44" ht="15.75" thickBot="1">
      <c r="D4" s="66"/>
      <c r="G4" s="66" t="s">
        <v>960</v>
      </c>
    </row>
    <row r="5" spans="1:44" ht="15.75" thickBot="1">
      <c r="D5" s="66"/>
      <c r="I5" s="856" t="s">
        <v>1013</v>
      </c>
      <c r="J5" s="800"/>
      <c r="K5" s="800"/>
      <c r="L5" s="800"/>
      <c r="M5" s="800"/>
      <c r="N5" s="800"/>
      <c r="O5" s="800"/>
      <c r="P5" s="800"/>
      <c r="Q5" s="800"/>
      <c r="R5" s="800"/>
      <c r="S5" s="800"/>
      <c r="T5" s="800"/>
      <c r="U5" s="800"/>
      <c r="V5" s="800"/>
      <c r="W5" s="857"/>
      <c r="X5" s="64"/>
      <c r="Y5" s="856" t="s">
        <v>1014</v>
      </c>
      <c r="Z5" s="800"/>
      <c r="AA5" s="800"/>
      <c r="AB5" s="800"/>
      <c r="AC5" s="800"/>
      <c r="AD5" s="800"/>
      <c r="AE5" s="800"/>
      <c r="AF5" s="800"/>
      <c r="AG5" s="800"/>
      <c r="AH5" s="800"/>
      <c r="AI5" s="800"/>
      <c r="AJ5" s="800"/>
      <c r="AK5" s="800"/>
      <c r="AL5" s="800"/>
      <c r="AM5" s="857"/>
    </row>
    <row r="6" spans="1:44" ht="15.75" thickBot="1">
      <c r="D6" s="66"/>
      <c r="G6" s="66"/>
      <c r="I6" s="921" t="s">
        <v>1015</v>
      </c>
      <c r="J6" s="922"/>
      <c r="K6" s="922"/>
      <c r="L6" s="922"/>
      <c r="M6" s="922"/>
      <c r="N6" s="922"/>
      <c r="O6" s="922"/>
      <c r="P6" s="922"/>
      <c r="Q6" s="923"/>
      <c r="R6" s="921" t="s">
        <v>1016</v>
      </c>
      <c r="S6" s="922"/>
      <c r="T6" s="922"/>
      <c r="U6" s="922"/>
      <c r="V6" s="923"/>
      <c r="W6" s="374" t="s">
        <v>33</v>
      </c>
      <c r="X6" s="64"/>
      <c r="Y6" s="921" t="s">
        <v>1015</v>
      </c>
      <c r="Z6" s="922"/>
      <c r="AA6" s="922"/>
      <c r="AB6" s="922"/>
      <c r="AC6" s="922"/>
      <c r="AD6" s="922"/>
      <c r="AE6" s="922"/>
      <c r="AF6" s="922"/>
      <c r="AG6" s="923"/>
      <c r="AH6" s="921" t="s">
        <v>1016</v>
      </c>
      <c r="AI6" s="922"/>
      <c r="AJ6" s="922"/>
      <c r="AK6" s="922"/>
      <c r="AL6" s="923"/>
      <c r="AM6" s="374" t="s">
        <v>33</v>
      </c>
    </row>
    <row r="7" spans="1:44">
      <c r="I7" s="924"/>
      <c r="J7" s="924"/>
      <c r="K7" s="924"/>
      <c r="L7" s="924"/>
      <c r="M7" s="924"/>
      <c r="N7" s="924"/>
      <c r="O7" s="924"/>
      <c r="P7" s="924"/>
      <c r="Q7" s="924"/>
      <c r="R7" s="925"/>
      <c r="S7" s="925"/>
      <c r="T7" s="925"/>
      <c r="U7" s="925"/>
      <c r="V7" s="925"/>
      <c r="W7" s="926"/>
      <c r="X7" s="64"/>
      <c r="Y7" s="924"/>
      <c r="Z7" s="924"/>
      <c r="AA7" s="924"/>
      <c r="AB7" s="924"/>
      <c r="AC7" s="924"/>
      <c r="AD7" s="924"/>
      <c r="AE7" s="924"/>
      <c r="AF7" s="924"/>
      <c r="AG7" s="924"/>
      <c r="AH7" s="925"/>
      <c r="AI7" s="925"/>
      <c r="AJ7" s="925"/>
      <c r="AK7" s="925"/>
      <c r="AL7" s="925"/>
      <c r="AM7" s="926"/>
      <c r="AN7" s="707"/>
      <c r="AO7" s="707"/>
      <c r="AR7" s="64" t="s">
        <v>26</v>
      </c>
    </row>
    <row r="8" spans="1:44">
      <c r="A8" s="370" t="s">
        <v>16</v>
      </c>
      <c r="B8" s="370" t="s">
        <v>17</v>
      </c>
      <c r="C8" s="370" t="s">
        <v>18</v>
      </c>
      <c r="D8" s="370" t="s">
        <v>19</v>
      </c>
      <c r="E8" s="370" t="s">
        <v>20</v>
      </c>
      <c r="F8" s="370" t="s">
        <v>21</v>
      </c>
      <c r="G8" s="206"/>
      <c r="I8" s="372">
        <v>45870</v>
      </c>
      <c r="J8" s="372">
        <v>45901</v>
      </c>
      <c r="K8" s="372">
        <v>45931</v>
      </c>
      <c r="L8" s="372">
        <v>45962</v>
      </c>
      <c r="M8" s="372">
        <v>45992</v>
      </c>
      <c r="N8" s="372">
        <v>46023</v>
      </c>
      <c r="O8" s="372">
        <v>46054</v>
      </c>
      <c r="P8" s="372">
        <v>46082</v>
      </c>
      <c r="Q8" s="4" t="s">
        <v>33</v>
      </c>
      <c r="R8" s="373">
        <v>46113</v>
      </c>
      <c r="S8" s="373">
        <v>46143</v>
      </c>
      <c r="T8" s="373">
        <v>46174</v>
      </c>
      <c r="U8" s="373">
        <v>46204</v>
      </c>
      <c r="V8" s="4" t="s">
        <v>33</v>
      </c>
      <c r="W8" s="4" t="s">
        <v>1017</v>
      </c>
      <c r="X8" s="1"/>
      <c r="Y8" s="372">
        <v>45870</v>
      </c>
      <c r="Z8" s="372">
        <v>45901</v>
      </c>
      <c r="AA8" s="372">
        <v>45931</v>
      </c>
      <c r="AB8" s="372">
        <v>45962</v>
      </c>
      <c r="AC8" s="372">
        <v>45992</v>
      </c>
      <c r="AD8" s="372">
        <v>46023</v>
      </c>
      <c r="AE8" s="372">
        <v>46054</v>
      </c>
      <c r="AF8" s="372">
        <v>46082</v>
      </c>
      <c r="AG8" s="4" t="s">
        <v>33</v>
      </c>
      <c r="AH8" s="373">
        <v>46113</v>
      </c>
      <c r="AI8" s="373">
        <v>46143</v>
      </c>
      <c r="AJ8" s="373">
        <v>46174</v>
      </c>
      <c r="AK8" s="373">
        <v>46204</v>
      </c>
      <c r="AL8" s="4" t="s">
        <v>33</v>
      </c>
      <c r="AM8" s="4" t="s">
        <v>1017</v>
      </c>
    </row>
    <row r="9" spans="1:44">
      <c r="A9" s="2">
        <v>5413</v>
      </c>
      <c r="B9" s="371">
        <v>103560</v>
      </c>
      <c r="C9" s="371" t="s">
        <v>69</v>
      </c>
      <c r="D9" s="371" t="s">
        <v>70</v>
      </c>
      <c r="E9" s="188" t="s">
        <v>71</v>
      </c>
      <c r="F9" s="188" t="s">
        <v>890</v>
      </c>
      <c r="G9" s="33"/>
      <c r="H9" s="375"/>
      <c r="I9" s="369">
        <v>132581.83333333334</v>
      </c>
      <c r="J9" s="369">
        <v>132581.83333333334</v>
      </c>
      <c r="K9" s="369">
        <v>132581.83333333334</v>
      </c>
      <c r="L9" s="369">
        <v>132581.83333333334</v>
      </c>
      <c r="M9" s="369">
        <f t="shared" ref="J9:P14" si="0">$W9/12</f>
        <v>132581.83333333334</v>
      </c>
      <c r="N9" s="369">
        <f t="shared" si="0"/>
        <v>132581.83333333334</v>
      </c>
      <c r="O9" s="369">
        <f t="shared" si="0"/>
        <v>132581.83333333334</v>
      </c>
      <c r="P9" s="369">
        <f t="shared" si="0"/>
        <v>132581.83333333334</v>
      </c>
      <c r="Q9" s="369">
        <f>SUM(I9:P9)</f>
        <v>1060654.6666666667</v>
      </c>
      <c r="R9" s="369">
        <f>$W9/12</f>
        <v>132581.83333333334</v>
      </c>
      <c r="S9" s="369">
        <f t="shared" ref="S9:U14" si="1">$W9/12</f>
        <v>132581.83333333334</v>
      </c>
      <c r="T9" s="369">
        <f t="shared" si="1"/>
        <v>132581.83333333334</v>
      </c>
      <c r="U9" s="369">
        <f t="shared" si="1"/>
        <v>132581.83333333334</v>
      </c>
      <c r="V9" s="369">
        <f>SUM(R9:U9)</f>
        <v>530327.33333333337</v>
      </c>
      <c r="W9" s="369">
        <v>1590982</v>
      </c>
      <c r="X9" s="368"/>
      <c r="Y9" s="369">
        <f>$AM9/12</f>
        <v>96913.25</v>
      </c>
      <c r="Z9" s="369">
        <f t="shared" ref="Z9:AK14" si="2">$AM9/12</f>
        <v>96913.25</v>
      </c>
      <c r="AA9" s="369">
        <f t="shared" si="2"/>
        <v>96913.25</v>
      </c>
      <c r="AB9" s="369">
        <f t="shared" si="2"/>
        <v>96913.25</v>
      </c>
      <c r="AC9" s="369">
        <f t="shared" si="2"/>
        <v>96913.25</v>
      </c>
      <c r="AD9" s="369">
        <f t="shared" si="2"/>
        <v>96913.25</v>
      </c>
      <c r="AE9" s="369">
        <f t="shared" si="2"/>
        <v>96913.25</v>
      </c>
      <c r="AF9" s="369">
        <f t="shared" si="2"/>
        <v>96913.25</v>
      </c>
      <c r="AG9" s="369">
        <f>SUM(Y9:AF9)</f>
        <v>775306</v>
      </c>
      <c r="AH9" s="369">
        <f t="shared" si="2"/>
        <v>96913.25</v>
      </c>
      <c r="AI9" s="369">
        <f t="shared" si="2"/>
        <v>96913.25</v>
      </c>
      <c r="AJ9" s="369">
        <f t="shared" si="2"/>
        <v>96913.25</v>
      </c>
      <c r="AK9" s="369">
        <f t="shared" si="2"/>
        <v>96913.25</v>
      </c>
      <c r="AL9" s="369">
        <f>SUM(AH9:AK9)</f>
        <v>387653</v>
      </c>
      <c r="AM9" s="369">
        <v>1162959</v>
      </c>
      <c r="AN9" s="396"/>
      <c r="AO9" s="396"/>
      <c r="AR9" s="368">
        <f>V9+AG9</f>
        <v>1305633.3333333335</v>
      </c>
    </row>
    <row r="10" spans="1:44">
      <c r="A10" s="2">
        <v>4115</v>
      </c>
      <c r="B10" s="2">
        <v>103493</v>
      </c>
      <c r="C10" s="2" t="s">
        <v>82</v>
      </c>
      <c r="D10" s="2" t="s">
        <v>83</v>
      </c>
      <c r="E10" s="188" t="s">
        <v>71</v>
      </c>
      <c r="F10" s="189" t="s">
        <v>890</v>
      </c>
      <c r="G10" s="33"/>
      <c r="H10" s="375"/>
      <c r="I10" s="369">
        <f t="shared" ref="I10:I14" si="3">$W10/12</f>
        <v>197073.33333333334</v>
      </c>
      <c r="J10" s="369">
        <f t="shared" si="0"/>
        <v>197073.33333333334</v>
      </c>
      <c r="K10" s="369">
        <f t="shared" si="0"/>
        <v>197073.33333333334</v>
      </c>
      <c r="L10" s="369">
        <f t="shared" si="0"/>
        <v>197073.33333333334</v>
      </c>
      <c r="M10" s="369">
        <f t="shared" si="0"/>
        <v>197073.33333333334</v>
      </c>
      <c r="N10" s="369">
        <f t="shared" si="0"/>
        <v>197073.33333333334</v>
      </c>
      <c r="O10" s="369">
        <f t="shared" si="0"/>
        <v>197073.33333333334</v>
      </c>
      <c r="P10" s="369">
        <f t="shared" si="0"/>
        <v>197073.33333333334</v>
      </c>
      <c r="Q10" s="369">
        <f>SUM(I10:P10)</f>
        <v>1576586.6666666665</v>
      </c>
      <c r="R10" s="369">
        <f t="shared" ref="R10:R14" si="4">$W10/12</f>
        <v>197073.33333333334</v>
      </c>
      <c r="S10" s="369">
        <f t="shared" si="1"/>
        <v>197073.33333333334</v>
      </c>
      <c r="T10" s="369">
        <f t="shared" si="1"/>
        <v>197073.33333333334</v>
      </c>
      <c r="U10" s="369">
        <f t="shared" si="1"/>
        <v>197073.33333333334</v>
      </c>
      <c r="V10" s="369">
        <f t="shared" ref="V10:V14" si="5">SUM(R10:U10)</f>
        <v>788293.33333333337</v>
      </c>
      <c r="W10" s="369">
        <v>2364880</v>
      </c>
      <c r="X10" s="368"/>
      <c r="Y10" s="369">
        <f t="shared" ref="Y10:AF14" si="6">$AM10/12</f>
        <v>191938.58333333334</v>
      </c>
      <c r="Z10" s="369">
        <f t="shared" si="6"/>
        <v>191938.58333333334</v>
      </c>
      <c r="AA10" s="369">
        <f t="shared" si="6"/>
        <v>191938.58333333334</v>
      </c>
      <c r="AB10" s="369">
        <f t="shared" si="6"/>
        <v>191938.58333333334</v>
      </c>
      <c r="AC10" s="369">
        <f t="shared" si="6"/>
        <v>191938.58333333334</v>
      </c>
      <c r="AD10" s="369">
        <f t="shared" si="6"/>
        <v>191938.58333333334</v>
      </c>
      <c r="AE10" s="369">
        <f t="shared" si="6"/>
        <v>191938.58333333334</v>
      </c>
      <c r="AF10" s="369">
        <f t="shared" si="6"/>
        <v>191938.58333333334</v>
      </c>
      <c r="AG10" s="369">
        <f>SUM(Y10:AF10)</f>
        <v>1535508.6666666665</v>
      </c>
      <c r="AH10" s="369">
        <f t="shared" si="2"/>
        <v>191938.58333333334</v>
      </c>
      <c r="AI10" s="369">
        <f t="shared" si="2"/>
        <v>191938.58333333334</v>
      </c>
      <c r="AJ10" s="369">
        <f t="shared" si="2"/>
        <v>191938.58333333334</v>
      </c>
      <c r="AK10" s="369">
        <f t="shared" si="2"/>
        <v>191938.58333333334</v>
      </c>
      <c r="AL10" s="369">
        <f t="shared" ref="AL10:AL14" si="7">SUM(AH10:AK10)</f>
        <v>767754.33333333337</v>
      </c>
      <c r="AM10" s="369">
        <v>2303263</v>
      </c>
      <c r="AN10" s="396"/>
      <c r="AR10" s="368">
        <f t="shared" ref="AR10:AR14" si="8">V10+AG10</f>
        <v>2323802</v>
      </c>
    </row>
    <row r="11" spans="1:44">
      <c r="A11" s="2">
        <v>5416</v>
      </c>
      <c r="B11" s="2">
        <v>103563</v>
      </c>
      <c r="C11" s="2" t="s">
        <v>119</v>
      </c>
      <c r="D11" s="2" t="s">
        <v>120</v>
      </c>
      <c r="E11" s="188" t="s">
        <v>71</v>
      </c>
      <c r="F11" s="189" t="s">
        <v>890</v>
      </c>
      <c r="G11" s="33"/>
      <c r="H11" s="375"/>
      <c r="I11" s="369">
        <f t="shared" si="3"/>
        <v>28396.166666666668</v>
      </c>
      <c r="J11" s="369">
        <f t="shared" si="0"/>
        <v>28396.166666666668</v>
      </c>
      <c r="K11" s="369">
        <f t="shared" si="0"/>
        <v>28396.166666666668</v>
      </c>
      <c r="L11" s="369">
        <f t="shared" si="0"/>
        <v>28396.166666666668</v>
      </c>
      <c r="M11" s="369">
        <f t="shared" si="0"/>
        <v>28396.166666666668</v>
      </c>
      <c r="N11" s="369">
        <f t="shared" si="0"/>
        <v>28396.166666666668</v>
      </c>
      <c r="O11" s="369">
        <f t="shared" si="0"/>
        <v>28396.166666666668</v>
      </c>
      <c r="P11" s="369">
        <f t="shared" si="0"/>
        <v>28396.166666666668</v>
      </c>
      <c r="Q11" s="369">
        <f t="shared" ref="Q11:Q13" si="9">SUM(I11:P11)</f>
        <v>227169.33333333331</v>
      </c>
      <c r="R11" s="369">
        <f t="shared" si="4"/>
        <v>28396.166666666668</v>
      </c>
      <c r="S11" s="369">
        <f t="shared" si="1"/>
        <v>28396.166666666668</v>
      </c>
      <c r="T11" s="369">
        <f t="shared" si="1"/>
        <v>28396.166666666668</v>
      </c>
      <c r="U11" s="369">
        <f t="shared" si="1"/>
        <v>28396.166666666668</v>
      </c>
      <c r="V11" s="369">
        <f t="shared" si="5"/>
        <v>113584.66666666667</v>
      </c>
      <c r="W11" s="369">
        <v>340754</v>
      </c>
      <c r="X11" s="368"/>
      <c r="Y11" s="369">
        <f t="shared" si="6"/>
        <v>34570.416666666664</v>
      </c>
      <c r="Z11" s="369">
        <f t="shared" si="6"/>
        <v>34570.416666666664</v>
      </c>
      <c r="AA11" s="369">
        <f t="shared" si="6"/>
        <v>34570.416666666664</v>
      </c>
      <c r="AB11" s="369">
        <f t="shared" si="6"/>
        <v>34570.416666666664</v>
      </c>
      <c r="AC11" s="369">
        <f t="shared" si="6"/>
        <v>34570.416666666664</v>
      </c>
      <c r="AD11" s="369">
        <f t="shared" si="6"/>
        <v>34570.416666666664</v>
      </c>
      <c r="AE11" s="369">
        <f t="shared" si="6"/>
        <v>34570.416666666664</v>
      </c>
      <c r="AF11" s="369">
        <f t="shared" si="6"/>
        <v>34570.416666666664</v>
      </c>
      <c r="AG11" s="369">
        <f t="shared" ref="AG11:AG13" si="10">SUM(Y11:AF11)</f>
        <v>276563.33333333331</v>
      </c>
      <c r="AH11" s="369">
        <f t="shared" si="2"/>
        <v>34570.416666666664</v>
      </c>
      <c r="AI11" s="369">
        <f t="shared" si="2"/>
        <v>34570.416666666664</v>
      </c>
      <c r="AJ11" s="369">
        <f t="shared" si="2"/>
        <v>34570.416666666664</v>
      </c>
      <c r="AK11" s="369">
        <f t="shared" si="2"/>
        <v>34570.416666666664</v>
      </c>
      <c r="AL11" s="369">
        <f t="shared" si="7"/>
        <v>138281.66666666666</v>
      </c>
      <c r="AM11" s="369">
        <v>414845</v>
      </c>
      <c r="AN11" s="396"/>
      <c r="AR11" s="368">
        <f t="shared" si="8"/>
        <v>390148</v>
      </c>
    </row>
    <row r="12" spans="1:44">
      <c r="A12" s="2">
        <v>4223</v>
      </c>
      <c r="B12" s="2">
        <v>103509</v>
      </c>
      <c r="C12" s="2" t="s">
        <v>189</v>
      </c>
      <c r="D12" s="2" t="s">
        <v>190</v>
      </c>
      <c r="E12" s="188" t="s">
        <v>71</v>
      </c>
      <c r="F12" s="189" t="s">
        <v>890</v>
      </c>
      <c r="G12" s="33"/>
      <c r="H12" s="375"/>
      <c r="I12" s="369">
        <f t="shared" si="3"/>
        <v>105956.08333333333</v>
      </c>
      <c r="J12" s="369">
        <f t="shared" si="0"/>
        <v>105956.08333333333</v>
      </c>
      <c r="K12" s="369">
        <f t="shared" si="0"/>
        <v>105956.08333333333</v>
      </c>
      <c r="L12" s="369">
        <f t="shared" si="0"/>
        <v>105956.08333333333</v>
      </c>
      <c r="M12" s="369">
        <f t="shared" si="0"/>
        <v>105956.08333333333</v>
      </c>
      <c r="N12" s="369">
        <f t="shared" si="0"/>
        <v>105956.08333333333</v>
      </c>
      <c r="O12" s="369">
        <f t="shared" si="0"/>
        <v>105956.08333333333</v>
      </c>
      <c r="P12" s="369">
        <f t="shared" si="0"/>
        <v>105956.08333333333</v>
      </c>
      <c r="Q12" s="369">
        <f t="shared" si="9"/>
        <v>847648.66666666674</v>
      </c>
      <c r="R12" s="369">
        <f t="shared" si="4"/>
        <v>105956.08333333333</v>
      </c>
      <c r="S12" s="369">
        <f t="shared" si="1"/>
        <v>105956.08333333333</v>
      </c>
      <c r="T12" s="369">
        <f t="shared" si="1"/>
        <v>105956.08333333333</v>
      </c>
      <c r="U12" s="369">
        <f t="shared" si="1"/>
        <v>105956.08333333333</v>
      </c>
      <c r="V12" s="369">
        <f t="shared" si="5"/>
        <v>423824.33333333331</v>
      </c>
      <c r="W12" s="369">
        <v>1271473</v>
      </c>
      <c r="X12" s="368"/>
      <c r="Y12" s="369">
        <f t="shared" si="6"/>
        <v>106991</v>
      </c>
      <c r="Z12" s="369">
        <f t="shared" si="6"/>
        <v>106991</v>
      </c>
      <c r="AA12" s="369">
        <f t="shared" si="6"/>
        <v>106991</v>
      </c>
      <c r="AB12" s="369">
        <f t="shared" si="6"/>
        <v>106991</v>
      </c>
      <c r="AC12" s="369">
        <f t="shared" si="6"/>
        <v>106991</v>
      </c>
      <c r="AD12" s="369">
        <f t="shared" si="6"/>
        <v>106991</v>
      </c>
      <c r="AE12" s="369">
        <f t="shared" si="6"/>
        <v>106991</v>
      </c>
      <c r="AF12" s="369">
        <f t="shared" si="6"/>
        <v>106991</v>
      </c>
      <c r="AG12" s="369">
        <f t="shared" si="10"/>
        <v>855928</v>
      </c>
      <c r="AH12" s="369">
        <f t="shared" si="2"/>
        <v>106991</v>
      </c>
      <c r="AI12" s="369">
        <f t="shared" si="2"/>
        <v>106991</v>
      </c>
      <c r="AJ12" s="369">
        <f t="shared" si="2"/>
        <v>106991</v>
      </c>
      <c r="AK12" s="369">
        <f t="shared" si="2"/>
        <v>106991</v>
      </c>
      <c r="AL12" s="369">
        <f t="shared" si="7"/>
        <v>427964</v>
      </c>
      <c r="AM12" s="369">
        <v>1283892</v>
      </c>
      <c r="AN12" s="396"/>
      <c r="AR12" s="368">
        <f t="shared" si="8"/>
        <v>1279752.3333333333</v>
      </c>
    </row>
    <row r="13" spans="1:44">
      <c r="A13" s="2">
        <v>4245</v>
      </c>
      <c r="B13" s="2">
        <v>103519</v>
      </c>
      <c r="C13" s="2" t="s">
        <v>243</v>
      </c>
      <c r="D13" s="2" t="s">
        <v>244</v>
      </c>
      <c r="E13" s="188" t="s">
        <v>71</v>
      </c>
      <c r="F13" s="189" t="s">
        <v>890</v>
      </c>
      <c r="G13" s="33"/>
      <c r="H13" s="375"/>
      <c r="I13" s="369">
        <f t="shared" si="3"/>
        <v>117252.25</v>
      </c>
      <c r="J13" s="369">
        <f t="shared" si="0"/>
        <v>117252.25</v>
      </c>
      <c r="K13" s="369">
        <f t="shared" si="0"/>
        <v>117252.25</v>
      </c>
      <c r="L13" s="369">
        <f t="shared" si="0"/>
        <v>117252.25</v>
      </c>
      <c r="M13" s="369">
        <f t="shared" si="0"/>
        <v>117252.25</v>
      </c>
      <c r="N13" s="369">
        <f t="shared" si="0"/>
        <v>117252.25</v>
      </c>
      <c r="O13" s="369">
        <f t="shared" si="0"/>
        <v>117252.25</v>
      </c>
      <c r="P13" s="369">
        <f t="shared" si="0"/>
        <v>117252.25</v>
      </c>
      <c r="Q13" s="369">
        <f t="shared" si="9"/>
        <v>938018</v>
      </c>
      <c r="R13" s="369">
        <f t="shared" si="4"/>
        <v>117252.25</v>
      </c>
      <c r="S13" s="369">
        <f t="shared" si="1"/>
        <v>117252.25</v>
      </c>
      <c r="T13" s="369">
        <f t="shared" si="1"/>
        <v>117252.25</v>
      </c>
      <c r="U13" s="369">
        <f t="shared" si="1"/>
        <v>117252.25</v>
      </c>
      <c r="V13" s="369">
        <f t="shared" si="5"/>
        <v>469009</v>
      </c>
      <c r="W13" s="369">
        <v>1407027</v>
      </c>
      <c r="X13" s="368"/>
      <c r="Y13" s="369">
        <f t="shared" si="6"/>
        <v>119320.25</v>
      </c>
      <c r="Z13" s="369">
        <f t="shared" si="6"/>
        <v>119320.25</v>
      </c>
      <c r="AA13" s="369">
        <f t="shared" si="6"/>
        <v>119320.25</v>
      </c>
      <c r="AB13" s="369">
        <f t="shared" si="6"/>
        <v>119320.25</v>
      </c>
      <c r="AC13" s="369">
        <f t="shared" si="6"/>
        <v>119320.25</v>
      </c>
      <c r="AD13" s="369">
        <f t="shared" si="6"/>
        <v>119320.25</v>
      </c>
      <c r="AE13" s="369">
        <f t="shared" si="6"/>
        <v>119320.25</v>
      </c>
      <c r="AF13" s="369">
        <f t="shared" si="6"/>
        <v>119320.25</v>
      </c>
      <c r="AG13" s="369">
        <f t="shared" si="10"/>
        <v>954562</v>
      </c>
      <c r="AH13" s="369">
        <f t="shared" si="2"/>
        <v>119320.25</v>
      </c>
      <c r="AI13" s="369">
        <f t="shared" si="2"/>
        <v>119320.25</v>
      </c>
      <c r="AJ13" s="369">
        <f t="shared" si="2"/>
        <v>119320.25</v>
      </c>
      <c r="AK13" s="369">
        <f t="shared" si="2"/>
        <v>119320.25</v>
      </c>
      <c r="AL13" s="369">
        <f t="shared" si="7"/>
        <v>477281</v>
      </c>
      <c r="AM13" s="369">
        <v>1431843</v>
      </c>
      <c r="AN13" s="396"/>
      <c r="AR13" s="368">
        <f t="shared" si="8"/>
        <v>1423571</v>
      </c>
    </row>
    <row r="14" spans="1:44">
      <c r="A14" s="2">
        <v>4606</v>
      </c>
      <c r="B14" s="2">
        <v>103531</v>
      </c>
      <c r="C14" s="2" t="s">
        <v>343</v>
      </c>
      <c r="D14" s="2" t="s">
        <v>344</v>
      </c>
      <c r="E14" s="188" t="s">
        <v>71</v>
      </c>
      <c r="F14" s="189" t="s">
        <v>890</v>
      </c>
      <c r="G14" s="33"/>
      <c r="H14" s="375"/>
      <c r="I14" s="369">
        <f t="shared" si="3"/>
        <v>106607.83333333333</v>
      </c>
      <c r="J14" s="369">
        <f t="shared" si="0"/>
        <v>106607.83333333333</v>
      </c>
      <c r="K14" s="369">
        <f t="shared" si="0"/>
        <v>106607.83333333333</v>
      </c>
      <c r="L14" s="369">
        <f t="shared" si="0"/>
        <v>106607.83333333333</v>
      </c>
      <c r="M14" s="369">
        <f t="shared" si="0"/>
        <v>106607.83333333333</v>
      </c>
      <c r="N14" s="369">
        <f t="shared" si="0"/>
        <v>106607.83333333333</v>
      </c>
      <c r="O14" s="369">
        <f t="shared" si="0"/>
        <v>106607.83333333333</v>
      </c>
      <c r="P14" s="369">
        <f t="shared" si="0"/>
        <v>106607.83333333333</v>
      </c>
      <c r="Q14" s="369">
        <f>SUM(I14:P14)</f>
        <v>852862.66666666674</v>
      </c>
      <c r="R14" s="369">
        <f t="shared" si="4"/>
        <v>106607.83333333333</v>
      </c>
      <c r="S14" s="369">
        <f t="shared" si="1"/>
        <v>106607.83333333333</v>
      </c>
      <c r="T14" s="369">
        <f t="shared" si="1"/>
        <v>106607.83333333333</v>
      </c>
      <c r="U14" s="369">
        <f t="shared" si="1"/>
        <v>106607.83333333333</v>
      </c>
      <c r="V14" s="369">
        <f t="shared" si="5"/>
        <v>426431.33333333331</v>
      </c>
      <c r="W14" s="369">
        <v>1279294</v>
      </c>
      <c r="X14" s="368"/>
      <c r="Y14" s="369">
        <f t="shared" si="6"/>
        <v>101361</v>
      </c>
      <c r="Z14" s="369">
        <f t="shared" si="6"/>
        <v>101361</v>
      </c>
      <c r="AA14" s="369">
        <f t="shared" si="6"/>
        <v>101361</v>
      </c>
      <c r="AB14" s="369">
        <f t="shared" si="6"/>
        <v>101361</v>
      </c>
      <c r="AC14" s="369">
        <f t="shared" si="6"/>
        <v>101361</v>
      </c>
      <c r="AD14" s="369">
        <f t="shared" si="6"/>
        <v>101361</v>
      </c>
      <c r="AE14" s="369">
        <f t="shared" si="6"/>
        <v>101361</v>
      </c>
      <c r="AF14" s="369">
        <f t="shared" si="6"/>
        <v>101361</v>
      </c>
      <c r="AG14" s="369">
        <f>SUM(Y14:AF14)</f>
        <v>810888</v>
      </c>
      <c r="AH14" s="369">
        <f t="shared" si="2"/>
        <v>101361</v>
      </c>
      <c r="AI14" s="369">
        <f t="shared" si="2"/>
        <v>101361</v>
      </c>
      <c r="AJ14" s="369">
        <f t="shared" si="2"/>
        <v>101361</v>
      </c>
      <c r="AK14" s="369">
        <f t="shared" si="2"/>
        <v>101361</v>
      </c>
      <c r="AL14" s="369">
        <f t="shared" si="7"/>
        <v>405444</v>
      </c>
      <c r="AM14" s="369">
        <v>1216332</v>
      </c>
      <c r="AR14" s="368">
        <f t="shared" si="8"/>
        <v>1237319.3333333333</v>
      </c>
    </row>
    <row r="15" spans="1:44">
      <c r="D15" s="1"/>
      <c r="E15" s="186"/>
      <c r="F15" s="33"/>
      <c r="G15" s="33"/>
      <c r="AR15" s="368"/>
    </row>
    <row r="16" spans="1:44" ht="15.75" thickBot="1">
      <c r="I16" s="376">
        <f t="shared" ref="I16:V16" si="11">SUM(I9:I14)</f>
        <v>687867.50000000012</v>
      </c>
      <c r="J16" s="376">
        <f t="shared" si="11"/>
        <v>687867.50000000012</v>
      </c>
      <c r="K16" s="376">
        <f t="shared" si="11"/>
        <v>687867.50000000012</v>
      </c>
      <c r="L16" s="376">
        <f t="shared" si="11"/>
        <v>687867.50000000012</v>
      </c>
      <c r="M16" s="376">
        <f t="shared" si="11"/>
        <v>687867.50000000012</v>
      </c>
      <c r="N16" s="376">
        <f t="shared" si="11"/>
        <v>687867.50000000012</v>
      </c>
      <c r="O16" s="376">
        <f t="shared" si="11"/>
        <v>687867.50000000012</v>
      </c>
      <c r="P16" s="376">
        <f t="shared" si="11"/>
        <v>687867.50000000012</v>
      </c>
      <c r="Q16" s="376">
        <f t="shared" si="11"/>
        <v>5502940</v>
      </c>
      <c r="R16" s="376">
        <f t="shared" si="11"/>
        <v>687867.50000000012</v>
      </c>
      <c r="S16" s="376">
        <f t="shared" si="11"/>
        <v>687867.50000000012</v>
      </c>
      <c r="T16" s="376">
        <f t="shared" si="11"/>
        <v>687867.50000000012</v>
      </c>
      <c r="U16" s="376">
        <f t="shared" si="11"/>
        <v>687867.50000000012</v>
      </c>
      <c r="V16" s="376">
        <f t="shared" si="11"/>
        <v>2751470.0000000005</v>
      </c>
      <c r="W16" s="376">
        <f>W14+W13+W12+W11+W10+W9</f>
        <v>8254410</v>
      </c>
      <c r="X16" s="376"/>
      <c r="Y16" s="376">
        <f t="shared" ref="Y16:AL16" si="12">SUM(Y9:Y14)</f>
        <v>651094.5</v>
      </c>
      <c r="Z16" s="376">
        <f t="shared" si="12"/>
        <v>651094.5</v>
      </c>
      <c r="AA16" s="376">
        <f t="shared" si="12"/>
        <v>651094.5</v>
      </c>
      <c r="AB16" s="376">
        <f t="shared" si="12"/>
        <v>651094.5</v>
      </c>
      <c r="AC16" s="376">
        <f t="shared" si="12"/>
        <v>651094.5</v>
      </c>
      <c r="AD16" s="376">
        <f t="shared" si="12"/>
        <v>651094.5</v>
      </c>
      <c r="AE16" s="376">
        <f t="shared" si="12"/>
        <v>651094.5</v>
      </c>
      <c r="AF16" s="376">
        <f t="shared" si="12"/>
        <v>651094.5</v>
      </c>
      <c r="AG16" s="376">
        <f t="shared" si="12"/>
        <v>5208756</v>
      </c>
      <c r="AH16" s="376">
        <f t="shared" si="12"/>
        <v>651094.5</v>
      </c>
      <c r="AI16" s="376">
        <f t="shared" si="12"/>
        <v>651094.5</v>
      </c>
      <c r="AJ16" s="376">
        <f t="shared" si="12"/>
        <v>651094.5</v>
      </c>
      <c r="AK16" s="376">
        <f t="shared" si="12"/>
        <v>651094.5</v>
      </c>
      <c r="AL16" s="376">
        <f t="shared" si="12"/>
        <v>2604378</v>
      </c>
      <c r="AM16" s="376">
        <f>AM14+AM13+AM12+AM11+AM10+AM9</f>
        <v>7813134</v>
      </c>
      <c r="AN16" s="376"/>
      <c r="AO16" s="376"/>
      <c r="AP16" s="376"/>
      <c r="AQ16" s="376"/>
      <c r="AR16" s="376">
        <f t="shared" ref="AR16" si="13">AR14+AR13+AR12+AR11+AR10+AR9</f>
        <v>7960226</v>
      </c>
    </row>
    <row r="19" spans="15:15">
      <c r="O19" s="57"/>
    </row>
    <row r="20" spans="15:15">
      <c r="O20" s="57"/>
    </row>
    <row r="21" spans="15:15">
      <c r="O21" s="57"/>
    </row>
    <row r="22" spans="15:15">
      <c r="O22" s="57"/>
    </row>
    <row r="23" spans="15:15">
      <c r="O23" s="33"/>
    </row>
  </sheetData>
  <sheetProtection algorithmName="SHA-512" hashValue="SExkD9uSWFex5I4DYTIzuex7+dii1/2zgYyHz5yL/0AeS1lZxloSqS/cZG+LxZwWB8cBFN872VY12vfqik/2fQ==" saltValue="UgJuFEFGBJ/Z6XbDMvrdbA==" spinCount="100000" sheet="1" autoFilter="0"/>
  <autoFilter ref="A8:G15" xr:uid="{28D720FD-B264-4603-8A3F-AC523F45178E}"/>
  <mergeCells count="6">
    <mergeCell ref="I6:Q6"/>
    <mergeCell ref="R6:V6"/>
    <mergeCell ref="I7:W7"/>
    <mergeCell ref="Y6:AG6"/>
    <mergeCell ref="AH6:AL6"/>
    <mergeCell ref="Y7:AM7"/>
  </mergeCells>
  <conditionalFormatting sqref="A8:F8 B9:E9 E10:E15">
    <cfRule type="cellIs" dxfId="4" priority="1" operator="lessThan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747EC-2E6A-4F1A-A963-A49EFE7252B8}">
  <sheetPr codeName="Sheet12">
    <tabColor theme="3" tint="0.79998168889431442"/>
  </sheetPr>
  <dimension ref="A1:BY147"/>
  <sheetViews>
    <sheetView workbookViewId="0">
      <selection sqref="A1:BY1"/>
    </sheetView>
  </sheetViews>
  <sheetFormatPr defaultRowHeight="15"/>
  <cols>
    <col min="2" max="2" width="7" bestFit="1" customWidth="1"/>
    <col min="3" max="3" width="8.5703125" bestFit="1" customWidth="1"/>
    <col min="4" max="4" width="67" bestFit="1" customWidth="1"/>
    <col min="5" max="6" width="9" bestFit="1" customWidth="1"/>
    <col min="8" max="10" width="12.7109375" bestFit="1" customWidth="1"/>
    <col min="11" max="13" width="11.140625" bestFit="1" customWidth="1"/>
    <col min="14" max="14" width="12.7109375" bestFit="1" customWidth="1"/>
    <col min="15" max="16" width="10.140625" bestFit="1" customWidth="1"/>
    <col min="17" max="20" width="11.140625" bestFit="1" customWidth="1"/>
    <col min="21" max="21" width="10.140625" bestFit="1" customWidth="1"/>
    <col min="22" max="30" width="11.140625" bestFit="1" customWidth="1"/>
    <col min="31" max="32" width="10.140625" bestFit="1" customWidth="1"/>
    <col min="33" max="33" width="11.140625" bestFit="1" customWidth="1"/>
    <col min="34" max="34" width="8.140625" bestFit="1" customWidth="1"/>
    <col min="35" max="35" width="7.5703125" bestFit="1" customWidth="1"/>
    <col min="36" max="36" width="10.140625" bestFit="1" customWidth="1"/>
    <col min="37" max="38" width="11.140625" bestFit="1" customWidth="1"/>
    <col min="39" max="39" width="15.42578125" bestFit="1" customWidth="1"/>
    <col min="40" max="40" width="13.140625" bestFit="1" customWidth="1"/>
    <col min="41" max="45" width="8.7109375" bestFit="1" customWidth="1"/>
    <col min="46" max="47" width="12.7109375" bestFit="1" customWidth="1"/>
    <col min="48" max="48" width="11.140625" bestFit="1" customWidth="1"/>
    <col min="49" max="49" width="12.7109375" bestFit="1" customWidth="1"/>
    <col min="50" max="51" width="13.85546875" bestFit="1" customWidth="1"/>
    <col min="53" max="53" width="13.85546875" bestFit="1" customWidth="1"/>
    <col min="54" max="55" width="13.5703125" bestFit="1" customWidth="1"/>
    <col min="56" max="56" width="13.85546875" bestFit="1" customWidth="1"/>
    <col min="57" max="57" width="12.7109375" bestFit="1" customWidth="1"/>
    <col min="58" max="59" width="13.85546875" bestFit="1" customWidth="1"/>
    <col min="60" max="60" width="12.7109375" bestFit="1" customWidth="1"/>
    <col min="61" max="61" width="13.85546875" bestFit="1" customWidth="1"/>
    <col min="62" max="63" width="10.140625" bestFit="1" customWidth="1"/>
    <col min="64" max="64" width="7.28515625" bestFit="1" customWidth="1"/>
    <col min="65" max="65" width="8.140625" bestFit="1" customWidth="1"/>
    <col min="66" max="66" width="11.140625" bestFit="1" customWidth="1"/>
    <col min="67" max="67" width="13.85546875" bestFit="1" customWidth="1"/>
    <col min="68" max="68" width="9.5703125" bestFit="1" customWidth="1"/>
    <col min="69" max="69" width="15.85546875" bestFit="1" customWidth="1"/>
    <col min="71" max="71" width="7.5703125" bestFit="1" customWidth="1"/>
    <col min="72" max="72" width="10.85546875" bestFit="1" customWidth="1"/>
    <col min="73" max="73" width="13.85546875" bestFit="1" customWidth="1"/>
    <col min="74" max="74" width="8.85546875" bestFit="1" customWidth="1"/>
    <col min="75" max="75" width="13.85546875" bestFit="1" customWidth="1"/>
    <col min="76" max="76" width="11.140625" bestFit="1" customWidth="1"/>
    <col min="77" max="77" width="14.85546875" bestFit="1" customWidth="1"/>
  </cols>
  <sheetData>
    <row r="1" spans="1:77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</row>
    <row r="2" spans="1:77" ht="120" customHeight="1">
      <c r="B2" s="49" t="s">
        <v>17</v>
      </c>
      <c r="C2" s="49" t="s">
        <v>1018</v>
      </c>
      <c r="D2" s="49" t="s">
        <v>1019</v>
      </c>
      <c r="E2" s="50" t="s">
        <v>1020</v>
      </c>
      <c r="F2" s="50" t="s">
        <v>1021</v>
      </c>
      <c r="G2" s="50" t="s">
        <v>1022</v>
      </c>
      <c r="H2" s="42" t="s">
        <v>1023</v>
      </c>
      <c r="I2" s="42" t="s">
        <v>1024</v>
      </c>
      <c r="J2" s="42" t="s">
        <v>1025</v>
      </c>
      <c r="K2" s="42" t="s">
        <v>1026</v>
      </c>
      <c r="L2" s="42" t="s">
        <v>1027</v>
      </c>
      <c r="M2" s="42" t="s">
        <v>1028</v>
      </c>
      <c r="N2" s="42" t="s">
        <v>1029</v>
      </c>
      <c r="O2" s="42" t="s">
        <v>1030</v>
      </c>
      <c r="P2" s="42" t="s">
        <v>1031</v>
      </c>
      <c r="Q2" s="42" t="s">
        <v>1032</v>
      </c>
      <c r="R2" s="42" t="s">
        <v>1033</v>
      </c>
      <c r="S2" s="42" t="s">
        <v>1034</v>
      </c>
      <c r="T2" s="42" t="s">
        <v>1035</v>
      </c>
      <c r="U2" s="42" t="s">
        <v>1036</v>
      </c>
      <c r="V2" s="42" t="s">
        <v>1037</v>
      </c>
      <c r="W2" s="42" t="s">
        <v>1038</v>
      </c>
      <c r="X2" s="42" t="s">
        <v>1039</v>
      </c>
      <c r="Y2" s="42" t="s">
        <v>1040</v>
      </c>
      <c r="Z2" s="42" t="s">
        <v>1041</v>
      </c>
      <c r="AA2" s="42" t="s">
        <v>1042</v>
      </c>
      <c r="AB2" s="42" t="s">
        <v>1043</v>
      </c>
      <c r="AC2" s="42" t="s">
        <v>1044</v>
      </c>
      <c r="AD2" s="42" t="s">
        <v>1045</v>
      </c>
      <c r="AE2" s="42" t="s">
        <v>1046</v>
      </c>
      <c r="AF2" s="42" t="s">
        <v>1047</v>
      </c>
      <c r="AG2" s="42" t="s">
        <v>1048</v>
      </c>
      <c r="AH2" s="42" t="s">
        <v>1049</v>
      </c>
      <c r="AI2" s="42" t="s">
        <v>1050</v>
      </c>
      <c r="AJ2" s="42" t="s">
        <v>1051</v>
      </c>
      <c r="AK2" s="42" t="s">
        <v>684</v>
      </c>
      <c r="AL2" s="42" t="s">
        <v>1052</v>
      </c>
      <c r="AM2" s="42" t="s">
        <v>1053</v>
      </c>
      <c r="AN2" s="42" t="s">
        <v>1054</v>
      </c>
      <c r="AO2" s="42" t="s">
        <v>1055</v>
      </c>
      <c r="AP2" s="42" t="s">
        <v>1056</v>
      </c>
      <c r="AQ2" s="42" t="s">
        <v>1057</v>
      </c>
      <c r="AR2" s="42" t="s">
        <v>1058</v>
      </c>
      <c r="AS2" s="42" t="s">
        <v>1059</v>
      </c>
      <c r="AT2" s="42" t="s">
        <v>1060</v>
      </c>
      <c r="AU2" s="42" t="s">
        <v>1061</v>
      </c>
      <c r="AV2" s="43" t="s">
        <v>1062</v>
      </c>
      <c r="AW2" s="42" t="s">
        <v>1063</v>
      </c>
      <c r="AX2" s="42" t="s">
        <v>1064</v>
      </c>
      <c r="AY2" s="51" t="s">
        <v>1065</v>
      </c>
      <c r="AZ2" s="51" t="s">
        <v>1066</v>
      </c>
      <c r="BA2" s="51" t="s">
        <v>1067</v>
      </c>
      <c r="BB2" s="51" t="s">
        <v>1068</v>
      </c>
      <c r="BC2" s="51" t="s">
        <v>1069</v>
      </c>
      <c r="BD2" s="51" t="s">
        <v>1070</v>
      </c>
      <c r="BE2" s="52" t="s">
        <v>1071</v>
      </c>
      <c r="BF2" s="52" t="s">
        <v>1072</v>
      </c>
      <c r="BG2" s="51" t="s">
        <v>1073</v>
      </c>
      <c r="BH2" s="51" t="s">
        <v>1074</v>
      </c>
      <c r="BI2" s="51" t="s">
        <v>1075</v>
      </c>
      <c r="BJ2" s="51" t="s">
        <v>1076</v>
      </c>
      <c r="BK2" s="51" t="s">
        <v>1077</v>
      </c>
      <c r="BL2" s="44" t="s">
        <v>1078</v>
      </c>
      <c r="BM2" s="44" t="s">
        <v>1079</v>
      </c>
      <c r="BN2" s="51" t="s">
        <v>1080</v>
      </c>
      <c r="BO2" s="51" t="s">
        <v>1081</v>
      </c>
      <c r="BP2" s="51" t="s">
        <v>1082</v>
      </c>
      <c r="BQ2" s="51" t="s">
        <v>1083</v>
      </c>
      <c r="BR2" s="52" t="s">
        <v>1084</v>
      </c>
      <c r="BS2" s="45" t="s">
        <v>1085</v>
      </c>
      <c r="BT2" s="52" t="s">
        <v>9</v>
      </c>
      <c r="BU2" s="52" t="s">
        <v>1086</v>
      </c>
      <c r="BV2" s="52" t="s">
        <v>1087</v>
      </c>
      <c r="BW2" s="52" t="s">
        <v>1088</v>
      </c>
      <c r="BX2" s="52" t="s">
        <v>1089</v>
      </c>
      <c r="BY2" s="52" t="s">
        <v>1090</v>
      </c>
    </row>
    <row r="3" spans="1:77">
      <c r="B3" s="927" t="s">
        <v>33</v>
      </c>
      <c r="C3" s="928"/>
      <c r="D3" s="929"/>
      <c r="E3" s="53">
        <f t="shared" ref="E3:AJ3" si="0">SUBTOTAL(9,E4:E145)</f>
        <v>57833</v>
      </c>
      <c r="F3" s="53">
        <f t="shared" si="0"/>
        <v>45607</v>
      </c>
      <c r="G3" s="53">
        <f t="shared" si="0"/>
        <v>12226</v>
      </c>
      <c r="H3" s="53">
        <f t="shared" si="0"/>
        <v>183396191.00300002</v>
      </c>
      <c r="I3" s="53">
        <f t="shared" si="0"/>
        <v>42148845.711999997</v>
      </c>
      <c r="J3" s="53">
        <f t="shared" si="0"/>
        <v>31000693.482000005</v>
      </c>
      <c r="K3" s="53">
        <f t="shared" si="0"/>
        <v>9555099.1799999923</v>
      </c>
      <c r="L3" s="53">
        <f t="shared" si="0"/>
        <v>3018517.9899999979</v>
      </c>
      <c r="M3" s="53">
        <f t="shared" si="0"/>
        <v>23345324.099999979</v>
      </c>
      <c r="N3" s="53">
        <f t="shared" si="0"/>
        <v>11222182.199999994</v>
      </c>
      <c r="O3" s="53">
        <f t="shared" si="0"/>
        <v>860853.90917138068</v>
      </c>
      <c r="P3" s="53">
        <f t="shared" si="0"/>
        <v>1650583.3210073572</v>
      </c>
      <c r="Q3" s="53">
        <f t="shared" si="0"/>
        <v>1884591.1541236807</v>
      </c>
      <c r="R3" s="53">
        <f t="shared" si="0"/>
        <v>3139587.406794956</v>
      </c>
      <c r="S3" s="53">
        <f t="shared" si="0"/>
        <v>4454870.8015189618</v>
      </c>
      <c r="T3" s="53">
        <f t="shared" si="0"/>
        <v>2180661.2175836074</v>
      </c>
      <c r="U3" s="53">
        <f t="shared" si="0"/>
        <v>273319.07574343623</v>
      </c>
      <c r="V3" s="53">
        <f t="shared" si="0"/>
        <v>853987.84545715037</v>
      </c>
      <c r="W3" s="53">
        <f t="shared" si="0"/>
        <v>742469.8444667384</v>
      </c>
      <c r="X3" s="53">
        <f t="shared" si="0"/>
        <v>1408585.9730351325</v>
      </c>
      <c r="Y3" s="53">
        <f t="shared" si="0"/>
        <v>2221848.5101232869</v>
      </c>
      <c r="Z3" s="53">
        <f t="shared" si="0"/>
        <v>866771.60428364773</v>
      </c>
      <c r="AA3" s="53">
        <f t="shared" si="0"/>
        <v>6234718.0662978757</v>
      </c>
      <c r="AB3" s="53">
        <f t="shared" si="0"/>
        <v>947746.96862097329</v>
      </c>
      <c r="AC3" s="53">
        <f t="shared" si="0"/>
        <v>18204908.724531654</v>
      </c>
      <c r="AD3" s="53">
        <f t="shared" si="0"/>
        <v>5122194.0891061984</v>
      </c>
      <c r="AE3" s="53">
        <f t="shared" si="0"/>
        <v>523510.76270906191</v>
      </c>
      <c r="AF3" s="53">
        <f t="shared" si="0"/>
        <v>16155.870267002419</v>
      </c>
      <c r="AG3" s="53">
        <f t="shared" si="0"/>
        <v>21215732.940000031</v>
      </c>
      <c r="AH3" s="53">
        <f t="shared" si="0"/>
        <v>0</v>
      </c>
      <c r="AI3" s="53">
        <f t="shared" si="0"/>
        <v>0</v>
      </c>
      <c r="AJ3" s="53">
        <f t="shared" si="0"/>
        <v>378846.18637591752</v>
      </c>
      <c r="AK3" s="53">
        <f t="shared" ref="AK3:BP3" si="1">SUBTOTAL(9,AK4:AK145)</f>
        <v>4442091.1822999995</v>
      </c>
      <c r="AL3" s="53">
        <f t="shared" si="1"/>
        <v>1729749.86</v>
      </c>
      <c r="AM3" s="53">
        <f t="shared" si="1"/>
        <v>0</v>
      </c>
      <c r="AN3" s="53">
        <f t="shared" si="1"/>
        <v>0</v>
      </c>
      <c r="AO3" s="53">
        <f t="shared" si="1"/>
        <v>0</v>
      </c>
      <c r="AP3" s="53">
        <f t="shared" si="1"/>
        <v>0</v>
      </c>
      <c r="AQ3" s="53">
        <f t="shared" si="1"/>
        <v>0</v>
      </c>
      <c r="AR3" s="53">
        <f t="shared" si="1"/>
        <v>0</v>
      </c>
      <c r="AS3" s="53">
        <f t="shared" si="1"/>
        <v>0</v>
      </c>
      <c r="AT3" s="53">
        <f t="shared" si="1"/>
        <v>256545730.197</v>
      </c>
      <c r="AU3" s="53">
        <f t="shared" si="1"/>
        <v>98728488.614842072</v>
      </c>
      <c r="AV3" s="53">
        <f t="shared" si="1"/>
        <v>27766420.168675907</v>
      </c>
      <c r="AW3" s="53">
        <f t="shared" si="1"/>
        <v>60518920.811479181</v>
      </c>
      <c r="AX3" s="53">
        <f t="shared" si="1"/>
        <v>383040638.98051798</v>
      </c>
      <c r="AY3" s="53">
        <f t="shared" si="1"/>
        <v>376489951.75184208</v>
      </c>
      <c r="AZ3" s="53">
        <f t="shared" si="1"/>
        <v>747680</v>
      </c>
      <c r="BA3" s="53">
        <f t="shared" si="1"/>
        <v>314460445</v>
      </c>
      <c r="BB3" s="53">
        <f t="shared" si="1"/>
        <v>1017000.9508647027</v>
      </c>
      <c r="BC3" s="53">
        <f t="shared" si="1"/>
        <v>0</v>
      </c>
      <c r="BD3" s="53">
        <f t="shared" si="1"/>
        <v>384057639.93138272</v>
      </c>
      <c r="BE3" s="53">
        <f t="shared" si="1"/>
        <v>281073701.14197916</v>
      </c>
      <c r="BF3" s="53">
        <f t="shared" si="1"/>
        <v>102983938.78940357</v>
      </c>
      <c r="BG3" s="53">
        <f t="shared" si="1"/>
        <v>321011132.2286759</v>
      </c>
      <c r="BH3" s="53">
        <f t="shared" si="1"/>
        <v>293244712.06000072</v>
      </c>
      <c r="BI3" s="53">
        <f t="shared" si="1"/>
        <v>356291219.76270705</v>
      </c>
      <c r="BJ3" s="53">
        <f t="shared" si="1"/>
        <v>837225.75391420827</v>
      </c>
      <c r="BK3" s="53">
        <f t="shared" si="1"/>
        <v>821754.93017359311</v>
      </c>
      <c r="BL3" s="53">
        <f t="shared" si="1"/>
        <v>2.6114205443908136</v>
      </c>
      <c r="BM3" s="53">
        <f t="shared" si="1"/>
        <v>0.23961833679179353</v>
      </c>
      <c r="BN3" s="53">
        <f t="shared" si="1"/>
        <v>503625.75143886986</v>
      </c>
      <c r="BO3" s="53">
        <f t="shared" si="1"/>
        <v>384561265.68282169</v>
      </c>
      <c r="BP3" s="53">
        <f t="shared" si="1"/>
        <v>904859.66989459656</v>
      </c>
      <c r="BQ3" s="53">
        <f t="shared" ref="BQ3:BY3" si="2">SUBTOTAL(9,BQ4:BQ145)</f>
        <v>0</v>
      </c>
      <c r="BR3" s="53">
        <f t="shared" si="2"/>
        <v>920729.13776617602</v>
      </c>
      <c r="BS3" s="53">
        <f t="shared" si="2"/>
        <v>3.0931250838740949</v>
      </c>
      <c r="BT3" s="53">
        <f t="shared" si="2"/>
        <v>-1374021.2999999998</v>
      </c>
      <c r="BU3" s="53">
        <f t="shared" si="2"/>
        <v>383187244.38282156</v>
      </c>
      <c r="BV3" s="53">
        <f t="shared" si="2"/>
        <v>0</v>
      </c>
      <c r="BW3" s="53">
        <f t="shared" si="2"/>
        <v>383187244.38282156</v>
      </c>
      <c r="BX3" s="53">
        <f t="shared" si="2"/>
        <v>4442091.1822999995</v>
      </c>
      <c r="BY3" s="53">
        <f t="shared" si="2"/>
        <v>378745153.20052159</v>
      </c>
    </row>
    <row r="4" spans="1:77">
      <c r="A4">
        <f>_xlfn.XLOOKUP(B4,'Summary June 2026'!B:B,'Summary June 2026'!A:A,0,0)</f>
        <v>2004</v>
      </c>
      <c r="B4" s="54">
        <v>134094</v>
      </c>
      <c r="C4" s="54">
        <v>3302004</v>
      </c>
      <c r="D4" s="55" t="s">
        <v>232</v>
      </c>
      <c r="E4" s="46">
        <v>293</v>
      </c>
      <c r="F4" s="46">
        <v>293</v>
      </c>
      <c r="G4" s="46">
        <v>0</v>
      </c>
      <c r="H4" s="40">
        <v>1178220.0970000001</v>
      </c>
      <c r="I4" s="40">
        <v>0</v>
      </c>
      <c r="J4" s="40">
        <v>0</v>
      </c>
      <c r="K4" s="40">
        <v>66210.739999999947</v>
      </c>
      <c r="L4" s="40">
        <v>0</v>
      </c>
      <c r="M4" s="40">
        <v>158642.59999999989</v>
      </c>
      <c r="N4" s="40">
        <v>0</v>
      </c>
      <c r="O4" s="40">
        <v>242.45394431999998</v>
      </c>
      <c r="P4" s="40">
        <v>1176.1595596799998</v>
      </c>
      <c r="Q4" s="40">
        <v>459.11491583999992</v>
      </c>
      <c r="R4" s="40">
        <v>61170.614292479921</v>
      </c>
      <c r="S4" s="40">
        <v>14485.333524479993</v>
      </c>
      <c r="T4" s="40">
        <v>16961.458913279996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23269.540161290279</v>
      </c>
      <c r="AB4" s="40">
        <v>0</v>
      </c>
      <c r="AC4" s="40">
        <v>105095.00807195103</v>
      </c>
      <c r="AD4" s="40">
        <v>0</v>
      </c>
      <c r="AE4" s="40">
        <v>0</v>
      </c>
      <c r="AF4" s="40">
        <v>0</v>
      </c>
      <c r="AG4" s="40">
        <v>149406.57</v>
      </c>
      <c r="AH4" s="40">
        <v>0</v>
      </c>
      <c r="AI4" s="40">
        <v>0</v>
      </c>
      <c r="AJ4" s="40">
        <v>0</v>
      </c>
      <c r="AK4" s="40">
        <v>29679.604500000001</v>
      </c>
      <c r="AL4" s="40">
        <v>0</v>
      </c>
      <c r="AM4" s="40">
        <v>0</v>
      </c>
      <c r="AN4" s="40">
        <v>0</v>
      </c>
      <c r="AO4" s="40">
        <v>0</v>
      </c>
      <c r="AP4" s="40">
        <v>0</v>
      </c>
      <c r="AQ4" s="40">
        <v>0</v>
      </c>
      <c r="AR4" s="40">
        <v>0</v>
      </c>
      <c r="AS4" s="40">
        <v>0</v>
      </c>
      <c r="AT4" s="40">
        <v>1178220.0970000001</v>
      </c>
      <c r="AU4" s="40">
        <v>447713.02338332107</v>
      </c>
      <c r="AV4" s="40">
        <v>179086.17450000002</v>
      </c>
      <c r="AW4" s="40">
        <v>278971.46397597977</v>
      </c>
      <c r="AX4" s="56">
        <v>1805019.294883321</v>
      </c>
      <c r="AY4" s="56">
        <v>1775339.6903833211</v>
      </c>
      <c r="AZ4" s="56">
        <v>5115</v>
      </c>
      <c r="BA4" s="56">
        <v>1498695</v>
      </c>
      <c r="BB4" s="56">
        <v>0</v>
      </c>
      <c r="BC4" s="56">
        <v>0</v>
      </c>
      <c r="BD4" s="56">
        <v>1805019.294883321</v>
      </c>
      <c r="BE4" s="40">
        <v>1805019.294883321</v>
      </c>
      <c r="BF4" s="40">
        <v>0</v>
      </c>
      <c r="BG4" s="56">
        <v>1528374.6044999999</v>
      </c>
      <c r="BH4" s="56">
        <v>1349288.43</v>
      </c>
      <c r="BI4" s="40">
        <v>1625933.1203833211</v>
      </c>
      <c r="BJ4" s="40">
        <v>5549.2597965301056</v>
      </c>
      <c r="BK4" s="40">
        <v>5458.8548454849497</v>
      </c>
      <c r="BL4" s="41">
        <v>1.6561156800117226E-2</v>
      </c>
      <c r="BM4" s="41">
        <v>0</v>
      </c>
      <c r="BN4" s="40">
        <v>0</v>
      </c>
      <c r="BO4" s="56">
        <v>1805019.294883321</v>
      </c>
      <c r="BP4" s="56">
        <v>6059.1798306597993</v>
      </c>
      <c r="BQ4" s="56" t="s">
        <v>1091</v>
      </c>
      <c r="BR4" s="56">
        <v>6160.4754091580926</v>
      </c>
      <c r="BS4" s="47">
        <v>2.035538910640855E-2</v>
      </c>
      <c r="BT4" s="40">
        <v>-7295.7</v>
      </c>
      <c r="BU4" s="40">
        <v>1797723.5948833211</v>
      </c>
      <c r="BV4" s="40">
        <v>0</v>
      </c>
      <c r="BW4" s="40">
        <v>1797723.5948833211</v>
      </c>
      <c r="BX4" s="40">
        <v>29679.604500000001</v>
      </c>
      <c r="BY4" s="40">
        <v>1768043.9903833212</v>
      </c>
    </row>
    <row r="5" spans="1:77">
      <c r="A5">
        <f>_xlfn.XLOOKUP(B5,'Summary June 2026'!B:B,'Summary June 2026'!A:A,0,0)</f>
        <v>2005</v>
      </c>
      <c r="B5" s="54">
        <v>134098</v>
      </c>
      <c r="C5" s="54">
        <v>3302005</v>
      </c>
      <c r="D5" s="55" t="s">
        <v>200</v>
      </c>
      <c r="E5" s="46">
        <v>618</v>
      </c>
      <c r="F5" s="46">
        <v>618</v>
      </c>
      <c r="G5" s="46">
        <v>0</v>
      </c>
      <c r="H5" s="40">
        <v>2485119.5220000003</v>
      </c>
      <c r="I5" s="40">
        <v>0</v>
      </c>
      <c r="J5" s="40">
        <v>0</v>
      </c>
      <c r="K5" s="40">
        <v>77575.269999999786</v>
      </c>
      <c r="L5" s="40">
        <v>0</v>
      </c>
      <c r="M5" s="40">
        <v>188240.09999999986</v>
      </c>
      <c r="N5" s="40">
        <v>0</v>
      </c>
      <c r="O5" s="40">
        <v>4849.0788863999906</v>
      </c>
      <c r="P5" s="40">
        <v>10879.475927039981</v>
      </c>
      <c r="Q5" s="40">
        <v>5050.2640742399817</v>
      </c>
      <c r="R5" s="40">
        <v>10110.84533759998</v>
      </c>
      <c r="S5" s="40">
        <v>11266.370519039989</v>
      </c>
      <c r="T5" s="40">
        <v>12014.366730239984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47929.286779660739</v>
      </c>
      <c r="AB5" s="40">
        <v>0</v>
      </c>
      <c r="AC5" s="40">
        <v>210286.8054100046</v>
      </c>
      <c r="AD5" s="40">
        <v>0</v>
      </c>
      <c r="AE5" s="40">
        <v>0</v>
      </c>
      <c r="AF5" s="40">
        <v>0</v>
      </c>
      <c r="AG5" s="40">
        <v>149406.57</v>
      </c>
      <c r="AH5" s="40">
        <v>0</v>
      </c>
      <c r="AI5" s="40">
        <v>0</v>
      </c>
      <c r="AJ5" s="40">
        <v>0</v>
      </c>
      <c r="AK5" s="40">
        <v>68580.057000000001</v>
      </c>
      <c r="AL5" s="40">
        <v>0</v>
      </c>
      <c r="AM5" s="40">
        <v>0</v>
      </c>
      <c r="AN5" s="40">
        <v>0</v>
      </c>
      <c r="AO5" s="40">
        <v>0</v>
      </c>
      <c r="AP5" s="40">
        <v>0</v>
      </c>
      <c r="AQ5" s="40">
        <v>0</v>
      </c>
      <c r="AR5" s="40">
        <v>0</v>
      </c>
      <c r="AS5" s="40">
        <v>0</v>
      </c>
      <c r="AT5" s="40">
        <v>2485119.5220000003</v>
      </c>
      <c r="AU5" s="40">
        <v>578201.86366422486</v>
      </c>
      <c r="AV5" s="40">
        <v>217986.62700000001</v>
      </c>
      <c r="AW5" s="40">
        <v>449737.65924084606</v>
      </c>
      <c r="AX5" s="56">
        <v>3281308.012664225</v>
      </c>
      <c r="AY5" s="56">
        <v>3212727.9556642249</v>
      </c>
      <c r="AZ5" s="56">
        <v>5115</v>
      </c>
      <c r="BA5" s="56">
        <v>3161070</v>
      </c>
      <c r="BB5" s="56">
        <v>0</v>
      </c>
      <c r="BC5" s="56">
        <v>0</v>
      </c>
      <c r="BD5" s="56">
        <v>3281308.012664225</v>
      </c>
      <c r="BE5" s="40">
        <v>3281308.0126642254</v>
      </c>
      <c r="BF5" s="40">
        <v>0</v>
      </c>
      <c r="BG5" s="56">
        <v>3229650.057</v>
      </c>
      <c r="BH5" s="56">
        <v>3011663.43</v>
      </c>
      <c r="BI5" s="40">
        <v>3063321.3856642251</v>
      </c>
      <c r="BJ5" s="40">
        <v>4956.8307211395231</v>
      </c>
      <c r="BK5" s="40">
        <v>4884.2241392971255</v>
      </c>
      <c r="BL5" s="41">
        <v>1.4865530281099312E-2</v>
      </c>
      <c r="BM5" s="41">
        <v>0</v>
      </c>
      <c r="BN5" s="40">
        <v>0</v>
      </c>
      <c r="BO5" s="56">
        <v>3281308.012664225</v>
      </c>
      <c r="BP5" s="56">
        <v>5198.5889250230175</v>
      </c>
      <c r="BQ5" s="56" t="s">
        <v>1091</v>
      </c>
      <c r="BR5" s="56">
        <v>5309.5598910424351</v>
      </c>
      <c r="BS5" s="47">
        <v>1.7606845289751094E-2</v>
      </c>
      <c r="BT5" s="40">
        <v>-15388.199999999999</v>
      </c>
      <c r="BU5" s="40">
        <v>3265919.8126642248</v>
      </c>
      <c r="BV5" s="40">
        <v>0</v>
      </c>
      <c r="BW5" s="40">
        <v>3265919.8126642248</v>
      </c>
      <c r="BX5" s="40">
        <v>68580.057000000001</v>
      </c>
      <c r="BY5" s="40">
        <v>3197339.7556642247</v>
      </c>
    </row>
    <row r="6" spans="1:77">
      <c r="A6">
        <f>_xlfn.XLOOKUP(B6,'Summary June 2026'!B:B,'Summary June 2026'!A:A,0,0)</f>
        <v>2008</v>
      </c>
      <c r="B6" s="54">
        <v>103157</v>
      </c>
      <c r="C6" s="54">
        <v>3302008</v>
      </c>
      <c r="D6" s="55" t="s">
        <v>290</v>
      </c>
      <c r="E6" s="46">
        <v>425</v>
      </c>
      <c r="F6" s="46">
        <v>425</v>
      </c>
      <c r="G6" s="46">
        <v>0</v>
      </c>
      <c r="H6" s="40">
        <v>1709022.3250000002</v>
      </c>
      <c r="I6" s="40">
        <v>0</v>
      </c>
      <c r="J6" s="40">
        <v>0</v>
      </c>
      <c r="K6" s="40">
        <v>120068.73000000001</v>
      </c>
      <c r="L6" s="40">
        <v>0</v>
      </c>
      <c r="M6" s="40">
        <v>287687.7</v>
      </c>
      <c r="N6" s="40">
        <v>0</v>
      </c>
      <c r="O6" s="40">
        <v>1939.6315545599996</v>
      </c>
      <c r="P6" s="40">
        <v>64982.815672320001</v>
      </c>
      <c r="Q6" s="40">
        <v>15150.792222719996</v>
      </c>
      <c r="R6" s="40">
        <v>23760.486543359861</v>
      </c>
      <c r="S6" s="40">
        <v>54722.371092480011</v>
      </c>
      <c r="T6" s="40">
        <v>1413.4549094399981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89894.925824175734</v>
      </c>
      <c r="AB6" s="40">
        <v>0</v>
      </c>
      <c r="AC6" s="40">
        <v>140041.0060799577</v>
      </c>
      <c r="AD6" s="40">
        <v>0</v>
      </c>
      <c r="AE6" s="40">
        <v>0</v>
      </c>
      <c r="AF6" s="40">
        <v>0</v>
      </c>
      <c r="AG6" s="40">
        <v>149406.57</v>
      </c>
      <c r="AH6" s="40">
        <v>0</v>
      </c>
      <c r="AI6" s="40">
        <v>0</v>
      </c>
      <c r="AJ6" s="40">
        <v>0</v>
      </c>
      <c r="AK6" s="40">
        <v>41493.815999999999</v>
      </c>
      <c r="AL6" s="40">
        <v>0</v>
      </c>
      <c r="AM6" s="40">
        <v>0</v>
      </c>
      <c r="AN6" s="40">
        <v>0</v>
      </c>
      <c r="AO6" s="40">
        <v>0</v>
      </c>
      <c r="AP6" s="40">
        <v>0</v>
      </c>
      <c r="AQ6" s="40">
        <v>0</v>
      </c>
      <c r="AR6" s="40">
        <v>0</v>
      </c>
      <c r="AS6" s="40">
        <v>0</v>
      </c>
      <c r="AT6" s="40">
        <v>1709022.3250000002</v>
      </c>
      <c r="AU6" s="40">
        <v>799661.91389901331</v>
      </c>
      <c r="AV6" s="40">
        <v>190900.386</v>
      </c>
      <c r="AW6" s="40">
        <v>430593.47584811447</v>
      </c>
      <c r="AX6" s="56">
        <v>2699584.6248990134</v>
      </c>
      <c r="AY6" s="56">
        <v>2658090.8088990133</v>
      </c>
      <c r="AZ6" s="56">
        <v>5115</v>
      </c>
      <c r="BA6" s="56">
        <v>2173875</v>
      </c>
      <c r="BB6" s="56">
        <v>0</v>
      </c>
      <c r="BC6" s="56">
        <v>0</v>
      </c>
      <c r="BD6" s="56">
        <v>2699584.6248990134</v>
      </c>
      <c r="BE6" s="40">
        <v>2699584.6248990134</v>
      </c>
      <c r="BF6" s="40">
        <v>0</v>
      </c>
      <c r="BG6" s="56">
        <v>2215368.8160000001</v>
      </c>
      <c r="BH6" s="56">
        <v>2024468.43</v>
      </c>
      <c r="BI6" s="40">
        <v>2508684.2388990135</v>
      </c>
      <c r="BJ6" s="40">
        <v>5902.7864444682673</v>
      </c>
      <c r="BK6" s="40">
        <v>5740.0345936619715</v>
      </c>
      <c r="BL6" s="41">
        <v>2.8353810094803793E-2</v>
      </c>
      <c r="BM6" s="41">
        <v>0</v>
      </c>
      <c r="BN6" s="40">
        <v>0</v>
      </c>
      <c r="BO6" s="56">
        <v>2699584.6248990134</v>
      </c>
      <c r="BP6" s="56">
        <v>6254.3313150565018</v>
      </c>
      <c r="BQ6" s="56" t="s">
        <v>1091</v>
      </c>
      <c r="BR6" s="56">
        <v>6351.963823291796</v>
      </c>
      <c r="BS6" s="47">
        <v>3.1404232105351149E-2</v>
      </c>
      <c r="BT6" s="40">
        <v>-10582.5</v>
      </c>
      <c r="BU6" s="40">
        <v>2689002.1248990134</v>
      </c>
      <c r="BV6" s="40">
        <v>0</v>
      </c>
      <c r="BW6" s="40">
        <v>2689002.1248990134</v>
      </c>
      <c r="BX6" s="40">
        <v>41493.815999999999</v>
      </c>
      <c r="BY6" s="40">
        <v>2647508.3088990133</v>
      </c>
    </row>
    <row r="7" spans="1:77">
      <c r="A7">
        <f>_xlfn.XLOOKUP(B7,'Summary June 2026'!B:B,'Summary June 2026'!A:A,0,0)</f>
        <v>2010</v>
      </c>
      <c r="B7" s="54">
        <v>103159</v>
      </c>
      <c r="C7" s="54">
        <v>3302010</v>
      </c>
      <c r="D7" s="55" t="s">
        <v>38</v>
      </c>
      <c r="E7" s="46">
        <v>348</v>
      </c>
      <c r="F7" s="46">
        <v>348</v>
      </c>
      <c r="G7" s="46">
        <v>0</v>
      </c>
      <c r="H7" s="40">
        <v>1399387.692</v>
      </c>
      <c r="I7" s="40">
        <v>0</v>
      </c>
      <c r="J7" s="40">
        <v>0</v>
      </c>
      <c r="K7" s="40">
        <v>101292.54999999984</v>
      </c>
      <c r="L7" s="40">
        <v>0</v>
      </c>
      <c r="M7" s="40">
        <v>247435.09999999995</v>
      </c>
      <c r="N7" s="40">
        <v>0</v>
      </c>
      <c r="O7" s="40">
        <v>2666.9933875199958</v>
      </c>
      <c r="P7" s="40">
        <v>5586.7579084799909</v>
      </c>
      <c r="Q7" s="40">
        <v>20201.056296959934</v>
      </c>
      <c r="R7" s="40">
        <v>39937.839083519902</v>
      </c>
      <c r="S7" s="40">
        <v>100324.34700287992</v>
      </c>
      <c r="T7" s="40">
        <v>2826.9098188799953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79030.624905660385</v>
      </c>
      <c r="AB7" s="40">
        <v>0</v>
      </c>
      <c r="AC7" s="40">
        <v>128797.1521119203</v>
      </c>
      <c r="AD7" s="40">
        <v>0</v>
      </c>
      <c r="AE7" s="40">
        <v>27100.931199999861</v>
      </c>
      <c r="AF7" s="40">
        <v>0</v>
      </c>
      <c r="AG7" s="40">
        <v>149406.57</v>
      </c>
      <c r="AH7" s="40">
        <v>0</v>
      </c>
      <c r="AI7" s="40">
        <v>0</v>
      </c>
      <c r="AJ7" s="40">
        <v>0</v>
      </c>
      <c r="AK7" s="40">
        <v>59935.512000000002</v>
      </c>
      <c r="AL7" s="40">
        <v>0</v>
      </c>
      <c r="AM7" s="40">
        <v>0</v>
      </c>
      <c r="AN7" s="40">
        <v>0</v>
      </c>
      <c r="AO7" s="40">
        <v>0</v>
      </c>
      <c r="AP7" s="40">
        <v>0</v>
      </c>
      <c r="AQ7" s="40">
        <v>0</v>
      </c>
      <c r="AR7" s="40">
        <v>0</v>
      </c>
      <c r="AS7" s="40">
        <v>0</v>
      </c>
      <c r="AT7" s="40">
        <v>1399387.692</v>
      </c>
      <c r="AU7" s="40">
        <v>755200.26171582006</v>
      </c>
      <c r="AV7" s="40">
        <v>209342.08199999999</v>
      </c>
      <c r="AW7" s="40">
        <v>386064.29597128648</v>
      </c>
      <c r="AX7" s="56">
        <v>2363930.0357158198</v>
      </c>
      <c r="AY7" s="56">
        <v>2303994.5237158197</v>
      </c>
      <c r="AZ7" s="56">
        <v>5115</v>
      </c>
      <c r="BA7" s="56">
        <v>1780020</v>
      </c>
      <c r="BB7" s="56">
        <v>0</v>
      </c>
      <c r="BC7" s="56">
        <v>0</v>
      </c>
      <c r="BD7" s="56">
        <v>2363930.0357158198</v>
      </c>
      <c r="BE7" s="40">
        <v>2363930.0357158203</v>
      </c>
      <c r="BF7" s="40">
        <v>0</v>
      </c>
      <c r="BG7" s="56">
        <v>1839955.5120000001</v>
      </c>
      <c r="BH7" s="56">
        <v>1630613.43</v>
      </c>
      <c r="BI7" s="40">
        <v>2154587.9537158199</v>
      </c>
      <c r="BJ7" s="40">
        <v>6191.3446945856895</v>
      </c>
      <c r="BK7" s="40">
        <v>6036.5443064439141</v>
      </c>
      <c r="BL7" s="41">
        <v>2.5643875085374326E-2</v>
      </c>
      <c r="BM7" s="41">
        <v>0</v>
      </c>
      <c r="BN7" s="40">
        <v>0</v>
      </c>
      <c r="BO7" s="56">
        <v>2363930.0357158198</v>
      </c>
      <c r="BP7" s="56">
        <v>6620.6739187236199</v>
      </c>
      <c r="BQ7" s="56" t="s">
        <v>1091</v>
      </c>
      <c r="BR7" s="56">
        <v>6792.9024014822407</v>
      </c>
      <c r="BS7" s="47">
        <v>4.4146251120965818E-2</v>
      </c>
      <c r="BT7" s="40">
        <v>-8665.1999999999989</v>
      </c>
      <c r="BU7" s="40">
        <v>2355264.8357158196</v>
      </c>
      <c r="BV7" s="40">
        <v>0</v>
      </c>
      <c r="BW7" s="40">
        <v>2355264.8357158196</v>
      </c>
      <c r="BX7" s="40">
        <v>59935.512000000002</v>
      </c>
      <c r="BY7" s="40">
        <v>2295329.3237158195</v>
      </c>
    </row>
    <row r="8" spans="1:77">
      <c r="A8">
        <f>_xlfn.XLOOKUP(B8,'Summary June 2026'!B:B,'Summary June 2026'!A:A,0,0)</f>
        <v>2011</v>
      </c>
      <c r="B8" s="54">
        <v>134099</v>
      </c>
      <c r="C8" s="54">
        <v>3302011</v>
      </c>
      <c r="D8" s="55" t="s">
        <v>388</v>
      </c>
      <c r="E8" s="46">
        <v>616</v>
      </c>
      <c r="F8" s="46">
        <v>616</v>
      </c>
      <c r="G8" s="46">
        <v>0</v>
      </c>
      <c r="H8" s="40">
        <v>2477077.0640000002</v>
      </c>
      <c r="I8" s="40">
        <v>0</v>
      </c>
      <c r="J8" s="40">
        <v>0</v>
      </c>
      <c r="K8" s="40">
        <v>123527.49999999975</v>
      </c>
      <c r="L8" s="40">
        <v>0</v>
      </c>
      <c r="M8" s="40">
        <v>298342.79999999993</v>
      </c>
      <c r="N8" s="40">
        <v>0</v>
      </c>
      <c r="O8" s="40">
        <v>2182.0854988799983</v>
      </c>
      <c r="P8" s="40">
        <v>52339.10040576</v>
      </c>
      <c r="Q8" s="40">
        <v>7804.9535692799718</v>
      </c>
      <c r="R8" s="40">
        <v>8088.6762700799763</v>
      </c>
      <c r="S8" s="40">
        <v>40237.037567999752</v>
      </c>
      <c r="T8" s="40">
        <v>37456.555100159982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65880.09618497084</v>
      </c>
      <c r="AB8" s="40">
        <v>0</v>
      </c>
      <c r="AC8" s="40">
        <v>318813.90591541777</v>
      </c>
      <c r="AD8" s="40">
        <v>0</v>
      </c>
      <c r="AE8" s="40">
        <v>0</v>
      </c>
      <c r="AF8" s="40">
        <v>0</v>
      </c>
      <c r="AG8" s="40">
        <v>149406.57</v>
      </c>
      <c r="AH8" s="40">
        <v>0</v>
      </c>
      <c r="AI8" s="40">
        <v>0</v>
      </c>
      <c r="AJ8" s="40">
        <v>0</v>
      </c>
      <c r="AK8" s="40">
        <v>104887.14599999999</v>
      </c>
      <c r="AL8" s="40">
        <v>0</v>
      </c>
      <c r="AM8" s="40">
        <v>0</v>
      </c>
      <c r="AN8" s="40">
        <v>0</v>
      </c>
      <c r="AO8" s="40">
        <v>0</v>
      </c>
      <c r="AP8" s="40">
        <v>0</v>
      </c>
      <c r="AQ8" s="40">
        <v>0</v>
      </c>
      <c r="AR8" s="40">
        <v>0</v>
      </c>
      <c r="AS8" s="40">
        <v>0</v>
      </c>
      <c r="AT8" s="40">
        <v>2477077.0640000002</v>
      </c>
      <c r="AU8" s="40">
        <v>954672.71051254799</v>
      </c>
      <c r="AV8" s="40">
        <v>254293.71600000001</v>
      </c>
      <c r="AW8" s="40">
        <v>647860.09414379508</v>
      </c>
      <c r="AX8" s="56">
        <v>3686043.490512548</v>
      </c>
      <c r="AY8" s="56">
        <v>3581156.3445125478</v>
      </c>
      <c r="AZ8" s="56">
        <v>5115</v>
      </c>
      <c r="BA8" s="56">
        <v>3150840</v>
      </c>
      <c r="BB8" s="56">
        <v>0</v>
      </c>
      <c r="BC8" s="56">
        <v>0</v>
      </c>
      <c r="BD8" s="56">
        <v>3686043.490512548</v>
      </c>
      <c r="BE8" s="40">
        <v>3686043.490512548</v>
      </c>
      <c r="BF8" s="40">
        <v>0</v>
      </c>
      <c r="BG8" s="56">
        <v>3255727.1460000002</v>
      </c>
      <c r="BH8" s="56">
        <v>3001433.43</v>
      </c>
      <c r="BI8" s="40">
        <v>3431749.774512548</v>
      </c>
      <c r="BJ8" s="40">
        <v>5571.0223612216687</v>
      </c>
      <c r="BK8" s="40">
        <v>5362.0469254098371</v>
      </c>
      <c r="BL8" s="41">
        <v>3.8973071052685541E-2</v>
      </c>
      <c r="BM8" s="41">
        <v>0</v>
      </c>
      <c r="BN8" s="40">
        <v>0</v>
      </c>
      <c r="BO8" s="56">
        <v>3686043.490512548</v>
      </c>
      <c r="BP8" s="56">
        <v>5813.5654943385516</v>
      </c>
      <c r="BQ8" s="56" t="s">
        <v>1091</v>
      </c>
      <c r="BR8" s="56">
        <v>5983.8368352476427</v>
      </c>
      <c r="BS8" s="47">
        <v>3.8947712965254011E-2</v>
      </c>
      <c r="BT8" s="40">
        <v>-15338.4</v>
      </c>
      <c r="BU8" s="40">
        <v>3670705.0905125481</v>
      </c>
      <c r="BV8" s="40">
        <v>0</v>
      </c>
      <c r="BW8" s="40">
        <v>3670705.0905125481</v>
      </c>
      <c r="BX8" s="40">
        <v>104887.14599999999</v>
      </c>
      <c r="BY8" s="40">
        <v>3565817.9445125479</v>
      </c>
    </row>
    <row r="9" spans="1:77">
      <c r="A9">
        <f>_xlfn.XLOOKUP(B9,'Summary June 2026'!B:B,'Summary June 2026'!A:A,0,0)</f>
        <v>2014</v>
      </c>
      <c r="B9" s="54">
        <v>103162</v>
      </c>
      <c r="C9" s="54">
        <v>3302014</v>
      </c>
      <c r="D9" s="55" t="s">
        <v>53</v>
      </c>
      <c r="E9" s="46">
        <v>383</v>
      </c>
      <c r="F9" s="46">
        <v>383</v>
      </c>
      <c r="G9" s="46">
        <v>0</v>
      </c>
      <c r="H9" s="40">
        <v>1540130.7070000002</v>
      </c>
      <c r="I9" s="40">
        <v>0</v>
      </c>
      <c r="J9" s="40">
        <v>0</v>
      </c>
      <c r="K9" s="40">
        <v>113645.29999999996</v>
      </c>
      <c r="L9" s="40">
        <v>0</v>
      </c>
      <c r="M9" s="40">
        <v>274664.7999999997</v>
      </c>
      <c r="N9" s="40">
        <v>0</v>
      </c>
      <c r="O9" s="40">
        <v>1215.4432025465883</v>
      </c>
      <c r="P9" s="40">
        <v>15035.291020438075</v>
      </c>
      <c r="Q9" s="40">
        <v>11507.91968368585</v>
      </c>
      <c r="R9" s="40">
        <v>3548.0597316892085</v>
      </c>
      <c r="S9" s="40">
        <v>109193.34847729256</v>
      </c>
      <c r="T9" s="40">
        <v>16297.283111592869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64381.281898734145</v>
      </c>
      <c r="AB9" s="40">
        <v>0</v>
      </c>
      <c r="AC9" s="40">
        <v>174886.38379899232</v>
      </c>
      <c r="AD9" s="40">
        <v>0</v>
      </c>
      <c r="AE9" s="40">
        <v>5948.5493207348882</v>
      </c>
      <c r="AF9" s="40">
        <v>0</v>
      </c>
      <c r="AG9" s="40">
        <v>149406.57</v>
      </c>
      <c r="AH9" s="40">
        <v>0</v>
      </c>
      <c r="AI9" s="40">
        <v>0</v>
      </c>
      <c r="AJ9" s="40">
        <v>0</v>
      </c>
      <c r="AK9" s="40">
        <v>40917.512999999999</v>
      </c>
      <c r="AL9" s="40">
        <v>0</v>
      </c>
      <c r="AM9" s="40">
        <v>0</v>
      </c>
      <c r="AN9" s="40">
        <v>0</v>
      </c>
      <c r="AO9" s="40">
        <v>0</v>
      </c>
      <c r="AP9" s="40">
        <v>0</v>
      </c>
      <c r="AQ9" s="40">
        <v>0</v>
      </c>
      <c r="AR9" s="40">
        <v>0</v>
      </c>
      <c r="AS9" s="40">
        <v>0</v>
      </c>
      <c r="AT9" s="40">
        <v>1540130.7070000002</v>
      </c>
      <c r="AU9" s="40">
        <v>790323.66024570621</v>
      </c>
      <c r="AV9" s="40">
        <v>190324.08300000001</v>
      </c>
      <c r="AW9" s="40">
        <v>448131.59943080042</v>
      </c>
      <c r="AX9" s="56">
        <v>2520778.4502457064</v>
      </c>
      <c r="AY9" s="56">
        <v>2479860.9372457066</v>
      </c>
      <c r="AZ9" s="56">
        <v>5115</v>
      </c>
      <c r="BA9" s="56">
        <v>1959045</v>
      </c>
      <c r="BB9" s="56">
        <v>0</v>
      </c>
      <c r="BC9" s="56">
        <v>0</v>
      </c>
      <c r="BD9" s="56">
        <v>2520778.4502457064</v>
      </c>
      <c r="BE9" s="40">
        <v>2520778.4502457064</v>
      </c>
      <c r="BF9" s="40">
        <v>0</v>
      </c>
      <c r="BG9" s="56">
        <v>1999962.513</v>
      </c>
      <c r="BH9" s="56">
        <v>1809638.43</v>
      </c>
      <c r="BI9" s="40">
        <v>2330454.3672457067</v>
      </c>
      <c r="BJ9" s="40">
        <v>6084.7372512942738</v>
      </c>
      <c r="BK9" s="40">
        <v>5713.5737464285721</v>
      </c>
      <c r="BL9" s="41">
        <v>6.4961707214807152E-2</v>
      </c>
      <c r="BM9" s="41">
        <v>0</v>
      </c>
      <c r="BN9" s="40">
        <v>0</v>
      </c>
      <c r="BO9" s="56">
        <v>2520778.4502457064</v>
      </c>
      <c r="BP9" s="56">
        <v>6474.8327343229939</v>
      </c>
      <c r="BQ9" s="56" t="s">
        <v>1091</v>
      </c>
      <c r="BR9" s="56">
        <v>6581.666971920904</v>
      </c>
      <c r="BS9" s="47">
        <v>6.4664049459677742E-2</v>
      </c>
      <c r="BT9" s="40">
        <v>-9536.6999999999989</v>
      </c>
      <c r="BU9" s="40">
        <v>2511241.7502457062</v>
      </c>
      <c r="BV9" s="40">
        <v>0</v>
      </c>
      <c r="BW9" s="40">
        <v>2511241.7502457062</v>
      </c>
      <c r="BX9" s="40">
        <v>40917.512999999999</v>
      </c>
      <c r="BY9" s="40">
        <v>2470324.2372457064</v>
      </c>
    </row>
    <row r="10" spans="1:77">
      <c r="A10">
        <f>_xlfn.XLOOKUP(B10,'Summary June 2026'!B:B,'Summary June 2026'!A:A,0,0)</f>
        <v>2015</v>
      </c>
      <c r="B10" s="54">
        <v>134102</v>
      </c>
      <c r="C10" s="54">
        <v>3302015</v>
      </c>
      <c r="D10" s="55" t="s">
        <v>196</v>
      </c>
      <c r="E10" s="46">
        <v>388</v>
      </c>
      <c r="F10" s="46">
        <v>388</v>
      </c>
      <c r="G10" s="46">
        <v>0</v>
      </c>
      <c r="H10" s="40">
        <v>1560236.8520000002</v>
      </c>
      <c r="I10" s="40">
        <v>0</v>
      </c>
      <c r="J10" s="40">
        <v>0</v>
      </c>
      <c r="K10" s="40">
        <v>99810.220000000016</v>
      </c>
      <c r="L10" s="40">
        <v>0</v>
      </c>
      <c r="M10" s="40">
        <v>240331.69999999969</v>
      </c>
      <c r="N10" s="40">
        <v>0</v>
      </c>
      <c r="O10" s="40">
        <v>969.81577727999399</v>
      </c>
      <c r="P10" s="40">
        <v>5292.71801855999</v>
      </c>
      <c r="Q10" s="40">
        <v>59684.939059199896</v>
      </c>
      <c r="R10" s="40">
        <v>16177.352540159996</v>
      </c>
      <c r="S10" s="40">
        <v>50430.420418559923</v>
      </c>
      <c r="T10" s="40">
        <v>74913.110200319774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77886.723843843763</v>
      </c>
      <c r="AB10" s="40">
        <v>0</v>
      </c>
      <c r="AC10" s="40">
        <v>193497.34566736658</v>
      </c>
      <c r="AD10" s="40">
        <v>0</v>
      </c>
      <c r="AE10" s="40">
        <v>693.90719999997054</v>
      </c>
      <c r="AF10" s="40">
        <v>0</v>
      </c>
      <c r="AG10" s="40">
        <v>149406.57</v>
      </c>
      <c r="AH10" s="40">
        <v>0</v>
      </c>
      <c r="AI10" s="40">
        <v>0</v>
      </c>
      <c r="AJ10" s="40">
        <v>0</v>
      </c>
      <c r="AK10" s="40">
        <v>39764.906999999999</v>
      </c>
      <c r="AL10" s="40">
        <v>0</v>
      </c>
      <c r="AM10" s="40">
        <v>0</v>
      </c>
      <c r="AN10" s="40">
        <v>0</v>
      </c>
      <c r="AO10" s="40">
        <v>0</v>
      </c>
      <c r="AP10" s="40">
        <v>0</v>
      </c>
      <c r="AQ10" s="40">
        <v>0</v>
      </c>
      <c r="AR10" s="40">
        <v>0</v>
      </c>
      <c r="AS10" s="40">
        <v>0</v>
      </c>
      <c r="AT10" s="40">
        <v>1560236.8520000002</v>
      </c>
      <c r="AU10" s="40">
        <v>819688.25272528967</v>
      </c>
      <c r="AV10" s="40">
        <v>189171.47700000001</v>
      </c>
      <c r="AW10" s="40">
        <v>468648.88763243513</v>
      </c>
      <c r="AX10" s="56">
        <v>2569096.58172529</v>
      </c>
      <c r="AY10" s="56">
        <v>2529331.6747252899</v>
      </c>
      <c r="AZ10" s="56">
        <v>5115</v>
      </c>
      <c r="BA10" s="56">
        <v>1984620</v>
      </c>
      <c r="BB10" s="56">
        <v>0</v>
      </c>
      <c r="BC10" s="56">
        <v>0</v>
      </c>
      <c r="BD10" s="56">
        <v>2569096.58172529</v>
      </c>
      <c r="BE10" s="40">
        <v>2569096.5817252896</v>
      </c>
      <c r="BF10" s="40">
        <v>0</v>
      </c>
      <c r="BG10" s="56">
        <v>2024384.9069999999</v>
      </c>
      <c r="BH10" s="56">
        <v>1835213.43</v>
      </c>
      <c r="BI10" s="40">
        <v>2379925.1047252901</v>
      </c>
      <c r="BJ10" s="40">
        <v>6133.8275894981707</v>
      </c>
      <c r="BK10" s="40">
        <v>6061.4190737244899</v>
      </c>
      <c r="BL10" s="41">
        <v>1.1945802607109432E-2</v>
      </c>
      <c r="BM10" s="41">
        <v>0</v>
      </c>
      <c r="BN10" s="40">
        <v>0</v>
      </c>
      <c r="BO10" s="56">
        <v>2569096.58172529</v>
      </c>
      <c r="BP10" s="56">
        <v>6518.8960688796133</v>
      </c>
      <c r="BQ10" s="56" t="s">
        <v>1091</v>
      </c>
      <c r="BR10" s="56">
        <v>6621.3829425909535</v>
      </c>
      <c r="BS10" s="47">
        <v>1.1207339520286297E-2</v>
      </c>
      <c r="BT10" s="40">
        <v>-9661.1999999999989</v>
      </c>
      <c r="BU10" s="40">
        <v>2559435.3817252899</v>
      </c>
      <c r="BV10" s="40">
        <v>0</v>
      </c>
      <c r="BW10" s="40">
        <v>2559435.3817252899</v>
      </c>
      <c r="BX10" s="40">
        <v>39764.906999999999</v>
      </c>
      <c r="BY10" s="40">
        <v>2519670.4747252897</v>
      </c>
    </row>
    <row r="11" spans="1:77">
      <c r="A11">
        <f>_xlfn.XLOOKUP(B11,'Summary June 2026'!B:B,'Summary June 2026'!A:A,0,0)</f>
        <v>2016</v>
      </c>
      <c r="B11" s="54">
        <v>103163</v>
      </c>
      <c r="C11" s="54">
        <v>3302016</v>
      </c>
      <c r="D11" s="55" t="s">
        <v>62</v>
      </c>
      <c r="E11" s="46">
        <v>361</v>
      </c>
      <c r="F11" s="46">
        <v>361</v>
      </c>
      <c r="G11" s="46">
        <v>0</v>
      </c>
      <c r="H11" s="40">
        <v>1451663.669</v>
      </c>
      <c r="I11" s="40">
        <v>0</v>
      </c>
      <c r="J11" s="40">
        <v>0</v>
      </c>
      <c r="K11" s="40">
        <v>84492.809999999867</v>
      </c>
      <c r="L11" s="40">
        <v>0</v>
      </c>
      <c r="M11" s="40">
        <v>204814.6999999996</v>
      </c>
      <c r="N11" s="40">
        <v>0</v>
      </c>
      <c r="O11" s="40">
        <v>23340.233039871942</v>
      </c>
      <c r="P11" s="40">
        <v>11499.410028287964</v>
      </c>
      <c r="Q11" s="40">
        <v>3683.1218804053292</v>
      </c>
      <c r="R11" s="40">
        <v>1013.8931019093322</v>
      </c>
      <c r="S11" s="40">
        <v>9683.7137080320008</v>
      </c>
      <c r="T11" s="40">
        <v>708.69058653866477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14920.999999999985</v>
      </c>
      <c r="AB11" s="40">
        <v>0</v>
      </c>
      <c r="AC11" s="40">
        <v>154618.97144486706</v>
      </c>
      <c r="AD11" s="40">
        <v>0</v>
      </c>
      <c r="AE11" s="40">
        <v>0</v>
      </c>
      <c r="AF11" s="40">
        <v>0</v>
      </c>
      <c r="AG11" s="40">
        <v>149406.57</v>
      </c>
      <c r="AH11" s="40">
        <v>0</v>
      </c>
      <c r="AI11" s="40">
        <v>0</v>
      </c>
      <c r="AJ11" s="40">
        <v>0</v>
      </c>
      <c r="AK11" s="40">
        <v>8822.1329000000005</v>
      </c>
      <c r="AL11" s="40">
        <v>272955.62</v>
      </c>
      <c r="AM11" s="40">
        <v>0</v>
      </c>
      <c r="AN11" s="40">
        <v>0</v>
      </c>
      <c r="AO11" s="40">
        <v>0</v>
      </c>
      <c r="AP11" s="40">
        <v>0</v>
      </c>
      <c r="AQ11" s="40">
        <v>0</v>
      </c>
      <c r="AR11" s="40">
        <v>0</v>
      </c>
      <c r="AS11" s="40">
        <v>0</v>
      </c>
      <c r="AT11" s="40">
        <v>1451663.669</v>
      </c>
      <c r="AU11" s="40">
        <v>508776.54378991178</v>
      </c>
      <c r="AV11" s="40">
        <v>431184.32290000003</v>
      </c>
      <c r="AW11" s="40">
        <v>349327.32093908312</v>
      </c>
      <c r="AX11" s="56">
        <v>2391624.5356899118</v>
      </c>
      <c r="AY11" s="56">
        <v>2109846.7827899116</v>
      </c>
      <c r="AZ11" s="56">
        <v>5115</v>
      </c>
      <c r="BA11" s="56">
        <v>1846515</v>
      </c>
      <c r="BB11" s="56">
        <v>0</v>
      </c>
      <c r="BC11" s="56">
        <v>0</v>
      </c>
      <c r="BD11" s="56">
        <v>2391624.5356899118</v>
      </c>
      <c r="BE11" s="40">
        <v>2391624.5356899118</v>
      </c>
      <c r="BF11" s="40">
        <v>0</v>
      </c>
      <c r="BG11" s="56">
        <v>2128292.7529000002</v>
      </c>
      <c r="BH11" s="56">
        <v>1697108.4300000002</v>
      </c>
      <c r="BI11" s="40">
        <v>1960440.2127899118</v>
      </c>
      <c r="BJ11" s="40">
        <v>5430.5823068972622</v>
      </c>
      <c r="BK11" s="40">
        <v>5306.9032086350971</v>
      </c>
      <c r="BL11" s="41">
        <v>2.3305323914881538E-2</v>
      </c>
      <c r="BM11" s="41">
        <v>0</v>
      </c>
      <c r="BN11" s="40">
        <v>0</v>
      </c>
      <c r="BO11" s="56">
        <v>2391624.5356899118</v>
      </c>
      <c r="BP11" s="56">
        <v>5844.4509218557105</v>
      </c>
      <c r="BQ11" s="56" t="s">
        <v>1091</v>
      </c>
      <c r="BR11" s="56">
        <v>6624.9987138224706</v>
      </c>
      <c r="BS11" s="47">
        <v>8.1488675804384236E-3</v>
      </c>
      <c r="BT11" s="40">
        <v>-8988.9</v>
      </c>
      <c r="BU11" s="40">
        <v>2382635.6356899119</v>
      </c>
      <c r="BV11" s="40">
        <v>0</v>
      </c>
      <c r="BW11" s="40">
        <v>2382635.6356899119</v>
      </c>
      <c r="BX11" s="40">
        <v>8822.1329000000005</v>
      </c>
      <c r="BY11" s="40">
        <v>2373813.5027899118</v>
      </c>
    </row>
    <row r="12" spans="1:77">
      <c r="A12">
        <f>_xlfn.XLOOKUP(B12,'Summary June 2026'!B:B,'Summary June 2026'!A:A,0,0)</f>
        <v>2017</v>
      </c>
      <c r="B12" s="54">
        <v>103164</v>
      </c>
      <c r="C12" s="54">
        <v>3302017</v>
      </c>
      <c r="D12" s="55" t="s">
        <v>60</v>
      </c>
      <c r="E12" s="46">
        <v>249</v>
      </c>
      <c r="F12" s="46">
        <v>249</v>
      </c>
      <c r="G12" s="46">
        <v>0</v>
      </c>
      <c r="H12" s="40">
        <v>1001286.0210000001</v>
      </c>
      <c r="I12" s="40">
        <v>0</v>
      </c>
      <c r="J12" s="40">
        <v>0</v>
      </c>
      <c r="K12" s="40">
        <v>46940.449999999917</v>
      </c>
      <c r="L12" s="40">
        <v>0</v>
      </c>
      <c r="M12" s="40">
        <v>113654.39999999978</v>
      </c>
      <c r="N12" s="40">
        <v>0</v>
      </c>
      <c r="O12" s="40">
        <v>16729.322158079951</v>
      </c>
      <c r="P12" s="40">
        <v>6762.9174681599943</v>
      </c>
      <c r="Q12" s="40">
        <v>5509.3789900799948</v>
      </c>
      <c r="R12" s="40">
        <v>1011.0845337599994</v>
      </c>
      <c r="S12" s="40">
        <v>3755.4568396799887</v>
      </c>
      <c r="T12" s="40">
        <v>706.72745471999963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41825.260598802401</v>
      </c>
      <c r="AB12" s="40">
        <v>0</v>
      </c>
      <c r="AC12" s="40">
        <v>84495.919075144368</v>
      </c>
      <c r="AD12" s="40">
        <v>0</v>
      </c>
      <c r="AE12" s="40">
        <v>0</v>
      </c>
      <c r="AF12" s="40">
        <v>0</v>
      </c>
      <c r="AG12" s="40">
        <v>149406.57</v>
      </c>
      <c r="AH12" s="40">
        <v>0</v>
      </c>
      <c r="AI12" s="40">
        <v>0</v>
      </c>
      <c r="AJ12" s="40">
        <v>0</v>
      </c>
      <c r="AK12" s="40">
        <v>18095.914199999999</v>
      </c>
      <c r="AL12" s="40">
        <v>273297.83</v>
      </c>
      <c r="AM12" s="40">
        <v>0</v>
      </c>
      <c r="AN12" s="40">
        <v>0</v>
      </c>
      <c r="AO12" s="40">
        <v>0</v>
      </c>
      <c r="AP12" s="40">
        <v>0</v>
      </c>
      <c r="AQ12" s="40">
        <v>0</v>
      </c>
      <c r="AR12" s="40">
        <v>0</v>
      </c>
      <c r="AS12" s="40">
        <v>0</v>
      </c>
      <c r="AT12" s="40">
        <v>1001286.0210000001</v>
      </c>
      <c r="AU12" s="40">
        <v>321390.91711842641</v>
      </c>
      <c r="AV12" s="40">
        <v>440800.31420000002</v>
      </c>
      <c r="AW12" s="40">
        <v>204785.32560515704</v>
      </c>
      <c r="AX12" s="56">
        <v>1763477.2523184265</v>
      </c>
      <c r="AY12" s="56">
        <v>1472083.5081184264</v>
      </c>
      <c r="AZ12" s="56">
        <v>5115</v>
      </c>
      <c r="BA12" s="56">
        <v>1273635</v>
      </c>
      <c r="BB12" s="56">
        <v>0</v>
      </c>
      <c r="BC12" s="56">
        <v>0</v>
      </c>
      <c r="BD12" s="56">
        <v>1763477.2523184265</v>
      </c>
      <c r="BE12" s="40">
        <v>1763477.252318427</v>
      </c>
      <c r="BF12" s="40">
        <v>0</v>
      </c>
      <c r="BG12" s="56">
        <v>1565028.7442000001</v>
      </c>
      <c r="BH12" s="56">
        <v>1124228.43</v>
      </c>
      <c r="BI12" s="40">
        <v>1322676.9381184264</v>
      </c>
      <c r="BJ12" s="40">
        <v>5311.9555747727964</v>
      </c>
      <c r="BK12" s="40">
        <v>5268.1154316981119</v>
      </c>
      <c r="BL12" s="41">
        <v>8.3217886249985027E-3</v>
      </c>
      <c r="BM12" s="41">
        <v>0</v>
      </c>
      <c r="BN12" s="40">
        <v>0</v>
      </c>
      <c r="BO12" s="56">
        <v>1763477.2523184265</v>
      </c>
      <c r="BP12" s="56">
        <v>5911.9819603149654</v>
      </c>
      <c r="BQ12" s="56" t="s">
        <v>1091</v>
      </c>
      <c r="BR12" s="56">
        <v>7082.2379611181786</v>
      </c>
      <c r="BS12" s="47">
        <v>2.2136616946576204E-2</v>
      </c>
      <c r="BT12" s="40">
        <v>-6200.0999999999995</v>
      </c>
      <c r="BU12" s="40">
        <v>1757277.1523184264</v>
      </c>
      <c r="BV12" s="40">
        <v>0</v>
      </c>
      <c r="BW12" s="40">
        <v>1757277.1523184264</v>
      </c>
      <c r="BX12" s="40">
        <v>18095.914199999999</v>
      </c>
      <c r="BY12" s="40">
        <v>1739181.2381184264</v>
      </c>
    </row>
    <row r="13" spans="1:77">
      <c r="A13">
        <f>_xlfn.XLOOKUP(B13,'Summary June 2026'!B:B,'Summary June 2026'!A:A,0,0)</f>
        <v>2019</v>
      </c>
      <c r="B13" s="54">
        <v>134279</v>
      </c>
      <c r="C13" s="54">
        <v>3302019</v>
      </c>
      <c r="D13" s="55" t="s">
        <v>386</v>
      </c>
      <c r="E13" s="46">
        <v>408</v>
      </c>
      <c r="F13" s="46">
        <v>408</v>
      </c>
      <c r="G13" s="46">
        <v>0</v>
      </c>
      <c r="H13" s="40">
        <v>1640661.432</v>
      </c>
      <c r="I13" s="40">
        <v>0</v>
      </c>
      <c r="J13" s="40">
        <v>0</v>
      </c>
      <c r="K13" s="40">
        <v>104257.20999999999</v>
      </c>
      <c r="L13" s="40">
        <v>0</v>
      </c>
      <c r="M13" s="40">
        <v>252170.69999999966</v>
      </c>
      <c r="N13" s="40">
        <v>0</v>
      </c>
      <c r="O13" s="40">
        <v>1939.63155456</v>
      </c>
      <c r="P13" s="40">
        <v>8821.1966975999912</v>
      </c>
      <c r="Q13" s="40">
        <v>19741.941381119981</v>
      </c>
      <c r="R13" s="40">
        <v>37915.670015999858</v>
      </c>
      <c r="S13" s="40">
        <v>65452.247777279954</v>
      </c>
      <c r="T13" s="40">
        <v>8480.7294566399851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13295.125517241358</v>
      </c>
      <c r="AB13" s="40">
        <v>0</v>
      </c>
      <c r="AC13" s="40">
        <v>165552.34894555996</v>
      </c>
      <c r="AD13" s="40">
        <v>0</v>
      </c>
      <c r="AE13" s="40">
        <v>0</v>
      </c>
      <c r="AF13" s="40">
        <v>0</v>
      </c>
      <c r="AG13" s="40">
        <v>149406.57</v>
      </c>
      <c r="AH13" s="40">
        <v>0</v>
      </c>
      <c r="AI13" s="40">
        <v>0</v>
      </c>
      <c r="AJ13" s="40">
        <v>0</v>
      </c>
      <c r="AK13" s="40">
        <v>84140.237999999998</v>
      </c>
      <c r="AL13" s="40">
        <v>0</v>
      </c>
      <c r="AM13" s="40">
        <v>0</v>
      </c>
      <c r="AN13" s="40">
        <v>0</v>
      </c>
      <c r="AO13" s="40">
        <v>0</v>
      </c>
      <c r="AP13" s="40">
        <v>0</v>
      </c>
      <c r="AQ13" s="40">
        <v>0</v>
      </c>
      <c r="AR13" s="40">
        <v>0</v>
      </c>
      <c r="AS13" s="40">
        <v>0</v>
      </c>
      <c r="AT13" s="40">
        <v>1640661.432</v>
      </c>
      <c r="AU13" s="40">
        <v>677626.80134600075</v>
      </c>
      <c r="AV13" s="40">
        <v>233546.80800000002</v>
      </c>
      <c r="AW13" s="40">
        <v>427145.97822351177</v>
      </c>
      <c r="AX13" s="56">
        <v>2551835.041346001</v>
      </c>
      <c r="AY13" s="56">
        <v>2467694.8033460011</v>
      </c>
      <c r="AZ13" s="56">
        <v>5115</v>
      </c>
      <c r="BA13" s="56">
        <v>2086920</v>
      </c>
      <c r="BB13" s="56">
        <v>0</v>
      </c>
      <c r="BC13" s="56">
        <v>0</v>
      </c>
      <c r="BD13" s="56">
        <v>2551835.041346001</v>
      </c>
      <c r="BE13" s="40">
        <v>2551835.0413460005</v>
      </c>
      <c r="BF13" s="40">
        <v>0</v>
      </c>
      <c r="BG13" s="56">
        <v>2171060.2379999999</v>
      </c>
      <c r="BH13" s="56">
        <v>1937513.43</v>
      </c>
      <c r="BI13" s="40">
        <v>2318288.2333460012</v>
      </c>
      <c r="BJ13" s="40">
        <v>5682.0790032990226</v>
      </c>
      <c r="BK13" s="40">
        <v>5562.4996923456793</v>
      </c>
      <c r="BL13" s="41">
        <v>2.1497405405323685E-2</v>
      </c>
      <c r="BM13" s="41">
        <v>0</v>
      </c>
      <c r="BN13" s="40">
        <v>0</v>
      </c>
      <c r="BO13" s="56">
        <v>2551835.041346001</v>
      </c>
      <c r="BP13" s="56">
        <v>6048.2715768284343</v>
      </c>
      <c r="BQ13" s="56" t="s">
        <v>1091</v>
      </c>
      <c r="BR13" s="56">
        <v>6254.4976503578455</v>
      </c>
      <c r="BS13" s="47">
        <v>2.8188680178587555E-2</v>
      </c>
      <c r="BT13" s="40">
        <v>-10159.199999999999</v>
      </c>
      <c r="BU13" s="40">
        <v>2541675.8413460008</v>
      </c>
      <c r="BV13" s="40">
        <v>0</v>
      </c>
      <c r="BW13" s="40">
        <v>2541675.8413460008</v>
      </c>
      <c r="BX13" s="40">
        <v>84140.237999999998</v>
      </c>
      <c r="BY13" s="40">
        <v>2457535.6033460009</v>
      </c>
    </row>
    <row r="14" spans="1:77">
      <c r="A14">
        <f>_xlfn.XLOOKUP(B14,'Summary June 2026'!B:B,'Summary June 2026'!A:A,0,0)</f>
        <v>2030</v>
      </c>
      <c r="B14" s="54">
        <v>103172</v>
      </c>
      <c r="C14" s="54">
        <v>3302030</v>
      </c>
      <c r="D14" s="55" t="s">
        <v>85</v>
      </c>
      <c r="E14" s="46">
        <v>610</v>
      </c>
      <c r="F14" s="46">
        <v>610</v>
      </c>
      <c r="G14" s="46">
        <v>0</v>
      </c>
      <c r="H14" s="40">
        <v>2452949.69</v>
      </c>
      <c r="I14" s="40">
        <v>0</v>
      </c>
      <c r="J14" s="40">
        <v>0</v>
      </c>
      <c r="K14" s="40">
        <v>170962.05999999988</v>
      </c>
      <c r="L14" s="40">
        <v>0</v>
      </c>
      <c r="M14" s="40">
        <v>409629.39999999979</v>
      </c>
      <c r="N14" s="40">
        <v>0</v>
      </c>
      <c r="O14" s="40">
        <v>24972.756264959935</v>
      </c>
      <c r="P14" s="40">
        <v>4116.558458879992</v>
      </c>
      <c r="Q14" s="40">
        <v>129470.40626687995</v>
      </c>
      <c r="R14" s="40">
        <v>86447.727636479991</v>
      </c>
      <c r="S14" s="40">
        <v>14485.333524479996</v>
      </c>
      <c r="T14" s="40">
        <v>2120.1823641599972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173634.52923076888</v>
      </c>
      <c r="AB14" s="40">
        <v>0</v>
      </c>
      <c r="AC14" s="40">
        <v>249385.77973085942</v>
      </c>
      <c r="AD14" s="40">
        <v>0</v>
      </c>
      <c r="AE14" s="40">
        <v>9132.140321839086</v>
      </c>
      <c r="AF14" s="40">
        <v>0</v>
      </c>
      <c r="AG14" s="40">
        <v>149406.57</v>
      </c>
      <c r="AH14" s="40">
        <v>0</v>
      </c>
      <c r="AI14" s="40">
        <v>0</v>
      </c>
      <c r="AJ14" s="40">
        <v>0</v>
      </c>
      <c r="AK14" s="40">
        <v>12332.8842</v>
      </c>
      <c r="AL14" s="40">
        <v>0</v>
      </c>
      <c r="AM14" s="40">
        <v>0</v>
      </c>
      <c r="AN14" s="40">
        <v>0</v>
      </c>
      <c r="AO14" s="40">
        <v>0</v>
      </c>
      <c r="AP14" s="40">
        <v>0</v>
      </c>
      <c r="AQ14" s="40">
        <v>0</v>
      </c>
      <c r="AR14" s="40">
        <v>0</v>
      </c>
      <c r="AS14" s="40">
        <v>0</v>
      </c>
      <c r="AT14" s="40">
        <v>2452949.69</v>
      </c>
      <c r="AU14" s="40">
        <v>1274356.873799307</v>
      </c>
      <c r="AV14" s="40">
        <v>161739.45420000001</v>
      </c>
      <c r="AW14" s="40">
        <v>675226.85705656162</v>
      </c>
      <c r="AX14" s="56">
        <v>3889046.0179993068</v>
      </c>
      <c r="AY14" s="56">
        <v>3876713.1337993066</v>
      </c>
      <c r="AZ14" s="56">
        <v>5115</v>
      </c>
      <c r="BA14" s="56">
        <v>3120150</v>
      </c>
      <c r="BB14" s="56">
        <v>0</v>
      </c>
      <c r="BC14" s="56">
        <v>0</v>
      </c>
      <c r="BD14" s="56">
        <v>3889046.0179993068</v>
      </c>
      <c r="BE14" s="40">
        <v>3889046.0179993068</v>
      </c>
      <c r="BF14" s="40">
        <v>0</v>
      </c>
      <c r="BG14" s="56">
        <v>3132482.8842000002</v>
      </c>
      <c r="BH14" s="56">
        <v>2970743.43</v>
      </c>
      <c r="BI14" s="40">
        <v>3727306.5637993068</v>
      </c>
      <c r="BJ14" s="40">
        <v>6110.3386291791912</v>
      </c>
      <c r="BK14" s="40">
        <v>5877.0347350565435</v>
      </c>
      <c r="BL14" s="41">
        <v>3.969755236105528E-2</v>
      </c>
      <c r="BM14" s="41">
        <v>0</v>
      </c>
      <c r="BN14" s="40">
        <v>0</v>
      </c>
      <c r="BO14" s="56">
        <v>3889046.0179993068</v>
      </c>
      <c r="BP14" s="56">
        <v>6355.2674324578793</v>
      </c>
      <c r="BQ14" s="56" t="s">
        <v>1091</v>
      </c>
      <c r="BR14" s="56">
        <v>6375.4852754086996</v>
      </c>
      <c r="BS14" s="47">
        <v>3.2911546063011832E-2</v>
      </c>
      <c r="BT14" s="40">
        <v>-15189</v>
      </c>
      <c r="BU14" s="40">
        <v>3873857.0179993068</v>
      </c>
      <c r="BV14" s="40">
        <v>0</v>
      </c>
      <c r="BW14" s="40">
        <v>3873857.0179993068</v>
      </c>
      <c r="BX14" s="40">
        <v>12332.8842</v>
      </c>
      <c r="BY14" s="40">
        <v>3861524.1337993066</v>
      </c>
    </row>
    <row r="15" spans="1:77">
      <c r="A15">
        <f>_xlfn.XLOOKUP(B15,'Summary June 2026'!B:B,'Summary June 2026'!A:A,0,0)</f>
        <v>2040</v>
      </c>
      <c r="B15" s="54">
        <v>103178</v>
      </c>
      <c r="C15" s="54">
        <v>3302040</v>
      </c>
      <c r="D15" s="55" t="s">
        <v>103</v>
      </c>
      <c r="E15" s="46">
        <v>421</v>
      </c>
      <c r="F15" s="46">
        <v>421</v>
      </c>
      <c r="G15" s="46">
        <v>0</v>
      </c>
      <c r="H15" s="40">
        <v>1692937.4090000002</v>
      </c>
      <c r="I15" s="40">
        <v>0</v>
      </c>
      <c r="J15" s="40">
        <v>0</v>
      </c>
      <c r="K15" s="40">
        <v>58304.979999999858</v>
      </c>
      <c r="L15" s="40">
        <v>0</v>
      </c>
      <c r="M15" s="40">
        <v>139700.19999999966</v>
      </c>
      <c r="N15" s="40">
        <v>0</v>
      </c>
      <c r="O15" s="40">
        <v>15517.052436479908</v>
      </c>
      <c r="P15" s="40">
        <v>7645.0371379199905</v>
      </c>
      <c r="Q15" s="40">
        <v>5968.4939059199833</v>
      </c>
      <c r="R15" s="40">
        <v>8088.6762700799945</v>
      </c>
      <c r="S15" s="40">
        <v>16631.308861439993</v>
      </c>
      <c r="T15" s="40">
        <v>706.72745471999872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38870.441546961309</v>
      </c>
      <c r="AB15" s="40">
        <v>0</v>
      </c>
      <c r="AC15" s="40">
        <v>230065.55995240153</v>
      </c>
      <c r="AD15" s="40">
        <v>0</v>
      </c>
      <c r="AE15" s="40">
        <v>0</v>
      </c>
      <c r="AF15" s="40">
        <v>0</v>
      </c>
      <c r="AG15" s="40">
        <v>149406.57</v>
      </c>
      <c r="AH15" s="40">
        <v>0</v>
      </c>
      <c r="AI15" s="40">
        <v>0</v>
      </c>
      <c r="AJ15" s="40">
        <v>53911.6</v>
      </c>
      <c r="AK15" s="40">
        <v>41205.664499999999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0</v>
      </c>
      <c r="AT15" s="40">
        <v>1692937.4090000002</v>
      </c>
      <c r="AU15" s="40">
        <v>521498.47756592219</v>
      </c>
      <c r="AV15" s="40">
        <v>244523.8345</v>
      </c>
      <c r="AW15" s="40">
        <v>405634.92178636295</v>
      </c>
      <c r="AX15" s="56">
        <v>2458959.7210659222</v>
      </c>
      <c r="AY15" s="56">
        <v>2363842.4565659221</v>
      </c>
      <c r="AZ15" s="56">
        <v>5115</v>
      </c>
      <c r="BA15" s="56">
        <v>2153415</v>
      </c>
      <c r="BB15" s="56">
        <v>0</v>
      </c>
      <c r="BC15" s="56">
        <v>0</v>
      </c>
      <c r="BD15" s="56">
        <v>2458959.7210659222</v>
      </c>
      <c r="BE15" s="40">
        <v>2458959.7210659222</v>
      </c>
      <c r="BF15" s="40">
        <v>0</v>
      </c>
      <c r="BG15" s="56">
        <v>2248532.2645</v>
      </c>
      <c r="BH15" s="56">
        <v>2004008.4300000002</v>
      </c>
      <c r="BI15" s="40">
        <v>2214435.8865659223</v>
      </c>
      <c r="BJ15" s="40">
        <v>5259.9427234344948</v>
      </c>
      <c r="BK15" s="40">
        <v>5164.6972480000004</v>
      </c>
      <c r="BL15" s="41">
        <v>1.8441637691614492E-2</v>
      </c>
      <c r="BM15" s="41">
        <v>0</v>
      </c>
      <c r="BN15" s="40">
        <v>0</v>
      </c>
      <c r="BO15" s="56">
        <v>2458959.7210659222</v>
      </c>
      <c r="BP15" s="56">
        <v>5614.827687805041</v>
      </c>
      <c r="BQ15" s="56" t="s">
        <v>1091</v>
      </c>
      <c r="BR15" s="56">
        <v>5840.7594324606225</v>
      </c>
      <c r="BS15" s="47">
        <v>2.2494301122929938E-2</v>
      </c>
      <c r="BT15" s="40">
        <v>-10482.9</v>
      </c>
      <c r="BU15" s="40">
        <v>2448476.8210659223</v>
      </c>
      <c r="BV15" s="40">
        <v>0</v>
      </c>
      <c r="BW15" s="40">
        <v>2448476.8210659223</v>
      </c>
      <c r="BX15" s="40">
        <v>41205.664499999999</v>
      </c>
      <c r="BY15" s="40">
        <v>2407271.1565659223</v>
      </c>
    </row>
    <row r="16" spans="1:77">
      <c r="A16">
        <f>_xlfn.XLOOKUP(B16,'Summary June 2026'!B:B,'Summary June 2026'!A:A,0,0)</f>
        <v>2053</v>
      </c>
      <c r="B16" s="54">
        <v>103188</v>
      </c>
      <c r="C16" s="54">
        <v>3302053</v>
      </c>
      <c r="D16" s="55" t="s">
        <v>124</v>
      </c>
      <c r="E16" s="46">
        <v>476</v>
      </c>
      <c r="F16" s="46">
        <v>476</v>
      </c>
      <c r="G16" s="46">
        <v>0</v>
      </c>
      <c r="H16" s="40">
        <v>1914105.0040000002</v>
      </c>
      <c r="I16" s="40">
        <v>0</v>
      </c>
      <c r="J16" s="40">
        <v>0</v>
      </c>
      <c r="K16" s="40">
        <v>61763.749999999833</v>
      </c>
      <c r="L16" s="40">
        <v>0</v>
      </c>
      <c r="M16" s="40">
        <v>149171.39999999994</v>
      </c>
      <c r="N16" s="40">
        <v>0</v>
      </c>
      <c r="O16" s="40">
        <v>2182.0854988799902</v>
      </c>
      <c r="P16" s="40">
        <v>24699.350753279985</v>
      </c>
      <c r="Q16" s="40">
        <v>5509.3789900799902</v>
      </c>
      <c r="R16" s="40">
        <v>11121.92987135998</v>
      </c>
      <c r="S16" s="40">
        <v>40237.037568</v>
      </c>
      <c r="T16" s="40">
        <v>3533.6372735999767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22083.079999999976</v>
      </c>
      <c r="AB16" s="40">
        <v>0</v>
      </c>
      <c r="AC16" s="40">
        <v>167296.77135899724</v>
      </c>
      <c r="AD16" s="40">
        <v>0</v>
      </c>
      <c r="AE16" s="40">
        <v>0</v>
      </c>
      <c r="AF16" s="40">
        <v>0</v>
      </c>
      <c r="AG16" s="40">
        <v>149406.57</v>
      </c>
      <c r="AH16" s="40">
        <v>0</v>
      </c>
      <c r="AI16" s="40">
        <v>0</v>
      </c>
      <c r="AJ16" s="40">
        <v>0</v>
      </c>
      <c r="AK16" s="40">
        <v>21618.466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0</v>
      </c>
      <c r="AT16" s="40">
        <v>1914105.0040000002</v>
      </c>
      <c r="AU16" s="40">
        <v>487598.42131419689</v>
      </c>
      <c r="AV16" s="40">
        <v>171025.03600000002</v>
      </c>
      <c r="AW16" s="40">
        <v>370360.70674286911</v>
      </c>
      <c r="AX16" s="56">
        <v>2572728.4613141972</v>
      </c>
      <c r="AY16" s="56">
        <v>2551109.9953141971</v>
      </c>
      <c r="AZ16" s="56">
        <v>5115</v>
      </c>
      <c r="BA16" s="56">
        <v>2434740</v>
      </c>
      <c r="BB16" s="56">
        <v>0</v>
      </c>
      <c r="BC16" s="56">
        <v>0</v>
      </c>
      <c r="BD16" s="56">
        <v>2572728.4613141972</v>
      </c>
      <c r="BE16" s="40">
        <v>2572728.4613141972</v>
      </c>
      <c r="BF16" s="40">
        <v>0</v>
      </c>
      <c r="BG16" s="56">
        <v>2456358.466</v>
      </c>
      <c r="BH16" s="56">
        <v>2285333.4300000002</v>
      </c>
      <c r="BI16" s="40">
        <v>2401703.4253141973</v>
      </c>
      <c r="BJ16" s="40">
        <v>5045.5954313323473</v>
      </c>
      <c r="BK16" s="40">
        <v>4947.4511154166667</v>
      </c>
      <c r="BL16" s="41">
        <v>1.9837349298885407E-2</v>
      </c>
      <c r="BM16" s="41">
        <v>0</v>
      </c>
      <c r="BN16" s="40">
        <v>0</v>
      </c>
      <c r="BO16" s="56">
        <v>2572728.4613141972</v>
      </c>
      <c r="BP16" s="56">
        <v>5359.4747800718424</v>
      </c>
      <c r="BQ16" s="56" t="s">
        <v>1091</v>
      </c>
      <c r="BR16" s="56">
        <v>5404.8917254499938</v>
      </c>
      <c r="BS16" s="47">
        <v>1.9524454507655165E-2</v>
      </c>
      <c r="BT16" s="40">
        <v>-11852.4</v>
      </c>
      <c r="BU16" s="40">
        <v>2560876.0613141973</v>
      </c>
      <c r="BV16" s="40">
        <v>0</v>
      </c>
      <c r="BW16" s="40">
        <v>2560876.0613141973</v>
      </c>
      <c r="BX16" s="40">
        <v>21618.466</v>
      </c>
      <c r="BY16" s="40">
        <v>2539257.5953141972</v>
      </c>
    </row>
    <row r="17" spans="1:77">
      <c r="A17">
        <f>_xlfn.XLOOKUP(B17,'Summary June 2026'!B:B,'Summary June 2026'!A:A,0,0)</f>
        <v>2054</v>
      </c>
      <c r="B17" s="54">
        <v>103189</v>
      </c>
      <c r="C17" s="54">
        <v>3302054</v>
      </c>
      <c r="D17" s="55" t="s">
        <v>122</v>
      </c>
      <c r="E17" s="46">
        <v>360</v>
      </c>
      <c r="F17" s="46">
        <v>360</v>
      </c>
      <c r="G17" s="46">
        <v>0</v>
      </c>
      <c r="H17" s="40">
        <v>1447642.4400000002</v>
      </c>
      <c r="I17" s="40">
        <v>0</v>
      </c>
      <c r="J17" s="40">
        <v>0</v>
      </c>
      <c r="K17" s="40">
        <v>35081.809999999961</v>
      </c>
      <c r="L17" s="40">
        <v>0</v>
      </c>
      <c r="M17" s="40">
        <v>84056.899999999907</v>
      </c>
      <c r="N17" s="40">
        <v>0</v>
      </c>
      <c r="O17" s="40">
        <v>0</v>
      </c>
      <c r="P17" s="40">
        <v>21464.911964159917</v>
      </c>
      <c r="Q17" s="40">
        <v>5050.2640742399908</v>
      </c>
      <c r="R17" s="40">
        <v>10110.845337599989</v>
      </c>
      <c r="S17" s="40">
        <v>23069.234872319917</v>
      </c>
      <c r="T17" s="40">
        <v>1413.4549094399983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39391.439999999922</v>
      </c>
      <c r="AB17" s="40">
        <v>0</v>
      </c>
      <c r="AC17" s="40">
        <v>105670.79999999999</v>
      </c>
      <c r="AD17" s="40">
        <v>0</v>
      </c>
      <c r="AE17" s="40">
        <v>0</v>
      </c>
      <c r="AF17" s="40">
        <v>0</v>
      </c>
      <c r="AG17" s="40">
        <v>149406.57</v>
      </c>
      <c r="AH17" s="40">
        <v>0</v>
      </c>
      <c r="AI17" s="40">
        <v>0</v>
      </c>
      <c r="AJ17" s="40">
        <v>0</v>
      </c>
      <c r="AK17" s="40">
        <v>15023.0054</v>
      </c>
      <c r="AL17" s="40">
        <v>0</v>
      </c>
      <c r="AM17" s="40">
        <v>0</v>
      </c>
      <c r="AN17" s="40">
        <v>0</v>
      </c>
      <c r="AO17" s="40">
        <v>0</v>
      </c>
      <c r="AP17" s="40">
        <v>0</v>
      </c>
      <c r="AQ17" s="40">
        <v>0</v>
      </c>
      <c r="AR17" s="40">
        <v>0</v>
      </c>
      <c r="AS17" s="40">
        <v>0</v>
      </c>
      <c r="AT17" s="40">
        <v>1447642.4400000002</v>
      </c>
      <c r="AU17" s="40">
        <v>325309.6611577596</v>
      </c>
      <c r="AV17" s="40">
        <v>164429.5754</v>
      </c>
      <c r="AW17" s="40">
        <v>242941.99361679348</v>
      </c>
      <c r="AX17" s="56">
        <v>1937381.6765577598</v>
      </c>
      <c r="AY17" s="56">
        <v>1922358.6711577598</v>
      </c>
      <c r="AZ17" s="56">
        <v>5115</v>
      </c>
      <c r="BA17" s="56">
        <v>1841400</v>
      </c>
      <c r="BB17" s="56">
        <v>0</v>
      </c>
      <c r="BC17" s="56">
        <v>0</v>
      </c>
      <c r="BD17" s="56">
        <v>1937381.6765577598</v>
      </c>
      <c r="BE17" s="40">
        <v>1937381.6765577598</v>
      </c>
      <c r="BF17" s="40">
        <v>0</v>
      </c>
      <c r="BG17" s="56">
        <v>1856423.0053999999</v>
      </c>
      <c r="BH17" s="56">
        <v>1691993.43</v>
      </c>
      <c r="BI17" s="40">
        <v>1772952.1011577598</v>
      </c>
      <c r="BJ17" s="40">
        <v>4924.8669476604437</v>
      </c>
      <c r="BK17" s="40">
        <v>4975.8802794444437</v>
      </c>
      <c r="BL17" s="41">
        <v>-1.025212202044693E-2</v>
      </c>
      <c r="BM17" s="41">
        <v>5.2521220204469294E-3</v>
      </c>
      <c r="BN17" s="40">
        <v>9408.2149392400024</v>
      </c>
      <c r="BO17" s="56">
        <v>1946789.8914969997</v>
      </c>
      <c r="BP17" s="56">
        <v>5366.0191280472218</v>
      </c>
      <c r="BQ17" s="56" t="s">
        <v>1091</v>
      </c>
      <c r="BR17" s="56">
        <v>5407.7496986027772</v>
      </c>
      <c r="BS17" s="47">
        <v>-4.1774069824047633E-3</v>
      </c>
      <c r="BT17" s="40">
        <v>-8964</v>
      </c>
      <c r="BU17" s="40">
        <v>1937825.8914969997</v>
      </c>
      <c r="BV17" s="40">
        <v>0</v>
      </c>
      <c r="BW17" s="40">
        <v>1937825.8914969997</v>
      </c>
      <c r="BX17" s="40">
        <v>15023.0054</v>
      </c>
      <c r="BY17" s="40">
        <v>1922802.8860969997</v>
      </c>
    </row>
    <row r="18" spans="1:77">
      <c r="A18">
        <f>_xlfn.XLOOKUP(B18,'Summary June 2026'!B:B,'Summary June 2026'!A:A,0,0)</f>
        <v>2055</v>
      </c>
      <c r="B18" s="54">
        <v>103190</v>
      </c>
      <c r="C18" s="54">
        <v>3302055</v>
      </c>
      <c r="D18" s="55" t="s">
        <v>130</v>
      </c>
      <c r="E18" s="46">
        <v>412</v>
      </c>
      <c r="F18" s="46">
        <v>412</v>
      </c>
      <c r="G18" s="46">
        <v>0</v>
      </c>
      <c r="H18" s="40">
        <v>1656746.348</v>
      </c>
      <c r="I18" s="40">
        <v>0</v>
      </c>
      <c r="J18" s="40">
        <v>0</v>
      </c>
      <c r="K18" s="40">
        <v>43481.679999999855</v>
      </c>
      <c r="L18" s="40">
        <v>0</v>
      </c>
      <c r="M18" s="40">
        <v>104183.19999999965</v>
      </c>
      <c r="N18" s="40">
        <v>0</v>
      </c>
      <c r="O18" s="40">
        <v>3394.3552204799958</v>
      </c>
      <c r="P18" s="40">
        <v>26463.590092799936</v>
      </c>
      <c r="Q18" s="40">
        <v>14232.562391039992</v>
      </c>
      <c r="R18" s="40">
        <v>5055.4226687999844</v>
      </c>
      <c r="S18" s="40">
        <v>16631.308861439993</v>
      </c>
      <c r="T18" s="40">
        <v>12721.094184959997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16205.317593123207</v>
      </c>
      <c r="AB18" s="40">
        <v>0</v>
      </c>
      <c r="AC18" s="40">
        <v>114206.07576636951</v>
      </c>
      <c r="AD18" s="40">
        <v>0</v>
      </c>
      <c r="AE18" s="40">
        <v>0</v>
      </c>
      <c r="AF18" s="40">
        <v>0</v>
      </c>
      <c r="AG18" s="40">
        <v>149406.57</v>
      </c>
      <c r="AH18" s="40">
        <v>0</v>
      </c>
      <c r="AI18" s="40">
        <v>0</v>
      </c>
      <c r="AJ18" s="40">
        <v>0</v>
      </c>
      <c r="AK18" s="40">
        <v>39188.603999999999</v>
      </c>
      <c r="AL18" s="40">
        <v>0</v>
      </c>
      <c r="AM18" s="40">
        <v>0</v>
      </c>
      <c r="AN18" s="40">
        <v>0</v>
      </c>
      <c r="AO18" s="40">
        <v>0</v>
      </c>
      <c r="AP18" s="40">
        <v>0</v>
      </c>
      <c r="AQ18" s="40">
        <v>0</v>
      </c>
      <c r="AR18" s="40">
        <v>0</v>
      </c>
      <c r="AS18" s="40">
        <v>0</v>
      </c>
      <c r="AT18" s="40">
        <v>1656746.348</v>
      </c>
      <c r="AU18" s="40">
        <v>356574.60677901219</v>
      </c>
      <c r="AV18" s="40">
        <v>188595.174</v>
      </c>
      <c r="AW18" s="40">
        <v>278462.14999739651</v>
      </c>
      <c r="AX18" s="56">
        <v>2201916.1287790122</v>
      </c>
      <c r="AY18" s="56">
        <v>2162727.5247790124</v>
      </c>
      <c r="AZ18" s="56">
        <v>5115</v>
      </c>
      <c r="BA18" s="56">
        <v>2107380</v>
      </c>
      <c r="BB18" s="56">
        <v>0</v>
      </c>
      <c r="BC18" s="56">
        <v>0</v>
      </c>
      <c r="BD18" s="56">
        <v>2201916.1287790122</v>
      </c>
      <c r="BE18" s="40">
        <v>2201916.1287790122</v>
      </c>
      <c r="BF18" s="40">
        <v>0</v>
      </c>
      <c r="BG18" s="56">
        <v>2146568.6039999998</v>
      </c>
      <c r="BH18" s="56">
        <v>1957973.4299999997</v>
      </c>
      <c r="BI18" s="40">
        <v>2013320.9547790121</v>
      </c>
      <c r="BJ18" s="40">
        <v>4886.7013465509999</v>
      </c>
      <c r="BK18" s="40">
        <v>5100.517895652175</v>
      </c>
      <c r="BL18" s="41">
        <v>-4.1920556593564411E-2</v>
      </c>
      <c r="BM18" s="41">
        <v>3.6920556593564413E-2</v>
      </c>
      <c r="BN18" s="40">
        <v>77585.35136464065</v>
      </c>
      <c r="BO18" s="56">
        <v>2279501.4801436528</v>
      </c>
      <c r="BP18" s="56">
        <v>5437.6526119991577</v>
      </c>
      <c r="BQ18" s="56" t="s">
        <v>1091</v>
      </c>
      <c r="BR18" s="56">
        <v>5532.770582872944</v>
      </c>
      <c r="BS18" s="47">
        <v>7.5200020149068791E-4</v>
      </c>
      <c r="BT18" s="40">
        <v>-10258.799999999999</v>
      </c>
      <c r="BU18" s="40">
        <v>2269242.6801436529</v>
      </c>
      <c r="BV18" s="40">
        <v>0</v>
      </c>
      <c r="BW18" s="40">
        <v>2269242.6801436529</v>
      </c>
      <c r="BX18" s="40">
        <v>39188.603999999999</v>
      </c>
      <c r="BY18" s="40">
        <v>2230054.0761436531</v>
      </c>
    </row>
    <row r="19" spans="1:77">
      <c r="A19">
        <f>_xlfn.XLOOKUP(B19,'Summary June 2026'!B:B,'Summary June 2026'!A:A,0,0)</f>
        <v>2062</v>
      </c>
      <c r="B19" s="54">
        <v>103192</v>
      </c>
      <c r="C19" s="54">
        <v>3302062</v>
      </c>
      <c r="D19" s="55" t="s">
        <v>47</v>
      </c>
      <c r="E19" s="46">
        <v>368</v>
      </c>
      <c r="F19" s="46">
        <v>368</v>
      </c>
      <c r="G19" s="46">
        <v>0</v>
      </c>
      <c r="H19" s="40">
        <v>1479812.2720000001</v>
      </c>
      <c r="I19" s="40">
        <v>0</v>
      </c>
      <c r="J19" s="40">
        <v>0</v>
      </c>
      <c r="K19" s="40">
        <v>112162.9699999999</v>
      </c>
      <c r="L19" s="40">
        <v>0</v>
      </c>
      <c r="M19" s="40">
        <v>269929.19999999984</v>
      </c>
      <c r="N19" s="40">
        <v>0</v>
      </c>
      <c r="O19" s="40">
        <v>17600.16358548684</v>
      </c>
      <c r="P19" s="40">
        <v>12154.72290167927</v>
      </c>
      <c r="Q19" s="40">
        <v>13423.765429710895</v>
      </c>
      <c r="R19" s="40">
        <v>58105.504603149901</v>
      </c>
      <c r="S19" s="40">
        <v>32454.202356216869</v>
      </c>
      <c r="T19" s="40">
        <v>14963.259644044256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110154.39657492342</v>
      </c>
      <c r="AB19" s="40">
        <v>0</v>
      </c>
      <c r="AC19" s="40">
        <v>211761.36070981633</v>
      </c>
      <c r="AD19" s="40">
        <v>0</v>
      </c>
      <c r="AE19" s="40">
        <v>3846.2164752043377</v>
      </c>
      <c r="AF19" s="40">
        <v>0</v>
      </c>
      <c r="AG19" s="40">
        <v>149406.57</v>
      </c>
      <c r="AH19" s="40">
        <v>0</v>
      </c>
      <c r="AI19" s="40">
        <v>0</v>
      </c>
      <c r="AJ19" s="40">
        <v>0</v>
      </c>
      <c r="AK19" s="40">
        <v>39764.906999999999</v>
      </c>
      <c r="AL19" s="40">
        <v>0</v>
      </c>
      <c r="AM19" s="40">
        <v>0</v>
      </c>
      <c r="AN19" s="40">
        <v>0</v>
      </c>
      <c r="AO19" s="40">
        <v>0</v>
      </c>
      <c r="AP19" s="40">
        <v>0</v>
      </c>
      <c r="AQ19" s="40">
        <v>0</v>
      </c>
      <c r="AR19" s="40">
        <v>0</v>
      </c>
      <c r="AS19" s="40">
        <v>0</v>
      </c>
      <c r="AT19" s="40">
        <v>1479812.2720000001</v>
      </c>
      <c r="AU19" s="40">
        <v>856555.76228023181</v>
      </c>
      <c r="AV19" s="40">
        <v>189171.47700000001</v>
      </c>
      <c r="AW19" s="40">
        <v>476837.73817711993</v>
      </c>
      <c r="AX19" s="56">
        <v>2525539.5112802321</v>
      </c>
      <c r="AY19" s="56">
        <v>2485774.604280232</v>
      </c>
      <c r="AZ19" s="56">
        <v>5115</v>
      </c>
      <c r="BA19" s="56">
        <v>1882320</v>
      </c>
      <c r="BB19" s="56">
        <v>0</v>
      </c>
      <c r="BC19" s="56">
        <v>0</v>
      </c>
      <c r="BD19" s="56">
        <v>2525539.5112802321</v>
      </c>
      <c r="BE19" s="40">
        <v>2525539.5112802321</v>
      </c>
      <c r="BF19" s="40">
        <v>0</v>
      </c>
      <c r="BG19" s="56">
        <v>1922084.9069999999</v>
      </c>
      <c r="BH19" s="56">
        <v>1732913.43</v>
      </c>
      <c r="BI19" s="40">
        <v>2336368.0342802322</v>
      </c>
      <c r="BJ19" s="40">
        <v>6348.8261801093267</v>
      </c>
      <c r="BK19" s="40">
        <v>6127.6684435114512</v>
      </c>
      <c r="BL19" s="41">
        <v>3.6091661720382091E-2</v>
      </c>
      <c r="BM19" s="41">
        <v>0</v>
      </c>
      <c r="BN19" s="40">
        <v>0</v>
      </c>
      <c r="BO19" s="56">
        <v>2525539.5112802321</v>
      </c>
      <c r="BP19" s="56">
        <v>6754.8222942397606</v>
      </c>
      <c r="BQ19" s="56" t="s">
        <v>1091</v>
      </c>
      <c r="BR19" s="56">
        <v>6862.8791067397615</v>
      </c>
      <c r="BS19" s="47">
        <v>3.4868401685158812E-2</v>
      </c>
      <c r="BT19" s="40">
        <v>-9163.1999999999989</v>
      </c>
      <c r="BU19" s="40">
        <v>2516376.3112802319</v>
      </c>
      <c r="BV19" s="40">
        <v>0</v>
      </c>
      <c r="BW19" s="40">
        <v>2516376.3112802319</v>
      </c>
      <c r="BX19" s="40">
        <v>39764.906999999999</v>
      </c>
      <c r="BY19" s="40">
        <v>2476611.4042802318</v>
      </c>
    </row>
    <row r="20" spans="1:77">
      <c r="A20">
        <f>_xlfn.XLOOKUP(B20,'Summary June 2026'!B:B,'Summary June 2026'!A:A,0,0)</f>
        <v>2063</v>
      </c>
      <c r="B20" s="54">
        <v>103193</v>
      </c>
      <c r="C20" s="54">
        <v>3302063</v>
      </c>
      <c r="D20" s="55" t="s">
        <v>278</v>
      </c>
      <c r="E20" s="46">
        <v>368</v>
      </c>
      <c r="F20" s="46">
        <v>368</v>
      </c>
      <c r="G20" s="46">
        <v>0</v>
      </c>
      <c r="H20" s="40">
        <v>1479812.2720000001</v>
      </c>
      <c r="I20" s="40">
        <v>0</v>
      </c>
      <c r="J20" s="40">
        <v>0</v>
      </c>
      <c r="K20" s="40">
        <v>141315.45999999996</v>
      </c>
      <c r="L20" s="40">
        <v>0</v>
      </c>
      <c r="M20" s="40">
        <v>338595.39999999997</v>
      </c>
      <c r="N20" s="40">
        <v>0</v>
      </c>
      <c r="O20" s="40">
        <v>1939.6315545599994</v>
      </c>
      <c r="P20" s="40">
        <v>4704.6382387199983</v>
      </c>
      <c r="Q20" s="40">
        <v>45452.376668159864</v>
      </c>
      <c r="R20" s="40">
        <v>18705.063874559895</v>
      </c>
      <c r="S20" s="40">
        <v>99787.853168639893</v>
      </c>
      <c r="T20" s="40">
        <v>9894.1843660799823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87581.156884735014</v>
      </c>
      <c r="AB20" s="40">
        <v>0</v>
      </c>
      <c r="AC20" s="40">
        <v>160329.17836507276</v>
      </c>
      <c r="AD20" s="40">
        <v>0</v>
      </c>
      <c r="AE20" s="40">
        <v>0</v>
      </c>
      <c r="AF20" s="40">
        <v>0</v>
      </c>
      <c r="AG20" s="40">
        <v>149406.57</v>
      </c>
      <c r="AH20" s="40">
        <v>0</v>
      </c>
      <c r="AI20" s="40">
        <v>0</v>
      </c>
      <c r="AJ20" s="40">
        <v>0</v>
      </c>
      <c r="AK20" s="40">
        <v>65698.542000000001</v>
      </c>
      <c r="AL20" s="40">
        <v>0</v>
      </c>
      <c r="AM20" s="40">
        <v>0</v>
      </c>
      <c r="AN20" s="40">
        <v>0</v>
      </c>
      <c r="AO20" s="40">
        <v>0</v>
      </c>
      <c r="AP20" s="40">
        <v>0</v>
      </c>
      <c r="AQ20" s="40">
        <v>0</v>
      </c>
      <c r="AR20" s="40">
        <v>0</v>
      </c>
      <c r="AS20" s="40">
        <v>0</v>
      </c>
      <c r="AT20" s="40">
        <v>1479812.2720000001</v>
      </c>
      <c r="AU20" s="40">
        <v>908304.94312052731</v>
      </c>
      <c r="AV20" s="40">
        <v>215105.11200000002</v>
      </c>
      <c r="AW20" s="40">
        <v>472061.85079853184</v>
      </c>
      <c r="AX20" s="56">
        <v>2603222.3271205276</v>
      </c>
      <c r="AY20" s="56">
        <v>2537523.7851205277</v>
      </c>
      <c r="AZ20" s="56">
        <v>5115</v>
      </c>
      <c r="BA20" s="56">
        <v>1882320</v>
      </c>
      <c r="BB20" s="56">
        <v>0</v>
      </c>
      <c r="BC20" s="56">
        <v>0</v>
      </c>
      <c r="BD20" s="56">
        <v>2603222.3271205276</v>
      </c>
      <c r="BE20" s="40">
        <v>2603222.3271205276</v>
      </c>
      <c r="BF20" s="40">
        <v>0</v>
      </c>
      <c r="BG20" s="56">
        <v>1948018.5419999999</v>
      </c>
      <c r="BH20" s="56">
        <v>1732913.43</v>
      </c>
      <c r="BI20" s="40">
        <v>2388117.2151205279</v>
      </c>
      <c r="BJ20" s="40">
        <v>6489.448954131869</v>
      </c>
      <c r="BK20" s="40">
        <v>6208.8992155672822</v>
      </c>
      <c r="BL20" s="41">
        <v>4.5185101066091957E-2</v>
      </c>
      <c r="BM20" s="41">
        <v>0</v>
      </c>
      <c r="BN20" s="40">
        <v>0</v>
      </c>
      <c r="BO20" s="56">
        <v>2603222.3271205276</v>
      </c>
      <c r="BP20" s="56">
        <v>6895.4450682623037</v>
      </c>
      <c r="BQ20" s="56" t="s">
        <v>1091</v>
      </c>
      <c r="BR20" s="56">
        <v>7073.9737150014334</v>
      </c>
      <c r="BS20" s="47">
        <v>4.6031593498959245E-2</v>
      </c>
      <c r="BT20" s="40">
        <v>-9163.1999999999989</v>
      </c>
      <c r="BU20" s="40">
        <v>2594059.1271205274</v>
      </c>
      <c r="BV20" s="40">
        <v>0</v>
      </c>
      <c r="BW20" s="40">
        <v>2594059.1271205274</v>
      </c>
      <c r="BX20" s="40">
        <v>65698.542000000001</v>
      </c>
      <c r="BY20" s="40">
        <v>2528360.5851205275</v>
      </c>
    </row>
    <row r="21" spans="1:77">
      <c r="A21">
        <f>_xlfn.XLOOKUP(B21,'Summary June 2026'!B:B,'Summary June 2026'!A:A,0,0)</f>
        <v>2079</v>
      </c>
      <c r="B21" s="54">
        <v>103200</v>
      </c>
      <c r="C21" s="54">
        <v>3302079</v>
      </c>
      <c r="D21" s="55" t="s">
        <v>150</v>
      </c>
      <c r="E21" s="46">
        <v>283</v>
      </c>
      <c r="F21" s="46">
        <v>283</v>
      </c>
      <c r="G21" s="46">
        <v>0</v>
      </c>
      <c r="H21" s="40">
        <v>1138007.807</v>
      </c>
      <c r="I21" s="40">
        <v>0</v>
      </c>
      <c r="J21" s="40">
        <v>0</v>
      </c>
      <c r="K21" s="40">
        <v>67693.06999999992</v>
      </c>
      <c r="L21" s="40">
        <v>0</v>
      </c>
      <c r="M21" s="40">
        <v>163378.19999999992</v>
      </c>
      <c r="N21" s="40">
        <v>0</v>
      </c>
      <c r="O21" s="40">
        <v>15032.144547839956</v>
      </c>
      <c r="P21" s="40">
        <v>4704.6382387199974</v>
      </c>
      <c r="Q21" s="40">
        <v>8264.0684851200003</v>
      </c>
      <c r="R21" s="40">
        <v>2022.1690675199914</v>
      </c>
      <c r="S21" s="40">
        <v>3218.9630054399945</v>
      </c>
      <c r="T21" s="40">
        <v>7774.0020019199919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53475.942239382144</v>
      </c>
      <c r="AB21" s="40">
        <v>0</v>
      </c>
      <c r="AC21" s="40">
        <v>113234.97893123806</v>
      </c>
      <c r="AD21" s="40">
        <v>0</v>
      </c>
      <c r="AE21" s="40">
        <v>16403.195199999798</v>
      </c>
      <c r="AF21" s="40">
        <v>0</v>
      </c>
      <c r="AG21" s="40">
        <v>149406.57</v>
      </c>
      <c r="AH21" s="40">
        <v>0</v>
      </c>
      <c r="AI21" s="40">
        <v>0</v>
      </c>
      <c r="AJ21" s="40">
        <v>0</v>
      </c>
      <c r="AK21" s="40">
        <v>34866.3315</v>
      </c>
      <c r="AL21" s="40">
        <v>0</v>
      </c>
      <c r="AM21" s="40">
        <v>0</v>
      </c>
      <c r="AN21" s="40">
        <v>0</v>
      </c>
      <c r="AO21" s="40">
        <v>0</v>
      </c>
      <c r="AP21" s="40">
        <v>0</v>
      </c>
      <c r="AQ21" s="40">
        <v>0</v>
      </c>
      <c r="AR21" s="40">
        <v>0</v>
      </c>
      <c r="AS21" s="40">
        <v>0</v>
      </c>
      <c r="AT21" s="40">
        <v>1138007.807</v>
      </c>
      <c r="AU21" s="40">
        <v>455201.37171717978</v>
      </c>
      <c r="AV21" s="40">
        <v>184272.90150000001</v>
      </c>
      <c r="AW21" s="40">
        <v>268086.78120599961</v>
      </c>
      <c r="AX21" s="56">
        <v>1777482.0802171796</v>
      </c>
      <c r="AY21" s="56">
        <v>1742615.7487171795</v>
      </c>
      <c r="AZ21" s="56">
        <v>5115</v>
      </c>
      <c r="BA21" s="56">
        <v>1447545</v>
      </c>
      <c r="BB21" s="56">
        <v>0</v>
      </c>
      <c r="BC21" s="56">
        <v>0</v>
      </c>
      <c r="BD21" s="56">
        <v>1777482.0802171796</v>
      </c>
      <c r="BE21" s="40">
        <v>1777482.0802171794</v>
      </c>
      <c r="BF21" s="40">
        <v>0</v>
      </c>
      <c r="BG21" s="56">
        <v>1482411.3315000001</v>
      </c>
      <c r="BH21" s="56">
        <v>1298138.43</v>
      </c>
      <c r="BI21" s="40">
        <v>1593209.1787171795</v>
      </c>
      <c r="BJ21" s="40">
        <v>5629.7144124281958</v>
      </c>
      <c r="BK21" s="40">
        <v>5668.1078978461537</v>
      </c>
      <c r="BL21" s="41">
        <v>-6.7735981935959939E-3</v>
      </c>
      <c r="BM21" s="41">
        <v>1.7735981935959938E-3</v>
      </c>
      <c r="BN21" s="40">
        <v>2844.9836978297758</v>
      </c>
      <c r="BO21" s="56">
        <v>1780327.0639150094</v>
      </c>
      <c r="BP21" s="56">
        <v>6167.7057682509167</v>
      </c>
      <c r="BQ21" s="56" t="s">
        <v>1091</v>
      </c>
      <c r="BR21" s="56">
        <v>6290.9083530565704</v>
      </c>
      <c r="BS21" s="47">
        <v>1.4835488600767555E-2</v>
      </c>
      <c r="BT21" s="40">
        <v>-7046.7</v>
      </c>
      <c r="BU21" s="40">
        <v>1773280.3639150094</v>
      </c>
      <c r="BV21" s="40">
        <v>0</v>
      </c>
      <c r="BW21" s="40">
        <v>1773280.3639150094</v>
      </c>
      <c r="BX21" s="40">
        <v>34866.3315</v>
      </c>
      <c r="BY21" s="40">
        <v>1738414.0324150093</v>
      </c>
    </row>
    <row r="22" spans="1:77">
      <c r="A22">
        <f>_xlfn.XLOOKUP(B22,'Summary June 2026'!B:B,'Summary June 2026'!A:A,0,0)</f>
        <v>2081</v>
      </c>
      <c r="B22" s="54">
        <v>103201</v>
      </c>
      <c r="C22" s="54">
        <v>3302081</v>
      </c>
      <c r="D22" s="55" t="s">
        <v>152</v>
      </c>
      <c r="E22" s="46">
        <v>411</v>
      </c>
      <c r="F22" s="46">
        <v>411</v>
      </c>
      <c r="G22" s="46">
        <v>0</v>
      </c>
      <c r="H22" s="40">
        <v>1652725.1190000002</v>
      </c>
      <c r="I22" s="40">
        <v>0</v>
      </c>
      <c r="J22" s="40">
        <v>0</v>
      </c>
      <c r="K22" s="40">
        <v>77081.159999999902</v>
      </c>
      <c r="L22" s="40">
        <v>0</v>
      </c>
      <c r="M22" s="40">
        <v>185872.29999999984</v>
      </c>
      <c r="N22" s="40">
        <v>0</v>
      </c>
      <c r="O22" s="40">
        <v>8970.795939839998</v>
      </c>
      <c r="P22" s="40">
        <v>12349.675376639902</v>
      </c>
      <c r="Q22" s="40">
        <v>2754.6894950399997</v>
      </c>
      <c r="R22" s="40">
        <v>7077.5917363199997</v>
      </c>
      <c r="S22" s="40">
        <v>3755.4568396800005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35931.449239436472</v>
      </c>
      <c r="AB22" s="40">
        <v>0</v>
      </c>
      <c r="AC22" s="40">
        <v>124004.51228236762</v>
      </c>
      <c r="AD22" s="40">
        <v>0</v>
      </c>
      <c r="AE22" s="40">
        <v>5146.4783999999981</v>
      </c>
      <c r="AF22" s="40">
        <v>0</v>
      </c>
      <c r="AG22" s="40">
        <v>149406.57</v>
      </c>
      <c r="AH22" s="40">
        <v>0</v>
      </c>
      <c r="AI22" s="40">
        <v>0</v>
      </c>
      <c r="AJ22" s="40">
        <v>0</v>
      </c>
      <c r="AK22" s="40">
        <v>53308.027499999997</v>
      </c>
      <c r="AL22" s="40">
        <v>0</v>
      </c>
      <c r="AM22" s="40">
        <v>0</v>
      </c>
      <c r="AN22" s="40">
        <v>0</v>
      </c>
      <c r="AO22" s="40">
        <v>0</v>
      </c>
      <c r="AP22" s="40">
        <v>0</v>
      </c>
      <c r="AQ22" s="40">
        <v>0</v>
      </c>
      <c r="AR22" s="40">
        <v>0</v>
      </c>
      <c r="AS22" s="40">
        <v>0</v>
      </c>
      <c r="AT22" s="40">
        <v>1652725.1190000002</v>
      </c>
      <c r="AU22" s="40">
        <v>462944.10930932371</v>
      </c>
      <c r="AV22" s="40">
        <v>202714.5975</v>
      </c>
      <c r="AW22" s="40">
        <v>313870.96921187476</v>
      </c>
      <c r="AX22" s="56">
        <v>2318383.8258093242</v>
      </c>
      <c r="AY22" s="56">
        <v>2265075.7983093243</v>
      </c>
      <c r="AZ22" s="56">
        <v>5115</v>
      </c>
      <c r="BA22" s="56">
        <v>2102265</v>
      </c>
      <c r="BB22" s="56">
        <v>0</v>
      </c>
      <c r="BC22" s="56">
        <v>0</v>
      </c>
      <c r="BD22" s="56">
        <v>2318383.8258093242</v>
      </c>
      <c r="BE22" s="40">
        <v>2318383.8258093242</v>
      </c>
      <c r="BF22" s="40">
        <v>0</v>
      </c>
      <c r="BG22" s="56">
        <v>2155573.0274999999</v>
      </c>
      <c r="BH22" s="56">
        <v>1952858.4299999997</v>
      </c>
      <c r="BI22" s="40">
        <v>2115669.2283093245</v>
      </c>
      <c r="BJ22" s="40">
        <v>5147.613694183271</v>
      </c>
      <c r="BK22" s="40">
        <v>5003.5062635491613</v>
      </c>
      <c r="BL22" s="41">
        <v>2.8801289144762519E-2</v>
      </c>
      <c r="BM22" s="41">
        <v>0</v>
      </c>
      <c r="BN22" s="40">
        <v>0</v>
      </c>
      <c r="BO22" s="56">
        <v>2318383.8258093242</v>
      </c>
      <c r="BP22" s="56">
        <v>5511.1333292197669</v>
      </c>
      <c r="BQ22" s="56" t="s">
        <v>1091</v>
      </c>
      <c r="BR22" s="56">
        <v>5640.8365591467746</v>
      </c>
      <c r="BS22" s="47">
        <v>3.2944025770013097E-2</v>
      </c>
      <c r="BT22" s="40">
        <v>-10233.9</v>
      </c>
      <c r="BU22" s="40">
        <v>2308149.9258093243</v>
      </c>
      <c r="BV22" s="40">
        <v>0</v>
      </c>
      <c r="BW22" s="40">
        <v>2308149.9258093243</v>
      </c>
      <c r="BX22" s="40">
        <v>53308.027499999997</v>
      </c>
      <c r="BY22" s="40">
        <v>2254841.8983093244</v>
      </c>
    </row>
    <row r="23" spans="1:77">
      <c r="A23">
        <f>_xlfn.XLOOKUP(B23,'Summary June 2026'!B:B,'Summary June 2026'!A:A,0,0)</f>
        <v>2087</v>
      </c>
      <c r="B23" s="54">
        <v>103205</v>
      </c>
      <c r="C23" s="54">
        <v>3302087</v>
      </c>
      <c r="D23" s="55" t="s">
        <v>160</v>
      </c>
      <c r="E23" s="46">
        <v>307</v>
      </c>
      <c r="F23" s="46">
        <v>307</v>
      </c>
      <c r="G23" s="46">
        <v>0</v>
      </c>
      <c r="H23" s="40">
        <v>1234517.3030000001</v>
      </c>
      <c r="I23" s="40">
        <v>0</v>
      </c>
      <c r="J23" s="40">
        <v>0</v>
      </c>
      <c r="K23" s="40">
        <v>79551.709999999992</v>
      </c>
      <c r="L23" s="40">
        <v>0</v>
      </c>
      <c r="M23" s="40">
        <v>195343.49999999997</v>
      </c>
      <c r="N23" s="40">
        <v>0</v>
      </c>
      <c r="O23" s="40">
        <v>8970.7959398399635</v>
      </c>
      <c r="P23" s="40">
        <v>10879.475927039957</v>
      </c>
      <c r="Q23" s="40">
        <v>27087.780034559892</v>
      </c>
      <c r="R23" s="40">
        <v>45498.804019199975</v>
      </c>
      <c r="S23" s="40">
        <v>17704.296529919935</v>
      </c>
      <c r="T23" s="40">
        <v>18374.913822719987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23813.269602887995</v>
      </c>
      <c r="AB23" s="40">
        <v>0</v>
      </c>
      <c r="AC23" s="40">
        <v>180322.44340205487</v>
      </c>
      <c r="AD23" s="40">
        <v>0</v>
      </c>
      <c r="AE23" s="40">
        <v>15979.140799999865</v>
      </c>
      <c r="AF23" s="40">
        <v>0</v>
      </c>
      <c r="AG23" s="40">
        <v>149406.57</v>
      </c>
      <c r="AH23" s="40">
        <v>0</v>
      </c>
      <c r="AI23" s="40">
        <v>0</v>
      </c>
      <c r="AJ23" s="40">
        <v>0</v>
      </c>
      <c r="AK23" s="40">
        <v>34866.3315</v>
      </c>
      <c r="AL23" s="40">
        <v>0</v>
      </c>
      <c r="AM23" s="40">
        <v>0</v>
      </c>
      <c r="AN23" s="40">
        <v>0</v>
      </c>
      <c r="AO23" s="40">
        <v>0</v>
      </c>
      <c r="AP23" s="40">
        <v>0</v>
      </c>
      <c r="AQ23" s="40">
        <v>0</v>
      </c>
      <c r="AR23" s="40">
        <v>0</v>
      </c>
      <c r="AS23" s="40">
        <v>0</v>
      </c>
      <c r="AT23" s="40">
        <v>1234517.3030000001</v>
      </c>
      <c r="AU23" s="40">
        <v>623526.13007822237</v>
      </c>
      <c r="AV23" s="40">
        <v>184272.90150000001</v>
      </c>
      <c r="AW23" s="40">
        <v>387276.36801043549</v>
      </c>
      <c r="AX23" s="56">
        <v>2042316.3345782224</v>
      </c>
      <c r="AY23" s="56">
        <v>2007450.0030782223</v>
      </c>
      <c r="AZ23" s="56">
        <v>5115</v>
      </c>
      <c r="BA23" s="56">
        <v>1570305</v>
      </c>
      <c r="BB23" s="56">
        <v>0</v>
      </c>
      <c r="BC23" s="56">
        <v>0</v>
      </c>
      <c r="BD23" s="56">
        <v>2042316.3345782224</v>
      </c>
      <c r="BE23" s="40">
        <v>2042316.3345782224</v>
      </c>
      <c r="BF23" s="40">
        <v>0</v>
      </c>
      <c r="BG23" s="56">
        <v>1605171.3315000001</v>
      </c>
      <c r="BH23" s="56">
        <v>1420898.43</v>
      </c>
      <c r="BI23" s="40">
        <v>1858043.4330782222</v>
      </c>
      <c r="BJ23" s="40">
        <v>6052.2587396684767</v>
      </c>
      <c r="BK23" s="40">
        <v>5956.7550533923295</v>
      </c>
      <c r="BL23" s="41">
        <v>1.6032837580212147E-2</v>
      </c>
      <c r="BM23" s="41">
        <v>0</v>
      </c>
      <c r="BN23" s="40">
        <v>0</v>
      </c>
      <c r="BO23" s="56">
        <v>2042316.3345782224</v>
      </c>
      <c r="BP23" s="56">
        <v>6538.925091460007</v>
      </c>
      <c r="BQ23" s="56" t="s">
        <v>1091</v>
      </c>
      <c r="BR23" s="56">
        <v>6652.496203837858</v>
      </c>
      <c r="BS23" s="47">
        <v>2.7623904764603191E-2</v>
      </c>
      <c r="BT23" s="40">
        <v>-7644.2999999999993</v>
      </c>
      <c r="BU23" s="40">
        <v>2034672.0345782223</v>
      </c>
      <c r="BV23" s="40">
        <v>0</v>
      </c>
      <c r="BW23" s="40">
        <v>2034672.0345782223</v>
      </c>
      <c r="BX23" s="40">
        <v>34866.3315</v>
      </c>
      <c r="BY23" s="40">
        <v>1999805.7030782222</v>
      </c>
    </row>
    <row r="24" spans="1:77">
      <c r="A24">
        <f>_xlfn.XLOOKUP(B24,'Summary June 2026'!B:B,'Summary June 2026'!A:A,0,0)</f>
        <v>2091</v>
      </c>
      <c r="B24" s="54">
        <v>103208</v>
      </c>
      <c r="C24" s="54">
        <v>3302091</v>
      </c>
      <c r="D24" s="55" t="s">
        <v>164</v>
      </c>
      <c r="E24" s="46">
        <v>189</v>
      </c>
      <c r="F24" s="46">
        <v>189</v>
      </c>
      <c r="G24" s="46">
        <v>0</v>
      </c>
      <c r="H24" s="40">
        <v>760012.28100000008</v>
      </c>
      <c r="I24" s="40">
        <v>0</v>
      </c>
      <c r="J24" s="40">
        <v>0</v>
      </c>
      <c r="K24" s="40">
        <v>45952.229999999996</v>
      </c>
      <c r="L24" s="40">
        <v>0</v>
      </c>
      <c r="M24" s="40">
        <v>111286.59999999992</v>
      </c>
      <c r="N24" s="40">
        <v>0</v>
      </c>
      <c r="O24" s="40">
        <v>19881.223434239964</v>
      </c>
      <c r="P24" s="40">
        <v>1176.1595596799964</v>
      </c>
      <c r="Q24" s="40">
        <v>1836.4596633599945</v>
      </c>
      <c r="R24" s="40">
        <v>26288.197877759991</v>
      </c>
      <c r="S24" s="40">
        <v>8047.4075135999956</v>
      </c>
      <c r="T24" s="40">
        <v>9187.4569113599882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26541.825882352849</v>
      </c>
      <c r="AB24" s="40">
        <v>0</v>
      </c>
      <c r="AC24" s="40">
        <v>102787.56622256855</v>
      </c>
      <c r="AD24" s="40">
        <v>0</v>
      </c>
      <c r="AE24" s="40">
        <v>15512.183535483753</v>
      </c>
      <c r="AF24" s="40">
        <v>0</v>
      </c>
      <c r="AG24" s="40">
        <v>149406.57</v>
      </c>
      <c r="AH24" s="40">
        <v>0</v>
      </c>
      <c r="AI24" s="40">
        <v>0</v>
      </c>
      <c r="AJ24" s="40">
        <v>0</v>
      </c>
      <c r="AK24" s="40">
        <v>21594.4745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0</v>
      </c>
      <c r="AR24" s="40">
        <v>0</v>
      </c>
      <c r="AS24" s="40">
        <v>0</v>
      </c>
      <c r="AT24" s="40">
        <v>760012.28100000008</v>
      </c>
      <c r="AU24" s="40">
        <v>368497.31060040498</v>
      </c>
      <c r="AV24" s="40">
        <v>171001.04450000002</v>
      </c>
      <c r="AW24" s="40">
        <v>221304.2448581685</v>
      </c>
      <c r="AX24" s="56">
        <v>1299510.6361004051</v>
      </c>
      <c r="AY24" s="56">
        <v>1277916.1616004051</v>
      </c>
      <c r="AZ24" s="56">
        <v>5115</v>
      </c>
      <c r="BA24" s="56">
        <v>966735</v>
      </c>
      <c r="BB24" s="56">
        <v>0</v>
      </c>
      <c r="BC24" s="56">
        <v>0</v>
      </c>
      <c r="BD24" s="56">
        <v>1299510.6361004051</v>
      </c>
      <c r="BE24" s="40">
        <v>1299510.6361004054</v>
      </c>
      <c r="BF24" s="40">
        <v>0</v>
      </c>
      <c r="BG24" s="56">
        <v>988329.47450000001</v>
      </c>
      <c r="BH24" s="56">
        <v>817328.42999999993</v>
      </c>
      <c r="BI24" s="40">
        <v>1128509.5916004051</v>
      </c>
      <c r="BJ24" s="40">
        <v>5970.9502201079631</v>
      </c>
      <c r="BK24" s="40">
        <v>5770.865375806452</v>
      </c>
      <c r="BL24" s="41">
        <v>3.4671549459521084E-2</v>
      </c>
      <c r="BM24" s="41">
        <v>0</v>
      </c>
      <c r="BN24" s="40">
        <v>0</v>
      </c>
      <c r="BO24" s="56">
        <v>1299510.6361004051</v>
      </c>
      <c r="BP24" s="56">
        <v>6761.4611724889164</v>
      </c>
      <c r="BQ24" s="56" t="s">
        <v>1091</v>
      </c>
      <c r="BR24" s="56">
        <v>6875.7176513248951</v>
      </c>
      <c r="BS24" s="47">
        <v>3.1603726867710513E-2</v>
      </c>
      <c r="BT24" s="40">
        <v>-4706.0999999999995</v>
      </c>
      <c r="BU24" s="40">
        <v>1294804.536100405</v>
      </c>
      <c r="BV24" s="40">
        <v>0</v>
      </c>
      <c r="BW24" s="40">
        <v>1294804.536100405</v>
      </c>
      <c r="BX24" s="40">
        <v>21594.4745</v>
      </c>
      <c r="BY24" s="40">
        <v>1273210.061600405</v>
      </c>
    </row>
    <row r="25" spans="1:77">
      <c r="A25">
        <f>_xlfn.XLOOKUP(B25,'Summary June 2026'!B:B,'Summary June 2026'!A:A,0,0)</f>
        <v>2092</v>
      </c>
      <c r="B25" s="54">
        <v>103209</v>
      </c>
      <c r="C25" s="54">
        <v>3302092</v>
      </c>
      <c r="D25" s="55" t="s">
        <v>168</v>
      </c>
      <c r="E25" s="46">
        <v>486</v>
      </c>
      <c r="F25" s="46">
        <v>486</v>
      </c>
      <c r="G25" s="46">
        <v>0</v>
      </c>
      <c r="H25" s="40">
        <v>1954317.2940000002</v>
      </c>
      <c r="I25" s="40">
        <v>0</v>
      </c>
      <c r="J25" s="40">
        <v>0</v>
      </c>
      <c r="K25" s="40">
        <v>88445.689999999988</v>
      </c>
      <c r="L25" s="40">
        <v>0</v>
      </c>
      <c r="M25" s="40">
        <v>222573.19999999969</v>
      </c>
      <c r="N25" s="40">
        <v>0</v>
      </c>
      <c r="O25" s="40">
        <v>12122.697216</v>
      </c>
      <c r="P25" s="40">
        <v>14701.994496000001</v>
      </c>
      <c r="Q25" s="40">
        <v>6427.6088217599954</v>
      </c>
      <c r="R25" s="40">
        <v>5055.4226687999999</v>
      </c>
      <c r="S25" s="40">
        <v>8583.9013478399793</v>
      </c>
      <c r="T25" s="40">
        <v>1413.4549094399999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39391.439999999864</v>
      </c>
      <c r="AB25" s="40">
        <v>0</v>
      </c>
      <c r="AC25" s="40">
        <v>127541.65683846024</v>
      </c>
      <c r="AD25" s="40">
        <v>0</v>
      </c>
      <c r="AE25" s="40">
        <v>0</v>
      </c>
      <c r="AF25" s="40">
        <v>0</v>
      </c>
      <c r="AG25" s="40">
        <v>149406.57</v>
      </c>
      <c r="AH25" s="40">
        <v>0</v>
      </c>
      <c r="AI25" s="40">
        <v>0</v>
      </c>
      <c r="AJ25" s="40">
        <v>0</v>
      </c>
      <c r="AK25" s="40">
        <v>32561.119500000001</v>
      </c>
      <c r="AL25" s="40">
        <v>0</v>
      </c>
      <c r="AM25" s="40">
        <v>0</v>
      </c>
      <c r="AN25" s="40">
        <v>0</v>
      </c>
      <c r="AO25" s="40">
        <v>0</v>
      </c>
      <c r="AP25" s="40">
        <v>0</v>
      </c>
      <c r="AQ25" s="40">
        <v>0</v>
      </c>
      <c r="AR25" s="40">
        <v>0</v>
      </c>
      <c r="AS25" s="40">
        <v>0</v>
      </c>
      <c r="AT25" s="40">
        <v>1954317.2940000002</v>
      </c>
      <c r="AU25" s="40">
        <v>526257.0662982997</v>
      </c>
      <c r="AV25" s="40">
        <v>181967.68950000001</v>
      </c>
      <c r="AW25" s="40">
        <v>354614.15054400254</v>
      </c>
      <c r="AX25" s="56">
        <v>2662542.0497983</v>
      </c>
      <c r="AY25" s="56">
        <v>2629980.9302983</v>
      </c>
      <c r="AZ25" s="56">
        <v>5115</v>
      </c>
      <c r="BA25" s="56">
        <v>2485890</v>
      </c>
      <c r="BB25" s="56">
        <v>0</v>
      </c>
      <c r="BC25" s="56">
        <v>0</v>
      </c>
      <c r="BD25" s="56">
        <v>2662542.0497983</v>
      </c>
      <c r="BE25" s="40">
        <v>2662542.0497983005</v>
      </c>
      <c r="BF25" s="40">
        <v>0</v>
      </c>
      <c r="BG25" s="56">
        <v>2518451.1195</v>
      </c>
      <c r="BH25" s="56">
        <v>2336483.4300000002</v>
      </c>
      <c r="BI25" s="40">
        <v>2480574.3602983002</v>
      </c>
      <c r="BJ25" s="40">
        <v>5104.0624697495887</v>
      </c>
      <c r="BK25" s="40">
        <v>4941.4462283057865</v>
      </c>
      <c r="BL25" s="41">
        <v>3.2908633207885063E-2</v>
      </c>
      <c r="BM25" s="41">
        <v>0</v>
      </c>
      <c r="BN25" s="40">
        <v>0</v>
      </c>
      <c r="BO25" s="56">
        <v>2662542.0497983</v>
      </c>
      <c r="BP25" s="56">
        <v>5411.4833956755147</v>
      </c>
      <c r="BQ25" s="56" t="s">
        <v>1091</v>
      </c>
      <c r="BR25" s="56">
        <v>5478.4815839471194</v>
      </c>
      <c r="BS25" s="47">
        <v>3.2218635128042683E-2</v>
      </c>
      <c r="BT25" s="40">
        <v>-12101.4</v>
      </c>
      <c r="BU25" s="40">
        <v>2650440.6497983001</v>
      </c>
      <c r="BV25" s="40">
        <v>0</v>
      </c>
      <c r="BW25" s="40">
        <v>2650440.6497983001</v>
      </c>
      <c r="BX25" s="40">
        <v>32561.119500000001</v>
      </c>
      <c r="BY25" s="40">
        <v>2617879.5302983001</v>
      </c>
    </row>
    <row r="26" spans="1:77">
      <c r="A26">
        <f>_xlfn.XLOOKUP(B26,'Summary June 2026'!B:B,'Summary June 2026'!A:A,0,0)</f>
        <v>2093</v>
      </c>
      <c r="B26" s="54">
        <v>103210</v>
      </c>
      <c r="C26" s="54">
        <v>3302093</v>
      </c>
      <c r="D26" s="55" t="s">
        <v>166</v>
      </c>
      <c r="E26" s="46">
        <v>358</v>
      </c>
      <c r="F26" s="46">
        <v>358</v>
      </c>
      <c r="G26" s="46">
        <v>0</v>
      </c>
      <c r="H26" s="40">
        <v>1439599.9820000001</v>
      </c>
      <c r="I26" s="40">
        <v>0</v>
      </c>
      <c r="J26" s="40">
        <v>0</v>
      </c>
      <c r="K26" s="40">
        <v>43481.679999999862</v>
      </c>
      <c r="L26" s="40">
        <v>0</v>
      </c>
      <c r="M26" s="40">
        <v>105367.09999999989</v>
      </c>
      <c r="N26" s="40">
        <v>0</v>
      </c>
      <c r="O26" s="40">
        <v>8485.8880511999978</v>
      </c>
      <c r="P26" s="40">
        <v>12349.675376639902</v>
      </c>
      <c r="Q26" s="40">
        <v>3213.8044108799959</v>
      </c>
      <c r="R26" s="40">
        <v>3033.253601279991</v>
      </c>
      <c r="S26" s="40">
        <v>5901.4321766399971</v>
      </c>
      <c r="T26" s="40">
        <v>706.72745471999883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132313.68435146441</v>
      </c>
      <c r="AB26" s="40">
        <v>0</v>
      </c>
      <c r="AC26" s="40">
        <v>93611.715982532725</v>
      </c>
      <c r="AD26" s="40">
        <v>0</v>
      </c>
      <c r="AE26" s="40">
        <v>0</v>
      </c>
      <c r="AF26" s="40">
        <v>0</v>
      </c>
      <c r="AG26" s="40">
        <v>149406.57</v>
      </c>
      <c r="AH26" s="40">
        <v>0</v>
      </c>
      <c r="AI26" s="40">
        <v>0</v>
      </c>
      <c r="AJ26" s="40">
        <v>0</v>
      </c>
      <c r="AK26" s="40">
        <v>23174.558000000001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1439599.9820000001</v>
      </c>
      <c r="AU26" s="40">
        <v>408464.96140535676</v>
      </c>
      <c r="AV26" s="40">
        <v>172581.128</v>
      </c>
      <c r="AW26" s="40">
        <v>231305.95706822217</v>
      </c>
      <c r="AX26" s="56">
        <v>2020646.0714053567</v>
      </c>
      <c r="AY26" s="56">
        <v>1997471.5134053568</v>
      </c>
      <c r="AZ26" s="56">
        <v>5115</v>
      </c>
      <c r="BA26" s="56">
        <v>1831170</v>
      </c>
      <c r="BB26" s="56">
        <v>0</v>
      </c>
      <c r="BC26" s="56">
        <v>0</v>
      </c>
      <c r="BD26" s="56">
        <v>2020646.0714053567</v>
      </c>
      <c r="BE26" s="40">
        <v>2020646.0714053572</v>
      </c>
      <c r="BF26" s="40">
        <v>0</v>
      </c>
      <c r="BG26" s="56">
        <v>1854344.558</v>
      </c>
      <c r="BH26" s="56">
        <v>1681763.43</v>
      </c>
      <c r="BI26" s="40">
        <v>1848064.9434053567</v>
      </c>
      <c r="BJ26" s="40">
        <v>5162.1925793445716</v>
      </c>
      <c r="BK26" s="40">
        <v>5075.0815611111111</v>
      </c>
      <c r="BL26" s="41">
        <v>1.7164456804195458E-2</v>
      </c>
      <c r="BM26" s="41">
        <v>0</v>
      </c>
      <c r="BN26" s="40">
        <v>0</v>
      </c>
      <c r="BO26" s="56">
        <v>2020646.0714053567</v>
      </c>
      <c r="BP26" s="56">
        <v>5579.5293670540696</v>
      </c>
      <c r="BQ26" s="56" t="s">
        <v>1091</v>
      </c>
      <c r="BR26" s="56">
        <v>5644.2627692887063</v>
      </c>
      <c r="BS26" s="47">
        <v>1.7838736468548833E-2</v>
      </c>
      <c r="BT26" s="40">
        <v>-8914.1999999999989</v>
      </c>
      <c r="BU26" s="40">
        <v>2011731.8714053568</v>
      </c>
      <c r="BV26" s="40">
        <v>0</v>
      </c>
      <c r="BW26" s="40">
        <v>2011731.8714053568</v>
      </c>
      <c r="BX26" s="40">
        <v>23174.558000000001</v>
      </c>
      <c r="BY26" s="40">
        <v>1988557.3134053568</v>
      </c>
    </row>
    <row r="27" spans="1:77">
      <c r="A27">
        <f>_xlfn.XLOOKUP(B27,'Summary June 2026'!B:B,'Summary June 2026'!A:A,0,0)</f>
        <v>2099</v>
      </c>
      <c r="B27" s="54">
        <v>103214</v>
      </c>
      <c r="C27" s="54">
        <v>3302099</v>
      </c>
      <c r="D27" s="55" t="s">
        <v>176</v>
      </c>
      <c r="E27" s="46">
        <v>209</v>
      </c>
      <c r="F27" s="46">
        <v>209</v>
      </c>
      <c r="G27" s="46">
        <v>0</v>
      </c>
      <c r="H27" s="40">
        <v>840436.86100000003</v>
      </c>
      <c r="I27" s="40">
        <v>0</v>
      </c>
      <c r="J27" s="40">
        <v>0</v>
      </c>
      <c r="K27" s="40">
        <v>62751.96999999995</v>
      </c>
      <c r="L27" s="40">
        <v>0</v>
      </c>
      <c r="M27" s="40">
        <v>155090.89999999985</v>
      </c>
      <c r="N27" s="40">
        <v>0</v>
      </c>
      <c r="O27" s="40">
        <v>1697.1776102399961</v>
      </c>
      <c r="P27" s="40">
        <v>2058.2792294399956</v>
      </c>
      <c r="Q27" s="40">
        <v>2754.6894950399937</v>
      </c>
      <c r="R27" s="40">
        <v>24266.028810239899</v>
      </c>
      <c r="S27" s="40">
        <v>28970.667048959913</v>
      </c>
      <c r="T27" s="40">
        <v>42403.647283199898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18220.385168539317</v>
      </c>
      <c r="AB27" s="40">
        <v>0</v>
      </c>
      <c r="AC27" s="40">
        <v>84591.416389452337</v>
      </c>
      <c r="AD27" s="40">
        <v>0</v>
      </c>
      <c r="AE27" s="40">
        <v>0</v>
      </c>
      <c r="AF27" s="40">
        <v>0</v>
      </c>
      <c r="AG27" s="40">
        <v>149406.57</v>
      </c>
      <c r="AH27" s="40">
        <v>0</v>
      </c>
      <c r="AI27" s="40">
        <v>0</v>
      </c>
      <c r="AJ27" s="40">
        <v>0</v>
      </c>
      <c r="AK27" s="40">
        <v>20936.106400000001</v>
      </c>
      <c r="AL27" s="40">
        <v>0</v>
      </c>
      <c r="AM27" s="40">
        <v>0</v>
      </c>
      <c r="AN27" s="40">
        <v>0</v>
      </c>
      <c r="AO27" s="40">
        <v>0</v>
      </c>
      <c r="AP27" s="40">
        <v>0</v>
      </c>
      <c r="AQ27" s="40">
        <v>0</v>
      </c>
      <c r="AR27" s="40">
        <v>0</v>
      </c>
      <c r="AS27" s="40">
        <v>0</v>
      </c>
      <c r="AT27" s="40">
        <v>840436.86100000003</v>
      </c>
      <c r="AU27" s="40">
        <v>422805.16103511112</v>
      </c>
      <c r="AV27" s="40">
        <v>170342.6764</v>
      </c>
      <c r="AW27" s="40">
        <v>241810.86885121535</v>
      </c>
      <c r="AX27" s="56">
        <v>1433584.6984351112</v>
      </c>
      <c r="AY27" s="56">
        <v>1412648.5920351113</v>
      </c>
      <c r="AZ27" s="56">
        <v>5115</v>
      </c>
      <c r="BA27" s="56">
        <v>1069035</v>
      </c>
      <c r="BB27" s="56">
        <v>0</v>
      </c>
      <c r="BC27" s="56">
        <v>0</v>
      </c>
      <c r="BD27" s="56">
        <v>1433584.6984351112</v>
      </c>
      <c r="BE27" s="40">
        <v>1433584.6984351114</v>
      </c>
      <c r="BF27" s="40">
        <v>0</v>
      </c>
      <c r="BG27" s="56">
        <v>1089971.1063999999</v>
      </c>
      <c r="BH27" s="56">
        <v>919628.42999999982</v>
      </c>
      <c r="BI27" s="40">
        <v>1263242.0220351112</v>
      </c>
      <c r="BJ27" s="40">
        <v>6044.2202011249337</v>
      </c>
      <c r="BK27" s="40">
        <v>6240.5831229665073</v>
      </c>
      <c r="BL27" s="41">
        <v>-3.1465476538389728E-2</v>
      </c>
      <c r="BM27" s="41">
        <v>2.6465476538389727E-2</v>
      </c>
      <c r="BN27" s="40">
        <v>34518.44130138887</v>
      </c>
      <c r="BO27" s="56">
        <v>1468103.1397365001</v>
      </c>
      <c r="BP27" s="56">
        <v>6924.2441786435411</v>
      </c>
      <c r="BQ27" s="56" t="s">
        <v>1091</v>
      </c>
      <c r="BR27" s="56">
        <v>7024.4169365382777</v>
      </c>
      <c r="BS27" s="47">
        <v>-9.9954471153473889E-4</v>
      </c>
      <c r="BT27" s="40">
        <v>-5204.0999999999995</v>
      </c>
      <c r="BU27" s="40">
        <v>1462899.0397365</v>
      </c>
      <c r="BV27" s="40">
        <v>0</v>
      </c>
      <c r="BW27" s="40">
        <v>1462899.0397365</v>
      </c>
      <c r="BX27" s="40">
        <v>20936.106400000001</v>
      </c>
      <c r="BY27" s="40">
        <v>1441962.9333365001</v>
      </c>
    </row>
    <row r="28" spans="1:77">
      <c r="A28">
        <f>_xlfn.XLOOKUP(B28,'Summary June 2026'!B:B,'Summary June 2026'!A:A,0,0)</f>
        <v>2108</v>
      </c>
      <c r="B28" s="54">
        <v>103217</v>
      </c>
      <c r="C28" s="54">
        <v>3302108</v>
      </c>
      <c r="D28" s="55" t="s">
        <v>372</v>
      </c>
      <c r="E28" s="46">
        <v>828</v>
      </c>
      <c r="F28" s="46">
        <v>828</v>
      </c>
      <c r="G28" s="46">
        <v>0</v>
      </c>
      <c r="H28" s="40">
        <v>3329577.6120000002</v>
      </c>
      <c r="I28" s="40">
        <v>0</v>
      </c>
      <c r="J28" s="40">
        <v>0</v>
      </c>
      <c r="K28" s="40">
        <v>202090.98999999967</v>
      </c>
      <c r="L28" s="40">
        <v>0</v>
      </c>
      <c r="M28" s="40">
        <v>488950.69999999908</v>
      </c>
      <c r="N28" s="40">
        <v>0</v>
      </c>
      <c r="O28" s="40">
        <v>5091.5328307199979</v>
      </c>
      <c r="P28" s="40">
        <v>34696.70701055976</v>
      </c>
      <c r="Q28" s="40">
        <v>42697.687173119943</v>
      </c>
      <c r="R28" s="40">
        <v>32860.247347199998</v>
      </c>
      <c r="S28" s="40">
        <v>223717.92887808001</v>
      </c>
      <c r="T28" s="40">
        <v>5653.8196377599998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79151.956545960973</v>
      </c>
      <c r="AB28" s="40">
        <v>0</v>
      </c>
      <c r="AC28" s="40">
        <v>418533.42916401394</v>
      </c>
      <c r="AD28" s="40">
        <v>0</v>
      </c>
      <c r="AE28" s="40">
        <v>0</v>
      </c>
      <c r="AF28" s="40">
        <v>0</v>
      </c>
      <c r="AG28" s="40">
        <v>149406.57</v>
      </c>
      <c r="AH28" s="40">
        <v>0</v>
      </c>
      <c r="AI28" s="40">
        <v>0</v>
      </c>
      <c r="AJ28" s="40">
        <v>0</v>
      </c>
      <c r="AK28" s="40">
        <v>20170.605</v>
      </c>
      <c r="AL28" s="40"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v>0</v>
      </c>
      <c r="AR28" s="40">
        <v>0</v>
      </c>
      <c r="AS28" s="40">
        <v>0</v>
      </c>
      <c r="AT28" s="40">
        <v>3329577.6120000002</v>
      </c>
      <c r="AU28" s="40">
        <v>1533444.9985874132</v>
      </c>
      <c r="AV28" s="40">
        <v>169577.17500000002</v>
      </c>
      <c r="AW28" s="40">
        <v>957885.77039989177</v>
      </c>
      <c r="AX28" s="56">
        <v>5032599.7855874132</v>
      </c>
      <c r="AY28" s="56">
        <v>5012429.1805874128</v>
      </c>
      <c r="AZ28" s="56">
        <v>5115</v>
      </c>
      <c r="BA28" s="56">
        <v>4235220</v>
      </c>
      <c r="BB28" s="56">
        <v>0</v>
      </c>
      <c r="BC28" s="56">
        <v>0</v>
      </c>
      <c r="BD28" s="56">
        <v>5032599.7855874132</v>
      </c>
      <c r="BE28" s="40">
        <v>5032599.7855874123</v>
      </c>
      <c r="BF28" s="40">
        <v>0</v>
      </c>
      <c r="BG28" s="56">
        <v>4255390.6050000004</v>
      </c>
      <c r="BH28" s="56">
        <v>4085813.4300000006</v>
      </c>
      <c r="BI28" s="40">
        <v>4863022.6105874125</v>
      </c>
      <c r="BJ28" s="40">
        <v>5873.2157132698221</v>
      </c>
      <c r="BK28" s="40">
        <v>5705.8902641148316</v>
      </c>
      <c r="BL28" s="41">
        <v>2.9325038058885308E-2</v>
      </c>
      <c r="BM28" s="41">
        <v>0</v>
      </c>
      <c r="BN28" s="40">
        <v>0</v>
      </c>
      <c r="BO28" s="56">
        <v>5032599.7855874132</v>
      </c>
      <c r="BP28" s="56">
        <v>6053.6584306611267</v>
      </c>
      <c r="BQ28" s="56" t="s">
        <v>1091</v>
      </c>
      <c r="BR28" s="56">
        <v>6078.0190647190984</v>
      </c>
      <c r="BS28" s="47">
        <v>1.7322964648009087E-2</v>
      </c>
      <c r="BT28" s="40">
        <v>-20617.199999999997</v>
      </c>
      <c r="BU28" s="40">
        <v>5011982.5855874131</v>
      </c>
      <c r="BV28" s="40">
        <v>0</v>
      </c>
      <c r="BW28" s="40">
        <v>5011982.5855874131</v>
      </c>
      <c r="BX28" s="40">
        <v>20170.605</v>
      </c>
      <c r="BY28" s="40">
        <v>4991811.9805874126</v>
      </c>
    </row>
    <row r="29" spans="1:77">
      <c r="A29">
        <f>_xlfn.XLOOKUP(B29,'Summary June 2026'!B:B,'Summary June 2026'!A:A,0,0)</f>
        <v>2115</v>
      </c>
      <c r="B29" s="54">
        <v>103221</v>
      </c>
      <c r="C29" s="54">
        <v>3302115</v>
      </c>
      <c r="D29" s="55" t="s">
        <v>206</v>
      </c>
      <c r="E29" s="46">
        <v>258</v>
      </c>
      <c r="F29" s="46">
        <v>258</v>
      </c>
      <c r="G29" s="46">
        <v>0</v>
      </c>
      <c r="H29" s="40">
        <v>1037477.0820000001</v>
      </c>
      <c r="I29" s="40">
        <v>0</v>
      </c>
      <c r="J29" s="40">
        <v>0</v>
      </c>
      <c r="K29" s="40">
        <v>76587.04999999993</v>
      </c>
      <c r="L29" s="40">
        <v>0</v>
      </c>
      <c r="M29" s="40">
        <v>183504.49999999985</v>
      </c>
      <c r="N29" s="40">
        <v>0</v>
      </c>
      <c r="O29" s="40">
        <v>10910.42749439995</v>
      </c>
      <c r="P29" s="40">
        <v>588.07977983999967</v>
      </c>
      <c r="Q29" s="40">
        <v>1836.4596633599942</v>
      </c>
      <c r="R29" s="40">
        <v>4044.3381350399873</v>
      </c>
      <c r="S29" s="40">
        <v>69744.198451199991</v>
      </c>
      <c r="T29" s="40">
        <v>19788.368732159863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20622.953571428505</v>
      </c>
      <c r="AB29" s="40">
        <v>0</v>
      </c>
      <c r="AC29" s="40">
        <v>90182.266523337123</v>
      </c>
      <c r="AD29" s="40">
        <v>0</v>
      </c>
      <c r="AE29" s="40">
        <v>0</v>
      </c>
      <c r="AF29" s="40">
        <v>0</v>
      </c>
      <c r="AG29" s="40">
        <v>149406.57</v>
      </c>
      <c r="AH29" s="40">
        <v>0</v>
      </c>
      <c r="AI29" s="40">
        <v>0</v>
      </c>
      <c r="AJ29" s="40">
        <v>0</v>
      </c>
      <c r="AK29" s="40">
        <v>57342.148500000003</v>
      </c>
      <c r="AL29" s="40">
        <v>0</v>
      </c>
      <c r="AM29" s="40">
        <v>0</v>
      </c>
      <c r="AN29" s="40">
        <v>0</v>
      </c>
      <c r="AO29" s="40">
        <v>0</v>
      </c>
      <c r="AP29" s="40">
        <v>0</v>
      </c>
      <c r="AQ29" s="40">
        <v>0</v>
      </c>
      <c r="AR29" s="40">
        <v>0</v>
      </c>
      <c r="AS29" s="40">
        <v>0</v>
      </c>
      <c r="AT29" s="40">
        <v>1037477.0820000001</v>
      </c>
      <c r="AU29" s="40">
        <v>477808.64235076518</v>
      </c>
      <c r="AV29" s="40">
        <v>206748.71850000002</v>
      </c>
      <c r="AW29" s="40">
        <v>274177.35263549699</v>
      </c>
      <c r="AX29" s="56">
        <v>1722034.4428507653</v>
      </c>
      <c r="AY29" s="56">
        <v>1664692.2943507654</v>
      </c>
      <c r="AZ29" s="56">
        <v>5115</v>
      </c>
      <c r="BA29" s="56">
        <v>1319670</v>
      </c>
      <c r="BB29" s="56">
        <v>0</v>
      </c>
      <c r="BC29" s="56">
        <v>0</v>
      </c>
      <c r="BD29" s="56">
        <v>1722034.4428507653</v>
      </c>
      <c r="BE29" s="40">
        <v>1722034.4428507653</v>
      </c>
      <c r="BF29" s="40">
        <v>0</v>
      </c>
      <c r="BG29" s="56">
        <v>1377012.1484999999</v>
      </c>
      <c r="BH29" s="56">
        <v>1170263.43</v>
      </c>
      <c r="BI29" s="40">
        <v>1515285.7243507653</v>
      </c>
      <c r="BJ29" s="40">
        <v>5873.2004819797103</v>
      </c>
      <c r="BK29" s="40">
        <v>5617.9093204301062</v>
      </c>
      <c r="BL29" s="41">
        <v>4.5442378470085212E-2</v>
      </c>
      <c r="BM29" s="41">
        <v>0</v>
      </c>
      <c r="BN29" s="40">
        <v>0</v>
      </c>
      <c r="BO29" s="56">
        <v>1722034.4428507653</v>
      </c>
      <c r="BP29" s="56">
        <v>6452.2957145378505</v>
      </c>
      <c r="BQ29" s="56" t="s">
        <v>1091</v>
      </c>
      <c r="BR29" s="56">
        <v>6674.5521040727335</v>
      </c>
      <c r="BS29" s="47">
        <v>5.8866551903290265E-2</v>
      </c>
      <c r="BT29" s="40">
        <v>-6424.2</v>
      </c>
      <c r="BU29" s="40">
        <v>1715610.2428507654</v>
      </c>
      <c r="BV29" s="40">
        <v>0</v>
      </c>
      <c r="BW29" s="40">
        <v>1715610.2428507654</v>
      </c>
      <c r="BX29" s="40">
        <v>57342.148500000003</v>
      </c>
      <c r="BY29" s="40">
        <v>1658268.0943507655</v>
      </c>
    </row>
    <row r="30" spans="1:77">
      <c r="A30">
        <f>_xlfn.XLOOKUP(B30,'Summary June 2026'!B:B,'Summary June 2026'!A:A,0,0)</f>
        <v>2127</v>
      </c>
      <c r="B30" s="54">
        <v>103227</v>
      </c>
      <c r="C30" s="54">
        <v>3302127</v>
      </c>
      <c r="D30" s="55" t="s">
        <v>224</v>
      </c>
      <c r="E30" s="46">
        <v>414</v>
      </c>
      <c r="F30" s="46">
        <v>414</v>
      </c>
      <c r="G30" s="46">
        <v>0</v>
      </c>
      <c r="H30" s="40">
        <v>1664788.8060000001</v>
      </c>
      <c r="I30" s="40">
        <v>0</v>
      </c>
      <c r="J30" s="40">
        <v>0</v>
      </c>
      <c r="K30" s="40">
        <v>138844.91</v>
      </c>
      <c r="L30" s="40">
        <v>0</v>
      </c>
      <c r="M30" s="40">
        <v>337411.49999999988</v>
      </c>
      <c r="N30" s="40">
        <v>0</v>
      </c>
      <c r="O30" s="40">
        <v>1454.7236659199996</v>
      </c>
      <c r="P30" s="40">
        <v>3234.4387891199945</v>
      </c>
      <c r="Q30" s="40">
        <v>4132.0342425599983</v>
      </c>
      <c r="R30" s="40">
        <v>70270.375096319913</v>
      </c>
      <c r="S30" s="40">
        <v>109981.23601919983</v>
      </c>
      <c r="T30" s="40">
        <v>26855.643279359978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76081.926101694917</v>
      </c>
      <c r="AB30" s="40">
        <v>0</v>
      </c>
      <c r="AC30" s="40">
        <v>147395.41206683964</v>
      </c>
      <c r="AD30" s="40">
        <v>0</v>
      </c>
      <c r="AE30" s="40">
        <v>0</v>
      </c>
      <c r="AF30" s="40">
        <v>0</v>
      </c>
      <c r="AG30" s="40">
        <v>149406.57</v>
      </c>
      <c r="AH30" s="40">
        <v>0</v>
      </c>
      <c r="AI30" s="40">
        <v>0</v>
      </c>
      <c r="AJ30" s="40">
        <v>0</v>
      </c>
      <c r="AK30" s="40">
        <v>77224.601999999999</v>
      </c>
      <c r="AL30" s="40"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1664788.8060000001</v>
      </c>
      <c r="AU30" s="40">
        <v>915662.19926101423</v>
      </c>
      <c r="AV30" s="40">
        <v>226631.17200000002</v>
      </c>
      <c r="AW30" s="40">
        <v>479821.40236013231</v>
      </c>
      <c r="AX30" s="56">
        <v>2807082.1772610145</v>
      </c>
      <c r="AY30" s="56">
        <v>2729857.5752610145</v>
      </c>
      <c r="AZ30" s="56">
        <v>5115</v>
      </c>
      <c r="BA30" s="56">
        <v>2117610</v>
      </c>
      <c r="BB30" s="56">
        <v>0</v>
      </c>
      <c r="BC30" s="56">
        <v>0</v>
      </c>
      <c r="BD30" s="56">
        <v>2807082.1772610145</v>
      </c>
      <c r="BE30" s="40">
        <v>2807082.1772610145</v>
      </c>
      <c r="BF30" s="40">
        <v>0</v>
      </c>
      <c r="BG30" s="56">
        <v>2194834.602</v>
      </c>
      <c r="BH30" s="56">
        <v>1968203.43</v>
      </c>
      <c r="BI30" s="40">
        <v>2580451.0052610147</v>
      </c>
      <c r="BJ30" s="40">
        <v>6232.9734426594559</v>
      </c>
      <c r="BK30" s="40">
        <v>6035.6552514285713</v>
      </c>
      <c r="BL30" s="41">
        <v>3.2692091083926907E-2</v>
      </c>
      <c r="BM30" s="41">
        <v>0</v>
      </c>
      <c r="BN30" s="40">
        <v>0</v>
      </c>
      <c r="BO30" s="56">
        <v>2807082.1772610145</v>
      </c>
      <c r="BP30" s="56">
        <v>6593.8588774420641</v>
      </c>
      <c r="BQ30" s="56" t="s">
        <v>1091</v>
      </c>
      <c r="BR30" s="56">
        <v>6780.3917325145276</v>
      </c>
      <c r="BS30" s="47">
        <v>3.6850565019686643E-2</v>
      </c>
      <c r="BT30" s="40">
        <v>-10308.599999999999</v>
      </c>
      <c r="BU30" s="40">
        <v>2796773.5772610144</v>
      </c>
      <c r="BV30" s="40">
        <v>0</v>
      </c>
      <c r="BW30" s="40">
        <v>2796773.5772610144</v>
      </c>
      <c r="BX30" s="40">
        <v>77224.601999999999</v>
      </c>
      <c r="BY30" s="40">
        <v>2719548.9752610144</v>
      </c>
    </row>
    <row r="31" spans="1:77">
      <c r="A31">
        <f>_xlfn.XLOOKUP(B31,'Summary June 2026'!B:B,'Summary June 2026'!A:A,0,0)</f>
        <v>2128</v>
      </c>
      <c r="B31" s="54">
        <v>103228</v>
      </c>
      <c r="C31" s="54">
        <v>3302128</v>
      </c>
      <c r="D31" s="55" t="s">
        <v>228</v>
      </c>
      <c r="E31" s="46">
        <v>367</v>
      </c>
      <c r="F31" s="46">
        <v>367</v>
      </c>
      <c r="G31" s="46">
        <v>0</v>
      </c>
      <c r="H31" s="40">
        <v>1475791.0430000001</v>
      </c>
      <c r="I31" s="40">
        <v>0</v>
      </c>
      <c r="J31" s="40">
        <v>0</v>
      </c>
      <c r="K31" s="40">
        <v>74610.609999999942</v>
      </c>
      <c r="L31" s="40">
        <v>0</v>
      </c>
      <c r="M31" s="40">
        <v>179952.7999999999</v>
      </c>
      <c r="N31" s="40">
        <v>0</v>
      </c>
      <c r="O31" s="40">
        <v>20608.585267199916</v>
      </c>
      <c r="P31" s="40">
        <v>10879.47592703999</v>
      </c>
      <c r="Q31" s="40">
        <v>918.22983167999973</v>
      </c>
      <c r="R31" s="40">
        <v>9099.7608038399885</v>
      </c>
      <c r="S31" s="40">
        <v>19850.271866879983</v>
      </c>
      <c r="T31" s="40">
        <v>1413.4549094399997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12533.639999999981</v>
      </c>
      <c r="AB31" s="40">
        <v>0</v>
      </c>
      <c r="AC31" s="40">
        <v>136977.10706866271</v>
      </c>
      <c r="AD31" s="40">
        <v>0</v>
      </c>
      <c r="AE31" s="40">
        <v>0</v>
      </c>
      <c r="AF31" s="40">
        <v>0</v>
      </c>
      <c r="AG31" s="40">
        <v>149406.57</v>
      </c>
      <c r="AH31" s="40">
        <v>0</v>
      </c>
      <c r="AI31" s="40">
        <v>0</v>
      </c>
      <c r="AJ31" s="40">
        <v>0</v>
      </c>
      <c r="AK31" s="40">
        <v>20071.683499999999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1475791.0430000001</v>
      </c>
      <c r="AU31" s="40">
        <v>466843.93567474245</v>
      </c>
      <c r="AV31" s="40">
        <v>169478.25349999999</v>
      </c>
      <c r="AW31" s="40">
        <v>325006.60711685137</v>
      </c>
      <c r="AX31" s="56">
        <v>2112113.2321747425</v>
      </c>
      <c r="AY31" s="56">
        <v>2092041.5486747425</v>
      </c>
      <c r="AZ31" s="56">
        <v>5115</v>
      </c>
      <c r="BA31" s="56">
        <v>1877205</v>
      </c>
      <c r="BB31" s="56">
        <v>0</v>
      </c>
      <c r="BC31" s="56">
        <v>0</v>
      </c>
      <c r="BD31" s="56">
        <v>2112113.2321747425</v>
      </c>
      <c r="BE31" s="40">
        <v>2112113.232174742</v>
      </c>
      <c r="BF31" s="40">
        <v>0</v>
      </c>
      <c r="BG31" s="56">
        <v>1897276.6835</v>
      </c>
      <c r="BH31" s="56">
        <v>1727798.43</v>
      </c>
      <c r="BI31" s="40">
        <v>1942634.9786747424</v>
      </c>
      <c r="BJ31" s="40">
        <v>5293.2833206396253</v>
      </c>
      <c r="BK31" s="40">
        <v>5159.2969658536585</v>
      </c>
      <c r="BL31" s="41">
        <v>2.5969886143934608E-2</v>
      </c>
      <c r="BM31" s="41">
        <v>0</v>
      </c>
      <c r="BN31" s="40">
        <v>0</v>
      </c>
      <c r="BO31" s="56">
        <v>2112113.2321747425</v>
      </c>
      <c r="BP31" s="56">
        <v>5700.3856912118326</v>
      </c>
      <c r="BQ31" s="56" t="s">
        <v>1091</v>
      </c>
      <c r="BR31" s="56">
        <v>5755.076926906655</v>
      </c>
      <c r="BS31" s="47">
        <v>2.4814144631847279E-2</v>
      </c>
      <c r="BT31" s="40">
        <v>-9138.2999999999993</v>
      </c>
      <c r="BU31" s="40">
        <v>2102974.9321747427</v>
      </c>
      <c r="BV31" s="40">
        <v>0</v>
      </c>
      <c r="BW31" s="40">
        <v>2102974.9321747427</v>
      </c>
      <c r="BX31" s="40">
        <v>20071.683499999999</v>
      </c>
      <c r="BY31" s="40">
        <v>2082903.2486747426</v>
      </c>
    </row>
    <row r="32" spans="1:77">
      <c r="A32">
        <f>_xlfn.XLOOKUP(B32,'Summary June 2026'!B:B,'Summary June 2026'!A:A,0,0)</f>
        <v>2129</v>
      </c>
      <c r="B32" s="54">
        <v>103229</v>
      </c>
      <c r="C32" s="54">
        <v>3302129</v>
      </c>
      <c r="D32" s="55" t="s">
        <v>226</v>
      </c>
      <c r="E32" s="46">
        <v>237</v>
      </c>
      <c r="F32" s="46">
        <v>237</v>
      </c>
      <c r="G32" s="46">
        <v>0</v>
      </c>
      <c r="H32" s="40">
        <v>953031.27300000004</v>
      </c>
      <c r="I32" s="40">
        <v>0</v>
      </c>
      <c r="J32" s="40">
        <v>0</v>
      </c>
      <c r="K32" s="40">
        <v>32611.259999999904</v>
      </c>
      <c r="L32" s="40">
        <v>0</v>
      </c>
      <c r="M32" s="40">
        <v>80505.199999999822</v>
      </c>
      <c r="N32" s="40">
        <v>0</v>
      </c>
      <c r="O32" s="40">
        <v>12850.05904895998</v>
      </c>
      <c r="P32" s="40">
        <v>9115.2365875199957</v>
      </c>
      <c r="Q32" s="40">
        <v>459.11491583999975</v>
      </c>
      <c r="R32" s="40">
        <v>4044.3381350399914</v>
      </c>
      <c r="S32" s="40">
        <v>17704.296529919884</v>
      </c>
      <c r="T32" s="40">
        <v>4947.0921830399911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32775.250243902337</v>
      </c>
      <c r="AB32" s="40">
        <v>0</v>
      </c>
      <c r="AC32" s="40">
        <v>91581.359999999739</v>
      </c>
      <c r="AD32" s="40">
        <v>0</v>
      </c>
      <c r="AE32" s="40">
        <v>0</v>
      </c>
      <c r="AF32" s="40">
        <v>0</v>
      </c>
      <c r="AG32" s="40">
        <v>149406.57</v>
      </c>
      <c r="AH32" s="40">
        <v>0</v>
      </c>
      <c r="AI32" s="40">
        <v>0</v>
      </c>
      <c r="AJ32" s="40">
        <v>0</v>
      </c>
      <c r="AK32" s="40">
        <v>18527.719300000001</v>
      </c>
      <c r="AL32" s="40">
        <v>0</v>
      </c>
      <c r="AM32" s="40">
        <v>0</v>
      </c>
      <c r="AN32" s="40">
        <v>0</v>
      </c>
      <c r="AO32" s="40">
        <v>0</v>
      </c>
      <c r="AP32" s="40">
        <v>0</v>
      </c>
      <c r="AQ32" s="40">
        <v>0</v>
      </c>
      <c r="AR32" s="40">
        <v>0</v>
      </c>
      <c r="AS32" s="40">
        <v>0</v>
      </c>
      <c r="AT32" s="40">
        <v>953031.27300000004</v>
      </c>
      <c r="AU32" s="40">
        <v>286593.20764422166</v>
      </c>
      <c r="AV32" s="40">
        <v>167934.2893</v>
      </c>
      <c r="AW32" s="40">
        <v>197638.09871411475</v>
      </c>
      <c r="AX32" s="56">
        <v>1407558.7699442217</v>
      </c>
      <c r="AY32" s="56">
        <v>1389031.0506442217</v>
      </c>
      <c r="AZ32" s="56">
        <v>5115</v>
      </c>
      <c r="BA32" s="56">
        <v>1212255</v>
      </c>
      <c r="BB32" s="56">
        <v>0</v>
      </c>
      <c r="BC32" s="56">
        <v>0</v>
      </c>
      <c r="BD32" s="56">
        <v>1407558.7699442217</v>
      </c>
      <c r="BE32" s="40">
        <v>1407558.7699442217</v>
      </c>
      <c r="BF32" s="40">
        <v>0</v>
      </c>
      <c r="BG32" s="56">
        <v>1230782.7193</v>
      </c>
      <c r="BH32" s="56">
        <v>1062848.43</v>
      </c>
      <c r="BI32" s="40">
        <v>1239624.4806442217</v>
      </c>
      <c r="BJ32" s="40">
        <v>5230.4830406929186</v>
      </c>
      <c r="BK32" s="40">
        <v>5027.0952306818172</v>
      </c>
      <c r="BL32" s="41">
        <v>4.045831651840745E-2</v>
      </c>
      <c r="BM32" s="41">
        <v>0</v>
      </c>
      <c r="BN32" s="40">
        <v>0</v>
      </c>
      <c r="BO32" s="56">
        <v>1407558.7699442217</v>
      </c>
      <c r="BP32" s="56">
        <v>5860.890509047349</v>
      </c>
      <c r="BQ32" s="56" t="s">
        <v>1091</v>
      </c>
      <c r="BR32" s="56">
        <v>5939.0665398490364</v>
      </c>
      <c r="BS32" s="47">
        <v>4.939408545600843E-2</v>
      </c>
      <c r="BT32" s="40">
        <v>-5901.2999999999993</v>
      </c>
      <c r="BU32" s="40">
        <v>1401657.4699442217</v>
      </c>
      <c r="BV32" s="40">
        <v>0</v>
      </c>
      <c r="BW32" s="40">
        <v>1401657.4699442217</v>
      </c>
      <c r="BX32" s="40">
        <v>18527.719300000001</v>
      </c>
      <c r="BY32" s="40">
        <v>1383129.7506442217</v>
      </c>
    </row>
    <row r="33" spans="1:77">
      <c r="A33">
        <f>_xlfn.XLOOKUP(B33,'Summary June 2026'!B:B,'Summary June 2026'!A:A,0,0)</f>
        <v>2133</v>
      </c>
      <c r="B33" s="54">
        <v>103233</v>
      </c>
      <c r="C33" s="54">
        <v>3302133</v>
      </c>
      <c r="D33" s="55" t="s">
        <v>236</v>
      </c>
      <c r="E33" s="46">
        <v>418</v>
      </c>
      <c r="F33" s="46">
        <v>418</v>
      </c>
      <c r="G33" s="46">
        <v>0</v>
      </c>
      <c r="H33" s="40">
        <v>1680873.7220000001</v>
      </c>
      <c r="I33" s="40">
        <v>0</v>
      </c>
      <c r="J33" s="40">
        <v>0</v>
      </c>
      <c r="K33" s="40">
        <v>105739.53999999994</v>
      </c>
      <c r="L33" s="40">
        <v>0</v>
      </c>
      <c r="M33" s="40">
        <v>256906.29999999993</v>
      </c>
      <c r="N33" s="40">
        <v>0</v>
      </c>
      <c r="O33" s="40">
        <v>23614.543392410087</v>
      </c>
      <c r="P33" s="40">
        <v>7458.0506059805784</v>
      </c>
      <c r="Q33" s="40">
        <v>3260.6073877374715</v>
      </c>
      <c r="R33" s="40">
        <v>34877.50823737157</v>
      </c>
      <c r="S33" s="40">
        <v>36468.55903331397</v>
      </c>
      <c r="T33" s="40">
        <v>35850.980105941489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25087.285810055844</v>
      </c>
      <c r="AB33" s="40">
        <v>0</v>
      </c>
      <c r="AC33" s="40">
        <v>156715.5709941372</v>
      </c>
      <c r="AD33" s="40">
        <v>0</v>
      </c>
      <c r="AE33" s="40">
        <v>0</v>
      </c>
      <c r="AF33" s="40">
        <v>0</v>
      </c>
      <c r="AG33" s="40">
        <v>149406.57</v>
      </c>
      <c r="AH33" s="40">
        <v>0</v>
      </c>
      <c r="AI33" s="40">
        <v>0</v>
      </c>
      <c r="AJ33" s="40">
        <v>0</v>
      </c>
      <c r="AK33" s="40">
        <v>59935.512000000002</v>
      </c>
      <c r="AL33" s="40">
        <v>300463.24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40">
        <v>0</v>
      </c>
      <c r="AS33" s="40">
        <v>0</v>
      </c>
      <c r="AT33" s="40">
        <v>1680873.7220000001</v>
      </c>
      <c r="AU33" s="40">
        <v>685978.94556694804</v>
      </c>
      <c r="AV33" s="40">
        <v>509805.32199999999</v>
      </c>
      <c r="AW33" s="40">
        <v>422262.64904872904</v>
      </c>
      <c r="AX33" s="56">
        <v>2876657.9895669483</v>
      </c>
      <c r="AY33" s="56">
        <v>2516259.2375669479</v>
      </c>
      <c r="AZ33" s="56">
        <v>5115</v>
      </c>
      <c r="BA33" s="56">
        <v>2138070</v>
      </c>
      <c r="BB33" s="56">
        <v>0</v>
      </c>
      <c r="BC33" s="56">
        <v>0</v>
      </c>
      <c r="BD33" s="56">
        <v>2876657.9895669483</v>
      </c>
      <c r="BE33" s="40">
        <v>2876657.9895669483</v>
      </c>
      <c r="BF33" s="40">
        <v>0</v>
      </c>
      <c r="BG33" s="56">
        <v>2498468.7520000003</v>
      </c>
      <c r="BH33" s="56">
        <v>1988663.4300000004</v>
      </c>
      <c r="BI33" s="40">
        <v>2366852.6675669486</v>
      </c>
      <c r="BJ33" s="40">
        <v>5662.3269559017908</v>
      </c>
      <c r="BK33" s="40">
        <v>5551.5927596658694</v>
      </c>
      <c r="BL33" s="41">
        <v>1.9946383142589542E-2</v>
      </c>
      <c r="BM33" s="41">
        <v>0</v>
      </c>
      <c r="BN33" s="40">
        <v>0</v>
      </c>
      <c r="BO33" s="56">
        <v>2876657.9895669483</v>
      </c>
      <c r="BP33" s="56">
        <v>6019.7589415477223</v>
      </c>
      <c r="BQ33" s="56" t="s">
        <v>1091</v>
      </c>
      <c r="BR33" s="56">
        <v>6881.9569128395888</v>
      </c>
      <c r="BS33" s="47">
        <v>2.6079112023801088E-2</v>
      </c>
      <c r="BT33" s="40">
        <v>-10408.199999999999</v>
      </c>
      <c r="BU33" s="40">
        <v>2866249.7895669481</v>
      </c>
      <c r="BV33" s="40">
        <v>0</v>
      </c>
      <c r="BW33" s="40">
        <v>2866249.7895669481</v>
      </c>
      <c r="BX33" s="40">
        <v>59935.512000000002</v>
      </c>
      <c r="BY33" s="40">
        <v>2806314.277566948</v>
      </c>
    </row>
    <row r="34" spans="1:77">
      <c r="A34">
        <f>_xlfn.XLOOKUP(B34,'Summary June 2026'!B:B,'Summary June 2026'!A:A,0,0)</f>
        <v>2142</v>
      </c>
      <c r="B34" s="54">
        <v>103237</v>
      </c>
      <c r="C34" s="54">
        <v>3302142</v>
      </c>
      <c r="D34" s="55" t="s">
        <v>1092</v>
      </c>
      <c r="E34" s="46">
        <v>420</v>
      </c>
      <c r="F34" s="46">
        <v>420</v>
      </c>
      <c r="G34" s="46">
        <v>0</v>
      </c>
      <c r="H34" s="40">
        <v>1688916.1800000002</v>
      </c>
      <c r="I34" s="40">
        <v>0</v>
      </c>
      <c r="J34" s="40">
        <v>0</v>
      </c>
      <c r="K34" s="40">
        <v>97833.779999999912</v>
      </c>
      <c r="L34" s="40">
        <v>0</v>
      </c>
      <c r="M34" s="40">
        <v>250986.79999999961</v>
      </c>
      <c r="N34" s="40">
        <v>0</v>
      </c>
      <c r="O34" s="40">
        <v>1212.2697215999997</v>
      </c>
      <c r="P34" s="40">
        <v>2646.3590092799964</v>
      </c>
      <c r="Q34" s="40">
        <v>26169.550202879862</v>
      </c>
      <c r="R34" s="40">
        <v>10616.38760448</v>
      </c>
      <c r="S34" s="40">
        <v>18777.284198399993</v>
      </c>
      <c r="T34" s="40">
        <v>139225.30857983997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135781.09999999983</v>
      </c>
      <c r="AB34" s="40">
        <v>0</v>
      </c>
      <c r="AC34" s="40">
        <v>191657.45990498448</v>
      </c>
      <c r="AD34" s="40">
        <v>0</v>
      </c>
      <c r="AE34" s="40">
        <v>2698.5279999999725</v>
      </c>
      <c r="AF34" s="40">
        <v>0</v>
      </c>
      <c r="AG34" s="40">
        <v>149406.57</v>
      </c>
      <c r="AH34" s="40">
        <v>0</v>
      </c>
      <c r="AI34" s="40">
        <v>0</v>
      </c>
      <c r="AJ34" s="40">
        <v>0</v>
      </c>
      <c r="AK34" s="40">
        <v>29216.989399999999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1688916.1800000002</v>
      </c>
      <c r="AU34" s="40">
        <v>877604.82722146355</v>
      </c>
      <c r="AV34" s="40">
        <v>178623.5594</v>
      </c>
      <c r="AW34" s="40">
        <v>473191.65505891712</v>
      </c>
      <c r="AX34" s="56">
        <v>2745144.5666214637</v>
      </c>
      <c r="AY34" s="56">
        <v>2715927.5772214639</v>
      </c>
      <c r="AZ34" s="56">
        <v>5115</v>
      </c>
      <c r="BA34" s="56">
        <v>2148300</v>
      </c>
      <c r="BB34" s="56">
        <v>0</v>
      </c>
      <c r="BC34" s="56">
        <v>0</v>
      </c>
      <c r="BD34" s="56">
        <v>2745144.5666214637</v>
      </c>
      <c r="BE34" s="40">
        <v>2745144.5666214633</v>
      </c>
      <c r="BF34" s="40">
        <v>0</v>
      </c>
      <c r="BG34" s="56">
        <v>2177516.9893999998</v>
      </c>
      <c r="BH34" s="56">
        <v>1998893.4299999997</v>
      </c>
      <c r="BI34" s="40">
        <v>2566521.0072214641</v>
      </c>
      <c r="BJ34" s="40">
        <v>6110.7643029082474</v>
      </c>
      <c r="BK34" s="40">
        <v>6194.315650966184</v>
      </c>
      <c r="BL34" s="41">
        <v>-1.3488390447926936E-2</v>
      </c>
      <c r="BM34" s="41">
        <v>8.488390447926937E-3</v>
      </c>
      <c r="BN34" s="40">
        <v>22083.503317304388</v>
      </c>
      <c r="BO34" s="56">
        <v>2767228.0699387682</v>
      </c>
      <c r="BP34" s="56">
        <v>6519.0740012827819</v>
      </c>
      <c r="BQ34" s="56" t="s">
        <v>1091</v>
      </c>
      <c r="BR34" s="56">
        <v>6588.6382617589716</v>
      </c>
      <c r="BS34" s="47">
        <v>-3.38775160853233E-3</v>
      </c>
      <c r="BT34" s="40">
        <v>-10458</v>
      </c>
      <c r="BU34" s="40">
        <v>2756770.0699387682</v>
      </c>
      <c r="BV34" s="40">
        <v>0</v>
      </c>
      <c r="BW34" s="40">
        <v>2756770.0699387682</v>
      </c>
      <c r="BX34" s="40">
        <v>29216.989399999999</v>
      </c>
      <c r="BY34" s="40">
        <v>2727553.0805387683</v>
      </c>
    </row>
    <row r="35" spans="1:77">
      <c r="A35">
        <f>_xlfn.XLOOKUP(B35,'Summary June 2026'!B:B,'Summary June 2026'!A:A,0,0)</f>
        <v>2150</v>
      </c>
      <c r="B35" s="54">
        <v>103241</v>
      </c>
      <c r="C35" s="54">
        <v>3302150</v>
      </c>
      <c r="D35" s="55" t="s">
        <v>260</v>
      </c>
      <c r="E35" s="46">
        <v>223</v>
      </c>
      <c r="F35" s="46">
        <v>223</v>
      </c>
      <c r="G35" s="46">
        <v>0</v>
      </c>
      <c r="H35" s="40">
        <v>896734.06700000004</v>
      </c>
      <c r="I35" s="40">
        <v>0</v>
      </c>
      <c r="J35" s="40">
        <v>0</v>
      </c>
      <c r="K35" s="40">
        <v>57810.869999999908</v>
      </c>
      <c r="L35" s="40">
        <v>0</v>
      </c>
      <c r="M35" s="40">
        <v>142067.99999999997</v>
      </c>
      <c r="N35" s="40">
        <v>0</v>
      </c>
      <c r="O35" s="40">
        <v>5601.5598216994276</v>
      </c>
      <c r="P35" s="40">
        <v>11223.846969288637</v>
      </c>
      <c r="Q35" s="40">
        <v>5073.0130115113461</v>
      </c>
      <c r="R35" s="40">
        <v>39102.100290975039</v>
      </c>
      <c r="S35" s="40">
        <v>21017.508452185866</v>
      </c>
      <c r="T35" s="40">
        <v>6389.1982055091821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14788.368888888874</v>
      </c>
      <c r="AB35" s="40">
        <v>0</v>
      </c>
      <c r="AC35" s="40">
        <v>80348.917897491163</v>
      </c>
      <c r="AD35" s="40">
        <v>0</v>
      </c>
      <c r="AE35" s="40">
        <v>7343.851199999991</v>
      </c>
      <c r="AF35" s="40">
        <v>0</v>
      </c>
      <c r="AG35" s="40">
        <v>149406.57</v>
      </c>
      <c r="AH35" s="40">
        <v>0</v>
      </c>
      <c r="AI35" s="40">
        <v>0</v>
      </c>
      <c r="AJ35" s="40">
        <v>0</v>
      </c>
      <c r="AK35" s="40">
        <v>36595.2405</v>
      </c>
      <c r="AL35" s="40">
        <v>0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40">
        <v>0</v>
      </c>
      <c r="AS35" s="40">
        <v>0</v>
      </c>
      <c r="AT35" s="40">
        <v>896734.06700000004</v>
      </c>
      <c r="AU35" s="40">
        <v>390767.23473754938</v>
      </c>
      <c r="AV35" s="40">
        <v>186001.81050000002</v>
      </c>
      <c r="AW35" s="40">
        <v>228968.61607791219</v>
      </c>
      <c r="AX35" s="56">
        <v>1473503.1122375494</v>
      </c>
      <c r="AY35" s="56">
        <v>1436907.8717375493</v>
      </c>
      <c r="AZ35" s="56">
        <v>5115</v>
      </c>
      <c r="BA35" s="56">
        <v>1140645</v>
      </c>
      <c r="BB35" s="56">
        <v>0</v>
      </c>
      <c r="BC35" s="56">
        <v>0</v>
      </c>
      <c r="BD35" s="56">
        <v>1473503.1122375494</v>
      </c>
      <c r="BE35" s="40">
        <v>1473503.1122375499</v>
      </c>
      <c r="BF35" s="40">
        <v>0</v>
      </c>
      <c r="BG35" s="56">
        <v>1177240.2405000001</v>
      </c>
      <c r="BH35" s="56">
        <v>991238.43</v>
      </c>
      <c r="BI35" s="40">
        <v>1287501.3017375492</v>
      </c>
      <c r="BJ35" s="40">
        <v>5773.5484382849745</v>
      </c>
      <c r="BK35" s="40">
        <v>5611.815142635659</v>
      </c>
      <c r="BL35" s="41">
        <v>2.8820139569557434E-2</v>
      </c>
      <c r="BM35" s="41">
        <v>0</v>
      </c>
      <c r="BN35" s="40">
        <v>0</v>
      </c>
      <c r="BO35" s="56">
        <v>1473503.1122375494</v>
      </c>
      <c r="BP35" s="56">
        <v>6443.5330571190552</v>
      </c>
      <c r="BQ35" s="56" t="s">
        <v>1091</v>
      </c>
      <c r="BR35" s="56">
        <v>6607.637274607845</v>
      </c>
      <c r="BS35" s="47">
        <v>4.426999375166063E-2</v>
      </c>
      <c r="BT35" s="40">
        <v>-5552.7</v>
      </c>
      <c r="BU35" s="40">
        <v>1467950.4122375494</v>
      </c>
      <c r="BV35" s="40">
        <v>0</v>
      </c>
      <c r="BW35" s="40">
        <v>1467950.4122375494</v>
      </c>
      <c r="BX35" s="40">
        <v>36595.2405</v>
      </c>
      <c r="BY35" s="40">
        <v>1431355.1717375494</v>
      </c>
    </row>
    <row r="36" spans="1:77">
      <c r="A36">
        <f>_xlfn.XLOOKUP(B36,'Summary June 2026'!B:B,'Summary June 2026'!A:A,0,0)</f>
        <v>2153</v>
      </c>
      <c r="B36" s="54">
        <v>103243</v>
      </c>
      <c r="C36" s="54">
        <v>3302153</v>
      </c>
      <c r="D36" s="55" t="s">
        <v>45</v>
      </c>
      <c r="E36" s="46">
        <v>382</v>
      </c>
      <c r="F36" s="46">
        <v>382</v>
      </c>
      <c r="G36" s="46">
        <v>0</v>
      </c>
      <c r="H36" s="40">
        <v>1536109.4780000001</v>
      </c>
      <c r="I36" s="40">
        <v>0</v>
      </c>
      <c r="J36" s="40">
        <v>0</v>
      </c>
      <c r="K36" s="40">
        <v>119574.61999999994</v>
      </c>
      <c r="L36" s="40">
        <v>0</v>
      </c>
      <c r="M36" s="40">
        <v>286503.79999999987</v>
      </c>
      <c r="N36" s="40">
        <v>0</v>
      </c>
      <c r="O36" s="40">
        <v>2666.993387519999</v>
      </c>
      <c r="P36" s="40">
        <v>22935.111413759925</v>
      </c>
      <c r="Q36" s="40">
        <v>14691.677306879998</v>
      </c>
      <c r="R36" s="40">
        <v>9099.7608038399921</v>
      </c>
      <c r="S36" s="40">
        <v>85302.519644159882</v>
      </c>
      <c r="T36" s="40">
        <v>13427.821639679983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32570.411428571235</v>
      </c>
      <c r="AB36" s="40">
        <v>0</v>
      </c>
      <c r="AC36" s="40">
        <v>242038.02928658522</v>
      </c>
      <c r="AD36" s="40">
        <v>0</v>
      </c>
      <c r="AE36" s="40">
        <v>4895.9007999999876</v>
      </c>
      <c r="AF36" s="40">
        <v>0</v>
      </c>
      <c r="AG36" s="40">
        <v>149406.57</v>
      </c>
      <c r="AH36" s="40">
        <v>0</v>
      </c>
      <c r="AI36" s="40">
        <v>0</v>
      </c>
      <c r="AJ36" s="40">
        <v>0</v>
      </c>
      <c r="AK36" s="40">
        <v>9336.1085999999996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1536109.4780000001</v>
      </c>
      <c r="AU36" s="40">
        <v>833706.64571099589</v>
      </c>
      <c r="AV36" s="40">
        <v>158742.67860000001</v>
      </c>
      <c r="AW36" s="40">
        <v>518356.33269708743</v>
      </c>
      <c r="AX36" s="56">
        <v>2528558.8023109962</v>
      </c>
      <c r="AY36" s="56">
        <v>2519222.6937109963</v>
      </c>
      <c r="AZ36" s="56">
        <v>5115</v>
      </c>
      <c r="BA36" s="56">
        <v>1953930</v>
      </c>
      <c r="BB36" s="56">
        <v>0</v>
      </c>
      <c r="BC36" s="56">
        <v>0</v>
      </c>
      <c r="BD36" s="56">
        <v>2528558.8023109962</v>
      </c>
      <c r="BE36" s="40">
        <v>2528558.8023109962</v>
      </c>
      <c r="BF36" s="40">
        <v>0</v>
      </c>
      <c r="BG36" s="56">
        <v>1963266.1085999999</v>
      </c>
      <c r="BH36" s="56">
        <v>1804523.43</v>
      </c>
      <c r="BI36" s="40">
        <v>2369816.1237109965</v>
      </c>
      <c r="BJ36" s="40">
        <v>6203.707130133499</v>
      </c>
      <c r="BK36" s="40">
        <v>6007.7714571428569</v>
      </c>
      <c r="BL36" s="41">
        <v>3.2613702832801197E-2</v>
      </c>
      <c r="BM36" s="41">
        <v>0</v>
      </c>
      <c r="BN36" s="40">
        <v>0</v>
      </c>
      <c r="BO36" s="56">
        <v>2528558.8023109962</v>
      </c>
      <c r="BP36" s="56">
        <v>6594.8238055261681</v>
      </c>
      <c r="BQ36" s="56" t="s">
        <v>1091</v>
      </c>
      <c r="BR36" s="56">
        <v>6619.2638803952777</v>
      </c>
      <c r="BS36" s="47">
        <v>2.7174092514696602E-2</v>
      </c>
      <c r="BT36" s="40">
        <v>-9511.7999999999993</v>
      </c>
      <c r="BU36" s="40">
        <v>2519047.0023109964</v>
      </c>
      <c r="BV36" s="40">
        <v>0</v>
      </c>
      <c r="BW36" s="40">
        <v>2519047.0023109964</v>
      </c>
      <c r="BX36" s="40">
        <v>9336.1085999999996</v>
      </c>
      <c r="BY36" s="40">
        <v>2509710.8937109965</v>
      </c>
    </row>
    <row r="37" spans="1:77">
      <c r="A37">
        <f>_xlfn.XLOOKUP(B37,'Summary June 2026'!B:B,'Summary June 2026'!A:A,0,0)</f>
        <v>2157</v>
      </c>
      <c r="B37" s="54">
        <v>103246</v>
      </c>
      <c r="C37" s="54">
        <v>3302157</v>
      </c>
      <c r="D37" s="55" t="s">
        <v>270</v>
      </c>
      <c r="E37" s="46">
        <v>368</v>
      </c>
      <c r="F37" s="46">
        <v>368</v>
      </c>
      <c r="G37" s="46">
        <v>0</v>
      </c>
      <c r="H37" s="40">
        <v>1479812.2720000001</v>
      </c>
      <c r="I37" s="40">
        <v>0</v>
      </c>
      <c r="J37" s="40">
        <v>0</v>
      </c>
      <c r="K37" s="40">
        <v>41999.349999999962</v>
      </c>
      <c r="L37" s="40">
        <v>0</v>
      </c>
      <c r="M37" s="40">
        <v>102999.29999999964</v>
      </c>
      <c r="N37" s="40">
        <v>0</v>
      </c>
      <c r="O37" s="40">
        <v>2666.9933875199922</v>
      </c>
      <c r="P37" s="40">
        <v>22347.031633919916</v>
      </c>
      <c r="Q37" s="40">
        <v>2754.6894950399906</v>
      </c>
      <c r="R37" s="40">
        <v>11121.929871359986</v>
      </c>
      <c r="S37" s="40">
        <v>23605.728706559934</v>
      </c>
      <c r="T37" s="40">
        <v>4240.3647283199853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30907.019880239415</v>
      </c>
      <c r="AB37" s="40">
        <v>0</v>
      </c>
      <c r="AC37" s="40">
        <v>121274.50701874033</v>
      </c>
      <c r="AD37" s="40">
        <v>0</v>
      </c>
      <c r="AE37" s="40">
        <v>12451.779199999997</v>
      </c>
      <c r="AF37" s="40">
        <v>0</v>
      </c>
      <c r="AG37" s="40">
        <v>149406.57</v>
      </c>
      <c r="AH37" s="40">
        <v>0</v>
      </c>
      <c r="AI37" s="40">
        <v>0</v>
      </c>
      <c r="AJ37" s="40">
        <v>0</v>
      </c>
      <c r="AK37" s="40">
        <v>41493.815999999999</v>
      </c>
      <c r="AL37" s="40">
        <v>0</v>
      </c>
      <c r="AM37" s="40">
        <v>0</v>
      </c>
      <c r="AN37" s="40">
        <v>0</v>
      </c>
      <c r="AO37" s="40">
        <v>0</v>
      </c>
      <c r="AP37" s="40">
        <v>0</v>
      </c>
      <c r="AQ37" s="40">
        <v>0</v>
      </c>
      <c r="AR37" s="40">
        <v>0</v>
      </c>
      <c r="AS37" s="40">
        <v>0</v>
      </c>
      <c r="AT37" s="40">
        <v>1479812.2720000001</v>
      </c>
      <c r="AU37" s="40">
        <v>376368.69392169913</v>
      </c>
      <c r="AV37" s="40">
        <v>190900.386</v>
      </c>
      <c r="AW37" s="40">
        <v>271489.8602349193</v>
      </c>
      <c r="AX37" s="56">
        <v>2047081.3519216992</v>
      </c>
      <c r="AY37" s="56">
        <v>2005587.5359216991</v>
      </c>
      <c r="AZ37" s="56">
        <v>5115</v>
      </c>
      <c r="BA37" s="56">
        <v>1882320</v>
      </c>
      <c r="BB37" s="56">
        <v>0</v>
      </c>
      <c r="BC37" s="56">
        <v>0</v>
      </c>
      <c r="BD37" s="56">
        <v>2047081.3519216992</v>
      </c>
      <c r="BE37" s="40">
        <v>2047081.351921699</v>
      </c>
      <c r="BF37" s="40">
        <v>0</v>
      </c>
      <c r="BG37" s="56">
        <v>1923813.8160000001</v>
      </c>
      <c r="BH37" s="56">
        <v>1732913.43</v>
      </c>
      <c r="BI37" s="40">
        <v>1856180.9659216991</v>
      </c>
      <c r="BJ37" s="40">
        <v>5043.9700160915736</v>
      </c>
      <c r="BK37" s="40">
        <v>4969.7684402597406</v>
      </c>
      <c r="BL37" s="41">
        <v>1.4930590172115728E-2</v>
      </c>
      <c r="BM37" s="41">
        <v>0</v>
      </c>
      <c r="BN37" s="40">
        <v>0</v>
      </c>
      <c r="BO37" s="56">
        <v>2047081.3519216992</v>
      </c>
      <c r="BP37" s="56">
        <v>5449.9661302220084</v>
      </c>
      <c r="BQ37" s="56" t="s">
        <v>1091</v>
      </c>
      <c r="BR37" s="56">
        <v>5562.7210650046172</v>
      </c>
      <c r="BS37" s="47">
        <v>2.455135220528426E-2</v>
      </c>
      <c r="BT37" s="40">
        <v>-9163.1999999999989</v>
      </c>
      <c r="BU37" s="40">
        <v>2037918.1519216993</v>
      </c>
      <c r="BV37" s="40">
        <v>0</v>
      </c>
      <c r="BW37" s="40">
        <v>2037918.1519216993</v>
      </c>
      <c r="BX37" s="40">
        <v>41493.815999999999</v>
      </c>
      <c r="BY37" s="40">
        <v>1996424.3359216992</v>
      </c>
    </row>
    <row r="38" spans="1:77">
      <c r="A38">
        <f>_xlfn.XLOOKUP(B38,'Summary June 2026'!B:B,'Summary June 2026'!A:A,0,0)</f>
        <v>2159</v>
      </c>
      <c r="B38" s="54">
        <v>103247</v>
      </c>
      <c r="C38" s="54">
        <v>3302159</v>
      </c>
      <c r="D38" s="55" t="s">
        <v>272</v>
      </c>
      <c r="E38" s="46">
        <v>203</v>
      </c>
      <c r="F38" s="46">
        <v>203</v>
      </c>
      <c r="G38" s="46">
        <v>0</v>
      </c>
      <c r="H38" s="40">
        <v>816309.48700000008</v>
      </c>
      <c r="I38" s="40">
        <v>0</v>
      </c>
      <c r="J38" s="40">
        <v>0</v>
      </c>
      <c r="K38" s="40">
        <v>53363.879999999946</v>
      </c>
      <c r="L38" s="40">
        <v>0</v>
      </c>
      <c r="M38" s="40">
        <v>127861.19999999988</v>
      </c>
      <c r="N38" s="40">
        <v>0</v>
      </c>
      <c r="O38" s="40">
        <v>2666.9933875199999</v>
      </c>
      <c r="P38" s="40">
        <v>13819.874826239995</v>
      </c>
      <c r="Q38" s="40">
        <v>11477.872895999915</v>
      </c>
      <c r="R38" s="40">
        <v>57126.276157439926</v>
      </c>
      <c r="S38" s="40">
        <v>536.49383423999927</v>
      </c>
      <c r="T38" s="40">
        <v>706.72745471999895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54626.38473988435</v>
      </c>
      <c r="AB38" s="40">
        <v>0</v>
      </c>
      <c r="AC38" s="40">
        <v>90490.407390438835</v>
      </c>
      <c r="AD38" s="40">
        <v>0</v>
      </c>
      <c r="AE38" s="40">
        <v>9464.12319999996</v>
      </c>
      <c r="AF38" s="40">
        <v>0</v>
      </c>
      <c r="AG38" s="40">
        <v>149406.57</v>
      </c>
      <c r="AH38" s="40">
        <v>0</v>
      </c>
      <c r="AI38" s="40">
        <v>0</v>
      </c>
      <c r="AJ38" s="40">
        <v>0</v>
      </c>
      <c r="AK38" s="40">
        <v>20014.391</v>
      </c>
      <c r="AL38" s="40"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0</v>
      </c>
      <c r="AT38" s="40">
        <v>816309.48700000008</v>
      </c>
      <c r="AU38" s="40">
        <v>422140.23388648289</v>
      </c>
      <c r="AV38" s="40">
        <v>169420.96100000001</v>
      </c>
      <c r="AW38" s="40">
        <v>227627.23642065629</v>
      </c>
      <c r="AX38" s="56">
        <v>1407870.681886483</v>
      </c>
      <c r="AY38" s="56">
        <v>1387856.2908864829</v>
      </c>
      <c r="AZ38" s="56">
        <v>5115</v>
      </c>
      <c r="BA38" s="56">
        <v>1038345</v>
      </c>
      <c r="BB38" s="56">
        <v>0</v>
      </c>
      <c r="BC38" s="56">
        <v>0</v>
      </c>
      <c r="BD38" s="56">
        <v>1407870.681886483</v>
      </c>
      <c r="BE38" s="40">
        <v>1407870.681886483</v>
      </c>
      <c r="BF38" s="40">
        <v>0</v>
      </c>
      <c r="BG38" s="56">
        <v>1058359.3910000001</v>
      </c>
      <c r="BH38" s="56">
        <v>888938.43</v>
      </c>
      <c r="BI38" s="40">
        <v>1238449.7208864829</v>
      </c>
      <c r="BJ38" s="40">
        <v>6100.7375413127238</v>
      </c>
      <c r="BK38" s="40">
        <v>5873.0362701923068</v>
      </c>
      <c r="BL38" s="41">
        <v>3.8770622322916649E-2</v>
      </c>
      <c r="BM38" s="41">
        <v>0</v>
      </c>
      <c r="BN38" s="40">
        <v>0</v>
      </c>
      <c r="BO38" s="56">
        <v>1407870.681886483</v>
      </c>
      <c r="BP38" s="56">
        <v>6836.7304969777488</v>
      </c>
      <c r="BQ38" s="56" t="s">
        <v>1091</v>
      </c>
      <c r="BR38" s="56">
        <v>6935.3235560910489</v>
      </c>
      <c r="BS38" s="47">
        <v>3.9556456882284596E-2</v>
      </c>
      <c r="BT38" s="40">
        <v>-5054.7</v>
      </c>
      <c r="BU38" s="40">
        <v>1402815.981886483</v>
      </c>
      <c r="BV38" s="40">
        <v>0</v>
      </c>
      <c r="BW38" s="40">
        <v>1402815.981886483</v>
      </c>
      <c r="BX38" s="40">
        <v>20014.391</v>
      </c>
      <c r="BY38" s="40">
        <v>1382801.590886483</v>
      </c>
    </row>
    <row r="39" spans="1:77">
      <c r="A39">
        <f>_xlfn.XLOOKUP(B39,'Summary June 2026'!B:B,'Summary June 2026'!A:A,0,0)</f>
        <v>2160</v>
      </c>
      <c r="B39" s="54">
        <v>103248</v>
      </c>
      <c r="C39" s="54">
        <v>3302160</v>
      </c>
      <c r="D39" s="55" t="s">
        <v>276</v>
      </c>
      <c r="E39" s="46">
        <v>327</v>
      </c>
      <c r="F39" s="46">
        <v>327</v>
      </c>
      <c r="G39" s="46">
        <v>0</v>
      </c>
      <c r="H39" s="40">
        <v>1314941.8830000001</v>
      </c>
      <c r="I39" s="40">
        <v>0</v>
      </c>
      <c r="J39" s="40">
        <v>0</v>
      </c>
      <c r="K39" s="40">
        <v>65716.629999999946</v>
      </c>
      <c r="L39" s="40">
        <v>0</v>
      </c>
      <c r="M39" s="40">
        <v>219021.49999999997</v>
      </c>
      <c r="N39" s="40">
        <v>0</v>
      </c>
      <c r="O39" s="40">
        <v>5333.986775039999</v>
      </c>
      <c r="P39" s="40">
        <v>8233.1169177600004</v>
      </c>
      <c r="Q39" s="40">
        <v>3672.919326719993</v>
      </c>
      <c r="R39" s="40">
        <v>53081.938022399889</v>
      </c>
      <c r="S39" s="40">
        <v>36481.580728319932</v>
      </c>
      <c r="T39" s="40">
        <v>12014.366730239986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5968.3999999999842</v>
      </c>
      <c r="AB39" s="40">
        <v>0</v>
      </c>
      <c r="AC39" s="40">
        <v>132034.30716371944</v>
      </c>
      <c r="AD39" s="40">
        <v>0</v>
      </c>
      <c r="AE39" s="40">
        <v>366.22879999998065</v>
      </c>
      <c r="AF39" s="40">
        <v>0</v>
      </c>
      <c r="AG39" s="40">
        <v>149406.57</v>
      </c>
      <c r="AH39" s="40">
        <v>0</v>
      </c>
      <c r="AI39" s="40">
        <v>0</v>
      </c>
      <c r="AJ39" s="40">
        <v>0</v>
      </c>
      <c r="AK39" s="40">
        <v>13024.4478</v>
      </c>
      <c r="AL39" s="40">
        <v>0</v>
      </c>
      <c r="AM39" s="40">
        <v>0</v>
      </c>
      <c r="AN39" s="40">
        <v>0</v>
      </c>
      <c r="AO39" s="40">
        <v>0</v>
      </c>
      <c r="AP39" s="40">
        <v>0</v>
      </c>
      <c r="AQ39" s="40">
        <v>0</v>
      </c>
      <c r="AR39" s="40">
        <v>0</v>
      </c>
      <c r="AS39" s="40">
        <v>0</v>
      </c>
      <c r="AT39" s="40">
        <v>1314941.8830000001</v>
      </c>
      <c r="AU39" s="40">
        <v>541924.97446419904</v>
      </c>
      <c r="AV39" s="40">
        <v>162431.0178</v>
      </c>
      <c r="AW39" s="40">
        <v>343061.57517389214</v>
      </c>
      <c r="AX39" s="56">
        <v>2019297.8752641992</v>
      </c>
      <c r="AY39" s="56">
        <v>2006273.4274641993</v>
      </c>
      <c r="AZ39" s="56">
        <v>5115</v>
      </c>
      <c r="BA39" s="56">
        <v>1672605</v>
      </c>
      <c r="BB39" s="56">
        <v>0</v>
      </c>
      <c r="BC39" s="56">
        <v>0</v>
      </c>
      <c r="BD39" s="56">
        <v>2019297.8752641992</v>
      </c>
      <c r="BE39" s="40">
        <v>2019297.8752641992</v>
      </c>
      <c r="BF39" s="40">
        <v>0</v>
      </c>
      <c r="BG39" s="56">
        <v>1685629.4478</v>
      </c>
      <c r="BH39" s="56">
        <v>1523198.43</v>
      </c>
      <c r="BI39" s="40">
        <v>1856866.8574641992</v>
      </c>
      <c r="BJ39" s="40">
        <v>5678.491918850762</v>
      </c>
      <c r="BK39" s="40">
        <v>5651.0229241982497</v>
      </c>
      <c r="BL39" s="41">
        <v>4.8608889082518598E-3</v>
      </c>
      <c r="BM39" s="41">
        <v>0</v>
      </c>
      <c r="BN39" s="40">
        <v>0</v>
      </c>
      <c r="BO39" s="56">
        <v>2019297.8752641992</v>
      </c>
      <c r="BP39" s="56">
        <v>6135.3927445388354</v>
      </c>
      <c r="BQ39" s="56" t="s">
        <v>1091</v>
      </c>
      <c r="BR39" s="56">
        <v>6175.2228601351662</v>
      </c>
      <c r="BS39" s="47">
        <v>1.9109699331358865E-3</v>
      </c>
      <c r="BT39" s="40">
        <v>-8142.2999999999993</v>
      </c>
      <c r="BU39" s="40">
        <v>2011155.5752641992</v>
      </c>
      <c r="BV39" s="40">
        <v>0</v>
      </c>
      <c r="BW39" s="40">
        <v>2011155.5752641992</v>
      </c>
      <c r="BX39" s="40">
        <v>13024.4478</v>
      </c>
      <c r="BY39" s="40">
        <v>1998131.1274641992</v>
      </c>
    </row>
    <row r="40" spans="1:77">
      <c r="A40">
        <f>_xlfn.XLOOKUP(B40,'Summary June 2026'!B:B,'Summary June 2026'!A:A,0,0)</f>
        <v>2161</v>
      </c>
      <c r="B40" s="54">
        <v>103249</v>
      </c>
      <c r="C40" s="54">
        <v>3302161</v>
      </c>
      <c r="D40" s="55" t="s">
        <v>274</v>
      </c>
      <c r="E40" s="46">
        <v>217</v>
      </c>
      <c r="F40" s="46">
        <v>217</v>
      </c>
      <c r="G40" s="46">
        <v>0</v>
      </c>
      <c r="H40" s="40">
        <v>872606.69300000009</v>
      </c>
      <c r="I40" s="40">
        <v>0</v>
      </c>
      <c r="J40" s="40">
        <v>0</v>
      </c>
      <c r="K40" s="40">
        <v>41999.35</v>
      </c>
      <c r="L40" s="40">
        <v>0</v>
      </c>
      <c r="M40" s="40">
        <v>100631.50000000001</v>
      </c>
      <c r="N40" s="40">
        <v>0</v>
      </c>
      <c r="O40" s="40">
        <v>3151.9012761599956</v>
      </c>
      <c r="P40" s="40">
        <v>7350.9972479999742</v>
      </c>
      <c r="Q40" s="40">
        <v>2295.5745791999921</v>
      </c>
      <c r="R40" s="40">
        <v>33365.789614079993</v>
      </c>
      <c r="S40" s="40">
        <v>19850.271866879964</v>
      </c>
      <c r="T40" s="40">
        <v>9187.4569113599864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11774.025454545452</v>
      </c>
      <c r="AB40" s="40">
        <v>0</v>
      </c>
      <c r="AC40" s="40">
        <v>107655.22816901417</v>
      </c>
      <c r="AD40" s="40">
        <v>0</v>
      </c>
      <c r="AE40" s="40">
        <v>0</v>
      </c>
      <c r="AF40" s="40">
        <v>0</v>
      </c>
      <c r="AG40" s="40">
        <v>149406.57</v>
      </c>
      <c r="AH40" s="40">
        <v>0</v>
      </c>
      <c r="AI40" s="40">
        <v>0</v>
      </c>
      <c r="AJ40" s="40">
        <v>0</v>
      </c>
      <c r="AK40" s="40">
        <v>14978.241599999999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872606.69300000009</v>
      </c>
      <c r="AU40" s="40">
        <v>337262.09511923947</v>
      </c>
      <c r="AV40" s="40">
        <v>164384.81160000002</v>
      </c>
      <c r="AW40" s="40">
        <v>229705.38575745892</v>
      </c>
      <c r="AX40" s="56">
        <v>1374253.5997192394</v>
      </c>
      <c r="AY40" s="56">
        <v>1359275.3581192393</v>
      </c>
      <c r="AZ40" s="56">
        <v>5115</v>
      </c>
      <c r="BA40" s="56">
        <v>1109955</v>
      </c>
      <c r="BB40" s="56">
        <v>0</v>
      </c>
      <c r="BC40" s="56">
        <v>0</v>
      </c>
      <c r="BD40" s="56">
        <v>1374253.5997192394</v>
      </c>
      <c r="BE40" s="40">
        <v>1374253.5997192394</v>
      </c>
      <c r="BF40" s="40">
        <v>0</v>
      </c>
      <c r="BG40" s="56">
        <v>1124933.2416000001</v>
      </c>
      <c r="BH40" s="56">
        <v>960548.43</v>
      </c>
      <c r="BI40" s="40">
        <v>1209868.7881192393</v>
      </c>
      <c r="BJ40" s="40">
        <v>5575.4322033144663</v>
      </c>
      <c r="BK40" s="40">
        <v>5555.6174958333331</v>
      </c>
      <c r="BL40" s="41">
        <v>3.5666075816043886E-3</v>
      </c>
      <c r="BM40" s="41">
        <v>0</v>
      </c>
      <c r="BN40" s="40">
        <v>0</v>
      </c>
      <c r="BO40" s="56">
        <v>1374253.5997192394</v>
      </c>
      <c r="BP40" s="56">
        <v>6263.9417424849735</v>
      </c>
      <c r="BQ40" s="56" t="s">
        <v>1091</v>
      </c>
      <c r="BR40" s="56">
        <v>6332.9658973236837</v>
      </c>
      <c r="BS40" s="47">
        <v>1.5342166730170081E-2</v>
      </c>
      <c r="BT40" s="40">
        <v>-5403.2999999999993</v>
      </c>
      <c r="BU40" s="40">
        <v>1368850.2997192394</v>
      </c>
      <c r="BV40" s="40">
        <v>0</v>
      </c>
      <c r="BW40" s="40">
        <v>1368850.2997192394</v>
      </c>
      <c r="BX40" s="40">
        <v>14978.241599999999</v>
      </c>
      <c r="BY40" s="40">
        <v>1353872.0581192393</v>
      </c>
    </row>
    <row r="41" spans="1:77">
      <c r="A41">
        <f>_xlfn.XLOOKUP(B41,'Summary June 2026'!B:B,'Summary June 2026'!A:A,0,0)</f>
        <v>2169</v>
      </c>
      <c r="B41" s="54">
        <v>103252</v>
      </c>
      <c r="C41" s="54">
        <v>3302169</v>
      </c>
      <c r="D41" s="55" t="s">
        <v>288</v>
      </c>
      <c r="E41" s="46">
        <v>361</v>
      </c>
      <c r="F41" s="46">
        <v>361</v>
      </c>
      <c r="G41" s="46">
        <v>0</v>
      </c>
      <c r="H41" s="40">
        <v>1451663.669</v>
      </c>
      <c r="I41" s="40">
        <v>0</v>
      </c>
      <c r="J41" s="40">
        <v>0</v>
      </c>
      <c r="K41" s="40">
        <v>122045.16999999994</v>
      </c>
      <c r="L41" s="40">
        <v>0</v>
      </c>
      <c r="M41" s="40">
        <v>292423.29999999987</v>
      </c>
      <c r="N41" s="40">
        <v>0</v>
      </c>
      <c r="O41" s="40">
        <v>6546.2564966399987</v>
      </c>
      <c r="P41" s="40">
        <v>4704.6382387200001</v>
      </c>
      <c r="Q41" s="40">
        <v>2295.5745791999875</v>
      </c>
      <c r="R41" s="40">
        <v>42465.550417919949</v>
      </c>
      <c r="S41" s="40">
        <v>98178.371665919869</v>
      </c>
      <c r="T41" s="40">
        <v>2826.9098188799999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79522.810977917921</v>
      </c>
      <c r="AB41" s="40">
        <v>0</v>
      </c>
      <c r="AC41" s="40">
        <v>142312.36030848452</v>
      </c>
      <c r="AD41" s="40">
        <v>0</v>
      </c>
      <c r="AE41" s="40">
        <v>31167.998399999989</v>
      </c>
      <c r="AF41" s="40">
        <v>0</v>
      </c>
      <c r="AG41" s="40">
        <v>149406.57</v>
      </c>
      <c r="AH41" s="40">
        <v>0</v>
      </c>
      <c r="AI41" s="40">
        <v>0</v>
      </c>
      <c r="AJ41" s="40">
        <v>0</v>
      </c>
      <c r="AK41" s="40">
        <v>38324.1495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1451663.669</v>
      </c>
      <c r="AU41" s="40">
        <v>824488.94090368203</v>
      </c>
      <c r="AV41" s="40">
        <v>187730.71950000001</v>
      </c>
      <c r="AW41" s="40">
        <v>420630.42139670515</v>
      </c>
      <c r="AX41" s="56">
        <v>2463883.3294036821</v>
      </c>
      <c r="AY41" s="56">
        <v>2425559.1799036823</v>
      </c>
      <c r="AZ41" s="56">
        <v>5115</v>
      </c>
      <c r="BA41" s="56">
        <v>1846515</v>
      </c>
      <c r="BB41" s="56">
        <v>0</v>
      </c>
      <c r="BC41" s="56">
        <v>0</v>
      </c>
      <c r="BD41" s="56">
        <v>2463883.3294036821</v>
      </c>
      <c r="BE41" s="40">
        <v>2463883.3294036821</v>
      </c>
      <c r="BF41" s="40">
        <v>0</v>
      </c>
      <c r="BG41" s="56">
        <v>1884839.1495000001</v>
      </c>
      <c r="BH41" s="56">
        <v>1697108.43</v>
      </c>
      <c r="BI41" s="40">
        <v>2276152.6099036825</v>
      </c>
      <c r="BJ41" s="40">
        <v>6305.1318833897021</v>
      </c>
      <c r="BK41" s="40">
        <v>6182.6345431318678</v>
      </c>
      <c r="BL41" s="41">
        <v>1.9813129727021237E-2</v>
      </c>
      <c r="BM41" s="41">
        <v>0</v>
      </c>
      <c r="BN41" s="40">
        <v>0</v>
      </c>
      <c r="BO41" s="56">
        <v>2463883.3294036821</v>
      </c>
      <c r="BP41" s="56">
        <v>6719.0004983481504</v>
      </c>
      <c r="BQ41" s="56" t="s">
        <v>1091</v>
      </c>
      <c r="BR41" s="56">
        <v>6825.1615772955183</v>
      </c>
      <c r="BS41" s="47">
        <v>2.2552778885571501E-2</v>
      </c>
      <c r="BT41" s="40">
        <v>-8988.9</v>
      </c>
      <c r="BU41" s="40">
        <v>2454894.4294036822</v>
      </c>
      <c r="BV41" s="40">
        <v>0</v>
      </c>
      <c r="BW41" s="40">
        <v>2454894.4294036822</v>
      </c>
      <c r="BX41" s="40">
        <v>38324.1495</v>
      </c>
      <c r="BY41" s="40">
        <v>2416570.2799036824</v>
      </c>
    </row>
    <row r="42" spans="1:77">
      <c r="A42">
        <f>_xlfn.XLOOKUP(B42,'Summary June 2026'!B:B,'Summary June 2026'!A:A,0,0)</f>
        <v>2174</v>
      </c>
      <c r="B42" s="54">
        <v>103255</v>
      </c>
      <c r="C42" s="54">
        <v>3302174</v>
      </c>
      <c r="D42" s="55" t="s">
        <v>294</v>
      </c>
      <c r="E42" s="46">
        <v>268</v>
      </c>
      <c r="F42" s="46">
        <v>268</v>
      </c>
      <c r="G42" s="46">
        <v>0</v>
      </c>
      <c r="H42" s="40">
        <v>1077689.372</v>
      </c>
      <c r="I42" s="40">
        <v>0</v>
      </c>
      <c r="J42" s="40">
        <v>0</v>
      </c>
      <c r="K42" s="40">
        <v>54352.099999999889</v>
      </c>
      <c r="L42" s="40">
        <v>0</v>
      </c>
      <c r="M42" s="40">
        <v>130228.99999999974</v>
      </c>
      <c r="N42" s="40">
        <v>0</v>
      </c>
      <c r="O42" s="40">
        <v>1212.269721599997</v>
      </c>
      <c r="P42" s="40">
        <v>23523.191193599989</v>
      </c>
      <c r="Q42" s="40">
        <v>30760.69936128</v>
      </c>
      <c r="R42" s="40">
        <v>24771.571077119945</v>
      </c>
      <c r="S42" s="40">
        <v>24678.716375039989</v>
      </c>
      <c r="T42" s="40">
        <v>2120.1823641599872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50934.79240223462</v>
      </c>
      <c r="AB42" s="40">
        <v>0</v>
      </c>
      <c r="AC42" s="40">
        <v>75007.15441860439</v>
      </c>
      <c r="AD42" s="40">
        <v>0</v>
      </c>
      <c r="AE42" s="40">
        <v>0</v>
      </c>
      <c r="AF42" s="40">
        <v>0</v>
      </c>
      <c r="AG42" s="40">
        <v>149406.57</v>
      </c>
      <c r="AH42" s="40">
        <v>0</v>
      </c>
      <c r="AI42" s="40">
        <v>0</v>
      </c>
      <c r="AJ42" s="40">
        <v>0</v>
      </c>
      <c r="AK42" s="40">
        <v>30832.210500000001</v>
      </c>
      <c r="AL42" s="40">
        <v>0</v>
      </c>
      <c r="AM42" s="40">
        <v>0</v>
      </c>
      <c r="AN42" s="40">
        <v>0</v>
      </c>
      <c r="AO42" s="40">
        <v>0</v>
      </c>
      <c r="AP42" s="40">
        <v>0</v>
      </c>
      <c r="AQ42" s="40">
        <v>0</v>
      </c>
      <c r="AR42" s="40">
        <v>0</v>
      </c>
      <c r="AS42" s="40">
        <v>0</v>
      </c>
      <c r="AT42" s="40">
        <v>1077689.372</v>
      </c>
      <c r="AU42" s="40">
        <v>417589.67691363854</v>
      </c>
      <c r="AV42" s="40">
        <v>180238.78049999999</v>
      </c>
      <c r="AW42" s="40">
        <v>233884.80585201221</v>
      </c>
      <c r="AX42" s="56">
        <v>1675517.8294136385</v>
      </c>
      <c r="AY42" s="56">
        <v>1644685.6189136384</v>
      </c>
      <c r="AZ42" s="56">
        <v>5115</v>
      </c>
      <c r="BA42" s="56">
        <v>1370820</v>
      </c>
      <c r="BB42" s="56">
        <v>0</v>
      </c>
      <c r="BC42" s="56">
        <v>0</v>
      </c>
      <c r="BD42" s="56">
        <v>1675517.8294136385</v>
      </c>
      <c r="BE42" s="40">
        <v>1675517.8294136385</v>
      </c>
      <c r="BF42" s="40">
        <v>0</v>
      </c>
      <c r="BG42" s="56">
        <v>1401652.2105</v>
      </c>
      <c r="BH42" s="56">
        <v>1221413.43</v>
      </c>
      <c r="BI42" s="40">
        <v>1495279.0489136383</v>
      </c>
      <c r="BJ42" s="40">
        <v>5579.3994362449193</v>
      </c>
      <c r="BK42" s="40">
        <v>5591.4017349999995</v>
      </c>
      <c r="BL42" s="41">
        <v>-2.1465634779827031E-3</v>
      </c>
      <c r="BM42" s="41">
        <v>0</v>
      </c>
      <c r="BN42" s="40">
        <v>0</v>
      </c>
      <c r="BO42" s="56">
        <v>1675517.8294136385</v>
      </c>
      <c r="BP42" s="56">
        <v>6136.886637737457</v>
      </c>
      <c r="BQ42" s="56" t="s">
        <v>1091</v>
      </c>
      <c r="BR42" s="56">
        <v>6251.9321993046215</v>
      </c>
      <c r="BS42" s="47">
        <v>1.5275915987090105E-2</v>
      </c>
      <c r="BT42" s="40">
        <v>-6673.2</v>
      </c>
      <c r="BU42" s="40">
        <v>1668844.6294136385</v>
      </c>
      <c r="BV42" s="40">
        <v>0</v>
      </c>
      <c r="BW42" s="40">
        <v>1668844.6294136385</v>
      </c>
      <c r="BX42" s="40">
        <v>30832.210500000001</v>
      </c>
      <c r="BY42" s="40">
        <v>1638012.4189136385</v>
      </c>
    </row>
    <row r="43" spans="1:77">
      <c r="A43">
        <f>_xlfn.XLOOKUP(B43,'Summary June 2026'!B:B,'Summary June 2026'!A:A,0,0)</f>
        <v>2176</v>
      </c>
      <c r="B43" s="54">
        <v>103256</v>
      </c>
      <c r="C43" s="54">
        <v>3302176</v>
      </c>
      <c r="D43" s="55" t="s">
        <v>296</v>
      </c>
      <c r="E43" s="46">
        <v>649</v>
      </c>
      <c r="F43" s="46">
        <v>649</v>
      </c>
      <c r="G43" s="46">
        <v>0</v>
      </c>
      <c r="H43" s="40">
        <v>2609777.6210000003</v>
      </c>
      <c r="I43" s="40">
        <v>0</v>
      </c>
      <c r="J43" s="40">
        <v>0</v>
      </c>
      <c r="K43" s="40">
        <v>198138.10999999972</v>
      </c>
      <c r="L43" s="40">
        <v>0</v>
      </c>
      <c r="M43" s="40">
        <v>475927.79999999964</v>
      </c>
      <c r="N43" s="40">
        <v>0</v>
      </c>
      <c r="O43" s="40">
        <v>1939.6315545599994</v>
      </c>
      <c r="P43" s="40">
        <v>81155.009617919888</v>
      </c>
      <c r="Q43" s="40">
        <v>76213.076029439733</v>
      </c>
      <c r="R43" s="40">
        <v>54598.564823039822</v>
      </c>
      <c r="S43" s="40">
        <v>33262.617722879972</v>
      </c>
      <c r="T43" s="40">
        <v>4947.0921830399629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206816.78364285699</v>
      </c>
      <c r="AB43" s="40">
        <v>0</v>
      </c>
      <c r="AC43" s="40">
        <v>286958.14539107669</v>
      </c>
      <c r="AD43" s="40">
        <v>0</v>
      </c>
      <c r="AE43" s="40">
        <v>5907.3133777777557</v>
      </c>
      <c r="AF43" s="40">
        <v>0</v>
      </c>
      <c r="AG43" s="40">
        <v>149406.57</v>
      </c>
      <c r="AH43" s="40">
        <v>0</v>
      </c>
      <c r="AI43" s="40">
        <v>0</v>
      </c>
      <c r="AJ43" s="40">
        <v>0</v>
      </c>
      <c r="AK43" s="40">
        <v>78377.207999999999</v>
      </c>
      <c r="AL43" s="40">
        <v>0</v>
      </c>
      <c r="AM43" s="40">
        <v>0</v>
      </c>
      <c r="AN43" s="40">
        <v>0</v>
      </c>
      <c r="AO43" s="40">
        <v>0</v>
      </c>
      <c r="AP43" s="40">
        <v>0</v>
      </c>
      <c r="AQ43" s="40">
        <v>0</v>
      </c>
      <c r="AR43" s="40">
        <v>0</v>
      </c>
      <c r="AS43" s="40">
        <v>0</v>
      </c>
      <c r="AT43" s="40">
        <v>2609777.6210000003</v>
      </c>
      <c r="AU43" s="40">
        <v>1425864.1443425904</v>
      </c>
      <c r="AV43" s="40">
        <v>227783.77799999999</v>
      </c>
      <c r="AW43" s="40">
        <v>750872.51113619306</v>
      </c>
      <c r="AX43" s="56">
        <v>4263425.5433425903</v>
      </c>
      <c r="AY43" s="56">
        <v>4185048.3353425902</v>
      </c>
      <c r="AZ43" s="56">
        <v>5115</v>
      </c>
      <c r="BA43" s="56">
        <v>3319635</v>
      </c>
      <c r="BB43" s="56">
        <v>0</v>
      </c>
      <c r="BC43" s="56">
        <v>0</v>
      </c>
      <c r="BD43" s="56">
        <v>4263425.5433425903</v>
      </c>
      <c r="BE43" s="40">
        <v>4263425.5433425913</v>
      </c>
      <c r="BF43" s="40">
        <v>0</v>
      </c>
      <c r="BG43" s="56">
        <v>3398012.2080000001</v>
      </c>
      <c r="BH43" s="56">
        <v>3170228.43</v>
      </c>
      <c r="BI43" s="40">
        <v>4035641.7653425904</v>
      </c>
      <c r="BJ43" s="40">
        <v>6218.2461715602321</v>
      </c>
      <c r="BK43" s="40">
        <v>5981.8220453846152</v>
      </c>
      <c r="BL43" s="41">
        <v>3.9523764562343397E-2</v>
      </c>
      <c r="BM43" s="41">
        <v>0</v>
      </c>
      <c r="BN43" s="40">
        <v>0</v>
      </c>
      <c r="BO43" s="56">
        <v>4263425.5433425903</v>
      </c>
      <c r="BP43" s="56">
        <v>6448.4566029932057</v>
      </c>
      <c r="BQ43" s="56" t="s">
        <v>1091</v>
      </c>
      <c r="BR43" s="56">
        <v>6569.2227170147771</v>
      </c>
      <c r="BS43" s="47">
        <v>4.0518575643016419E-2</v>
      </c>
      <c r="BT43" s="40">
        <v>-16160.099999999999</v>
      </c>
      <c r="BU43" s="40">
        <v>4247265.4433425907</v>
      </c>
      <c r="BV43" s="40">
        <v>0</v>
      </c>
      <c r="BW43" s="40">
        <v>4247265.4433425907</v>
      </c>
      <c r="BX43" s="40">
        <v>78377.207999999999</v>
      </c>
      <c r="BY43" s="40">
        <v>4168888.2353425906</v>
      </c>
    </row>
    <row r="44" spans="1:77">
      <c r="A44">
        <f>_xlfn.XLOOKUP(B44,'Summary June 2026'!B:B,'Summary June 2026'!A:A,0,0)</f>
        <v>2178</v>
      </c>
      <c r="B44" s="54">
        <v>103257</v>
      </c>
      <c r="C44" s="54">
        <v>3302178</v>
      </c>
      <c r="D44" s="55" t="s">
        <v>352</v>
      </c>
      <c r="E44" s="46">
        <v>203</v>
      </c>
      <c r="F44" s="46">
        <v>203</v>
      </c>
      <c r="G44" s="46">
        <v>0</v>
      </c>
      <c r="H44" s="40">
        <v>816309.48700000008</v>
      </c>
      <c r="I44" s="40">
        <v>0</v>
      </c>
      <c r="J44" s="40">
        <v>0</v>
      </c>
      <c r="K44" s="40">
        <v>51881.549999999916</v>
      </c>
      <c r="L44" s="40">
        <v>0</v>
      </c>
      <c r="M44" s="40">
        <v>129045.09999999983</v>
      </c>
      <c r="N44" s="40">
        <v>0</v>
      </c>
      <c r="O44" s="40">
        <v>3879.263109119996</v>
      </c>
      <c r="P44" s="40">
        <v>2352.3191193599946</v>
      </c>
      <c r="Q44" s="40">
        <v>918.22983167999962</v>
      </c>
      <c r="R44" s="40">
        <v>40948.923617279987</v>
      </c>
      <c r="S44" s="40">
        <v>30043.654717439982</v>
      </c>
      <c r="T44" s="40">
        <v>5653.819637759987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8799.2221229050228</v>
      </c>
      <c r="AB44" s="40">
        <v>0</v>
      </c>
      <c r="AC44" s="40">
        <v>86712.871927398359</v>
      </c>
      <c r="AD44" s="40">
        <v>0</v>
      </c>
      <c r="AE44" s="40">
        <v>0</v>
      </c>
      <c r="AF44" s="40">
        <v>0</v>
      </c>
      <c r="AG44" s="40">
        <v>149406.57</v>
      </c>
      <c r="AH44" s="40">
        <v>0</v>
      </c>
      <c r="AI44" s="40">
        <v>0</v>
      </c>
      <c r="AJ44" s="40">
        <v>0</v>
      </c>
      <c r="AK44" s="40">
        <v>21594.4745</v>
      </c>
      <c r="AL44" s="40">
        <v>0</v>
      </c>
      <c r="AM44" s="40">
        <v>0</v>
      </c>
      <c r="AN44" s="40">
        <v>0</v>
      </c>
      <c r="AO44" s="40">
        <v>0</v>
      </c>
      <c r="AP44" s="40">
        <v>0</v>
      </c>
      <c r="AQ44" s="40">
        <v>0</v>
      </c>
      <c r="AR44" s="40">
        <v>0</v>
      </c>
      <c r="AS44" s="40">
        <v>0</v>
      </c>
      <c r="AT44" s="40">
        <v>816309.48700000008</v>
      </c>
      <c r="AU44" s="40">
        <v>360234.95408294303</v>
      </c>
      <c r="AV44" s="40">
        <v>171001.04450000002</v>
      </c>
      <c r="AW44" s="40">
        <v>222828.57588914869</v>
      </c>
      <c r="AX44" s="56">
        <v>1347545.4855829433</v>
      </c>
      <c r="AY44" s="56">
        <v>1325951.0110829433</v>
      </c>
      <c r="AZ44" s="56">
        <v>5115</v>
      </c>
      <c r="BA44" s="56">
        <v>1038345</v>
      </c>
      <c r="BB44" s="56">
        <v>0</v>
      </c>
      <c r="BC44" s="56">
        <v>0</v>
      </c>
      <c r="BD44" s="56">
        <v>1347545.4855829433</v>
      </c>
      <c r="BE44" s="40">
        <v>1347545.4855829431</v>
      </c>
      <c r="BF44" s="40">
        <v>0</v>
      </c>
      <c r="BG44" s="56">
        <v>1059939.4745</v>
      </c>
      <c r="BH44" s="56">
        <v>888938.42999999993</v>
      </c>
      <c r="BI44" s="40">
        <v>1176544.4410829432</v>
      </c>
      <c r="BJ44" s="40">
        <v>5795.7854240539073</v>
      </c>
      <c r="BK44" s="40">
        <v>5890.6906946601948</v>
      </c>
      <c r="BL44" s="41">
        <v>-1.611105989528825E-2</v>
      </c>
      <c r="BM44" s="41">
        <v>1.1111059895288249E-2</v>
      </c>
      <c r="BN44" s="40">
        <v>13286.718877996273</v>
      </c>
      <c r="BO44" s="56">
        <v>1360832.2044609396</v>
      </c>
      <c r="BP44" s="56">
        <v>6597.2301968519196</v>
      </c>
      <c r="BQ44" s="56" t="s">
        <v>1091</v>
      </c>
      <c r="BR44" s="56">
        <v>6703.6069185267961</v>
      </c>
      <c r="BS44" s="47">
        <v>1.1991918479696828E-3</v>
      </c>
      <c r="BT44" s="40">
        <v>-5054.7</v>
      </c>
      <c r="BU44" s="40">
        <v>1355777.5044609397</v>
      </c>
      <c r="BV44" s="40">
        <v>0</v>
      </c>
      <c r="BW44" s="40">
        <v>1355777.5044609397</v>
      </c>
      <c r="BX44" s="40">
        <v>21594.4745</v>
      </c>
      <c r="BY44" s="40">
        <v>1334183.0299609397</v>
      </c>
    </row>
    <row r="45" spans="1:77">
      <c r="A45">
        <f>_xlfn.XLOOKUP(B45,'Summary June 2026'!B:B,'Summary June 2026'!A:A,0,0)</f>
        <v>2183</v>
      </c>
      <c r="B45" s="54">
        <v>103261</v>
      </c>
      <c r="C45" s="54">
        <v>3302183</v>
      </c>
      <c r="D45" s="55" t="s">
        <v>306</v>
      </c>
      <c r="E45" s="46">
        <v>307</v>
      </c>
      <c r="F45" s="46">
        <v>307</v>
      </c>
      <c r="G45" s="46">
        <v>0</v>
      </c>
      <c r="H45" s="40">
        <v>1234517.3030000001</v>
      </c>
      <c r="I45" s="40">
        <v>0</v>
      </c>
      <c r="J45" s="40">
        <v>0</v>
      </c>
      <c r="K45" s="40">
        <v>83998.699999999968</v>
      </c>
      <c r="L45" s="40">
        <v>0</v>
      </c>
      <c r="M45" s="40">
        <v>210734.19999999992</v>
      </c>
      <c r="N45" s="40">
        <v>0</v>
      </c>
      <c r="O45" s="40">
        <v>1454.7236659199941</v>
      </c>
      <c r="P45" s="40">
        <v>32638.427781119957</v>
      </c>
      <c r="Q45" s="40">
        <v>46370.60649983996</v>
      </c>
      <c r="R45" s="40">
        <v>33871.331880959864</v>
      </c>
      <c r="S45" s="40">
        <v>6437.9260108799917</v>
      </c>
      <c r="T45" s="40">
        <v>2120.1823641599976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91614.94</v>
      </c>
      <c r="AB45" s="40">
        <v>0</v>
      </c>
      <c r="AC45" s="40">
        <v>153329.38830868647</v>
      </c>
      <c r="AD45" s="40">
        <v>0</v>
      </c>
      <c r="AE45" s="40">
        <v>21050.730308196558</v>
      </c>
      <c r="AF45" s="40">
        <v>0</v>
      </c>
      <c r="AG45" s="40">
        <v>149406.57</v>
      </c>
      <c r="AH45" s="40">
        <v>0</v>
      </c>
      <c r="AI45" s="40">
        <v>0</v>
      </c>
      <c r="AJ45" s="40">
        <v>0</v>
      </c>
      <c r="AK45" s="40">
        <v>37459.695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1234517.3030000001</v>
      </c>
      <c r="AU45" s="40">
        <v>683621.15681976266</v>
      </c>
      <c r="AV45" s="40">
        <v>186866.26500000001</v>
      </c>
      <c r="AW45" s="40">
        <v>365400.64881172311</v>
      </c>
      <c r="AX45" s="56">
        <v>2105004.7248197626</v>
      </c>
      <c r="AY45" s="56">
        <v>2067545.0298197626</v>
      </c>
      <c r="AZ45" s="56">
        <v>5115</v>
      </c>
      <c r="BA45" s="56">
        <v>1570305</v>
      </c>
      <c r="BB45" s="56">
        <v>0</v>
      </c>
      <c r="BC45" s="56">
        <v>0</v>
      </c>
      <c r="BD45" s="56">
        <v>2105004.7248197626</v>
      </c>
      <c r="BE45" s="40">
        <v>2105004.7248197626</v>
      </c>
      <c r="BF45" s="40">
        <v>0</v>
      </c>
      <c r="BG45" s="56">
        <v>1607764.6950000001</v>
      </c>
      <c r="BH45" s="56">
        <v>1420898.43</v>
      </c>
      <c r="BI45" s="40">
        <v>1918138.4598197625</v>
      </c>
      <c r="BJ45" s="40">
        <v>6248.0080124422229</v>
      </c>
      <c r="BK45" s="40">
        <v>6171.1441233918149</v>
      </c>
      <c r="BL45" s="41">
        <v>1.2455370918830805E-2</v>
      </c>
      <c r="BM45" s="41">
        <v>0</v>
      </c>
      <c r="BN45" s="40">
        <v>0</v>
      </c>
      <c r="BO45" s="56">
        <v>2105004.7248197626</v>
      </c>
      <c r="BP45" s="56">
        <v>6734.6743642337542</v>
      </c>
      <c r="BQ45" s="56" t="s">
        <v>1091</v>
      </c>
      <c r="BR45" s="56">
        <v>6856.6929147223536</v>
      </c>
      <c r="BS45" s="47">
        <v>2.0744519330689659E-2</v>
      </c>
      <c r="BT45" s="40">
        <v>-7644.2999999999993</v>
      </c>
      <c r="BU45" s="40">
        <v>2097360.4248197628</v>
      </c>
      <c r="BV45" s="40">
        <v>0</v>
      </c>
      <c r="BW45" s="40">
        <v>2097360.4248197628</v>
      </c>
      <c r="BX45" s="40">
        <v>37459.695</v>
      </c>
      <c r="BY45" s="40">
        <v>2059900.7298197628</v>
      </c>
    </row>
    <row r="46" spans="1:77">
      <c r="A46">
        <f>_xlfn.XLOOKUP(B46,'Summary June 2026'!B:B,'Summary June 2026'!A:A,0,0)</f>
        <v>2184</v>
      </c>
      <c r="B46" s="54">
        <v>103262</v>
      </c>
      <c r="C46" s="54">
        <v>3302184</v>
      </c>
      <c r="D46" s="55" t="s">
        <v>354</v>
      </c>
      <c r="E46" s="46">
        <v>421</v>
      </c>
      <c r="F46" s="46">
        <v>421</v>
      </c>
      <c r="G46" s="46">
        <v>0</v>
      </c>
      <c r="H46" s="40">
        <v>1692937.4090000002</v>
      </c>
      <c r="I46" s="40">
        <v>0</v>
      </c>
      <c r="J46" s="40">
        <v>0</v>
      </c>
      <c r="K46" s="40">
        <v>101292.5499999998</v>
      </c>
      <c r="L46" s="40">
        <v>0</v>
      </c>
      <c r="M46" s="40">
        <v>248619.00000000003</v>
      </c>
      <c r="N46" s="40">
        <v>0</v>
      </c>
      <c r="O46" s="40">
        <v>16729.3221580799</v>
      </c>
      <c r="P46" s="40">
        <v>52045.060515839934</v>
      </c>
      <c r="Q46" s="40">
        <v>5050.264074239989</v>
      </c>
      <c r="R46" s="40">
        <v>44487.719485439949</v>
      </c>
      <c r="S46" s="40">
        <v>15558.32119296</v>
      </c>
      <c r="T46" s="40">
        <v>25442.188369919997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71193.064666666585</v>
      </c>
      <c r="AB46" s="40">
        <v>0</v>
      </c>
      <c r="AC46" s="40">
        <v>141348.60042606411</v>
      </c>
      <c r="AD46" s="40">
        <v>0</v>
      </c>
      <c r="AE46" s="40">
        <v>0</v>
      </c>
      <c r="AF46" s="40">
        <v>0</v>
      </c>
      <c r="AG46" s="40">
        <v>149406.57</v>
      </c>
      <c r="AH46" s="40">
        <v>0</v>
      </c>
      <c r="AI46" s="40">
        <v>0</v>
      </c>
      <c r="AJ46" s="40">
        <v>0</v>
      </c>
      <c r="AK46" s="40">
        <v>44087.179499999998</v>
      </c>
      <c r="AL46" s="40">
        <v>0</v>
      </c>
      <c r="AM46" s="40">
        <v>0</v>
      </c>
      <c r="AN46" s="40">
        <v>0</v>
      </c>
      <c r="AO46" s="40">
        <v>0</v>
      </c>
      <c r="AP46" s="40">
        <v>0</v>
      </c>
      <c r="AQ46" s="40">
        <v>0</v>
      </c>
      <c r="AR46" s="40">
        <v>0</v>
      </c>
      <c r="AS46" s="40">
        <v>0</v>
      </c>
      <c r="AT46" s="40">
        <v>1692937.4090000002</v>
      </c>
      <c r="AU46" s="40">
        <v>721766.09088921035</v>
      </c>
      <c r="AV46" s="40">
        <v>193493.74950000001</v>
      </c>
      <c r="AW46" s="40">
        <v>409316.26416279672</v>
      </c>
      <c r="AX46" s="56">
        <v>2608197.2493892107</v>
      </c>
      <c r="AY46" s="56">
        <v>2564110.0698892106</v>
      </c>
      <c r="AZ46" s="56">
        <v>5115</v>
      </c>
      <c r="BA46" s="56">
        <v>2153415</v>
      </c>
      <c r="BB46" s="56">
        <v>0</v>
      </c>
      <c r="BC46" s="56">
        <v>0</v>
      </c>
      <c r="BD46" s="56">
        <v>2608197.2493892107</v>
      </c>
      <c r="BE46" s="40">
        <v>2608197.2493892098</v>
      </c>
      <c r="BF46" s="40">
        <v>0</v>
      </c>
      <c r="BG46" s="56">
        <v>2197502.1795000001</v>
      </c>
      <c r="BH46" s="56">
        <v>2004008.43</v>
      </c>
      <c r="BI46" s="40">
        <v>2414703.4998892108</v>
      </c>
      <c r="BJ46" s="40">
        <v>5735.637766957745</v>
      </c>
      <c r="BK46" s="40">
        <v>5555.6175229468599</v>
      </c>
      <c r="BL46" s="41">
        <v>3.2403282491519893E-2</v>
      </c>
      <c r="BM46" s="41">
        <v>0</v>
      </c>
      <c r="BN46" s="40">
        <v>0</v>
      </c>
      <c r="BO46" s="56">
        <v>2608197.2493892107</v>
      </c>
      <c r="BP46" s="56">
        <v>6090.5227313282912</v>
      </c>
      <c r="BQ46" s="56" t="s">
        <v>1091</v>
      </c>
      <c r="BR46" s="56">
        <v>6195.2428726584576</v>
      </c>
      <c r="BS46" s="47">
        <v>3.4134130053469658E-2</v>
      </c>
      <c r="BT46" s="40">
        <v>-10482.9</v>
      </c>
      <c r="BU46" s="40">
        <v>2597714.3493892108</v>
      </c>
      <c r="BV46" s="40">
        <v>0</v>
      </c>
      <c r="BW46" s="40">
        <v>2597714.3493892108</v>
      </c>
      <c r="BX46" s="40">
        <v>44087.179499999998</v>
      </c>
      <c r="BY46" s="40">
        <v>2553627.1698892107</v>
      </c>
    </row>
    <row r="47" spans="1:77">
      <c r="A47">
        <f>_xlfn.XLOOKUP(B47,'Summary June 2026'!B:B,'Summary June 2026'!A:A,0,0)</f>
        <v>2185</v>
      </c>
      <c r="B47" s="54">
        <v>103263</v>
      </c>
      <c r="C47" s="54">
        <v>3302185</v>
      </c>
      <c r="D47" s="55" t="s">
        <v>118</v>
      </c>
      <c r="E47" s="46">
        <v>421</v>
      </c>
      <c r="F47" s="46">
        <v>421</v>
      </c>
      <c r="G47" s="46">
        <v>0</v>
      </c>
      <c r="H47" s="40">
        <v>1692937.4090000002</v>
      </c>
      <c r="I47" s="40">
        <v>0</v>
      </c>
      <c r="J47" s="40">
        <v>0</v>
      </c>
      <c r="K47" s="40">
        <v>84986.919999999911</v>
      </c>
      <c r="L47" s="40">
        <v>0</v>
      </c>
      <c r="M47" s="40">
        <v>205998.59999999977</v>
      </c>
      <c r="N47" s="40">
        <v>0</v>
      </c>
      <c r="O47" s="40">
        <v>6061.3486079999939</v>
      </c>
      <c r="P47" s="40">
        <v>46458.302607359969</v>
      </c>
      <c r="Q47" s="40">
        <v>918.22983167999837</v>
      </c>
      <c r="R47" s="40">
        <v>8088.6762700799945</v>
      </c>
      <c r="S47" s="40">
        <v>11266.370519040001</v>
      </c>
      <c r="T47" s="40">
        <v>4947.0921830400002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64911.323666666591</v>
      </c>
      <c r="AB47" s="40">
        <v>0</v>
      </c>
      <c r="AC47" s="40">
        <v>219590.31480880312</v>
      </c>
      <c r="AD47" s="40">
        <v>0</v>
      </c>
      <c r="AE47" s="40">
        <v>0</v>
      </c>
      <c r="AF47" s="40">
        <v>0</v>
      </c>
      <c r="AG47" s="40">
        <v>149406.57</v>
      </c>
      <c r="AH47" s="40">
        <v>0</v>
      </c>
      <c r="AI47" s="40">
        <v>0</v>
      </c>
      <c r="AJ47" s="40">
        <v>0</v>
      </c>
      <c r="AK47" s="40">
        <v>34001.877</v>
      </c>
      <c r="AL47" s="40">
        <v>0</v>
      </c>
      <c r="AM47" s="40">
        <v>0</v>
      </c>
      <c r="AN47" s="40">
        <v>0</v>
      </c>
      <c r="AO47" s="40">
        <v>0</v>
      </c>
      <c r="AP47" s="40">
        <v>0</v>
      </c>
      <c r="AQ47" s="40">
        <v>0</v>
      </c>
      <c r="AR47" s="40">
        <v>0</v>
      </c>
      <c r="AS47" s="40">
        <v>0</v>
      </c>
      <c r="AT47" s="40">
        <v>1692937.4090000002</v>
      </c>
      <c r="AU47" s="40">
        <v>653227.17849466926</v>
      </c>
      <c r="AV47" s="40">
        <v>183408.44700000001</v>
      </c>
      <c r="AW47" s="40">
        <v>436978.37966571504</v>
      </c>
      <c r="AX47" s="56">
        <v>2529573.0344946696</v>
      </c>
      <c r="AY47" s="56">
        <v>2495571.1574946698</v>
      </c>
      <c r="AZ47" s="56">
        <v>5115</v>
      </c>
      <c r="BA47" s="56">
        <v>2153415</v>
      </c>
      <c r="BB47" s="56">
        <v>0</v>
      </c>
      <c r="BC47" s="56">
        <v>0</v>
      </c>
      <c r="BD47" s="56">
        <v>2529573.0344946696</v>
      </c>
      <c r="BE47" s="40">
        <v>2529573.0344946696</v>
      </c>
      <c r="BF47" s="40">
        <v>0</v>
      </c>
      <c r="BG47" s="56">
        <v>2187416.8769999999</v>
      </c>
      <c r="BH47" s="56">
        <v>2004008.4299999997</v>
      </c>
      <c r="BI47" s="40">
        <v>2346164.5874946699</v>
      </c>
      <c r="BJ47" s="40">
        <v>5572.8374999873395</v>
      </c>
      <c r="BK47" s="40">
        <v>5343.041280094787</v>
      </c>
      <c r="BL47" s="41">
        <v>4.3008505427170461E-2</v>
      </c>
      <c r="BM47" s="41">
        <v>0</v>
      </c>
      <c r="BN47" s="40">
        <v>0</v>
      </c>
      <c r="BO47" s="56">
        <v>2529573.0344946696</v>
      </c>
      <c r="BP47" s="56">
        <v>5927.7224643578857</v>
      </c>
      <c r="BQ47" s="56" t="s">
        <v>1091</v>
      </c>
      <c r="BR47" s="56">
        <v>6008.4870178020656</v>
      </c>
      <c r="BS47" s="47">
        <v>4.4338454957956408E-2</v>
      </c>
      <c r="BT47" s="40">
        <v>-10482.9</v>
      </c>
      <c r="BU47" s="40">
        <v>2519090.1344946697</v>
      </c>
      <c r="BV47" s="40">
        <v>0</v>
      </c>
      <c r="BW47" s="40">
        <v>2519090.1344946697</v>
      </c>
      <c r="BX47" s="40">
        <v>34001.877</v>
      </c>
      <c r="BY47" s="40">
        <v>2485088.2574946699</v>
      </c>
    </row>
    <row r="48" spans="1:77">
      <c r="A48">
        <f>_xlfn.XLOOKUP(B48,'Summary June 2026'!B:B,'Summary June 2026'!A:A,0,0)</f>
        <v>2189</v>
      </c>
      <c r="B48" s="54">
        <v>103265</v>
      </c>
      <c r="C48" s="54">
        <v>3302189</v>
      </c>
      <c r="D48" s="55" t="s">
        <v>212</v>
      </c>
      <c r="E48" s="46">
        <v>208</v>
      </c>
      <c r="F48" s="46">
        <v>208</v>
      </c>
      <c r="G48" s="46">
        <v>0</v>
      </c>
      <c r="H48" s="40">
        <v>836415.6320000001</v>
      </c>
      <c r="I48" s="40">
        <v>0</v>
      </c>
      <c r="J48" s="40">
        <v>0</v>
      </c>
      <c r="K48" s="40">
        <v>71151.839999999953</v>
      </c>
      <c r="L48" s="40">
        <v>0</v>
      </c>
      <c r="M48" s="40">
        <v>170481.59999999992</v>
      </c>
      <c r="N48" s="40">
        <v>0</v>
      </c>
      <c r="O48" s="40">
        <v>1454.7236659199978</v>
      </c>
      <c r="P48" s="40">
        <v>1176.1595596799982</v>
      </c>
      <c r="Q48" s="40">
        <v>5050.2640742399917</v>
      </c>
      <c r="R48" s="40">
        <v>15166.268006399974</v>
      </c>
      <c r="S48" s="40">
        <v>35945.086894079934</v>
      </c>
      <c r="T48" s="40">
        <v>55124.741468159998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56811.075254237199</v>
      </c>
      <c r="AB48" s="40">
        <v>0</v>
      </c>
      <c r="AC48" s="40">
        <v>89881.11098115443</v>
      </c>
      <c r="AD48" s="40">
        <v>0</v>
      </c>
      <c r="AE48" s="40">
        <v>3392.4351999999958</v>
      </c>
      <c r="AF48" s="40">
        <v>0</v>
      </c>
      <c r="AG48" s="40">
        <v>149406.57</v>
      </c>
      <c r="AH48" s="40">
        <v>0</v>
      </c>
      <c r="AI48" s="40">
        <v>0</v>
      </c>
      <c r="AJ48" s="40">
        <v>0</v>
      </c>
      <c r="AK48" s="40">
        <v>33713.7255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836415.6320000001</v>
      </c>
      <c r="AU48" s="40">
        <v>505635.30510387145</v>
      </c>
      <c r="AV48" s="40">
        <v>183120.29550000001</v>
      </c>
      <c r="AW48" s="40">
        <v>259700.13870180713</v>
      </c>
      <c r="AX48" s="56">
        <v>1525171.2326038715</v>
      </c>
      <c r="AY48" s="56">
        <v>1491457.5071038716</v>
      </c>
      <c r="AZ48" s="56">
        <v>5115</v>
      </c>
      <c r="BA48" s="56">
        <v>1063920</v>
      </c>
      <c r="BB48" s="56">
        <v>0</v>
      </c>
      <c r="BC48" s="56">
        <v>0</v>
      </c>
      <c r="BD48" s="56">
        <v>1525171.2326038715</v>
      </c>
      <c r="BE48" s="40">
        <v>1525171.2326038715</v>
      </c>
      <c r="BF48" s="40">
        <v>0</v>
      </c>
      <c r="BG48" s="56">
        <v>1097633.7254999999</v>
      </c>
      <c r="BH48" s="56">
        <v>914513.42999999993</v>
      </c>
      <c r="BI48" s="40">
        <v>1342050.9371038715</v>
      </c>
      <c r="BJ48" s="40">
        <v>6452.1679668455363</v>
      </c>
      <c r="BK48" s="40">
        <v>6052.769839999999</v>
      </c>
      <c r="BL48" s="41">
        <v>6.5986009282245781E-2</v>
      </c>
      <c r="BM48" s="41">
        <v>0</v>
      </c>
      <c r="BN48" s="40">
        <v>0</v>
      </c>
      <c r="BO48" s="56">
        <v>1525171.2326038715</v>
      </c>
      <c r="BP48" s="56">
        <v>7170.4687841532286</v>
      </c>
      <c r="BQ48" s="56" t="s">
        <v>1091</v>
      </c>
      <c r="BR48" s="56">
        <v>7332.5540029032281</v>
      </c>
      <c r="BS48" s="47">
        <v>6.6517527550464806E-2</v>
      </c>
      <c r="BT48" s="40">
        <v>-5179.2</v>
      </c>
      <c r="BU48" s="40">
        <v>1519992.0326038715</v>
      </c>
      <c r="BV48" s="40">
        <v>0</v>
      </c>
      <c r="BW48" s="40">
        <v>1519992.0326038715</v>
      </c>
      <c r="BX48" s="40">
        <v>33713.7255</v>
      </c>
      <c r="BY48" s="40">
        <v>1486278.3071038716</v>
      </c>
    </row>
    <row r="49" spans="1:77">
      <c r="A49">
        <f>_xlfn.XLOOKUP(B49,'Summary June 2026'!B:B,'Summary June 2026'!A:A,0,0)</f>
        <v>2190</v>
      </c>
      <c r="B49" s="54">
        <v>103266</v>
      </c>
      <c r="C49" s="54">
        <v>3302190</v>
      </c>
      <c r="D49" s="55" t="s">
        <v>356</v>
      </c>
      <c r="E49" s="46">
        <v>145</v>
      </c>
      <c r="F49" s="46">
        <v>145</v>
      </c>
      <c r="G49" s="46">
        <v>0</v>
      </c>
      <c r="H49" s="40">
        <v>583078.20500000007</v>
      </c>
      <c r="I49" s="40">
        <v>0</v>
      </c>
      <c r="J49" s="40">
        <v>0</v>
      </c>
      <c r="K49" s="40">
        <v>40022.909999999974</v>
      </c>
      <c r="L49" s="40">
        <v>0</v>
      </c>
      <c r="M49" s="40">
        <v>97079.799999999959</v>
      </c>
      <c r="N49" s="40">
        <v>0</v>
      </c>
      <c r="O49" s="40">
        <v>9698.157772799992</v>
      </c>
      <c r="P49" s="40">
        <v>882.11966975999599</v>
      </c>
      <c r="Q49" s="40">
        <v>459.11491583999992</v>
      </c>
      <c r="R49" s="40">
        <v>505.54226687999994</v>
      </c>
      <c r="S49" s="40">
        <v>29507.160883199987</v>
      </c>
      <c r="T49" s="40">
        <v>2120.1823641599904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13260.437096774114</v>
      </c>
      <c r="AB49" s="40">
        <v>0</v>
      </c>
      <c r="AC49" s="40">
        <v>51847.045967539605</v>
      </c>
      <c r="AD49" s="40">
        <v>0</v>
      </c>
      <c r="AE49" s="40">
        <v>5107.9279999999962</v>
      </c>
      <c r="AF49" s="40">
        <v>0</v>
      </c>
      <c r="AG49" s="40">
        <v>149406.57</v>
      </c>
      <c r="AH49" s="40">
        <v>0</v>
      </c>
      <c r="AI49" s="40">
        <v>0</v>
      </c>
      <c r="AJ49" s="40">
        <v>0</v>
      </c>
      <c r="AK49" s="40">
        <v>25808.030500000001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583078.20500000007</v>
      </c>
      <c r="AU49" s="40">
        <v>250490.39893695357</v>
      </c>
      <c r="AV49" s="40">
        <v>175214.6005</v>
      </c>
      <c r="AW49" s="40">
        <v>145899.95185168996</v>
      </c>
      <c r="AX49" s="56">
        <v>1008783.2044369536</v>
      </c>
      <c r="AY49" s="56">
        <v>982975.17393695365</v>
      </c>
      <c r="AZ49" s="56">
        <v>5115</v>
      </c>
      <c r="BA49" s="56">
        <v>741675</v>
      </c>
      <c r="BB49" s="56">
        <v>0</v>
      </c>
      <c r="BC49" s="56">
        <v>0</v>
      </c>
      <c r="BD49" s="56">
        <v>1008783.2044369536</v>
      </c>
      <c r="BE49" s="40">
        <v>1008783.2044369536</v>
      </c>
      <c r="BF49" s="40">
        <v>0</v>
      </c>
      <c r="BG49" s="56">
        <v>767483.03049999999</v>
      </c>
      <c r="BH49" s="56">
        <v>592268.43000000005</v>
      </c>
      <c r="BI49" s="40">
        <v>833568.60393695359</v>
      </c>
      <c r="BJ49" s="40">
        <v>5748.7489926686458</v>
      </c>
      <c r="BK49" s="40">
        <v>5774.0909339743594</v>
      </c>
      <c r="BL49" s="41">
        <v>-4.388905820066554E-3</v>
      </c>
      <c r="BM49" s="41">
        <v>0</v>
      </c>
      <c r="BN49" s="40">
        <v>0</v>
      </c>
      <c r="BO49" s="56">
        <v>1008783.2044369536</v>
      </c>
      <c r="BP49" s="56">
        <v>6779.1391305996804</v>
      </c>
      <c r="BQ49" s="56" t="s">
        <v>1091</v>
      </c>
      <c r="BR49" s="56">
        <v>6957.1255478410594</v>
      </c>
      <c r="BS49" s="47">
        <v>1.2550302251081114E-2</v>
      </c>
      <c r="BT49" s="40">
        <v>-3610.5</v>
      </c>
      <c r="BU49" s="40">
        <v>1005172.7044369536</v>
      </c>
      <c r="BV49" s="40">
        <v>0</v>
      </c>
      <c r="BW49" s="40">
        <v>1005172.7044369536</v>
      </c>
      <c r="BX49" s="40">
        <v>25808.030500000001</v>
      </c>
      <c r="BY49" s="40">
        <v>979364.67393695365</v>
      </c>
    </row>
    <row r="50" spans="1:77">
      <c r="A50">
        <f>_xlfn.XLOOKUP(B50,'Summary June 2026'!B:B,'Summary June 2026'!A:A,0,0)</f>
        <v>2192</v>
      </c>
      <c r="B50" s="54">
        <v>103268</v>
      </c>
      <c r="C50" s="54">
        <v>3302192</v>
      </c>
      <c r="D50" s="55" t="s">
        <v>362</v>
      </c>
      <c r="E50" s="46">
        <v>480</v>
      </c>
      <c r="F50" s="46">
        <v>480</v>
      </c>
      <c r="G50" s="46">
        <v>0</v>
      </c>
      <c r="H50" s="40">
        <v>1930189.9200000002</v>
      </c>
      <c r="I50" s="40">
        <v>0</v>
      </c>
      <c r="J50" s="40">
        <v>0</v>
      </c>
      <c r="K50" s="40">
        <v>145762.44999999995</v>
      </c>
      <c r="L50" s="40">
        <v>0</v>
      </c>
      <c r="M50" s="40">
        <v>352802.19999999984</v>
      </c>
      <c r="N50" s="40">
        <v>0</v>
      </c>
      <c r="O50" s="40">
        <v>3151.9012761599961</v>
      </c>
      <c r="P50" s="40">
        <v>47340.422277119898</v>
      </c>
      <c r="Q50" s="40">
        <v>35351.848519679857</v>
      </c>
      <c r="R50" s="40">
        <v>44993.261752319842</v>
      </c>
      <c r="S50" s="40">
        <v>54185.877258239838</v>
      </c>
      <c r="T50" s="40">
        <v>2826.9098188799985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90719.679999999804</v>
      </c>
      <c r="AB50" s="40">
        <v>0</v>
      </c>
      <c r="AC50" s="40">
        <v>149814.11634189685</v>
      </c>
      <c r="AD50" s="40">
        <v>0</v>
      </c>
      <c r="AE50" s="40">
        <v>0</v>
      </c>
      <c r="AF50" s="40">
        <v>0</v>
      </c>
      <c r="AG50" s="40">
        <v>149406.57</v>
      </c>
      <c r="AH50" s="40">
        <v>0</v>
      </c>
      <c r="AI50" s="40">
        <v>0</v>
      </c>
      <c r="AJ50" s="40">
        <v>0</v>
      </c>
      <c r="AK50" s="40">
        <v>45816.088499999998</v>
      </c>
      <c r="AL50" s="40">
        <v>0</v>
      </c>
      <c r="AM50" s="40">
        <v>0</v>
      </c>
      <c r="AN50" s="40">
        <v>0</v>
      </c>
      <c r="AO50" s="40">
        <v>0</v>
      </c>
      <c r="AP50" s="40">
        <v>0</v>
      </c>
      <c r="AQ50" s="40">
        <v>0</v>
      </c>
      <c r="AR50" s="40">
        <v>0</v>
      </c>
      <c r="AS50" s="40">
        <v>0</v>
      </c>
      <c r="AT50" s="40">
        <v>1930189.9200000002</v>
      </c>
      <c r="AU50" s="40">
        <v>926948.66724429594</v>
      </c>
      <c r="AV50" s="40">
        <v>195222.65850000002</v>
      </c>
      <c r="AW50" s="40">
        <v>493432.96586676058</v>
      </c>
      <c r="AX50" s="56">
        <v>3052361.2457442959</v>
      </c>
      <c r="AY50" s="56">
        <v>3006545.1572442958</v>
      </c>
      <c r="AZ50" s="56">
        <v>5115</v>
      </c>
      <c r="BA50" s="56">
        <v>2455200</v>
      </c>
      <c r="BB50" s="56">
        <v>0</v>
      </c>
      <c r="BC50" s="56">
        <v>0</v>
      </c>
      <c r="BD50" s="56">
        <v>3052361.2457442959</v>
      </c>
      <c r="BE50" s="40">
        <v>3052361.2457442954</v>
      </c>
      <c r="BF50" s="40">
        <v>0</v>
      </c>
      <c r="BG50" s="56">
        <v>2501016.0885000001</v>
      </c>
      <c r="BH50" s="56">
        <v>2305793.4300000002</v>
      </c>
      <c r="BI50" s="40">
        <v>2857138.587244296</v>
      </c>
      <c r="BJ50" s="40">
        <v>5952.3720567589498</v>
      </c>
      <c r="BK50" s="40">
        <v>5681.9186670833342</v>
      </c>
      <c r="BL50" s="41">
        <v>4.7598954776036227E-2</v>
      </c>
      <c r="BM50" s="41">
        <v>0</v>
      </c>
      <c r="BN50" s="40">
        <v>0</v>
      </c>
      <c r="BO50" s="56">
        <v>3052361.2457442959</v>
      </c>
      <c r="BP50" s="56">
        <v>6263.6357442589497</v>
      </c>
      <c r="BQ50" s="56" t="s">
        <v>1091</v>
      </c>
      <c r="BR50" s="56">
        <v>6359.0859286339501</v>
      </c>
      <c r="BS50" s="47">
        <v>4.8783595911448208E-2</v>
      </c>
      <c r="BT50" s="40">
        <v>-11952</v>
      </c>
      <c r="BU50" s="40">
        <v>3040409.2457442959</v>
      </c>
      <c r="BV50" s="40">
        <v>0</v>
      </c>
      <c r="BW50" s="40">
        <v>3040409.2457442959</v>
      </c>
      <c r="BX50" s="40">
        <v>45816.088499999998</v>
      </c>
      <c r="BY50" s="40">
        <v>2994593.1572442958</v>
      </c>
    </row>
    <row r="51" spans="1:77">
      <c r="A51">
        <f>_xlfn.XLOOKUP(B51,'Summary June 2026'!B:B,'Summary June 2026'!A:A,0,0)</f>
        <v>2225</v>
      </c>
      <c r="B51" s="54">
        <v>103279</v>
      </c>
      <c r="C51" s="54">
        <v>3302225</v>
      </c>
      <c r="D51" s="55" t="s">
        <v>402</v>
      </c>
      <c r="E51" s="46">
        <v>360</v>
      </c>
      <c r="F51" s="46">
        <v>360</v>
      </c>
      <c r="G51" s="46">
        <v>0</v>
      </c>
      <c r="H51" s="40">
        <v>1447642.4400000002</v>
      </c>
      <c r="I51" s="40">
        <v>0</v>
      </c>
      <c r="J51" s="40">
        <v>0</v>
      </c>
      <c r="K51" s="40">
        <v>98327.889999999883</v>
      </c>
      <c r="L51" s="40">
        <v>0</v>
      </c>
      <c r="M51" s="40">
        <v>236779.9999999998</v>
      </c>
      <c r="N51" s="40">
        <v>0</v>
      </c>
      <c r="O51" s="40">
        <v>969.815777279999</v>
      </c>
      <c r="P51" s="40">
        <v>294.03988991999921</v>
      </c>
      <c r="Q51" s="40">
        <v>50043.525826559868</v>
      </c>
      <c r="R51" s="40">
        <v>25782.65561087988</v>
      </c>
      <c r="S51" s="40">
        <v>31116.642385919986</v>
      </c>
      <c r="T51" s="40">
        <v>53004.55910399992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25636.990909090735</v>
      </c>
      <c r="AB51" s="40">
        <v>0</v>
      </c>
      <c r="AC51" s="40">
        <v>154317.78521084075</v>
      </c>
      <c r="AD51" s="40">
        <v>0</v>
      </c>
      <c r="AE51" s="40">
        <v>0</v>
      </c>
      <c r="AF51" s="40">
        <v>0</v>
      </c>
      <c r="AG51" s="40">
        <v>149406.57</v>
      </c>
      <c r="AH51" s="40">
        <v>0</v>
      </c>
      <c r="AI51" s="40">
        <v>0</v>
      </c>
      <c r="AJ51" s="40">
        <v>0</v>
      </c>
      <c r="AK51" s="40">
        <v>21523.3655</v>
      </c>
      <c r="AL51" s="40">
        <v>0</v>
      </c>
      <c r="AM51" s="40">
        <v>0</v>
      </c>
      <c r="AN51" s="40">
        <v>0</v>
      </c>
      <c r="AO51" s="40">
        <v>0</v>
      </c>
      <c r="AP51" s="40">
        <v>0</v>
      </c>
      <c r="AQ51" s="40">
        <v>0</v>
      </c>
      <c r="AR51" s="40">
        <v>0</v>
      </c>
      <c r="AS51" s="40">
        <v>0</v>
      </c>
      <c r="AT51" s="40">
        <v>1447642.4400000002</v>
      </c>
      <c r="AU51" s="40">
        <v>676273.90471449075</v>
      </c>
      <c r="AV51" s="40">
        <v>170929.93550000002</v>
      </c>
      <c r="AW51" s="40">
        <v>405374.79350488214</v>
      </c>
      <c r="AX51" s="56">
        <v>2294846.2802144908</v>
      </c>
      <c r="AY51" s="56">
        <v>2273322.914714491</v>
      </c>
      <c r="AZ51" s="56">
        <v>5115</v>
      </c>
      <c r="BA51" s="56">
        <v>1841400</v>
      </c>
      <c r="BB51" s="56">
        <v>0</v>
      </c>
      <c r="BC51" s="56">
        <v>0</v>
      </c>
      <c r="BD51" s="56">
        <v>2294846.2802144908</v>
      </c>
      <c r="BE51" s="40">
        <v>2294846.2802144913</v>
      </c>
      <c r="BF51" s="40">
        <v>0</v>
      </c>
      <c r="BG51" s="56">
        <v>1862923.3655000001</v>
      </c>
      <c r="BH51" s="56">
        <v>1691993.43</v>
      </c>
      <c r="BI51" s="40">
        <v>2123916.3447144912</v>
      </c>
      <c r="BJ51" s="40">
        <v>5899.7676242069201</v>
      </c>
      <c r="BK51" s="40">
        <v>5758.4077108033252</v>
      </c>
      <c r="BL51" s="41">
        <v>2.4548437780532648E-2</v>
      </c>
      <c r="BM51" s="41">
        <v>0</v>
      </c>
      <c r="BN51" s="40">
        <v>0</v>
      </c>
      <c r="BO51" s="56">
        <v>2294846.2802144908</v>
      </c>
      <c r="BP51" s="56">
        <v>6314.7858742069193</v>
      </c>
      <c r="BQ51" s="56" t="s">
        <v>1091</v>
      </c>
      <c r="BR51" s="56">
        <v>6374.5730005958076</v>
      </c>
      <c r="BS51" s="47">
        <v>2.3409169523797457E-2</v>
      </c>
      <c r="BT51" s="40">
        <v>-8964</v>
      </c>
      <c r="BU51" s="40">
        <v>2285882.2802144908</v>
      </c>
      <c r="BV51" s="40">
        <v>0</v>
      </c>
      <c r="BW51" s="40">
        <v>2285882.2802144908</v>
      </c>
      <c r="BX51" s="40">
        <v>21523.3655</v>
      </c>
      <c r="BY51" s="40">
        <v>2264358.914714491</v>
      </c>
    </row>
    <row r="52" spans="1:77">
      <c r="A52">
        <f>_xlfn.XLOOKUP(B52,'Summary June 2026'!B:B,'Summary June 2026'!A:A,0,0)</f>
        <v>2227</v>
      </c>
      <c r="B52" s="54">
        <v>103281</v>
      </c>
      <c r="C52" s="54">
        <v>3302227</v>
      </c>
      <c r="D52" s="55" t="s">
        <v>408</v>
      </c>
      <c r="E52" s="46">
        <v>386</v>
      </c>
      <c r="F52" s="46">
        <v>386</v>
      </c>
      <c r="G52" s="46">
        <v>0</v>
      </c>
      <c r="H52" s="40">
        <v>1552194.3940000001</v>
      </c>
      <c r="I52" s="40">
        <v>0</v>
      </c>
      <c r="J52" s="40">
        <v>0</v>
      </c>
      <c r="K52" s="40">
        <v>114139.40999999995</v>
      </c>
      <c r="L52" s="40">
        <v>0</v>
      </c>
      <c r="M52" s="40">
        <v>273480.89999999991</v>
      </c>
      <c r="N52" s="40">
        <v>0</v>
      </c>
      <c r="O52" s="40">
        <v>727.3618329599999</v>
      </c>
      <c r="P52" s="40">
        <v>10291.396147199992</v>
      </c>
      <c r="Q52" s="40">
        <v>13773.447475199997</v>
      </c>
      <c r="R52" s="40">
        <v>10110.845337599985</v>
      </c>
      <c r="S52" s="40">
        <v>120711.112704</v>
      </c>
      <c r="T52" s="40">
        <v>9187.4569113599882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58095.886608695604</v>
      </c>
      <c r="AB52" s="40">
        <v>0</v>
      </c>
      <c r="AC52" s="40">
        <v>245781.74352826655</v>
      </c>
      <c r="AD52" s="40">
        <v>0</v>
      </c>
      <c r="AE52" s="40">
        <v>13338.438399999983</v>
      </c>
      <c r="AF52" s="40">
        <v>0</v>
      </c>
      <c r="AG52" s="40">
        <v>149406.57</v>
      </c>
      <c r="AH52" s="40">
        <v>0</v>
      </c>
      <c r="AI52" s="40">
        <v>0</v>
      </c>
      <c r="AJ52" s="40">
        <v>0</v>
      </c>
      <c r="AK52" s="40">
        <v>33764.030599999998</v>
      </c>
      <c r="AL52" s="40">
        <v>0</v>
      </c>
      <c r="AM52" s="40">
        <v>0</v>
      </c>
      <c r="AN52" s="40">
        <v>0</v>
      </c>
      <c r="AO52" s="40">
        <v>0</v>
      </c>
      <c r="AP52" s="40">
        <v>0</v>
      </c>
      <c r="AQ52" s="40">
        <v>0</v>
      </c>
      <c r="AR52" s="40">
        <v>0</v>
      </c>
      <c r="AS52" s="40">
        <v>0</v>
      </c>
      <c r="AT52" s="40">
        <v>1552194.3940000001</v>
      </c>
      <c r="AU52" s="40">
        <v>869637.99894528196</v>
      </c>
      <c r="AV52" s="40">
        <v>183170.60060000001</v>
      </c>
      <c r="AW52" s="40">
        <v>522263.35817526164</v>
      </c>
      <c r="AX52" s="56">
        <v>2605002.9935452822</v>
      </c>
      <c r="AY52" s="56">
        <v>2571238.962945282</v>
      </c>
      <c r="AZ52" s="56">
        <v>5115</v>
      </c>
      <c r="BA52" s="56">
        <v>1974390</v>
      </c>
      <c r="BB52" s="56">
        <v>0</v>
      </c>
      <c r="BC52" s="56">
        <v>0</v>
      </c>
      <c r="BD52" s="56">
        <v>2605002.9935452822</v>
      </c>
      <c r="BE52" s="40">
        <v>2605002.9935452817</v>
      </c>
      <c r="BF52" s="40">
        <v>0</v>
      </c>
      <c r="BG52" s="56">
        <v>2008154.0305999999</v>
      </c>
      <c r="BH52" s="56">
        <v>1824983.43</v>
      </c>
      <c r="BI52" s="40">
        <v>2421832.3929452822</v>
      </c>
      <c r="BJ52" s="40">
        <v>6274.1771837960678</v>
      </c>
      <c r="BK52" s="40">
        <v>6194.8962051724138</v>
      </c>
      <c r="BL52" s="41">
        <v>1.2797789663926648E-2</v>
      </c>
      <c r="BM52" s="41">
        <v>0</v>
      </c>
      <c r="BN52" s="40">
        <v>0</v>
      </c>
      <c r="BO52" s="56">
        <v>2605002.9935452822</v>
      </c>
      <c r="BP52" s="56">
        <v>6661.2408366458085</v>
      </c>
      <c r="BQ52" s="56" t="s">
        <v>1091</v>
      </c>
      <c r="BR52" s="56">
        <v>6748.7124185110933</v>
      </c>
      <c r="BS52" s="47">
        <v>2.0303061061108352E-2</v>
      </c>
      <c r="BT52" s="40">
        <v>-9611.4</v>
      </c>
      <c r="BU52" s="40">
        <v>2595391.5935452823</v>
      </c>
      <c r="BV52" s="40">
        <v>0</v>
      </c>
      <c r="BW52" s="40">
        <v>2595391.5935452823</v>
      </c>
      <c r="BX52" s="40">
        <v>33764.030599999998</v>
      </c>
      <c r="BY52" s="40">
        <v>2561627.5629452821</v>
      </c>
    </row>
    <row r="53" spans="1:77">
      <c r="A53">
        <f>_xlfn.XLOOKUP(B53,'Summary June 2026'!B:B,'Summary June 2026'!A:A,0,0)</f>
        <v>2231</v>
      </c>
      <c r="B53" s="54">
        <v>103284</v>
      </c>
      <c r="C53" s="54">
        <v>3302231</v>
      </c>
      <c r="D53" s="55" t="s">
        <v>410</v>
      </c>
      <c r="E53" s="46">
        <v>422</v>
      </c>
      <c r="F53" s="46">
        <v>422</v>
      </c>
      <c r="G53" s="46">
        <v>0</v>
      </c>
      <c r="H53" s="40">
        <v>1696958.638</v>
      </c>
      <c r="I53" s="40">
        <v>0</v>
      </c>
      <c r="J53" s="40">
        <v>0</v>
      </c>
      <c r="K53" s="40">
        <v>105245.43000000002</v>
      </c>
      <c r="L53" s="40">
        <v>0</v>
      </c>
      <c r="M53" s="40">
        <v>261641.90000000002</v>
      </c>
      <c r="N53" s="40">
        <v>0</v>
      </c>
      <c r="O53" s="40">
        <v>8243.4341068799986</v>
      </c>
      <c r="P53" s="40">
        <v>76744.411269119882</v>
      </c>
      <c r="Q53" s="40">
        <v>20201.056296959825</v>
      </c>
      <c r="R53" s="40">
        <v>9099.7608038399867</v>
      </c>
      <c r="S53" s="40">
        <v>5901.4321766399835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66530.768301886696</v>
      </c>
      <c r="AB53" s="40">
        <v>0</v>
      </c>
      <c r="AC53" s="40">
        <v>139571.61359615289</v>
      </c>
      <c r="AD53" s="40">
        <v>0</v>
      </c>
      <c r="AE53" s="40">
        <v>0</v>
      </c>
      <c r="AF53" s="40">
        <v>0</v>
      </c>
      <c r="AG53" s="40">
        <v>149406.57</v>
      </c>
      <c r="AH53" s="40">
        <v>0</v>
      </c>
      <c r="AI53" s="40">
        <v>0</v>
      </c>
      <c r="AJ53" s="40">
        <v>0</v>
      </c>
      <c r="AK53" s="40">
        <v>37171.5435</v>
      </c>
      <c r="AL53" s="40">
        <v>0</v>
      </c>
      <c r="AM53" s="40">
        <v>0</v>
      </c>
      <c r="AN53" s="40">
        <v>0</v>
      </c>
      <c r="AO53" s="40">
        <v>0</v>
      </c>
      <c r="AP53" s="40">
        <v>0</v>
      </c>
      <c r="AQ53" s="40">
        <v>0</v>
      </c>
      <c r="AR53" s="40">
        <v>0</v>
      </c>
      <c r="AS53" s="40">
        <v>0</v>
      </c>
      <c r="AT53" s="40">
        <v>1696958.638</v>
      </c>
      <c r="AU53" s="40">
        <v>693179.80655147927</v>
      </c>
      <c r="AV53" s="40">
        <v>186578.11350000001</v>
      </c>
      <c r="AW53" s="40">
        <v>399767.41837139119</v>
      </c>
      <c r="AX53" s="56">
        <v>2576716.558051479</v>
      </c>
      <c r="AY53" s="56">
        <v>2539545.0145514789</v>
      </c>
      <c r="AZ53" s="56">
        <v>5115</v>
      </c>
      <c r="BA53" s="56">
        <v>2158530</v>
      </c>
      <c r="BB53" s="56">
        <v>0</v>
      </c>
      <c r="BC53" s="56">
        <v>0</v>
      </c>
      <c r="BD53" s="56">
        <v>2576716.558051479</v>
      </c>
      <c r="BE53" s="40">
        <v>2576716.558051479</v>
      </c>
      <c r="BF53" s="40">
        <v>0</v>
      </c>
      <c r="BG53" s="56">
        <v>2195701.5435000001</v>
      </c>
      <c r="BH53" s="56">
        <v>2009123.4300000002</v>
      </c>
      <c r="BI53" s="40">
        <v>2390138.4445514791</v>
      </c>
      <c r="BJ53" s="40">
        <v>5663.8351766622727</v>
      </c>
      <c r="BK53" s="40">
        <v>5560.368486713287</v>
      </c>
      <c r="BL53" s="41">
        <v>1.860788366746257E-2</v>
      </c>
      <c r="BM53" s="41">
        <v>0</v>
      </c>
      <c r="BN53" s="40">
        <v>0</v>
      </c>
      <c r="BO53" s="56">
        <v>2576716.558051479</v>
      </c>
      <c r="BP53" s="56">
        <v>6017.8791814016085</v>
      </c>
      <c r="BQ53" s="56" t="s">
        <v>1091</v>
      </c>
      <c r="BR53" s="56">
        <v>6105.9634077049268</v>
      </c>
      <c r="BS53" s="47">
        <v>2.3025086230824998E-2</v>
      </c>
      <c r="BT53" s="40">
        <v>-10507.8</v>
      </c>
      <c r="BU53" s="40">
        <v>2566208.7580514792</v>
      </c>
      <c r="BV53" s="40">
        <v>0</v>
      </c>
      <c r="BW53" s="40">
        <v>2566208.7580514792</v>
      </c>
      <c r="BX53" s="40">
        <v>37171.5435</v>
      </c>
      <c r="BY53" s="40">
        <v>2529037.2145514791</v>
      </c>
    </row>
    <row r="54" spans="1:77">
      <c r="A54">
        <f>_xlfn.XLOOKUP(B54,'Summary June 2026'!B:B,'Summary June 2026'!A:A,0,0)</f>
        <v>2239</v>
      </c>
      <c r="B54" s="54">
        <v>103289</v>
      </c>
      <c r="C54" s="54">
        <v>3302239</v>
      </c>
      <c r="D54" s="55" t="s">
        <v>64</v>
      </c>
      <c r="E54" s="46">
        <v>139</v>
      </c>
      <c r="F54" s="46">
        <v>139</v>
      </c>
      <c r="G54" s="46">
        <v>0</v>
      </c>
      <c r="H54" s="40">
        <v>558950.83100000001</v>
      </c>
      <c r="I54" s="40">
        <v>0</v>
      </c>
      <c r="J54" s="40">
        <v>0</v>
      </c>
      <c r="K54" s="40">
        <v>37552.359999999964</v>
      </c>
      <c r="L54" s="40">
        <v>0</v>
      </c>
      <c r="M54" s="40">
        <v>89976.399999999921</v>
      </c>
      <c r="N54" s="40">
        <v>0</v>
      </c>
      <c r="O54" s="40">
        <v>484.90788863999688</v>
      </c>
      <c r="P54" s="40">
        <v>2940.3988991999968</v>
      </c>
      <c r="Q54" s="40">
        <v>3672.9193267199953</v>
      </c>
      <c r="R54" s="40">
        <v>3033.2536012799942</v>
      </c>
      <c r="S54" s="40">
        <v>19313.778032639952</v>
      </c>
      <c r="T54" s="40">
        <v>26855.643279359923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20507.154157303368</v>
      </c>
      <c r="AB54" s="40">
        <v>0</v>
      </c>
      <c r="AC54" s="40">
        <v>63780.357701149347</v>
      </c>
      <c r="AD54" s="40">
        <v>0</v>
      </c>
      <c r="AE54" s="40">
        <v>0</v>
      </c>
      <c r="AF54" s="40">
        <v>0</v>
      </c>
      <c r="AG54" s="40">
        <v>149406.57</v>
      </c>
      <c r="AH54" s="40">
        <v>0</v>
      </c>
      <c r="AI54" s="40">
        <v>0</v>
      </c>
      <c r="AJ54" s="40">
        <v>0</v>
      </c>
      <c r="AK54" s="40">
        <v>11721.960800000001</v>
      </c>
      <c r="AL54" s="40">
        <v>0</v>
      </c>
      <c r="AM54" s="40">
        <v>0</v>
      </c>
      <c r="AN54" s="40">
        <v>0</v>
      </c>
      <c r="AO54" s="40">
        <v>0</v>
      </c>
      <c r="AP54" s="40">
        <v>0</v>
      </c>
      <c r="AQ54" s="40">
        <v>0</v>
      </c>
      <c r="AR54" s="40">
        <v>0</v>
      </c>
      <c r="AS54" s="40">
        <v>0</v>
      </c>
      <c r="AT54" s="40">
        <v>558950.83100000001</v>
      </c>
      <c r="AU54" s="40">
        <v>268117.17288629239</v>
      </c>
      <c r="AV54" s="40">
        <v>161128.53080000001</v>
      </c>
      <c r="AW54" s="40">
        <v>157906.57722117167</v>
      </c>
      <c r="AX54" s="56">
        <v>988196.53468629252</v>
      </c>
      <c r="AY54" s="56">
        <v>976474.57388629252</v>
      </c>
      <c r="AZ54" s="56">
        <v>5115</v>
      </c>
      <c r="BA54" s="56">
        <v>710985</v>
      </c>
      <c r="BB54" s="56">
        <v>0</v>
      </c>
      <c r="BC54" s="56">
        <v>0</v>
      </c>
      <c r="BD54" s="56">
        <v>988196.53468629252</v>
      </c>
      <c r="BE54" s="40">
        <v>988196.53468629252</v>
      </c>
      <c r="BF54" s="40">
        <v>0</v>
      </c>
      <c r="BG54" s="56">
        <v>722706.9608</v>
      </c>
      <c r="BH54" s="56">
        <v>561578.42999999993</v>
      </c>
      <c r="BI54" s="40">
        <v>827068.00388629246</v>
      </c>
      <c r="BJ54" s="40">
        <v>5950.129524361816</v>
      </c>
      <c r="BK54" s="40">
        <v>5754.4893537414973</v>
      </c>
      <c r="BL54" s="41">
        <v>3.3997833446874987E-2</v>
      </c>
      <c r="BM54" s="41">
        <v>0</v>
      </c>
      <c r="BN54" s="40">
        <v>0</v>
      </c>
      <c r="BO54" s="56">
        <v>988196.53468629252</v>
      </c>
      <c r="BP54" s="56">
        <v>7024.9969344337587</v>
      </c>
      <c r="BQ54" s="56" t="s">
        <v>1091</v>
      </c>
      <c r="BR54" s="56">
        <v>7109.3275876711696</v>
      </c>
      <c r="BS54" s="47">
        <v>3.8402425975790688E-2</v>
      </c>
      <c r="BT54" s="40">
        <v>-3461.1</v>
      </c>
      <c r="BU54" s="40">
        <v>984735.43468629254</v>
      </c>
      <c r="BV54" s="40">
        <v>0</v>
      </c>
      <c r="BW54" s="40">
        <v>984735.43468629254</v>
      </c>
      <c r="BX54" s="40">
        <v>11721.960800000001</v>
      </c>
      <c r="BY54" s="40">
        <v>973013.47388629254</v>
      </c>
    </row>
    <row r="55" spans="1:77">
      <c r="A55">
        <f>_xlfn.XLOOKUP(B55,'Summary June 2026'!B:B,'Summary June 2026'!A:A,0,0)</f>
        <v>2241</v>
      </c>
      <c r="B55" s="54">
        <v>103291</v>
      </c>
      <c r="C55" s="54">
        <v>3302241</v>
      </c>
      <c r="D55" s="55" t="s">
        <v>66</v>
      </c>
      <c r="E55" s="46">
        <v>231</v>
      </c>
      <c r="F55" s="46">
        <v>231</v>
      </c>
      <c r="G55" s="46">
        <v>0</v>
      </c>
      <c r="H55" s="40">
        <v>928903.89900000009</v>
      </c>
      <c r="I55" s="40">
        <v>0</v>
      </c>
      <c r="J55" s="40">
        <v>0</v>
      </c>
      <c r="K55" s="40">
        <v>63246.079999999987</v>
      </c>
      <c r="L55" s="40">
        <v>0</v>
      </c>
      <c r="M55" s="40">
        <v>157458.69999999981</v>
      </c>
      <c r="N55" s="40">
        <v>0</v>
      </c>
      <c r="O55" s="40">
        <v>1212.2697215999974</v>
      </c>
      <c r="P55" s="40">
        <v>2058.2792294399997</v>
      </c>
      <c r="Q55" s="40">
        <v>8723.1834009599952</v>
      </c>
      <c r="R55" s="40">
        <v>4549.8804019199924</v>
      </c>
      <c r="S55" s="40">
        <v>42383.012904960007</v>
      </c>
      <c r="T55" s="40">
        <v>41696.919828479928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15517.839999999924</v>
      </c>
      <c r="AB55" s="40">
        <v>0</v>
      </c>
      <c r="AC55" s="40">
        <v>104614.19438877435</v>
      </c>
      <c r="AD55" s="40">
        <v>0</v>
      </c>
      <c r="AE55" s="40">
        <v>0</v>
      </c>
      <c r="AF55" s="40">
        <v>0</v>
      </c>
      <c r="AG55" s="40">
        <v>149406.57</v>
      </c>
      <c r="AH55" s="40">
        <v>0</v>
      </c>
      <c r="AI55" s="40">
        <v>0</v>
      </c>
      <c r="AJ55" s="40">
        <v>0</v>
      </c>
      <c r="AK55" s="40">
        <v>15538.427100000001</v>
      </c>
      <c r="AL55" s="40">
        <v>0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928903.89900000009</v>
      </c>
      <c r="AU55" s="40">
        <v>441460.35987613397</v>
      </c>
      <c r="AV55" s="40">
        <v>164944.99710000001</v>
      </c>
      <c r="AW55" s="40">
        <v>266737.58651422383</v>
      </c>
      <c r="AX55" s="56">
        <v>1535309.2559761342</v>
      </c>
      <c r="AY55" s="56">
        <v>1519770.8288761342</v>
      </c>
      <c r="AZ55" s="56">
        <v>5115</v>
      </c>
      <c r="BA55" s="56">
        <v>1181565</v>
      </c>
      <c r="BB55" s="56">
        <v>0</v>
      </c>
      <c r="BC55" s="56">
        <v>0</v>
      </c>
      <c r="BD55" s="56">
        <v>1535309.2559761342</v>
      </c>
      <c r="BE55" s="40">
        <v>1535309.255976134</v>
      </c>
      <c r="BF55" s="40">
        <v>0</v>
      </c>
      <c r="BG55" s="56">
        <v>1197103.4271</v>
      </c>
      <c r="BH55" s="56">
        <v>1032158.4299999999</v>
      </c>
      <c r="BI55" s="40">
        <v>1370364.2588761342</v>
      </c>
      <c r="BJ55" s="40">
        <v>5932.3128089875936</v>
      </c>
      <c r="BK55" s="40">
        <v>5862.8962713114761</v>
      </c>
      <c r="BL55" s="41">
        <v>1.1839973703063601E-2</v>
      </c>
      <c r="BM55" s="41">
        <v>0</v>
      </c>
      <c r="BN55" s="40">
        <v>0</v>
      </c>
      <c r="BO55" s="56">
        <v>1535309.2559761342</v>
      </c>
      <c r="BP55" s="56">
        <v>6579.094497299282</v>
      </c>
      <c r="BQ55" s="56" t="s">
        <v>1091</v>
      </c>
      <c r="BR55" s="56">
        <v>6646.3604154811001</v>
      </c>
      <c r="BS55" s="47">
        <v>1.6954738180604778E-2</v>
      </c>
      <c r="BT55" s="40">
        <v>-5751.9</v>
      </c>
      <c r="BU55" s="40">
        <v>1529557.3559761343</v>
      </c>
      <c r="BV55" s="40">
        <v>0</v>
      </c>
      <c r="BW55" s="40">
        <v>1529557.3559761343</v>
      </c>
      <c r="BX55" s="40">
        <v>15538.427100000001</v>
      </c>
      <c r="BY55" s="40">
        <v>1514018.9288761343</v>
      </c>
    </row>
    <row r="56" spans="1:77">
      <c r="A56">
        <f>_xlfn.XLOOKUP(B56,'Summary June 2026'!B:B,'Summary June 2026'!A:A,0,0)</f>
        <v>2245</v>
      </c>
      <c r="B56" s="54">
        <v>103295</v>
      </c>
      <c r="C56" s="54">
        <v>3302245</v>
      </c>
      <c r="D56" s="55" t="s">
        <v>380</v>
      </c>
      <c r="E56" s="46">
        <v>191</v>
      </c>
      <c r="F56" s="46">
        <v>191</v>
      </c>
      <c r="G56" s="46">
        <v>0</v>
      </c>
      <c r="H56" s="40">
        <v>768054.73900000006</v>
      </c>
      <c r="I56" s="40">
        <v>0</v>
      </c>
      <c r="J56" s="40">
        <v>0</v>
      </c>
      <c r="K56" s="40">
        <v>72140.059999999969</v>
      </c>
      <c r="L56" s="40">
        <v>0</v>
      </c>
      <c r="M56" s="40">
        <v>175217.2</v>
      </c>
      <c r="N56" s="40">
        <v>0</v>
      </c>
      <c r="O56" s="40">
        <v>242.45394431999966</v>
      </c>
      <c r="P56" s="40">
        <v>882.11966975999928</v>
      </c>
      <c r="Q56" s="40">
        <v>1836.4596633599954</v>
      </c>
      <c r="R56" s="40">
        <v>2022.169067519995</v>
      </c>
      <c r="S56" s="40">
        <v>6974.4198451199918</v>
      </c>
      <c r="T56" s="40">
        <v>112369.66530047997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40904.604941176396</v>
      </c>
      <c r="AB56" s="40">
        <v>0</v>
      </c>
      <c r="AC56" s="40">
        <v>79382.783503204701</v>
      </c>
      <c r="AD56" s="40">
        <v>0</v>
      </c>
      <c r="AE56" s="40">
        <v>4375.4703999999992</v>
      </c>
      <c r="AF56" s="40">
        <v>0</v>
      </c>
      <c r="AG56" s="40">
        <v>149406.57</v>
      </c>
      <c r="AH56" s="40">
        <v>0</v>
      </c>
      <c r="AI56" s="40">
        <v>0</v>
      </c>
      <c r="AJ56" s="40">
        <v>0</v>
      </c>
      <c r="AK56" s="40">
        <v>24886.3151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768054.73900000006</v>
      </c>
      <c r="AU56" s="40">
        <v>496347.40633494104</v>
      </c>
      <c r="AV56" s="40">
        <v>174292.88510000001</v>
      </c>
      <c r="AW56" s="40">
        <v>251591.95754980628</v>
      </c>
      <c r="AX56" s="56">
        <v>1438695.0304349412</v>
      </c>
      <c r="AY56" s="56">
        <v>1413808.7153349412</v>
      </c>
      <c r="AZ56" s="56">
        <v>5115</v>
      </c>
      <c r="BA56" s="56">
        <v>976965</v>
      </c>
      <c r="BB56" s="56">
        <v>0</v>
      </c>
      <c r="BC56" s="56">
        <v>0</v>
      </c>
      <c r="BD56" s="56">
        <v>1438695.0304349412</v>
      </c>
      <c r="BE56" s="40">
        <v>1438695.0304349414</v>
      </c>
      <c r="BF56" s="40">
        <v>0</v>
      </c>
      <c r="BG56" s="56">
        <v>1001851.3151</v>
      </c>
      <c r="BH56" s="56">
        <v>827558.42999999993</v>
      </c>
      <c r="BI56" s="40">
        <v>1264402.1453349411</v>
      </c>
      <c r="BJ56" s="40">
        <v>6619.9065200782261</v>
      </c>
      <c r="BK56" s="40">
        <v>6695.1705947867295</v>
      </c>
      <c r="BL56" s="41">
        <v>-1.124154696925999E-2</v>
      </c>
      <c r="BM56" s="41">
        <v>6.2415469692599897E-3</v>
      </c>
      <c r="BN56" s="40">
        <v>7981.5503513028161</v>
      </c>
      <c r="BO56" s="56">
        <v>1446676.580786244</v>
      </c>
      <c r="BP56" s="56">
        <v>7443.9280925981366</v>
      </c>
      <c r="BQ56" s="56" t="s">
        <v>1091</v>
      </c>
      <c r="BR56" s="56">
        <v>7574.2229360536339</v>
      </c>
      <c r="BS56" s="47">
        <v>1.1057273379339483E-2</v>
      </c>
      <c r="BT56" s="40">
        <v>-4755.8999999999996</v>
      </c>
      <c r="BU56" s="40">
        <v>1441920.6807862441</v>
      </c>
      <c r="BV56" s="40">
        <v>0</v>
      </c>
      <c r="BW56" s="40">
        <v>1441920.6807862441</v>
      </c>
      <c r="BX56" s="40">
        <v>24886.3151</v>
      </c>
      <c r="BY56" s="40">
        <v>1417034.3656862441</v>
      </c>
    </row>
    <row r="57" spans="1:77">
      <c r="A57">
        <f>_xlfn.XLOOKUP(B57,'Summary June 2026'!B:B,'Summary June 2026'!A:A,0,0)</f>
        <v>2251</v>
      </c>
      <c r="B57" s="54">
        <v>103298</v>
      </c>
      <c r="C57" s="54">
        <v>3302251</v>
      </c>
      <c r="D57" s="55" t="s">
        <v>105</v>
      </c>
      <c r="E57" s="46">
        <v>418</v>
      </c>
      <c r="F57" s="46">
        <v>418</v>
      </c>
      <c r="G57" s="46">
        <v>0</v>
      </c>
      <c r="H57" s="40">
        <v>1680873.7220000001</v>
      </c>
      <c r="I57" s="40">
        <v>0</v>
      </c>
      <c r="J57" s="40">
        <v>0</v>
      </c>
      <c r="K57" s="40">
        <v>44469.9</v>
      </c>
      <c r="L57" s="40">
        <v>0</v>
      </c>
      <c r="M57" s="40">
        <v>108918.79999999986</v>
      </c>
      <c r="N57" s="40">
        <v>0</v>
      </c>
      <c r="O57" s="40">
        <v>484.9078886399999</v>
      </c>
      <c r="P57" s="40">
        <v>882.11966975999928</v>
      </c>
      <c r="Q57" s="40">
        <v>0</v>
      </c>
      <c r="R57" s="40">
        <v>1011.0845337599998</v>
      </c>
      <c r="S57" s="40">
        <v>1609.4815027199988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37842.338426966053</v>
      </c>
      <c r="AB57" s="40">
        <v>0</v>
      </c>
      <c r="AC57" s="40">
        <v>134343.86706368148</v>
      </c>
      <c r="AD57" s="40">
        <v>0</v>
      </c>
      <c r="AE57" s="40">
        <v>0</v>
      </c>
      <c r="AF57" s="40">
        <v>0</v>
      </c>
      <c r="AG57" s="40">
        <v>149406.57</v>
      </c>
      <c r="AH57" s="40">
        <v>0</v>
      </c>
      <c r="AI57" s="40">
        <v>0</v>
      </c>
      <c r="AJ57" s="40">
        <v>0</v>
      </c>
      <c r="AK57" s="40">
        <v>15444.920400000001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1680873.7220000001</v>
      </c>
      <c r="AU57" s="40">
        <v>329562.49908552738</v>
      </c>
      <c r="AV57" s="40">
        <v>164851.49040000001</v>
      </c>
      <c r="AW57" s="40">
        <v>275043.01885783824</v>
      </c>
      <c r="AX57" s="56">
        <v>2175287.7114855275</v>
      </c>
      <c r="AY57" s="56">
        <v>2159842.7910855273</v>
      </c>
      <c r="AZ57" s="56">
        <v>5115</v>
      </c>
      <c r="BA57" s="56">
        <v>2138070</v>
      </c>
      <c r="BB57" s="56">
        <v>0</v>
      </c>
      <c r="BC57" s="56">
        <v>0</v>
      </c>
      <c r="BD57" s="56">
        <v>2175287.7114855275</v>
      </c>
      <c r="BE57" s="40">
        <v>2175287.7114855275</v>
      </c>
      <c r="BF57" s="40">
        <v>0</v>
      </c>
      <c r="BG57" s="56">
        <v>2153514.9204000002</v>
      </c>
      <c r="BH57" s="56">
        <v>1988663.4300000002</v>
      </c>
      <c r="BI57" s="40">
        <v>2010436.2210855274</v>
      </c>
      <c r="BJ57" s="40">
        <v>4809.6560313050895</v>
      </c>
      <c r="BK57" s="40">
        <v>4766.9864486873503</v>
      </c>
      <c r="BL57" s="41">
        <v>8.9510601880332299E-3</v>
      </c>
      <c r="BM57" s="41">
        <v>0</v>
      </c>
      <c r="BN57" s="40">
        <v>0</v>
      </c>
      <c r="BO57" s="56">
        <v>2175287.7114855275</v>
      </c>
      <c r="BP57" s="56">
        <v>5167.0880169510219</v>
      </c>
      <c r="BQ57" s="56" t="s">
        <v>1091</v>
      </c>
      <c r="BR57" s="56">
        <v>5204.0375872859513</v>
      </c>
      <c r="BS57" s="47">
        <v>7.344205536529369E-3</v>
      </c>
      <c r="BT57" s="40">
        <v>-10408.199999999999</v>
      </c>
      <c r="BU57" s="40">
        <v>2164879.5114855273</v>
      </c>
      <c r="BV57" s="40">
        <v>0</v>
      </c>
      <c r="BW57" s="40">
        <v>2164879.5114855273</v>
      </c>
      <c r="BX57" s="40">
        <v>15444.920400000001</v>
      </c>
      <c r="BY57" s="40">
        <v>2149434.5910855271</v>
      </c>
    </row>
    <row r="58" spans="1:77">
      <c r="A58">
        <f>_xlfn.XLOOKUP(B58,'Summary June 2026'!B:B,'Summary June 2026'!A:A,0,0)</f>
        <v>2254</v>
      </c>
      <c r="B58" s="54">
        <v>103300</v>
      </c>
      <c r="C58" s="54">
        <v>3302254</v>
      </c>
      <c r="D58" s="55" t="s">
        <v>73</v>
      </c>
      <c r="E58" s="46">
        <v>464</v>
      </c>
      <c r="F58" s="46">
        <v>464</v>
      </c>
      <c r="G58" s="46">
        <v>0</v>
      </c>
      <c r="H58" s="40">
        <v>1865850.2560000001</v>
      </c>
      <c r="I58" s="40">
        <v>0</v>
      </c>
      <c r="J58" s="40">
        <v>0</v>
      </c>
      <c r="K58" s="40">
        <v>125009.82999999997</v>
      </c>
      <c r="L58" s="40">
        <v>0</v>
      </c>
      <c r="M58" s="40">
        <v>304262.2999999997</v>
      </c>
      <c r="N58" s="40">
        <v>0</v>
      </c>
      <c r="O58" s="40">
        <v>24972.756264959928</v>
      </c>
      <c r="P58" s="40">
        <v>19406.632734719889</v>
      </c>
      <c r="Q58" s="40">
        <v>11477.872895999981</v>
      </c>
      <c r="R58" s="40">
        <v>84931.100835839912</v>
      </c>
      <c r="S58" s="40">
        <v>32726.12388863993</v>
      </c>
      <c r="T58" s="40">
        <v>16254.731458559972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98480.024439140674</v>
      </c>
      <c r="AB58" s="40">
        <v>0</v>
      </c>
      <c r="AC58" s="40">
        <v>278624.69445828017</v>
      </c>
      <c r="AD58" s="40">
        <v>0</v>
      </c>
      <c r="AE58" s="40">
        <v>16538.121599999977</v>
      </c>
      <c r="AF58" s="40">
        <v>0</v>
      </c>
      <c r="AG58" s="40">
        <v>149406.57</v>
      </c>
      <c r="AH58" s="40">
        <v>0</v>
      </c>
      <c r="AI58" s="40">
        <v>0</v>
      </c>
      <c r="AJ58" s="40">
        <v>0</v>
      </c>
      <c r="AK58" s="40">
        <v>97395.206999999995</v>
      </c>
      <c r="AL58" s="40"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0</v>
      </c>
      <c r="AT58" s="40">
        <v>1865850.2560000001</v>
      </c>
      <c r="AU58" s="40">
        <v>1012684.1885761402</v>
      </c>
      <c r="AV58" s="40">
        <v>246801.777</v>
      </c>
      <c r="AW58" s="40">
        <v>594772.09256661916</v>
      </c>
      <c r="AX58" s="56">
        <v>3125336.2215761403</v>
      </c>
      <c r="AY58" s="56">
        <v>3027941.0145761403</v>
      </c>
      <c r="AZ58" s="56">
        <v>5115</v>
      </c>
      <c r="BA58" s="56">
        <v>2373360</v>
      </c>
      <c r="BB58" s="56">
        <v>0</v>
      </c>
      <c r="BC58" s="56">
        <v>0</v>
      </c>
      <c r="BD58" s="56">
        <v>3125336.2215761403</v>
      </c>
      <c r="BE58" s="40">
        <v>3125336.2215761403</v>
      </c>
      <c r="BF58" s="40">
        <v>0</v>
      </c>
      <c r="BG58" s="56">
        <v>2470755.2069999999</v>
      </c>
      <c r="BH58" s="56">
        <v>2223953.4300000002</v>
      </c>
      <c r="BI58" s="40">
        <v>2878534.4445761405</v>
      </c>
      <c r="BJ58" s="40">
        <v>6203.7380271037509</v>
      </c>
      <c r="BK58" s="40">
        <v>5983.9730961685827</v>
      </c>
      <c r="BL58" s="41">
        <v>3.6725588067212274E-2</v>
      </c>
      <c r="BM58" s="41">
        <v>0</v>
      </c>
      <c r="BN58" s="40">
        <v>0</v>
      </c>
      <c r="BO58" s="56">
        <v>3125336.2215761403</v>
      </c>
      <c r="BP58" s="56">
        <v>6525.7349452071994</v>
      </c>
      <c r="BQ58" s="56" t="s">
        <v>1091</v>
      </c>
      <c r="BR58" s="56">
        <v>6735.638408569268</v>
      </c>
      <c r="BS58" s="47">
        <v>4.940555073625319E-2</v>
      </c>
      <c r="BT58" s="40">
        <v>-11553.599999999999</v>
      </c>
      <c r="BU58" s="40">
        <v>3113782.6215761402</v>
      </c>
      <c r="BV58" s="40">
        <v>0</v>
      </c>
      <c r="BW58" s="40">
        <v>3113782.6215761402</v>
      </c>
      <c r="BX58" s="40">
        <v>97395.206999999995</v>
      </c>
      <c r="BY58" s="40">
        <v>3016387.4145761402</v>
      </c>
    </row>
    <row r="59" spans="1:77">
      <c r="A59">
        <f>_xlfn.XLOOKUP(B59,'Summary June 2026'!B:B,'Summary June 2026'!A:A,0,0)</f>
        <v>2278</v>
      </c>
      <c r="B59" s="54">
        <v>103310</v>
      </c>
      <c r="C59" s="54">
        <v>3302278</v>
      </c>
      <c r="D59" s="55" t="s">
        <v>398</v>
      </c>
      <c r="E59" s="46">
        <v>401</v>
      </c>
      <c r="F59" s="46">
        <v>401</v>
      </c>
      <c r="G59" s="46">
        <v>0</v>
      </c>
      <c r="H59" s="40">
        <v>1612512.8290000001</v>
      </c>
      <c r="I59" s="40">
        <v>0</v>
      </c>
      <c r="J59" s="40">
        <v>0</v>
      </c>
      <c r="K59" s="40">
        <v>112657.07999999997</v>
      </c>
      <c r="L59" s="40">
        <v>0</v>
      </c>
      <c r="M59" s="40">
        <v>274664.7999999997</v>
      </c>
      <c r="N59" s="40">
        <v>0</v>
      </c>
      <c r="O59" s="40">
        <v>6303.8025523199976</v>
      </c>
      <c r="P59" s="40">
        <v>882.11966975999906</v>
      </c>
      <c r="Q59" s="40">
        <v>3213.8044108799836</v>
      </c>
      <c r="R59" s="40">
        <v>31343.620546559883</v>
      </c>
      <c r="S59" s="40">
        <v>88521.482649599886</v>
      </c>
      <c r="T59" s="40">
        <v>47350.739466239946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38350.069317507274</v>
      </c>
      <c r="AB59" s="40">
        <v>0</v>
      </c>
      <c r="AC59" s="40">
        <v>195397.03147636555</v>
      </c>
      <c r="AD59" s="40">
        <v>0</v>
      </c>
      <c r="AE59" s="40">
        <v>10627.863399999998</v>
      </c>
      <c r="AF59" s="40">
        <v>0</v>
      </c>
      <c r="AG59" s="40">
        <v>149406.57</v>
      </c>
      <c r="AH59" s="40">
        <v>0</v>
      </c>
      <c r="AI59" s="40">
        <v>0</v>
      </c>
      <c r="AJ59" s="40">
        <v>0</v>
      </c>
      <c r="AK59" s="40">
        <v>35442.6345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1612512.8290000001</v>
      </c>
      <c r="AU59" s="40">
        <v>809312.41348923219</v>
      </c>
      <c r="AV59" s="40">
        <v>184849.20449999999</v>
      </c>
      <c r="AW59" s="40">
        <v>479400.15467269497</v>
      </c>
      <c r="AX59" s="56">
        <v>2606674.4469892322</v>
      </c>
      <c r="AY59" s="56">
        <v>2571231.812489232</v>
      </c>
      <c r="AZ59" s="56">
        <v>5115</v>
      </c>
      <c r="BA59" s="56">
        <v>2051115</v>
      </c>
      <c r="BB59" s="56">
        <v>0</v>
      </c>
      <c r="BC59" s="56">
        <v>0</v>
      </c>
      <c r="BD59" s="56">
        <v>2606674.4469892322</v>
      </c>
      <c r="BE59" s="40">
        <v>2606674.4469892322</v>
      </c>
      <c r="BF59" s="40">
        <v>0</v>
      </c>
      <c r="BG59" s="56">
        <v>2086557.6344999999</v>
      </c>
      <c r="BH59" s="56">
        <v>1901708.43</v>
      </c>
      <c r="BI59" s="40">
        <v>2421825.2424892322</v>
      </c>
      <c r="BJ59" s="40">
        <v>6039.464445110305</v>
      </c>
      <c r="BK59" s="40">
        <v>6006.0775551122188</v>
      </c>
      <c r="BL59" s="41">
        <v>5.5588509625001644E-3</v>
      </c>
      <c r="BM59" s="41">
        <v>0</v>
      </c>
      <c r="BN59" s="40">
        <v>0</v>
      </c>
      <c r="BO59" s="56">
        <v>2606674.4469892322</v>
      </c>
      <c r="BP59" s="56">
        <v>6412.0494077038202</v>
      </c>
      <c r="BQ59" s="56" t="s">
        <v>1091</v>
      </c>
      <c r="BR59" s="56">
        <v>6500.4350298983345</v>
      </c>
      <c r="BS59" s="47">
        <v>9.4080436978853932E-3</v>
      </c>
      <c r="BT59" s="40">
        <v>-9984.9</v>
      </c>
      <c r="BU59" s="40">
        <v>2596689.5469892323</v>
      </c>
      <c r="BV59" s="40">
        <v>0</v>
      </c>
      <c r="BW59" s="40">
        <v>2596689.5469892323</v>
      </c>
      <c r="BX59" s="40">
        <v>35442.6345</v>
      </c>
      <c r="BY59" s="40">
        <v>2561246.9124892321</v>
      </c>
    </row>
    <row r="60" spans="1:77">
      <c r="A60">
        <f>_xlfn.XLOOKUP(B60,'Summary June 2026'!B:B,'Summary June 2026'!A:A,0,0)</f>
        <v>2289</v>
      </c>
      <c r="B60" s="54">
        <v>103315</v>
      </c>
      <c r="C60" s="54">
        <v>3302289</v>
      </c>
      <c r="D60" s="55" t="s">
        <v>116</v>
      </c>
      <c r="E60" s="46">
        <v>411</v>
      </c>
      <c r="F60" s="46">
        <v>411</v>
      </c>
      <c r="G60" s="46">
        <v>0</v>
      </c>
      <c r="H60" s="40">
        <v>1652725.1190000002</v>
      </c>
      <c r="I60" s="40">
        <v>0</v>
      </c>
      <c r="J60" s="40">
        <v>0</v>
      </c>
      <c r="K60" s="40">
        <v>62751.969999999936</v>
      </c>
      <c r="L60" s="40">
        <v>0</v>
      </c>
      <c r="M60" s="40">
        <v>156274.79999999961</v>
      </c>
      <c r="N60" s="40">
        <v>0</v>
      </c>
      <c r="O60" s="40">
        <v>3394.3552204799998</v>
      </c>
      <c r="P60" s="40">
        <v>3234.4387891199999</v>
      </c>
      <c r="Q60" s="40">
        <v>18364.596633599998</v>
      </c>
      <c r="R60" s="40">
        <v>48532.057620479914</v>
      </c>
      <c r="S60" s="40">
        <v>34335.605391359873</v>
      </c>
      <c r="T60" s="40">
        <v>8480.7294566399978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11181.822905982886</v>
      </c>
      <c r="AB60" s="40">
        <v>0</v>
      </c>
      <c r="AC60" s="40">
        <v>184954.3586806432</v>
      </c>
      <c r="AD60" s="40">
        <v>0</v>
      </c>
      <c r="AE60" s="40">
        <v>0</v>
      </c>
      <c r="AF60" s="40">
        <v>0</v>
      </c>
      <c r="AG60" s="40">
        <v>149406.57</v>
      </c>
      <c r="AH60" s="40">
        <v>0</v>
      </c>
      <c r="AI60" s="40">
        <v>0</v>
      </c>
      <c r="AJ60" s="40">
        <v>0</v>
      </c>
      <c r="AK60" s="40">
        <v>20036.387599999998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1652725.1190000002</v>
      </c>
      <c r="AU60" s="40">
        <v>531504.73469830549</v>
      </c>
      <c r="AV60" s="40">
        <v>169442.95759999999</v>
      </c>
      <c r="AW60" s="40">
        <v>388323.29375084781</v>
      </c>
      <c r="AX60" s="56">
        <v>2353672.8112983056</v>
      </c>
      <c r="AY60" s="56">
        <v>2333636.4236983056</v>
      </c>
      <c r="AZ60" s="56">
        <v>5115</v>
      </c>
      <c r="BA60" s="56">
        <v>2102265</v>
      </c>
      <c r="BB60" s="56">
        <v>0</v>
      </c>
      <c r="BC60" s="56">
        <v>0</v>
      </c>
      <c r="BD60" s="56">
        <v>2353672.8112983056</v>
      </c>
      <c r="BE60" s="40">
        <v>2353672.8112983056</v>
      </c>
      <c r="BF60" s="40">
        <v>0</v>
      </c>
      <c r="BG60" s="56">
        <v>2122301.3876</v>
      </c>
      <c r="BH60" s="56">
        <v>1952858.43</v>
      </c>
      <c r="BI60" s="40">
        <v>2184229.8536983058</v>
      </c>
      <c r="BJ60" s="40">
        <v>5314.4278678790897</v>
      </c>
      <c r="BK60" s="40">
        <v>5231.8549590799048</v>
      </c>
      <c r="BL60" s="41">
        <v>1.5782721318732148E-2</v>
      </c>
      <c r="BM60" s="41">
        <v>0</v>
      </c>
      <c r="BN60" s="40">
        <v>0</v>
      </c>
      <c r="BO60" s="56">
        <v>2353672.8112983056</v>
      </c>
      <c r="BP60" s="56">
        <v>5677.9475029155856</v>
      </c>
      <c r="BQ60" s="56" t="s">
        <v>1091</v>
      </c>
      <c r="BR60" s="56">
        <v>5726.6978377087726</v>
      </c>
      <c r="BS60" s="47">
        <v>1.5448025358911099E-2</v>
      </c>
      <c r="BT60" s="40">
        <v>-10233.9</v>
      </c>
      <c r="BU60" s="40">
        <v>2343438.9112983057</v>
      </c>
      <c r="BV60" s="40">
        <v>0</v>
      </c>
      <c r="BW60" s="40">
        <v>2343438.9112983057</v>
      </c>
      <c r="BX60" s="40">
        <v>20036.387599999998</v>
      </c>
      <c r="BY60" s="40">
        <v>2323402.5236983057</v>
      </c>
    </row>
    <row r="61" spans="1:77">
      <c r="A61">
        <f>_xlfn.XLOOKUP(B61,'Summary June 2026'!B:B,'Summary June 2026'!A:A,0,0)</f>
        <v>2293</v>
      </c>
      <c r="B61" s="54">
        <v>103317</v>
      </c>
      <c r="C61" s="54">
        <v>3302293</v>
      </c>
      <c r="D61" s="55" t="s">
        <v>394</v>
      </c>
      <c r="E61" s="46">
        <v>564</v>
      </c>
      <c r="F61" s="46">
        <v>564</v>
      </c>
      <c r="G61" s="46">
        <v>0</v>
      </c>
      <c r="H61" s="40">
        <v>2267973.156</v>
      </c>
      <c r="I61" s="40">
        <v>0</v>
      </c>
      <c r="J61" s="40">
        <v>0</v>
      </c>
      <c r="K61" s="40">
        <v>127480.37999999992</v>
      </c>
      <c r="L61" s="40">
        <v>0</v>
      </c>
      <c r="M61" s="40">
        <v>307813.99999999977</v>
      </c>
      <c r="N61" s="40">
        <v>0</v>
      </c>
      <c r="O61" s="40">
        <v>8759.4037108065404</v>
      </c>
      <c r="P61" s="40">
        <v>20656.040665554323</v>
      </c>
      <c r="Q61" s="40">
        <v>110118.95764336037</v>
      </c>
      <c r="R61" s="40">
        <v>59358.93791259305</v>
      </c>
      <c r="S61" s="40">
        <v>43072.245197346449</v>
      </c>
      <c r="T61" s="40">
        <v>3546.212495214234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129848.36025157214</v>
      </c>
      <c r="AB61" s="40">
        <v>0</v>
      </c>
      <c r="AC61" s="40">
        <v>221061.45467154961</v>
      </c>
      <c r="AD61" s="40">
        <v>0</v>
      </c>
      <c r="AE61" s="40">
        <v>15574.361599999973</v>
      </c>
      <c r="AF61" s="40">
        <v>0</v>
      </c>
      <c r="AG61" s="40">
        <v>149406.57</v>
      </c>
      <c r="AH61" s="40">
        <v>0</v>
      </c>
      <c r="AI61" s="40">
        <v>0</v>
      </c>
      <c r="AJ61" s="40">
        <v>0</v>
      </c>
      <c r="AK61" s="40">
        <v>9508.9994999999999</v>
      </c>
      <c r="AL61" s="40">
        <v>0</v>
      </c>
      <c r="AM61" s="40">
        <v>0</v>
      </c>
      <c r="AN61" s="40">
        <v>0</v>
      </c>
      <c r="AO61" s="40">
        <v>0</v>
      </c>
      <c r="AP61" s="40">
        <v>0</v>
      </c>
      <c r="AQ61" s="40">
        <v>0</v>
      </c>
      <c r="AR61" s="40">
        <v>0</v>
      </c>
      <c r="AS61" s="40">
        <v>0</v>
      </c>
      <c r="AT61" s="40">
        <v>2267973.156</v>
      </c>
      <c r="AU61" s="40">
        <v>1047290.3541479962</v>
      </c>
      <c r="AV61" s="40">
        <v>158915.56950000001</v>
      </c>
      <c r="AW61" s="40">
        <v>579550.33641650458</v>
      </c>
      <c r="AX61" s="56">
        <v>3474179.0796479965</v>
      </c>
      <c r="AY61" s="56">
        <v>3464670.0801479965</v>
      </c>
      <c r="AZ61" s="56">
        <v>5115</v>
      </c>
      <c r="BA61" s="56">
        <v>2884860</v>
      </c>
      <c r="BB61" s="56">
        <v>0</v>
      </c>
      <c r="BC61" s="56">
        <v>0</v>
      </c>
      <c r="BD61" s="56">
        <v>3474179.0796479965</v>
      </c>
      <c r="BE61" s="40">
        <v>3474179.0796479965</v>
      </c>
      <c r="BF61" s="40">
        <v>0</v>
      </c>
      <c r="BG61" s="56">
        <v>2894368.9994999999</v>
      </c>
      <c r="BH61" s="56">
        <v>2735453.43</v>
      </c>
      <c r="BI61" s="40">
        <v>3315263.5101479967</v>
      </c>
      <c r="BJ61" s="40">
        <v>5878.1267910425477</v>
      </c>
      <c r="BK61" s="40">
        <v>5747.8382756993005</v>
      </c>
      <c r="BL61" s="41">
        <v>2.2667394086935373E-2</v>
      </c>
      <c r="BM61" s="41">
        <v>0</v>
      </c>
      <c r="BN61" s="40">
        <v>0</v>
      </c>
      <c r="BO61" s="56">
        <v>3474179.0796479965</v>
      </c>
      <c r="BP61" s="56">
        <v>6143.032056999994</v>
      </c>
      <c r="BQ61" s="56" t="s">
        <v>1091</v>
      </c>
      <c r="BR61" s="56">
        <v>6159.8919851914834</v>
      </c>
      <c r="BS61" s="47">
        <v>1.29989130297683E-2</v>
      </c>
      <c r="BT61" s="40">
        <v>-14043.599999999999</v>
      </c>
      <c r="BU61" s="40">
        <v>3460135.4796479964</v>
      </c>
      <c r="BV61" s="40">
        <v>0</v>
      </c>
      <c r="BW61" s="40">
        <v>3460135.4796479964</v>
      </c>
      <c r="BX61" s="40">
        <v>9508.9994999999999</v>
      </c>
      <c r="BY61" s="40">
        <v>3450626.4801479965</v>
      </c>
    </row>
    <row r="62" spans="1:77">
      <c r="A62">
        <f>_xlfn.XLOOKUP(B62,'Summary June 2026'!B:B,'Summary June 2026'!A:A,0,0)</f>
        <v>2294</v>
      </c>
      <c r="B62" s="54">
        <v>103318</v>
      </c>
      <c r="C62" s="54">
        <v>3302294</v>
      </c>
      <c r="D62" s="55" t="s">
        <v>140</v>
      </c>
      <c r="E62" s="46">
        <v>419</v>
      </c>
      <c r="F62" s="46">
        <v>419</v>
      </c>
      <c r="G62" s="46">
        <v>0</v>
      </c>
      <c r="H62" s="40">
        <v>1684894.9510000001</v>
      </c>
      <c r="I62" s="40">
        <v>0</v>
      </c>
      <c r="J62" s="40">
        <v>0</v>
      </c>
      <c r="K62" s="40">
        <v>99810.219999999899</v>
      </c>
      <c r="L62" s="40">
        <v>0</v>
      </c>
      <c r="M62" s="40">
        <v>247435.09999999971</v>
      </c>
      <c r="N62" s="40">
        <v>0</v>
      </c>
      <c r="O62" s="40">
        <v>34186.00614911993</v>
      </c>
      <c r="P62" s="40">
        <v>25581.470423039882</v>
      </c>
      <c r="Q62" s="40">
        <v>4591.1491583999896</v>
      </c>
      <c r="R62" s="40">
        <v>62181.698826239917</v>
      </c>
      <c r="S62" s="40">
        <v>9120.3951820800012</v>
      </c>
      <c r="T62" s="40">
        <v>17668.186367999977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72150.767170868101</v>
      </c>
      <c r="AB62" s="40">
        <v>0</v>
      </c>
      <c r="AC62" s="40">
        <v>192699.12801220515</v>
      </c>
      <c r="AD62" s="40">
        <v>0</v>
      </c>
      <c r="AE62" s="40">
        <v>4683.873599999979</v>
      </c>
      <c r="AF62" s="40">
        <v>0</v>
      </c>
      <c r="AG62" s="40">
        <v>149406.57</v>
      </c>
      <c r="AH62" s="40">
        <v>0</v>
      </c>
      <c r="AI62" s="40">
        <v>0</v>
      </c>
      <c r="AJ62" s="40">
        <v>0</v>
      </c>
      <c r="AK62" s="40">
        <v>50550.069300000003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1684894.9510000001</v>
      </c>
      <c r="AU62" s="40">
        <v>770107.99488995248</v>
      </c>
      <c r="AV62" s="40">
        <v>199956.63930000001</v>
      </c>
      <c r="AW62" s="40">
        <v>457150.59696068172</v>
      </c>
      <c r="AX62" s="56">
        <v>2654959.5851899525</v>
      </c>
      <c r="AY62" s="56">
        <v>2604409.5158899524</v>
      </c>
      <c r="AZ62" s="56">
        <v>5115</v>
      </c>
      <c r="BA62" s="56">
        <v>2143185</v>
      </c>
      <c r="BB62" s="56">
        <v>0</v>
      </c>
      <c r="BC62" s="56">
        <v>0</v>
      </c>
      <c r="BD62" s="56">
        <v>2654959.5851899525</v>
      </c>
      <c r="BE62" s="40">
        <v>2654959.5851899525</v>
      </c>
      <c r="BF62" s="40">
        <v>0</v>
      </c>
      <c r="BG62" s="56">
        <v>2193735.0693000001</v>
      </c>
      <c r="BH62" s="56">
        <v>1993778.43</v>
      </c>
      <c r="BI62" s="40">
        <v>2455002.9458899526</v>
      </c>
      <c r="BJ62" s="40">
        <v>5859.1955749163544</v>
      </c>
      <c r="BK62" s="40">
        <v>5717.3086971428565</v>
      </c>
      <c r="BL62" s="41">
        <v>2.481707483180046E-2</v>
      </c>
      <c r="BM62" s="41">
        <v>0</v>
      </c>
      <c r="BN62" s="40">
        <v>0</v>
      </c>
      <c r="BO62" s="56">
        <v>2654959.5851899525</v>
      </c>
      <c r="BP62" s="56">
        <v>6215.7745009306736</v>
      </c>
      <c r="BQ62" s="56" t="s">
        <v>1091</v>
      </c>
      <c r="BR62" s="56">
        <v>6336.4190577325835</v>
      </c>
      <c r="BS62" s="47">
        <v>3.200365979615527E-2</v>
      </c>
      <c r="BT62" s="40">
        <v>-10433.099999999999</v>
      </c>
      <c r="BU62" s="40">
        <v>2644526.4851899524</v>
      </c>
      <c r="BV62" s="40">
        <v>0</v>
      </c>
      <c r="BW62" s="40">
        <v>2644526.4851899524</v>
      </c>
      <c r="BX62" s="40">
        <v>50550.069300000003</v>
      </c>
      <c r="BY62" s="40">
        <v>2593976.4158899523</v>
      </c>
    </row>
    <row r="63" spans="1:77">
      <c r="A63">
        <f>_xlfn.XLOOKUP(B63,'Summary June 2026'!B:B,'Summary June 2026'!A:A,0,0)</f>
        <v>2296</v>
      </c>
      <c r="B63" s="54">
        <v>103320</v>
      </c>
      <c r="C63" s="54">
        <v>3302296</v>
      </c>
      <c r="D63" s="55" t="s">
        <v>154</v>
      </c>
      <c r="E63" s="46">
        <v>262</v>
      </c>
      <c r="F63" s="46">
        <v>262</v>
      </c>
      <c r="G63" s="46">
        <v>0</v>
      </c>
      <c r="H63" s="40">
        <v>1053561.9980000001</v>
      </c>
      <c r="I63" s="40">
        <v>0</v>
      </c>
      <c r="J63" s="40">
        <v>0</v>
      </c>
      <c r="K63" s="40">
        <v>57810.869999999974</v>
      </c>
      <c r="L63" s="40">
        <v>0</v>
      </c>
      <c r="M63" s="40">
        <v>138516.29999999993</v>
      </c>
      <c r="N63" s="40">
        <v>0</v>
      </c>
      <c r="O63" s="40">
        <v>11880.243271679952</v>
      </c>
      <c r="P63" s="40">
        <v>11173.515816959978</v>
      </c>
      <c r="Q63" s="40">
        <v>6886.7237375999921</v>
      </c>
      <c r="R63" s="40">
        <v>4044.3381350399909</v>
      </c>
      <c r="S63" s="40">
        <v>13412.345855999991</v>
      </c>
      <c r="T63" s="40">
        <v>1413.4549094399997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22242.58034482746</v>
      </c>
      <c r="AB63" s="40">
        <v>0</v>
      </c>
      <c r="AC63" s="40">
        <v>91440.853528259962</v>
      </c>
      <c r="AD63" s="40">
        <v>0</v>
      </c>
      <c r="AE63" s="40">
        <v>10871.212799999796</v>
      </c>
      <c r="AF63" s="40">
        <v>0</v>
      </c>
      <c r="AG63" s="40">
        <v>149406.57</v>
      </c>
      <c r="AH63" s="40">
        <v>0</v>
      </c>
      <c r="AI63" s="40">
        <v>0</v>
      </c>
      <c r="AJ63" s="40">
        <v>0</v>
      </c>
      <c r="AK63" s="40">
        <v>30544.059000000001</v>
      </c>
      <c r="AL63" s="40">
        <v>0</v>
      </c>
      <c r="AM63" s="40">
        <v>0</v>
      </c>
      <c r="AN63" s="40">
        <v>0</v>
      </c>
      <c r="AO63" s="40">
        <v>0</v>
      </c>
      <c r="AP63" s="40">
        <v>0</v>
      </c>
      <c r="AQ63" s="40">
        <v>0</v>
      </c>
      <c r="AR63" s="40">
        <v>0</v>
      </c>
      <c r="AS63" s="40">
        <v>0</v>
      </c>
      <c r="AT63" s="40">
        <v>1053561.9980000001</v>
      </c>
      <c r="AU63" s="40">
        <v>369692.43839980703</v>
      </c>
      <c r="AV63" s="40">
        <v>179950.62900000002</v>
      </c>
      <c r="AW63" s="40">
        <v>232368.55844987908</v>
      </c>
      <c r="AX63" s="56">
        <v>1603205.0653998072</v>
      </c>
      <c r="AY63" s="56">
        <v>1572661.0063998073</v>
      </c>
      <c r="AZ63" s="56">
        <v>5115</v>
      </c>
      <c r="BA63" s="56">
        <v>1340130</v>
      </c>
      <c r="BB63" s="56">
        <v>0</v>
      </c>
      <c r="BC63" s="56">
        <v>0</v>
      </c>
      <c r="BD63" s="56">
        <v>1603205.0653998072</v>
      </c>
      <c r="BE63" s="40">
        <v>1603205.0653998069</v>
      </c>
      <c r="BF63" s="40">
        <v>0</v>
      </c>
      <c r="BG63" s="56">
        <v>1370674.0589999999</v>
      </c>
      <c r="BH63" s="56">
        <v>1190723.43</v>
      </c>
      <c r="BI63" s="40">
        <v>1423254.4363998072</v>
      </c>
      <c r="BJ63" s="40">
        <v>5432.268841220638</v>
      </c>
      <c r="BK63" s="40">
        <v>5303.6016065637059</v>
      </c>
      <c r="BL63" s="41">
        <v>2.4260350645058694E-2</v>
      </c>
      <c r="BM63" s="41">
        <v>0</v>
      </c>
      <c r="BN63" s="40">
        <v>0</v>
      </c>
      <c r="BO63" s="56">
        <v>1603205.0653998072</v>
      </c>
      <c r="BP63" s="56">
        <v>6002.5229251901037</v>
      </c>
      <c r="BQ63" s="56" t="s">
        <v>1091</v>
      </c>
      <c r="BR63" s="56">
        <v>6119.1033030526987</v>
      </c>
      <c r="BS63" s="47">
        <v>1.9647673363365925E-2</v>
      </c>
      <c r="BT63" s="40">
        <v>-6523.7999999999993</v>
      </c>
      <c r="BU63" s="40">
        <v>1596681.2653998071</v>
      </c>
      <c r="BV63" s="40">
        <v>0</v>
      </c>
      <c r="BW63" s="40">
        <v>1596681.2653998071</v>
      </c>
      <c r="BX63" s="40">
        <v>30544.059000000001</v>
      </c>
      <c r="BY63" s="40">
        <v>1566137.2063998072</v>
      </c>
    </row>
    <row r="64" spans="1:77">
      <c r="A64">
        <f>_xlfn.XLOOKUP(B64,'Summary June 2026'!B:B,'Summary June 2026'!A:A,0,0)</f>
        <v>2300</v>
      </c>
      <c r="B64" s="54">
        <v>103324</v>
      </c>
      <c r="C64" s="54">
        <v>3302300</v>
      </c>
      <c r="D64" s="55" t="s">
        <v>51</v>
      </c>
      <c r="E64" s="46">
        <v>624</v>
      </c>
      <c r="F64" s="46">
        <v>624</v>
      </c>
      <c r="G64" s="46">
        <v>0</v>
      </c>
      <c r="H64" s="40">
        <v>2509246.8960000002</v>
      </c>
      <c r="I64" s="40">
        <v>0</v>
      </c>
      <c r="J64" s="40">
        <v>0</v>
      </c>
      <c r="K64" s="40">
        <v>182326.58999999973</v>
      </c>
      <c r="L64" s="40">
        <v>0</v>
      </c>
      <c r="M64" s="40">
        <v>442778.59999999974</v>
      </c>
      <c r="N64" s="40">
        <v>0</v>
      </c>
      <c r="O64" s="40">
        <v>2666.9933875199958</v>
      </c>
      <c r="P64" s="40">
        <v>16466.233835519994</v>
      </c>
      <c r="Q64" s="40">
        <v>58307.59431167999</v>
      </c>
      <c r="R64" s="40">
        <v>142057.37699327973</v>
      </c>
      <c r="S64" s="40">
        <v>55795.358760959782</v>
      </c>
      <c r="T64" s="40">
        <v>22615.278551039963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104723.74703910609</v>
      </c>
      <c r="AB64" s="40">
        <v>0</v>
      </c>
      <c r="AC64" s="40">
        <v>208044.21071469566</v>
      </c>
      <c r="AD64" s="40">
        <v>0</v>
      </c>
      <c r="AE64" s="40">
        <v>0</v>
      </c>
      <c r="AF64" s="40">
        <v>0</v>
      </c>
      <c r="AG64" s="40">
        <v>149406.57</v>
      </c>
      <c r="AH64" s="40">
        <v>0</v>
      </c>
      <c r="AI64" s="40">
        <v>0</v>
      </c>
      <c r="AJ64" s="40">
        <v>0</v>
      </c>
      <c r="AK64" s="40">
        <v>91632.176999999996</v>
      </c>
      <c r="AL64" s="40">
        <v>0</v>
      </c>
      <c r="AM64" s="40">
        <v>0</v>
      </c>
      <c r="AN64" s="40">
        <v>0</v>
      </c>
      <c r="AO64" s="40">
        <v>0</v>
      </c>
      <c r="AP64" s="40">
        <v>0</v>
      </c>
      <c r="AQ64" s="40">
        <v>0</v>
      </c>
      <c r="AR64" s="40">
        <v>0</v>
      </c>
      <c r="AS64" s="40">
        <v>0</v>
      </c>
      <c r="AT64" s="40">
        <v>2509246.8960000002</v>
      </c>
      <c r="AU64" s="40">
        <v>1235781.9835938008</v>
      </c>
      <c r="AV64" s="40">
        <v>241038.747</v>
      </c>
      <c r="AW64" s="40">
        <v>665791.60481709533</v>
      </c>
      <c r="AX64" s="56">
        <v>3986067.6265938007</v>
      </c>
      <c r="AY64" s="56">
        <v>3894435.4495938006</v>
      </c>
      <c r="AZ64" s="56">
        <v>5115</v>
      </c>
      <c r="BA64" s="56">
        <v>3191760</v>
      </c>
      <c r="BB64" s="56">
        <v>0</v>
      </c>
      <c r="BC64" s="56">
        <v>0</v>
      </c>
      <c r="BD64" s="56">
        <v>3986067.6265938007</v>
      </c>
      <c r="BE64" s="40">
        <v>3986067.6265938012</v>
      </c>
      <c r="BF64" s="40">
        <v>0</v>
      </c>
      <c r="BG64" s="56">
        <v>3283392.1770000001</v>
      </c>
      <c r="BH64" s="56">
        <v>3042353.43</v>
      </c>
      <c r="BI64" s="40">
        <v>3745028.8795938008</v>
      </c>
      <c r="BJ64" s="40">
        <v>6001.6488455028857</v>
      </c>
      <c r="BK64" s="40">
        <v>5809.4991111111121</v>
      </c>
      <c r="BL64" s="41">
        <v>3.3075094894889037E-2</v>
      </c>
      <c r="BM64" s="41">
        <v>0</v>
      </c>
      <c r="BN64" s="40">
        <v>0</v>
      </c>
      <c r="BO64" s="56">
        <v>3986067.6265938007</v>
      </c>
      <c r="BP64" s="56">
        <v>6241.0824512721165</v>
      </c>
      <c r="BQ64" s="56" t="s">
        <v>1091</v>
      </c>
      <c r="BR64" s="56">
        <v>6387.9288887721168</v>
      </c>
      <c r="BS64" s="47">
        <v>3.5336590686458669E-2</v>
      </c>
      <c r="BT64" s="40">
        <v>-15537.599999999999</v>
      </c>
      <c r="BU64" s="40">
        <v>3970530.0265938006</v>
      </c>
      <c r="BV64" s="40">
        <v>0</v>
      </c>
      <c r="BW64" s="40">
        <v>3970530.0265938006</v>
      </c>
      <c r="BX64" s="40">
        <v>91632.176999999996</v>
      </c>
      <c r="BY64" s="40">
        <v>3878897.8495938005</v>
      </c>
    </row>
    <row r="65" spans="1:77">
      <c r="A65">
        <f>_xlfn.XLOOKUP(B65,'Summary June 2026'!B:B,'Summary June 2026'!A:A,0,0)</f>
        <v>2306</v>
      </c>
      <c r="B65" s="54">
        <v>103326</v>
      </c>
      <c r="C65" s="54">
        <v>3302306</v>
      </c>
      <c r="D65" s="55" t="s">
        <v>376</v>
      </c>
      <c r="E65" s="46">
        <v>210</v>
      </c>
      <c r="F65" s="46">
        <v>210</v>
      </c>
      <c r="G65" s="46">
        <v>0</v>
      </c>
      <c r="H65" s="40">
        <v>844458.09000000008</v>
      </c>
      <c r="I65" s="40">
        <v>0</v>
      </c>
      <c r="J65" s="40">
        <v>0</v>
      </c>
      <c r="K65" s="40">
        <v>42987.569999999963</v>
      </c>
      <c r="L65" s="40">
        <v>0</v>
      </c>
      <c r="M65" s="40">
        <v>102999.29999999993</v>
      </c>
      <c r="N65" s="40">
        <v>0</v>
      </c>
      <c r="O65" s="40">
        <v>15032.144547839989</v>
      </c>
      <c r="P65" s="40">
        <v>11173.515816959942</v>
      </c>
      <c r="Q65" s="40">
        <v>2295.5745791999989</v>
      </c>
      <c r="R65" s="40">
        <v>8594.2185369599938</v>
      </c>
      <c r="S65" s="40">
        <v>16631.308861439935</v>
      </c>
      <c r="T65" s="40">
        <v>2826.9098188799931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51527.186666666646</v>
      </c>
      <c r="AB65" s="40">
        <v>0</v>
      </c>
      <c r="AC65" s="40">
        <v>72596.770552964706</v>
      </c>
      <c r="AD65" s="40">
        <v>0</v>
      </c>
      <c r="AE65" s="40">
        <v>16769.423999999824</v>
      </c>
      <c r="AF65" s="40">
        <v>0</v>
      </c>
      <c r="AG65" s="40">
        <v>149406.57</v>
      </c>
      <c r="AH65" s="40">
        <v>0</v>
      </c>
      <c r="AI65" s="40">
        <v>0</v>
      </c>
      <c r="AJ65" s="40">
        <v>0</v>
      </c>
      <c r="AK65" s="40">
        <v>20146.064600000002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v>0</v>
      </c>
      <c r="AR65" s="40">
        <v>0</v>
      </c>
      <c r="AS65" s="40">
        <v>0</v>
      </c>
      <c r="AT65" s="40">
        <v>844458.09000000008</v>
      </c>
      <c r="AU65" s="40">
        <v>343433.92338091094</v>
      </c>
      <c r="AV65" s="40">
        <v>169552.63460000002</v>
      </c>
      <c r="AW65" s="40">
        <v>187734.27023102541</v>
      </c>
      <c r="AX65" s="56">
        <v>1357444.647980911</v>
      </c>
      <c r="AY65" s="56">
        <v>1337298.583380911</v>
      </c>
      <c r="AZ65" s="56">
        <v>5115</v>
      </c>
      <c r="BA65" s="56">
        <v>1074150</v>
      </c>
      <c r="BB65" s="56">
        <v>0</v>
      </c>
      <c r="BC65" s="56">
        <v>0</v>
      </c>
      <c r="BD65" s="56">
        <v>1357444.647980911</v>
      </c>
      <c r="BE65" s="40">
        <v>1357444.647980911</v>
      </c>
      <c r="BF65" s="40">
        <v>0</v>
      </c>
      <c r="BG65" s="56">
        <v>1094296.0645999999</v>
      </c>
      <c r="BH65" s="56">
        <v>924743.42999999982</v>
      </c>
      <c r="BI65" s="40">
        <v>1187892.013380911</v>
      </c>
      <c r="BJ65" s="40">
        <v>5656.6286351471954</v>
      </c>
      <c r="BK65" s="40">
        <v>5605.888473933649</v>
      </c>
      <c r="BL65" s="41">
        <v>9.0512255906407633E-3</v>
      </c>
      <c r="BM65" s="41">
        <v>0</v>
      </c>
      <c r="BN65" s="40">
        <v>0</v>
      </c>
      <c r="BO65" s="56">
        <v>1357444.647980911</v>
      </c>
      <c r="BP65" s="56">
        <v>6368.0884922900523</v>
      </c>
      <c r="BQ65" s="56" t="s">
        <v>1091</v>
      </c>
      <c r="BR65" s="56">
        <v>6464.0221332424335</v>
      </c>
      <c r="BS65" s="47">
        <v>8.7068487280357321E-3</v>
      </c>
      <c r="BT65" s="40">
        <v>-5229</v>
      </c>
      <c r="BU65" s="40">
        <v>1352215.647980911</v>
      </c>
      <c r="BV65" s="40">
        <v>0</v>
      </c>
      <c r="BW65" s="40">
        <v>1352215.647980911</v>
      </c>
      <c r="BX65" s="40">
        <v>20146.064600000002</v>
      </c>
      <c r="BY65" s="40">
        <v>1332069.583380911</v>
      </c>
    </row>
    <row r="66" spans="1:77">
      <c r="A66">
        <f>_xlfn.XLOOKUP(B66,'Summary June 2026'!B:B,'Summary June 2026'!A:A,0,0)</f>
        <v>2308</v>
      </c>
      <c r="B66" s="54">
        <v>103328</v>
      </c>
      <c r="C66" s="54">
        <v>3302308</v>
      </c>
      <c r="D66" s="55" t="s">
        <v>378</v>
      </c>
      <c r="E66" s="46">
        <v>368</v>
      </c>
      <c r="F66" s="46">
        <v>368</v>
      </c>
      <c r="G66" s="46">
        <v>0</v>
      </c>
      <c r="H66" s="40">
        <v>1479812.2720000001</v>
      </c>
      <c r="I66" s="40">
        <v>0</v>
      </c>
      <c r="J66" s="40">
        <v>0</v>
      </c>
      <c r="K66" s="40">
        <v>113151.18999999997</v>
      </c>
      <c r="L66" s="40">
        <v>0</v>
      </c>
      <c r="M66" s="40">
        <v>272297</v>
      </c>
      <c r="N66" s="40">
        <v>0</v>
      </c>
      <c r="O66" s="40">
        <v>3666.7007469764385</v>
      </c>
      <c r="P66" s="40">
        <v>1778.7399368311169</v>
      </c>
      <c r="Q66" s="40">
        <v>24070.200080860843</v>
      </c>
      <c r="R66" s="40">
        <v>86138.86208712573</v>
      </c>
      <c r="S66" s="40">
        <v>52467.627142550751</v>
      </c>
      <c r="T66" s="40">
        <v>9262.9702558369099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97844.573707164964</v>
      </c>
      <c r="AB66" s="40">
        <v>0</v>
      </c>
      <c r="AC66" s="40">
        <v>150991.5911387607</v>
      </c>
      <c r="AD66" s="40">
        <v>0</v>
      </c>
      <c r="AE66" s="40">
        <v>3777.9391999999743</v>
      </c>
      <c r="AF66" s="40">
        <v>0</v>
      </c>
      <c r="AG66" s="40">
        <v>149406.57</v>
      </c>
      <c r="AH66" s="40">
        <v>0</v>
      </c>
      <c r="AI66" s="40">
        <v>0</v>
      </c>
      <c r="AJ66" s="40">
        <v>0</v>
      </c>
      <c r="AK66" s="40">
        <v>35154.483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0</v>
      </c>
      <c r="AT66" s="40">
        <v>1479812.2720000001</v>
      </c>
      <c r="AU66" s="40">
        <v>815447.39429610735</v>
      </c>
      <c r="AV66" s="40">
        <v>184561.05300000001</v>
      </c>
      <c r="AW66" s="40">
        <v>427602.1892288262</v>
      </c>
      <c r="AX66" s="56">
        <v>2479820.7192961075</v>
      </c>
      <c r="AY66" s="56">
        <v>2444666.2362961075</v>
      </c>
      <c r="AZ66" s="56">
        <v>5115</v>
      </c>
      <c r="BA66" s="56">
        <v>1882320</v>
      </c>
      <c r="BB66" s="56">
        <v>0</v>
      </c>
      <c r="BC66" s="56">
        <v>0</v>
      </c>
      <c r="BD66" s="56">
        <v>2479820.7192961075</v>
      </c>
      <c r="BE66" s="40">
        <v>2479820.7192961071</v>
      </c>
      <c r="BF66" s="40">
        <v>0</v>
      </c>
      <c r="BG66" s="56">
        <v>1917474.483</v>
      </c>
      <c r="BH66" s="56">
        <v>1732913.43</v>
      </c>
      <c r="BI66" s="40">
        <v>2295259.6662961077</v>
      </c>
      <c r="BJ66" s="40">
        <v>6237.1186584133366</v>
      </c>
      <c r="BK66" s="40">
        <v>6179.676759743591</v>
      </c>
      <c r="BL66" s="41">
        <v>9.2952917932440475E-3</v>
      </c>
      <c r="BM66" s="41">
        <v>0</v>
      </c>
      <c r="BN66" s="40">
        <v>0</v>
      </c>
      <c r="BO66" s="56">
        <v>2479820.7192961075</v>
      </c>
      <c r="BP66" s="56">
        <v>6643.1147725437704</v>
      </c>
      <c r="BQ66" s="56" t="s">
        <v>1091</v>
      </c>
      <c r="BR66" s="56">
        <v>6738.643258956814</v>
      </c>
      <c r="BS66" s="47">
        <v>1.254106348733619E-2</v>
      </c>
      <c r="BT66" s="40">
        <v>-9163.1999999999989</v>
      </c>
      <c r="BU66" s="40">
        <v>2470657.5192961073</v>
      </c>
      <c r="BV66" s="40">
        <v>0</v>
      </c>
      <c r="BW66" s="40">
        <v>2470657.5192961073</v>
      </c>
      <c r="BX66" s="40">
        <v>35154.483</v>
      </c>
      <c r="BY66" s="40">
        <v>2435503.0362961073</v>
      </c>
    </row>
    <row r="67" spans="1:77">
      <c r="A67">
        <f>_xlfn.XLOOKUP(B67,'Summary June 2026'!B:B,'Summary June 2026'!A:A,0,0)</f>
        <v>2312</v>
      </c>
      <c r="B67" s="54">
        <v>103332</v>
      </c>
      <c r="C67" s="54">
        <v>3302312</v>
      </c>
      <c r="D67" s="55" t="s">
        <v>99</v>
      </c>
      <c r="E67" s="46">
        <v>414</v>
      </c>
      <c r="F67" s="46">
        <v>414</v>
      </c>
      <c r="G67" s="46">
        <v>0</v>
      </c>
      <c r="H67" s="40">
        <v>1664788.8060000001</v>
      </c>
      <c r="I67" s="40">
        <v>0</v>
      </c>
      <c r="J67" s="40">
        <v>0</v>
      </c>
      <c r="K67" s="40">
        <v>39034.68999999993</v>
      </c>
      <c r="L67" s="40">
        <v>0</v>
      </c>
      <c r="M67" s="40">
        <v>95895.899999999776</v>
      </c>
      <c r="N67" s="40">
        <v>0</v>
      </c>
      <c r="O67" s="40">
        <v>5589.9429971308391</v>
      </c>
      <c r="P67" s="40">
        <v>4126.5259127755853</v>
      </c>
      <c r="Q67" s="40">
        <v>6443.1720392460893</v>
      </c>
      <c r="R67" s="40">
        <v>3547.3643811579495</v>
      </c>
      <c r="S67" s="40">
        <v>12907.028418907108</v>
      </c>
      <c r="T67" s="40">
        <v>5667.5092736867646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62633.287353760243</v>
      </c>
      <c r="AB67" s="40">
        <v>0</v>
      </c>
      <c r="AC67" s="40">
        <v>131391.90025754637</v>
      </c>
      <c r="AD67" s="40">
        <v>0</v>
      </c>
      <c r="AE67" s="40">
        <v>0</v>
      </c>
      <c r="AF67" s="40">
        <v>0</v>
      </c>
      <c r="AG67" s="40">
        <v>149406.57</v>
      </c>
      <c r="AH67" s="40">
        <v>0</v>
      </c>
      <c r="AI67" s="40">
        <v>0</v>
      </c>
      <c r="AJ67" s="40">
        <v>0</v>
      </c>
      <c r="AK67" s="40">
        <v>39188.603999999999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0</v>
      </c>
      <c r="AT67" s="40">
        <v>1664788.8060000001</v>
      </c>
      <c r="AU67" s="40">
        <v>367237.32063421066</v>
      </c>
      <c r="AV67" s="40">
        <v>188595.174</v>
      </c>
      <c r="AW67" s="40">
        <v>276987.70844579185</v>
      </c>
      <c r="AX67" s="56">
        <v>2220621.3006342109</v>
      </c>
      <c r="AY67" s="56">
        <v>2181432.6966342111</v>
      </c>
      <c r="AZ67" s="56">
        <v>5115</v>
      </c>
      <c r="BA67" s="56">
        <v>2117610</v>
      </c>
      <c r="BB67" s="56">
        <v>0</v>
      </c>
      <c r="BC67" s="56">
        <v>0</v>
      </c>
      <c r="BD67" s="56">
        <v>2220621.3006342109</v>
      </c>
      <c r="BE67" s="40">
        <v>2220621.3006342109</v>
      </c>
      <c r="BF67" s="40">
        <v>0</v>
      </c>
      <c r="BG67" s="56">
        <v>2156798.6039999998</v>
      </c>
      <c r="BH67" s="56">
        <v>1968203.4299999997</v>
      </c>
      <c r="BI67" s="40">
        <v>2032026.1266342108</v>
      </c>
      <c r="BJ67" s="40">
        <v>4908.2756681985766</v>
      </c>
      <c r="BK67" s="40">
        <v>4896.6311384798109</v>
      </c>
      <c r="BL67" s="41">
        <v>2.3780696134650526E-3</v>
      </c>
      <c r="BM67" s="41">
        <v>0</v>
      </c>
      <c r="BN67" s="40">
        <v>0</v>
      </c>
      <c r="BO67" s="56">
        <v>2220621.3006342109</v>
      </c>
      <c r="BP67" s="56">
        <v>5269.1611029811866</v>
      </c>
      <c r="BQ67" s="56" t="s">
        <v>1091</v>
      </c>
      <c r="BR67" s="56">
        <v>5363.8195667493019</v>
      </c>
      <c r="BS67" s="47">
        <v>7.616774253116132E-3</v>
      </c>
      <c r="BT67" s="40">
        <v>-10308.599999999999</v>
      </c>
      <c r="BU67" s="40">
        <v>2210312.7006342108</v>
      </c>
      <c r="BV67" s="40">
        <v>0</v>
      </c>
      <c r="BW67" s="40">
        <v>2210312.7006342108</v>
      </c>
      <c r="BX67" s="40">
        <v>39188.603999999999</v>
      </c>
      <c r="BY67" s="40">
        <v>2171124.096634211</v>
      </c>
    </row>
    <row r="68" spans="1:77">
      <c r="A68">
        <f>_xlfn.XLOOKUP(B68,'Summary June 2026'!B:B,'Summary June 2026'!A:A,0,0)</f>
        <v>2317</v>
      </c>
      <c r="B68" s="54">
        <v>103337</v>
      </c>
      <c r="C68" s="54">
        <v>3302317</v>
      </c>
      <c r="D68" s="55" t="s">
        <v>400</v>
      </c>
      <c r="E68" s="46">
        <v>231</v>
      </c>
      <c r="F68" s="46">
        <v>231</v>
      </c>
      <c r="G68" s="46">
        <v>0</v>
      </c>
      <c r="H68" s="40">
        <v>928903.89900000009</v>
      </c>
      <c r="I68" s="40">
        <v>0</v>
      </c>
      <c r="J68" s="40">
        <v>0</v>
      </c>
      <c r="K68" s="40">
        <v>40022.909999999923</v>
      </c>
      <c r="L68" s="40">
        <v>0</v>
      </c>
      <c r="M68" s="40">
        <v>95895.89999999982</v>
      </c>
      <c r="N68" s="40">
        <v>0</v>
      </c>
      <c r="O68" s="40">
        <v>242.45394431999952</v>
      </c>
      <c r="P68" s="40">
        <v>588.07977983999945</v>
      </c>
      <c r="Q68" s="40">
        <v>33974.503772159958</v>
      </c>
      <c r="R68" s="40">
        <v>21232.775208959902</v>
      </c>
      <c r="S68" s="40">
        <v>23069.234872319983</v>
      </c>
      <c r="T68" s="40">
        <v>29682.553098239863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40961.388695652131</v>
      </c>
      <c r="AB68" s="40">
        <v>0</v>
      </c>
      <c r="AC68" s="40">
        <v>116751.07152317869</v>
      </c>
      <c r="AD68" s="40">
        <v>0</v>
      </c>
      <c r="AE68" s="40">
        <v>0</v>
      </c>
      <c r="AF68" s="40">
        <v>0</v>
      </c>
      <c r="AG68" s="40">
        <v>149406.57</v>
      </c>
      <c r="AH68" s="40">
        <v>0</v>
      </c>
      <c r="AI68" s="40">
        <v>0</v>
      </c>
      <c r="AJ68" s="40">
        <v>0</v>
      </c>
      <c r="AK68" s="40">
        <v>16236.9148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0</v>
      </c>
      <c r="AT68" s="40">
        <v>928903.89900000009</v>
      </c>
      <c r="AU68" s="40">
        <v>402420.87089467025</v>
      </c>
      <c r="AV68" s="40">
        <v>165643.48480000001</v>
      </c>
      <c r="AW68" s="40">
        <v>251291.29431648093</v>
      </c>
      <c r="AX68" s="56">
        <v>1496968.2546946702</v>
      </c>
      <c r="AY68" s="56">
        <v>1480731.3398946703</v>
      </c>
      <c r="AZ68" s="56">
        <v>5115</v>
      </c>
      <c r="BA68" s="56">
        <v>1181565</v>
      </c>
      <c r="BB68" s="56">
        <v>0</v>
      </c>
      <c r="BC68" s="56">
        <v>0</v>
      </c>
      <c r="BD68" s="56">
        <v>1496968.2546946702</v>
      </c>
      <c r="BE68" s="40">
        <v>1496968.2546946704</v>
      </c>
      <c r="BF68" s="40">
        <v>0</v>
      </c>
      <c r="BG68" s="56">
        <v>1197801.9147999999</v>
      </c>
      <c r="BH68" s="56">
        <v>1032158.4299999998</v>
      </c>
      <c r="BI68" s="40">
        <v>1331324.7698946702</v>
      </c>
      <c r="BJ68" s="40">
        <v>5763.3106921847193</v>
      </c>
      <c r="BK68" s="40">
        <v>5618.6661709163345</v>
      </c>
      <c r="BL68" s="41">
        <v>2.574356917965729E-2</v>
      </c>
      <c r="BM68" s="41">
        <v>0</v>
      </c>
      <c r="BN68" s="40">
        <v>0</v>
      </c>
      <c r="BO68" s="56">
        <v>1496968.2546946702</v>
      </c>
      <c r="BP68" s="56">
        <v>6410.0923804964086</v>
      </c>
      <c r="BQ68" s="56" t="s">
        <v>1091</v>
      </c>
      <c r="BR68" s="56">
        <v>6480.382054955282</v>
      </c>
      <c r="BS68" s="47">
        <v>3.2697471052848925E-2</v>
      </c>
      <c r="BT68" s="40">
        <v>-5751.9</v>
      </c>
      <c r="BU68" s="40">
        <v>1491216.3546946703</v>
      </c>
      <c r="BV68" s="40">
        <v>0</v>
      </c>
      <c r="BW68" s="40">
        <v>1491216.3546946703</v>
      </c>
      <c r="BX68" s="40">
        <v>16236.9148</v>
      </c>
      <c r="BY68" s="40">
        <v>1474979.4398946704</v>
      </c>
    </row>
    <row r="69" spans="1:77">
      <c r="A69">
        <f>_xlfn.XLOOKUP(B69,'Summary June 2026'!B:B,'Summary June 2026'!A:A,0,0)</f>
        <v>2321</v>
      </c>
      <c r="B69" s="54">
        <v>103339</v>
      </c>
      <c r="C69" s="54">
        <v>3302321</v>
      </c>
      <c r="D69" s="55" t="s">
        <v>210</v>
      </c>
      <c r="E69" s="46">
        <v>171</v>
      </c>
      <c r="F69" s="46">
        <v>171</v>
      </c>
      <c r="G69" s="46">
        <v>0</v>
      </c>
      <c r="H69" s="40">
        <v>687630.1590000001</v>
      </c>
      <c r="I69" s="40">
        <v>0</v>
      </c>
      <c r="J69" s="40">
        <v>0</v>
      </c>
      <c r="K69" s="40">
        <v>59293.199999999983</v>
      </c>
      <c r="L69" s="40">
        <v>0</v>
      </c>
      <c r="M69" s="40">
        <v>143251.89999999991</v>
      </c>
      <c r="N69" s="40">
        <v>0</v>
      </c>
      <c r="O69" s="40">
        <v>242.45394431999964</v>
      </c>
      <c r="P69" s="40">
        <v>0</v>
      </c>
      <c r="Q69" s="40">
        <v>1377.3447475199994</v>
      </c>
      <c r="R69" s="40">
        <v>6066.5072025599975</v>
      </c>
      <c r="S69" s="40">
        <v>60087.309434879993</v>
      </c>
      <c r="T69" s="40">
        <v>14841.276549119921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12329.352483221397</v>
      </c>
      <c r="AB69" s="40">
        <v>0</v>
      </c>
      <c r="AC69" s="40">
        <v>88485.842763486507</v>
      </c>
      <c r="AD69" s="40">
        <v>0</v>
      </c>
      <c r="AE69" s="40">
        <v>8423.2623999999814</v>
      </c>
      <c r="AF69" s="40">
        <v>0</v>
      </c>
      <c r="AG69" s="40">
        <v>149406.57</v>
      </c>
      <c r="AH69" s="40">
        <v>0</v>
      </c>
      <c r="AI69" s="40">
        <v>0</v>
      </c>
      <c r="AJ69" s="40">
        <v>0</v>
      </c>
      <c r="AK69" s="40">
        <v>15800.834999999999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0</v>
      </c>
      <c r="AT69" s="40">
        <v>687630.1590000001</v>
      </c>
      <c r="AU69" s="40">
        <v>394398.44952510769</v>
      </c>
      <c r="AV69" s="40">
        <v>165207.405</v>
      </c>
      <c r="AW69" s="40">
        <v>225524.94778971042</v>
      </c>
      <c r="AX69" s="56">
        <v>1247236.0135251079</v>
      </c>
      <c r="AY69" s="56">
        <v>1231435.1785251079</v>
      </c>
      <c r="AZ69" s="56">
        <v>5115</v>
      </c>
      <c r="BA69" s="56">
        <v>874665</v>
      </c>
      <c r="BB69" s="56">
        <v>0</v>
      </c>
      <c r="BC69" s="56">
        <v>0</v>
      </c>
      <c r="BD69" s="56">
        <v>1247236.0135251079</v>
      </c>
      <c r="BE69" s="40">
        <v>1247236.0135251079</v>
      </c>
      <c r="BF69" s="40">
        <v>0</v>
      </c>
      <c r="BG69" s="56">
        <v>890465.83499999996</v>
      </c>
      <c r="BH69" s="56">
        <v>725258.42999999993</v>
      </c>
      <c r="BI69" s="40">
        <v>1082028.6085251078</v>
      </c>
      <c r="BJ69" s="40">
        <v>6327.6526814333793</v>
      </c>
      <c r="BK69" s="40">
        <v>6138.0338664804467</v>
      </c>
      <c r="BL69" s="41">
        <v>3.0892435440676401E-2</v>
      </c>
      <c r="BM69" s="41">
        <v>0</v>
      </c>
      <c r="BN69" s="40">
        <v>0</v>
      </c>
      <c r="BO69" s="56">
        <v>1247236.0135251079</v>
      </c>
      <c r="BP69" s="56">
        <v>7201.3753130123268</v>
      </c>
      <c r="BQ69" s="56" t="s">
        <v>1091</v>
      </c>
      <c r="BR69" s="56">
        <v>7293.7778568719759</v>
      </c>
      <c r="BS69" s="47">
        <v>3.3007480134428446E-2</v>
      </c>
      <c r="BT69" s="40">
        <v>-4257.8999999999996</v>
      </c>
      <c r="BU69" s="40">
        <v>1242978.113525108</v>
      </c>
      <c r="BV69" s="40">
        <v>0</v>
      </c>
      <c r="BW69" s="40">
        <v>1242978.113525108</v>
      </c>
      <c r="BX69" s="40">
        <v>15800.834999999999</v>
      </c>
      <c r="BY69" s="40">
        <v>1227177.278525108</v>
      </c>
    </row>
    <row r="70" spans="1:77">
      <c r="A70">
        <f>_xlfn.XLOOKUP(B70,'Summary June 2026'!B:B,'Summary June 2026'!A:A,0,0)</f>
        <v>2401</v>
      </c>
      <c r="B70" s="54">
        <v>103341</v>
      </c>
      <c r="C70" s="54">
        <v>3302401</v>
      </c>
      <c r="D70" s="55" t="s">
        <v>79</v>
      </c>
      <c r="E70" s="46">
        <v>380</v>
      </c>
      <c r="F70" s="46">
        <v>380</v>
      </c>
      <c r="G70" s="46">
        <v>0</v>
      </c>
      <c r="H70" s="40">
        <v>1528067.02</v>
      </c>
      <c r="I70" s="40">
        <v>0</v>
      </c>
      <c r="J70" s="40">
        <v>0</v>
      </c>
      <c r="K70" s="40">
        <v>29152.489999999842</v>
      </c>
      <c r="L70" s="40">
        <v>0</v>
      </c>
      <c r="M70" s="40">
        <v>69850.099999999627</v>
      </c>
      <c r="N70" s="40">
        <v>0</v>
      </c>
      <c r="O70" s="40">
        <v>1212.2697215999995</v>
      </c>
      <c r="P70" s="40">
        <v>588.07977983999979</v>
      </c>
      <c r="Q70" s="40">
        <v>2295.5745791999989</v>
      </c>
      <c r="R70" s="40">
        <v>5055.4226687999972</v>
      </c>
      <c r="S70" s="40">
        <v>3755.4568396799909</v>
      </c>
      <c r="T70" s="40">
        <v>3533.637273599998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11339.960000000001</v>
      </c>
      <c r="AB70" s="40">
        <v>0</v>
      </c>
      <c r="AC70" s="40">
        <v>106022.64455092694</v>
      </c>
      <c r="AD70" s="40">
        <v>0</v>
      </c>
      <c r="AE70" s="40">
        <v>0</v>
      </c>
      <c r="AF70" s="40">
        <v>0</v>
      </c>
      <c r="AG70" s="40">
        <v>149406.57</v>
      </c>
      <c r="AH70" s="40">
        <v>0</v>
      </c>
      <c r="AI70" s="40">
        <v>0</v>
      </c>
      <c r="AJ70" s="40">
        <v>0</v>
      </c>
      <c r="AK70" s="40">
        <v>31696.665000000001</v>
      </c>
      <c r="AL70" s="40">
        <v>0</v>
      </c>
      <c r="AM70" s="40">
        <v>0</v>
      </c>
      <c r="AN70" s="40">
        <v>0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1528067.02</v>
      </c>
      <c r="AU70" s="40">
        <v>232805.63541364641</v>
      </c>
      <c r="AV70" s="40">
        <v>181103.23500000002</v>
      </c>
      <c r="AW70" s="40">
        <v>223985.48666150594</v>
      </c>
      <c r="AX70" s="56">
        <v>1941975.8904136466</v>
      </c>
      <c r="AY70" s="56">
        <v>1910279.2254136465</v>
      </c>
      <c r="AZ70" s="56">
        <v>5115</v>
      </c>
      <c r="BA70" s="56">
        <v>1943700</v>
      </c>
      <c r="BB70" s="56">
        <v>33420.774586353451</v>
      </c>
      <c r="BC70" s="56">
        <v>0</v>
      </c>
      <c r="BD70" s="56">
        <v>1975396.665</v>
      </c>
      <c r="BE70" s="40">
        <v>1975396.665</v>
      </c>
      <c r="BF70" s="40">
        <v>0</v>
      </c>
      <c r="BG70" s="56">
        <v>1975396.665</v>
      </c>
      <c r="BH70" s="56">
        <v>1794293.43</v>
      </c>
      <c r="BI70" s="40">
        <v>1794293.43</v>
      </c>
      <c r="BJ70" s="40">
        <v>4721.8248157894732</v>
      </c>
      <c r="BK70" s="40">
        <v>4728.0639094488188</v>
      </c>
      <c r="BL70" s="41">
        <v>-1.319587420736225E-3</v>
      </c>
      <c r="BM70" s="41">
        <v>0</v>
      </c>
      <c r="BN70" s="40">
        <v>0</v>
      </c>
      <c r="BO70" s="56">
        <v>1975396.665</v>
      </c>
      <c r="BP70" s="56">
        <v>5115</v>
      </c>
      <c r="BQ70" s="56" t="s">
        <v>1091</v>
      </c>
      <c r="BR70" s="56">
        <v>5198.4122763157893</v>
      </c>
      <c r="BS70" s="47">
        <v>4.4360204911408907E-3</v>
      </c>
      <c r="BT70" s="40">
        <v>-9462</v>
      </c>
      <c r="BU70" s="40">
        <v>1965934.665</v>
      </c>
      <c r="BV70" s="40">
        <v>0</v>
      </c>
      <c r="BW70" s="40">
        <v>1965934.665</v>
      </c>
      <c r="BX70" s="40">
        <v>31696.665000000001</v>
      </c>
      <c r="BY70" s="40">
        <v>1934238</v>
      </c>
    </row>
    <row r="71" spans="1:77">
      <c r="A71">
        <f>_xlfn.XLOOKUP(B71,'Summary June 2026'!B:B,'Summary June 2026'!A:A,0,0)</f>
        <v>2402</v>
      </c>
      <c r="B71" s="54">
        <v>103342</v>
      </c>
      <c r="C71" s="54">
        <v>3302402</v>
      </c>
      <c r="D71" s="55" t="s">
        <v>77</v>
      </c>
      <c r="E71" s="46">
        <v>271</v>
      </c>
      <c r="F71" s="46">
        <v>271</v>
      </c>
      <c r="G71" s="46">
        <v>0</v>
      </c>
      <c r="H71" s="40">
        <v>1089753.0590000001</v>
      </c>
      <c r="I71" s="40">
        <v>0</v>
      </c>
      <c r="J71" s="40">
        <v>0</v>
      </c>
      <c r="K71" s="40">
        <v>11858.639999999989</v>
      </c>
      <c r="L71" s="40">
        <v>0</v>
      </c>
      <c r="M71" s="40">
        <v>28413.599999999973</v>
      </c>
      <c r="N71" s="40">
        <v>0</v>
      </c>
      <c r="O71" s="40">
        <v>969.815777279999</v>
      </c>
      <c r="P71" s="40">
        <v>882.11966975999906</v>
      </c>
      <c r="Q71" s="40">
        <v>918.22983167999905</v>
      </c>
      <c r="R71" s="40">
        <v>6066.5072025599939</v>
      </c>
      <c r="S71" s="40">
        <v>4291.950673919996</v>
      </c>
      <c r="T71" s="40">
        <v>2120.1823641599976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13707.08813559322</v>
      </c>
      <c r="AB71" s="40">
        <v>0</v>
      </c>
      <c r="AC71" s="40">
        <v>102466.84542372858</v>
      </c>
      <c r="AD71" s="40">
        <v>0</v>
      </c>
      <c r="AE71" s="40">
        <v>0</v>
      </c>
      <c r="AF71" s="40">
        <v>0</v>
      </c>
      <c r="AG71" s="40">
        <v>149406.57</v>
      </c>
      <c r="AH71" s="40">
        <v>0</v>
      </c>
      <c r="AI71" s="40">
        <v>0</v>
      </c>
      <c r="AJ71" s="40">
        <v>0</v>
      </c>
      <c r="AK71" s="40">
        <v>23832.926100000001</v>
      </c>
      <c r="AL71" s="40">
        <v>0</v>
      </c>
      <c r="AM71" s="40">
        <v>0</v>
      </c>
      <c r="AN71" s="40">
        <v>0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1089753.0590000001</v>
      </c>
      <c r="AU71" s="40">
        <v>171694.97907868173</v>
      </c>
      <c r="AV71" s="40">
        <v>173239.49610000002</v>
      </c>
      <c r="AW71" s="40">
        <v>176942.07476069819</v>
      </c>
      <c r="AX71" s="56">
        <v>1434687.5341786819</v>
      </c>
      <c r="AY71" s="56">
        <v>1410854.6080786819</v>
      </c>
      <c r="AZ71" s="56">
        <v>5115</v>
      </c>
      <c r="BA71" s="56">
        <v>1386165</v>
      </c>
      <c r="BB71" s="56">
        <v>0</v>
      </c>
      <c r="BC71" s="56">
        <v>0</v>
      </c>
      <c r="BD71" s="56">
        <v>1434687.5341786819</v>
      </c>
      <c r="BE71" s="40">
        <v>1434687.5341786817</v>
      </c>
      <c r="BF71" s="40">
        <v>0</v>
      </c>
      <c r="BG71" s="56">
        <v>1409997.9261</v>
      </c>
      <c r="BH71" s="56">
        <v>1236758.43</v>
      </c>
      <c r="BI71" s="40">
        <v>1261448.0380786818</v>
      </c>
      <c r="BJ71" s="40">
        <v>4654.78980840842</v>
      </c>
      <c r="BK71" s="40">
        <v>4667.8697589743588</v>
      </c>
      <c r="BL71" s="41">
        <v>-2.8021241468426895E-3</v>
      </c>
      <c r="BM71" s="41">
        <v>0</v>
      </c>
      <c r="BN71" s="40">
        <v>0</v>
      </c>
      <c r="BO71" s="56">
        <v>1434687.5341786819</v>
      </c>
      <c r="BP71" s="56">
        <v>5206.1055648659849</v>
      </c>
      <c r="BQ71" s="56" t="s">
        <v>1091</v>
      </c>
      <c r="BR71" s="56">
        <v>5294.0499416187522</v>
      </c>
      <c r="BS71" s="47">
        <v>2.4009477421640391E-3</v>
      </c>
      <c r="BT71" s="40">
        <v>-6747.9</v>
      </c>
      <c r="BU71" s="40">
        <v>1427939.634178682</v>
      </c>
      <c r="BV71" s="40">
        <v>0</v>
      </c>
      <c r="BW71" s="40">
        <v>1427939.634178682</v>
      </c>
      <c r="BX71" s="40">
        <v>23832.926100000001</v>
      </c>
      <c r="BY71" s="40">
        <v>1404106.708078682</v>
      </c>
    </row>
    <row r="72" spans="1:77">
      <c r="A72">
        <f>_xlfn.XLOOKUP(B72,'Summary June 2026'!B:B,'Summary June 2026'!A:A,0,0)</f>
        <v>2406</v>
      </c>
      <c r="B72" s="54">
        <v>103345</v>
      </c>
      <c r="C72" s="54">
        <v>3302406</v>
      </c>
      <c r="D72" s="55" t="s">
        <v>238</v>
      </c>
      <c r="E72" s="46">
        <v>200</v>
      </c>
      <c r="F72" s="46">
        <v>200</v>
      </c>
      <c r="G72" s="46">
        <v>0</v>
      </c>
      <c r="H72" s="40">
        <v>804245.8</v>
      </c>
      <c r="I72" s="40">
        <v>0</v>
      </c>
      <c r="J72" s="40">
        <v>0</v>
      </c>
      <c r="K72" s="40">
        <v>45458.12</v>
      </c>
      <c r="L72" s="40">
        <v>0</v>
      </c>
      <c r="M72" s="40">
        <v>112470.50000000001</v>
      </c>
      <c r="N72" s="40">
        <v>0</v>
      </c>
      <c r="O72" s="40">
        <v>17941.59187968</v>
      </c>
      <c r="P72" s="40">
        <v>1470.1994496</v>
      </c>
      <c r="Q72" s="40">
        <v>3213.8044108800004</v>
      </c>
      <c r="R72" s="40">
        <v>3538.7958681600003</v>
      </c>
      <c r="S72" s="40">
        <v>22532.741038080003</v>
      </c>
      <c r="T72" s="40">
        <v>21908.551096319999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3449.942196531787</v>
      </c>
      <c r="AB72" s="40">
        <v>0</v>
      </c>
      <c r="AC72" s="40">
        <v>86677.957764400941</v>
      </c>
      <c r="AD72" s="40">
        <v>0</v>
      </c>
      <c r="AE72" s="40">
        <v>1927.5200000000018</v>
      </c>
      <c r="AF72" s="40">
        <v>0</v>
      </c>
      <c r="AG72" s="40">
        <v>149406.57</v>
      </c>
      <c r="AH72" s="40">
        <v>0</v>
      </c>
      <c r="AI72" s="40">
        <v>0</v>
      </c>
      <c r="AJ72" s="40">
        <v>0</v>
      </c>
      <c r="AK72" s="40">
        <v>13562.383400000001</v>
      </c>
      <c r="AL72" s="40">
        <v>0</v>
      </c>
      <c r="AM72" s="40">
        <v>0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804245.8</v>
      </c>
      <c r="AU72" s="40">
        <v>320589.72370365279</v>
      </c>
      <c r="AV72" s="40">
        <v>162968.9534</v>
      </c>
      <c r="AW72" s="40">
        <v>209162.59711178014</v>
      </c>
      <c r="AX72" s="56">
        <v>1287804.4771036529</v>
      </c>
      <c r="AY72" s="56">
        <v>1274242.093703653</v>
      </c>
      <c r="AZ72" s="56">
        <v>5115</v>
      </c>
      <c r="BA72" s="56">
        <v>1023000</v>
      </c>
      <c r="BB72" s="56">
        <v>0</v>
      </c>
      <c r="BC72" s="56">
        <v>0</v>
      </c>
      <c r="BD72" s="56">
        <v>1287804.4771036529</v>
      </c>
      <c r="BE72" s="40">
        <v>1287804.4771036527</v>
      </c>
      <c r="BF72" s="40">
        <v>0</v>
      </c>
      <c r="BG72" s="56">
        <v>1036562.3834</v>
      </c>
      <c r="BH72" s="56">
        <v>873593.43</v>
      </c>
      <c r="BI72" s="40">
        <v>1124835.5237036529</v>
      </c>
      <c r="BJ72" s="40">
        <v>5624.1776185182644</v>
      </c>
      <c r="BK72" s="40">
        <v>5689.8891143564351</v>
      </c>
      <c r="BL72" s="41">
        <v>-1.1548818354363166E-2</v>
      </c>
      <c r="BM72" s="41">
        <v>6.5488183543631661E-3</v>
      </c>
      <c r="BN72" s="40">
        <v>7452.4100532777193</v>
      </c>
      <c r="BO72" s="56">
        <v>1295256.8871569305</v>
      </c>
      <c r="BP72" s="56">
        <v>6408.4725187846525</v>
      </c>
      <c r="BQ72" s="56" t="s">
        <v>1091</v>
      </c>
      <c r="BR72" s="56">
        <v>6476.2844357846525</v>
      </c>
      <c r="BS72" s="47">
        <v>-2.2226470674482357E-3</v>
      </c>
      <c r="BT72" s="40">
        <v>-4980</v>
      </c>
      <c r="BU72" s="40">
        <v>1290276.8871569305</v>
      </c>
      <c r="BV72" s="40">
        <v>0</v>
      </c>
      <c r="BW72" s="40">
        <v>1290276.8871569305</v>
      </c>
      <c r="BX72" s="40">
        <v>13562.383400000001</v>
      </c>
      <c r="BY72" s="40">
        <v>1276714.5037569306</v>
      </c>
    </row>
    <row r="73" spans="1:77">
      <c r="A73">
        <f>_xlfn.XLOOKUP(B73,'Summary June 2026'!B:B,'Summary June 2026'!A:A,0,0)</f>
        <v>2412</v>
      </c>
      <c r="B73" s="54">
        <v>103349</v>
      </c>
      <c r="C73" s="54">
        <v>3302412</v>
      </c>
      <c r="D73" s="55" t="s">
        <v>404</v>
      </c>
      <c r="E73" s="46">
        <v>422</v>
      </c>
      <c r="F73" s="46">
        <v>422</v>
      </c>
      <c r="G73" s="46">
        <v>0</v>
      </c>
      <c r="H73" s="40">
        <v>1696958.638</v>
      </c>
      <c r="I73" s="40">
        <v>0</v>
      </c>
      <c r="J73" s="40">
        <v>0</v>
      </c>
      <c r="K73" s="40">
        <v>60775.529999999962</v>
      </c>
      <c r="L73" s="40">
        <v>0</v>
      </c>
      <c r="M73" s="40">
        <v>147987.49999999991</v>
      </c>
      <c r="N73" s="40">
        <v>0</v>
      </c>
      <c r="O73" s="40">
        <v>4374.5371996549111</v>
      </c>
      <c r="P73" s="40">
        <v>2063.1682537379575</v>
      </c>
      <c r="Q73" s="40">
        <v>1380.6163502457</v>
      </c>
      <c r="R73" s="40">
        <v>6080.9169583855428</v>
      </c>
      <c r="S73" s="40">
        <v>3764.3771647148697</v>
      </c>
      <c r="T73" s="40">
        <v>54547.27295408948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26030.893184357399</v>
      </c>
      <c r="AB73" s="40">
        <v>0</v>
      </c>
      <c r="AC73" s="40">
        <v>175138.63702440952</v>
      </c>
      <c r="AD73" s="40">
        <v>0</v>
      </c>
      <c r="AE73" s="40">
        <v>0</v>
      </c>
      <c r="AF73" s="40">
        <v>0</v>
      </c>
      <c r="AG73" s="40">
        <v>149406.57</v>
      </c>
      <c r="AH73" s="40">
        <v>0</v>
      </c>
      <c r="AI73" s="40">
        <v>0</v>
      </c>
      <c r="AJ73" s="40">
        <v>0</v>
      </c>
      <c r="AK73" s="40">
        <v>43510.876499999998</v>
      </c>
      <c r="AL73" s="40">
        <v>0</v>
      </c>
      <c r="AM73" s="40">
        <v>0</v>
      </c>
      <c r="AN73" s="40">
        <v>0</v>
      </c>
      <c r="AO73" s="40">
        <v>0</v>
      </c>
      <c r="AP73" s="40">
        <v>0</v>
      </c>
      <c r="AQ73" s="40">
        <v>0</v>
      </c>
      <c r="AR73" s="40">
        <v>0</v>
      </c>
      <c r="AS73" s="40">
        <v>0</v>
      </c>
      <c r="AT73" s="40">
        <v>1696958.638</v>
      </c>
      <c r="AU73" s="40">
        <v>482143.44908959523</v>
      </c>
      <c r="AV73" s="40">
        <v>192917.44650000002</v>
      </c>
      <c r="AW73" s="40">
        <v>361137.17972150771</v>
      </c>
      <c r="AX73" s="56">
        <v>2372019.5335895955</v>
      </c>
      <c r="AY73" s="56">
        <v>2328508.6570895957</v>
      </c>
      <c r="AZ73" s="56">
        <v>5115</v>
      </c>
      <c r="BA73" s="56">
        <v>2158530</v>
      </c>
      <c r="BB73" s="56">
        <v>0</v>
      </c>
      <c r="BC73" s="56">
        <v>0</v>
      </c>
      <c r="BD73" s="56">
        <v>2372019.5335895955</v>
      </c>
      <c r="BE73" s="40">
        <v>2372019.5335895955</v>
      </c>
      <c r="BF73" s="40">
        <v>0</v>
      </c>
      <c r="BG73" s="56">
        <v>2202040.8764999998</v>
      </c>
      <c r="BH73" s="56">
        <v>2009123.4299999997</v>
      </c>
      <c r="BI73" s="40">
        <v>2179102.0870895959</v>
      </c>
      <c r="BJ73" s="40">
        <v>5163.7490215393263</v>
      </c>
      <c r="BK73" s="40">
        <v>4985.3102429268283</v>
      </c>
      <c r="BL73" s="41">
        <v>3.5792913563537483E-2</v>
      </c>
      <c r="BM73" s="41">
        <v>0</v>
      </c>
      <c r="BN73" s="40">
        <v>0</v>
      </c>
      <c r="BO73" s="56">
        <v>2372019.5335895955</v>
      </c>
      <c r="BP73" s="56">
        <v>5517.7930262786631</v>
      </c>
      <c r="BQ73" s="56" t="s">
        <v>1091</v>
      </c>
      <c r="BR73" s="56">
        <v>5620.8993686957238</v>
      </c>
      <c r="BS73" s="47">
        <v>3.5552455487184442E-2</v>
      </c>
      <c r="BT73" s="40">
        <v>-10507.8</v>
      </c>
      <c r="BU73" s="40">
        <v>2361511.7335895956</v>
      </c>
      <c r="BV73" s="40">
        <v>0</v>
      </c>
      <c r="BW73" s="40">
        <v>2361511.7335895956</v>
      </c>
      <c r="BX73" s="40">
        <v>43510.876499999998</v>
      </c>
      <c r="BY73" s="40">
        <v>2318000.8570895959</v>
      </c>
    </row>
    <row r="74" spans="1:77">
      <c r="A74">
        <f>_xlfn.XLOOKUP(B74,'Summary June 2026'!B:B,'Summary June 2026'!A:A,0,0)</f>
        <v>2416</v>
      </c>
      <c r="B74" s="54">
        <v>103351</v>
      </c>
      <c r="C74" s="54">
        <v>3302416</v>
      </c>
      <c r="D74" s="55" t="s">
        <v>240</v>
      </c>
      <c r="E74" s="46">
        <v>428</v>
      </c>
      <c r="F74" s="46">
        <v>428</v>
      </c>
      <c r="G74" s="46">
        <v>0</v>
      </c>
      <c r="H74" s="40">
        <v>1721086.0120000001</v>
      </c>
      <c r="I74" s="40">
        <v>0</v>
      </c>
      <c r="J74" s="40">
        <v>0</v>
      </c>
      <c r="K74" s="40">
        <v>12846.859999999986</v>
      </c>
      <c r="L74" s="40">
        <v>0</v>
      </c>
      <c r="M74" s="40">
        <v>33149.199999999975</v>
      </c>
      <c r="N74" s="40">
        <v>0</v>
      </c>
      <c r="O74" s="40">
        <v>8262.7395731724555</v>
      </c>
      <c r="P74" s="40">
        <v>0</v>
      </c>
      <c r="Q74" s="40">
        <v>0</v>
      </c>
      <c r="R74" s="40">
        <v>3547.0834463055699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27766.034782608684</v>
      </c>
      <c r="AB74" s="40">
        <v>0</v>
      </c>
      <c r="AC74" s="40">
        <v>89829.701244323442</v>
      </c>
      <c r="AD74" s="40">
        <v>0</v>
      </c>
      <c r="AE74" s="40">
        <v>0</v>
      </c>
      <c r="AF74" s="40">
        <v>0</v>
      </c>
      <c r="AG74" s="40">
        <v>149406.57</v>
      </c>
      <c r="AH74" s="40">
        <v>0</v>
      </c>
      <c r="AI74" s="40">
        <v>0</v>
      </c>
      <c r="AJ74" s="40">
        <v>0</v>
      </c>
      <c r="AK74" s="40">
        <v>43799.027999999998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R74" s="40">
        <v>0</v>
      </c>
      <c r="AS74" s="40">
        <v>0</v>
      </c>
      <c r="AT74" s="40">
        <v>1721086.0120000001</v>
      </c>
      <c r="AU74" s="40">
        <v>175401.61904641011</v>
      </c>
      <c r="AV74" s="40">
        <v>193205.598</v>
      </c>
      <c r="AW74" s="40">
        <v>196694.11973133552</v>
      </c>
      <c r="AX74" s="56">
        <v>2089693.2290464102</v>
      </c>
      <c r="AY74" s="56">
        <v>2045894.2010464102</v>
      </c>
      <c r="AZ74" s="56">
        <v>5115</v>
      </c>
      <c r="BA74" s="56">
        <v>2189220</v>
      </c>
      <c r="BB74" s="56">
        <v>143325.79895358975</v>
      </c>
      <c r="BC74" s="56">
        <v>0</v>
      </c>
      <c r="BD74" s="56">
        <v>2233019.0279999999</v>
      </c>
      <c r="BE74" s="40">
        <v>2233019.0279999999</v>
      </c>
      <c r="BF74" s="40">
        <v>0</v>
      </c>
      <c r="BG74" s="56">
        <v>2233019.0279999999</v>
      </c>
      <c r="BH74" s="56">
        <v>2039813.43</v>
      </c>
      <c r="BI74" s="40">
        <v>2039813.43</v>
      </c>
      <c r="BJ74" s="40">
        <v>4765.9192289719622</v>
      </c>
      <c r="BK74" s="40">
        <v>4756.9838141509435</v>
      </c>
      <c r="BL74" s="41">
        <v>1.8783782266481158E-3</v>
      </c>
      <c r="BM74" s="41">
        <v>0</v>
      </c>
      <c r="BN74" s="40">
        <v>0</v>
      </c>
      <c r="BO74" s="56">
        <v>2233019.0279999999</v>
      </c>
      <c r="BP74" s="56">
        <v>5115</v>
      </c>
      <c r="BQ74" s="56" t="s">
        <v>1091</v>
      </c>
      <c r="BR74" s="56">
        <v>5217.3341775700937</v>
      </c>
      <c r="BS74" s="47">
        <v>5.997002698564069E-3</v>
      </c>
      <c r="BT74" s="40">
        <v>-10657.199999999999</v>
      </c>
      <c r="BU74" s="40">
        <v>2222361.8279999997</v>
      </c>
      <c r="BV74" s="40">
        <v>0</v>
      </c>
      <c r="BW74" s="40">
        <v>2222361.8279999997</v>
      </c>
      <c r="BX74" s="40">
        <v>43799.027999999998</v>
      </c>
      <c r="BY74" s="40">
        <v>2178562.7999999998</v>
      </c>
    </row>
    <row r="75" spans="1:77">
      <c r="A75">
        <f>_xlfn.XLOOKUP(B75,'Summary June 2026'!B:B,'Summary June 2026'!A:A,0,0)</f>
        <v>2420</v>
      </c>
      <c r="B75" s="54">
        <v>103353</v>
      </c>
      <c r="C75" s="54">
        <v>3302420</v>
      </c>
      <c r="D75" s="55" t="s">
        <v>230</v>
      </c>
      <c r="E75" s="46">
        <v>421</v>
      </c>
      <c r="F75" s="46">
        <v>421</v>
      </c>
      <c r="G75" s="46">
        <v>0</v>
      </c>
      <c r="H75" s="40">
        <v>1692937.4090000002</v>
      </c>
      <c r="I75" s="40">
        <v>0</v>
      </c>
      <c r="J75" s="40">
        <v>0</v>
      </c>
      <c r="K75" s="40">
        <v>10376.31</v>
      </c>
      <c r="L75" s="40">
        <v>0</v>
      </c>
      <c r="M75" s="40">
        <v>26045.799999999992</v>
      </c>
      <c r="N75" s="40">
        <v>0</v>
      </c>
      <c r="O75" s="40">
        <v>1454.7236659199912</v>
      </c>
      <c r="P75" s="40">
        <v>294.0398899199995</v>
      </c>
      <c r="Q75" s="40">
        <v>0</v>
      </c>
      <c r="R75" s="40">
        <v>4044.3381350399973</v>
      </c>
      <c r="S75" s="40">
        <v>536.49383423999916</v>
      </c>
      <c r="T75" s="40">
        <v>2826.9098188799981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16939.526292134819</v>
      </c>
      <c r="AB75" s="40">
        <v>0</v>
      </c>
      <c r="AC75" s="40">
        <v>98421.840297935691</v>
      </c>
      <c r="AD75" s="40">
        <v>0</v>
      </c>
      <c r="AE75" s="40">
        <v>0</v>
      </c>
      <c r="AF75" s="40">
        <v>0</v>
      </c>
      <c r="AG75" s="40">
        <v>149406.57</v>
      </c>
      <c r="AH75" s="40">
        <v>0</v>
      </c>
      <c r="AI75" s="40">
        <v>0</v>
      </c>
      <c r="AJ75" s="40">
        <v>0</v>
      </c>
      <c r="AK75" s="40">
        <v>40601.749600000003</v>
      </c>
      <c r="AL75" s="40">
        <v>0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R75" s="40">
        <v>0</v>
      </c>
      <c r="AS75" s="40">
        <v>0</v>
      </c>
      <c r="AT75" s="40">
        <v>1692937.4090000002</v>
      </c>
      <c r="AU75" s="40">
        <v>160939.98193407047</v>
      </c>
      <c r="AV75" s="40">
        <v>190008.31960000002</v>
      </c>
      <c r="AW75" s="40">
        <v>199477.01227177572</v>
      </c>
      <c r="AX75" s="56">
        <v>2043885.7105340706</v>
      </c>
      <c r="AY75" s="56">
        <v>2003283.9609340706</v>
      </c>
      <c r="AZ75" s="56">
        <v>5115</v>
      </c>
      <c r="BA75" s="56">
        <v>2153415</v>
      </c>
      <c r="BB75" s="56">
        <v>150131.03906592936</v>
      </c>
      <c r="BC75" s="56">
        <v>0</v>
      </c>
      <c r="BD75" s="56">
        <v>2194016.7495999997</v>
      </c>
      <c r="BE75" s="40">
        <v>2194016.7496000002</v>
      </c>
      <c r="BF75" s="40">
        <v>0</v>
      </c>
      <c r="BG75" s="56">
        <v>2194016.7496000002</v>
      </c>
      <c r="BH75" s="56">
        <v>2004008.4300000002</v>
      </c>
      <c r="BI75" s="40">
        <v>2004008.4299999997</v>
      </c>
      <c r="BJ75" s="40">
        <v>4760.1150356294529</v>
      </c>
      <c r="BK75" s="40">
        <v>4753.3486803317528</v>
      </c>
      <c r="BL75" s="41">
        <v>1.4234923109465334E-3</v>
      </c>
      <c r="BM75" s="41">
        <v>0</v>
      </c>
      <c r="BN75" s="40">
        <v>4.6566128730773926E-10</v>
      </c>
      <c r="BO75" s="56">
        <v>2194016.7496000002</v>
      </c>
      <c r="BP75" s="56">
        <v>5115</v>
      </c>
      <c r="BQ75" s="56" t="s">
        <v>1091</v>
      </c>
      <c r="BR75" s="56">
        <v>5211.4412104513067</v>
      </c>
      <c r="BS75" s="47">
        <v>8.8872124854069146E-3</v>
      </c>
      <c r="BT75" s="40">
        <v>-10482.9</v>
      </c>
      <c r="BU75" s="40">
        <v>2183533.8496000003</v>
      </c>
      <c r="BV75" s="40">
        <v>0</v>
      </c>
      <c r="BW75" s="40">
        <v>2183533.8496000003</v>
      </c>
      <c r="BX75" s="40">
        <v>40601.749600000003</v>
      </c>
      <c r="BY75" s="40">
        <v>2142932.1</v>
      </c>
    </row>
    <row r="76" spans="1:77">
      <c r="A76">
        <f>_xlfn.XLOOKUP(B76,'Summary June 2026'!B:B,'Summary June 2026'!A:A,0,0)</f>
        <v>2425</v>
      </c>
      <c r="B76" s="54">
        <v>103356</v>
      </c>
      <c r="C76" s="54">
        <v>3302425</v>
      </c>
      <c r="D76" s="55" t="s">
        <v>262</v>
      </c>
      <c r="E76" s="46">
        <v>203</v>
      </c>
      <c r="F76" s="46">
        <v>203</v>
      </c>
      <c r="G76" s="46">
        <v>0</v>
      </c>
      <c r="H76" s="40">
        <v>816309.48700000008</v>
      </c>
      <c r="I76" s="40">
        <v>0</v>
      </c>
      <c r="J76" s="40">
        <v>0</v>
      </c>
      <c r="K76" s="40">
        <v>16305.629999999919</v>
      </c>
      <c r="L76" s="40">
        <v>0</v>
      </c>
      <c r="M76" s="40">
        <v>39068.699999999808</v>
      </c>
      <c r="N76" s="40">
        <v>0</v>
      </c>
      <c r="O76" s="40">
        <v>3879.263109119996</v>
      </c>
      <c r="P76" s="40">
        <v>20288.752404479983</v>
      </c>
      <c r="Q76" s="40">
        <v>459.1149158399993</v>
      </c>
      <c r="R76" s="40">
        <v>2527.7113343999913</v>
      </c>
      <c r="S76" s="40">
        <v>0</v>
      </c>
      <c r="T76" s="40">
        <v>2120.1823641599985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12183.538324022336</v>
      </c>
      <c r="AB76" s="40">
        <v>0</v>
      </c>
      <c r="AC76" s="40">
        <v>65961.81468838673</v>
      </c>
      <c r="AD76" s="40">
        <v>0</v>
      </c>
      <c r="AE76" s="40">
        <v>0</v>
      </c>
      <c r="AF76" s="40">
        <v>0</v>
      </c>
      <c r="AG76" s="40">
        <v>149406.57</v>
      </c>
      <c r="AH76" s="40">
        <v>0</v>
      </c>
      <c r="AI76" s="40">
        <v>0</v>
      </c>
      <c r="AJ76" s="40">
        <v>0</v>
      </c>
      <c r="AK76" s="40">
        <v>16854.223999999998</v>
      </c>
      <c r="AL76" s="40">
        <v>0</v>
      </c>
      <c r="AM76" s="40">
        <v>0</v>
      </c>
      <c r="AN76" s="40">
        <v>0</v>
      </c>
      <c r="AO76" s="40">
        <v>0</v>
      </c>
      <c r="AP76" s="40">
        <v>0</v>
      </c>
      <c r="AQ76" s="40">
        <v>0</v>
      </c>
      <c r="AR76" s="40">
        <v>0</v>
      </c>
      <c r="AS76" s="40">
        <v>0</v>
      </c>
      <c r="AT76" s="40">
        <v>816309.48700000008</v>
      </c>
      <c r="AU76" s="40">
        <v>162794.70714040875</v>
      </c>
      <c r="AV76" s="40">
        <v>166260.79399999999</v>
      </c>
      <c r="AW76" s="40">
        <v>137251.05652446661</v>
      </c>
      <c r="AX76" s="56">
        <v>1145364.9881404089</v>
      </c>
      <c r="AY76" s="56">
        <v>1128510.764140409</v>
      </c>
      <c r="AZ76" s="56">
        <v>5115</v>
      </c>
      <c r="BA76" s="56">
        <v>1038345</v>
      </c>
      <c r="BB76" s="56">
        <v>0</v>
      </c>
      <c r="BC76" s="56">
        <v>0</v>
      </c>
      <c r="BD76" s="56">
        <v>1145364.9881404089</v>
      </c>
      <c r="BE76" s="40">
        <v>1145364.9881404089</v>
      </c>
      <c r="BF76" s="40">
        <v>0</v>
      </c>
      <c r="BG76" s="56">
        <v>1055199.2239999999</v>
      </c>
      <c r="BH76" s="56">
        <v>888938.42999999982</v>
      </c>
      <c r="BI76" s="40">
        <v>979104.19414040877</v>
      </c>
      <c r="BJ76" s="40">
        <v>4823.1733701497969</v>
      </c>
      <c r="BK76" s="40">
        <v>4687.5660751196165</v>
      </c>
      <c r="BL76" s="41">
        <v>2.8929148487089874E-2</v>
      </c>
      <c r="BM76" s="41">
        <v>0</v>
      </c>
      <c r="BN76" s="40">
        <v>0</v>
      </c>
      <c r="BO76" s="56">
        <v>1145364.9881404089</v>
      </c>
      <c r="BP76" s="56">
        <v>5559.1663258148228</v>
      </c>
      <c r="BQ76" s="56" t="s">
        <v>1091</v>
      </c>
      <c r="BR76" s="56">
        <v>5642.1920598049701</v>
      </c>
      <c r="BS76" s="47">
        <v>3.0124862725242396E-2</v>
      </c>
      <c r="BT76" s="40">
        <v>-5054.7</v>
      </c>
      <c r="BU76" s="40">
        <v>1140310.2881404089</v>
      </c>
      <c r="BV76" s="40">
        <v>0</v>
      </c>
      <c r="BW76" s="40">
        <v>1140310.2881404089</v>
      </c>
      <c r="BX76" s="40">
        <v>16854.223999999998</v>
      </c>
      <c r="BY76" s="40">
        <v>1123456.064140409</v>
      </c>
    </row>
    <row r="77" spans="1:77">
      <c r="A77">
        <f>_xlfn.XLOOKUP(B77,'Summary June 2026'!B:B,'Summary June 2026'!A:A,0,0)</f>
        <v>2441</v>
      </c>
      <c r="B77" s="54">
        <v>103368</v>
      </c>
      <c r="C77" s="54">
        <v>3302441</v>
      </c>
      <c r="D77" s="55" t="s">
        <v>208</v>
      </c>
      <c r="E77" s="46">
        <v>308</v>
      </c>
      <c r="F77" s="46">
        <v>308</v>
      </c>
      <c r="G77" s="46">
        <v>0</v>
      </c>
      <c r="H77" s="40">
        <v>1238538.5320000001</v>
      </c>
      <c r="I77" s="40">
        <v>0</v>
      </c>
      <c r="J77" s="40">
        <v>0</v>
      </c>
      <c r="K77" s="40">
        <v>91410.349999999904</v>
      </c>
      <c r="L77" s="40">
        <v>0</v>
      </c>
      <c r="M77" s="40">
        <v>226124.89999999994</v>
      </c>
      <c r="N77" s="40">
        <v>0</v>
      </c>
      <c r="O77" s="40">
        <v>2189.1932692346568</v>
      </c>
      <c r="P77" s="40">
        <v>4424.9651186657893</v>
      </c>
      <c r="Q77" s="40">
        <v>3684.8832333216928</v>
      </c>
      <c r="R77" s="40">
        <v>5579.0788279786248</v>
      </c>
      <c r="S77" s="40">
        <v>93653.998581726599</v>
      </c>
      <c r="T77" s="40">
        <v>26234.091446218525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40922.556042402772</v>
      </c>
      <c r="AB77" s="40">
        <v>0</v>
      </c>
      <c r="AC77" s="40">
        <v>160627.52175099798</v>
      </c>
      <c r="AD77" s="40">
        <v>0</v>
      </c>
      <c r="AE77" s="40">
        <v>27486.435199999825</v>
      </c>
      <c r="AF77" s="40">
        <v>0</v>
      </c>
      <c r="AG77" s="40">
        <v>149406.57</v>
      </c>
      <c r="AH77" s="40">
        <v>0</v>
      </c>
      <c r="AI77" s="40">
        <v>0</v>
      </c>
      <c r="AJ77" s="40">
        <v>0</v>
      </c>
      <c r="AK77" s="40">
        <v>6281.7026999999998</v>
      </c>
      <c r="AL77" s="40">
        <v>0</v>
      </c>
      <c r="AM77" s="40">
        <v>0</v>
      </c>
      <c r="AN77" s="40">
        <v>0</v>
      </c>
      <c r="AO77" s="40">
        <v>0</v>
      </c>
      <c r="AP77" s="40">
        <v>0</v>
      </c>
      <c r="AQ77" s="40">
        <v>0</v>
      </c>
      <c r="AR77" s="40">
        <v>0</v>
      </c>
      <c r="AS77" s="40">
        <v>0</v>
      </c>
      <c r="AT77" s="40">
        <v>1238538.5320000001</v>
      </c>
      <c r="AU77" s="40">
        <v>682337.97347054631</v>
      </c>
      <c r="AV77" s="40">
        <v>155688.2727</v>
      </c>
      <c r="AW77" s="40">
        <v>385742.97412277048</v>
      </c>
      <c r="AX77" s="56">
        <v>2076564.7781705465</v>
      </c>
      <c r="AY77" s="56">
        <v>2070283.0754705465</v>
      </c>
      <c r="AZ77" s="56">
        <v>5115</v>
      </c>
      <c r="BA77" s="56">
        <v>1575420</v>
      </c>
      <c r="BB77" s="56">
        <v>0</v>
      </c>
      <c r="BC77" s="56">
        <v>0</v>
      </c>
      <c r="BD77" s="56">
        <v>2076564.7781705465</v>
      </c>
      <c r="BE77" s="40">
        <v>2076564.7781705461</v>
      </c>
      <c r="BF77" s="40">
        <v>0</v>
      </c>
      <c r="BG77" s="56">
        <v>1581701.7027</v>
      </c>
      <c r="BH77" s="56">
        <v>1426013.43</v>
      </c>
      <c r="BI77" s="40">
        <v>1920876.5054705464</v>
      </c>
      <c r="BJ77" s="40">
        <v>6236.6120307485271</v>
      </c>
      <c r="BK77" s="40">
        <v>6049.8039356725139</v>
      </c>
      <c r="BL77" s="41">
        <v>3.0878371772431173E-2</v>
      </c>
      <c r="BM77" s="41">
        <v>0</v>
      </c>
      <c r="BN77" s="40">
        <v>0</v>
      </c>
      <c r="BO77" s="56">
        <v>2076564.7781705465</v>
      </c>
      <c r="BP77" s="56">
        <v>6721.6982969822939</v>
      </c>
      <c r="BQ77" s="56" t="s">
        <v>1091</v>
      </c>
      <c r="BR77" s="56">
        <v>6742.0934356186572</v>
      </c>
      <c r="BS77" s="47">
        <v>3.2704821654502725E-2</v>
      </c>
      <c r="BT77" s="40">
        <v>-7669.2</v>
      </c>
      <c r="BU77" s="40">
        <v>2068895.5781705466</v>
      </c>
      <c r="BV77" s="40">
        <v>0</v>
      </c>
      <c r="BW77" s="40">
        <v>2068895.5781705466</v>
      </c>
      <c r="BX77" s="40">
        <v>6281.7026999999998</v>
      </c>
      <c r="BY77" s="40">
        <v>2062613.8754705465</v>
      </c>
    </row>
    <row r="78" spans="1:77">
      <c r="A78">
        <f>_xlfn.XLOOKUP(B78,'Summary June 2026'!B:B,'Summary June 2026'!A:A,0,0)</f>
        <v>2445</v>
      </c>
      <c r="B78" s="54">
        <v>103372</v>
      </c>
      <c r="C78" s="54">
        <v>3302445</v>
      </c>
      <c r="D78" s="55" t="s">
        <v>396</v>
      </c>
      <c r="E78" s="46">
        <v>199</v>
      </c>
      <c r="F78" s="46">
        <v>199</v>
      </c>
      <c r="G78" s="46">
        <v>0</v>
      </c>
      <c r="H78" s="40">
        <v>800224.571</v>
      </c>
      <c r="I78" s="40">
        <v>0</v>
      </c>
      <c r="J78" s="40">
        <v>0</v>
      </c>
      <c r="K78" s="40">
        <v>66210.739999999976</v>
      </c>
      <c r="L78" s="40">
        <v>0</v>
      </c>
      <c r="M78" s="40">
        <v>158642.59999999995</v>
      </c>
      <c r="N78" s="40">
        <v>0</v>
      </c>
      <c r="O78" s="40">
        <v>484.90788863999967</v>
      </c>
      <c r="P78" s="40">
        <v>1470.1994495999991</v>
      </c>
      <c r="Q78" s="40">
        <v>7804.9535692799946</v>
      </c>
      <c r="R78" s="40">
        <v>4044.3381350399973</v>
      </c>
      <c r="S78" s="40">
        <v>74572.642959359931</v>
      </c>
      <c r="T78" s="40">
        <v>6360.5470924799947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16866.910295857913</v>
      </c>
      <c r="AB78" s="40">
        <v>0</v>
      </c>
      <c r="AC78" s="40">
        <v>87873.047983635988</v>
      </c>
      <c r="AD78" s="40">
        <v>0</v>
      </c>
      <c r="AE78" s="40">
        <v>1021.5855999999908</v>
      </c>
      <c r="AF78" s="40">
        <v>0</v>
      </c>
      <c r="AG78" s="40">
        <v>149406.57</v>
      </c>
      <c r="AH78" s="40">
        <v>0</v>
      </c>
      <c r="AI78" s="40">
        <v>0</v>
      </c>
      <c r="AJ78" s="40">
        <v>0</v>
      </c>
      <c r="AK78" s="40">
        <v>18697.6548</v>
      </c>
      <c r="AL78" s="40">
        <v>0</v>
      </c>
      <c r="AM78" s="40">
        <v>0</v>
      </c>
      <c r="AN78" s="40">
        <v>0</v>
      </c>
      <c r="AO78" s="40">
        <v>0</v>
      </c>
      <c r="AP78" s="40">
        <v>0</v>
      </c>
      <c r="AQ78" s="40">
        <v>0</v>
      </c>
      <c r="AR78" s="40">
        <v>0</v>
      </c>
      <c r="AS78" s="40">
        <v>0</v>
      </c>
      <c r="AT78" s="40">
        <v>800224.571</v>
      </c>
      <c r="AU78" s="40">
        <v>425352.47297389375</v>
      </c>
      <c r="AV78" s="40">
        <v>168104.2248</v>
      </c>
      <c r="AW78" s="40">
        <v>242937.01100761996</v>
      </c>
      <c r="AX78" s="56">
        <v>1393681.2687738938</v>
      </c>
      <c r="AY78" s="56">
        <v>1374983.6139738939</v>
      </c>
      <c r="AZ78" s="56">
        <v>5115</v>
      </c>
      <c r="BA78" s="56">
        <v>1017885</v>
      </c>
      <c r="BB78" s="56">
        <v>0</v>
      </c>
      <c r="BC78" s="56">
        <v>0</v>
      </c>
      <c r="BD78" s="56">
        <v>1393681.2687738938</v>
      </c>
      <c r="BE78" s="40">
        <v>1393681.2687738934</v>
      </c>
      <c r="BF78" s="40">
        <v>0</v>
      </c>
      <c r="BG78" s="56">
        <v>1036582.6548</v>
      </c>
      <c r="BH78" s="56">
        <v>868478.43</v>
      </c>
      <c r="BI78" s="40">
        <v>1225577.0439738939</v>
      </c>
      <c r="BJ78" s="40">
        <v>6158.6786129341399</v>
      </c>
      <c r="BK78" s="40">
        <v>6257.3184745098033</v>
      </c>
      <c r="BL78" s="41">
        <v>-1.5763918997808535E-2</v>
      </c>
      <c r="BM78" s="41">
        <v>1.0763918997808535E-2</v>
      </c>
      <c r="BN78" s="40">
        <v>13403.300571419764</v>
      </c>
      <c r="BO78" s="56">
        <v>1407084.5693453136</v>
      </c>
      <c r="BP78" s="56">
        <v>6976.8186660568526</v>
      </c>
      <c r="BQ78" s="56" t="s">
        <v>1091</v>
      </c>
      <c r="BR78" s="56">
        <v>7070.7767303784603</v>
      </c>
      <c r="BS78" s="47">
        <v>-5.5133286338310272E-3</v>
      </c>
      <c r="BT78" s="40">
        <v>-4955.0999999999995</v>
      </c>
      <c r="BU78" s="40">
        <v>1402129.4693453135</v>
      </c>
      <c r="BV78" s="40">
        <v>0</v>
      </c>
      <c r="BW78" s="40">
        <v>1402129.4693453135</v>
      </c>
      <c r="BX78" s="40">
        <v>18697.6548</v>
      </c>
      <c r="BY78" s="40">
        <v>1383431.8145453136</v>
      </c>
    </row>
    <row r="79" spans="1:77">
      <c r="A79">
        <f>_xlfn.XLOOKUP(B79,'Summary June 2026'!B:B,'Summary June 2026'!A:A,0,0)</f>
        <v>2454</v>
      </c>
      <c r="B79" s="54">
        <v>103381</v>
      </c>
      <c r="C79" s="54">
        <v>3302454</v>
      </c>
      <c r="D79" s="55" t="s">
        <v>134</v>
      </c>
      <c r="E79" s="46">
        <v>385</v>
      </c>
      <c r="F79" s="46">
        <v>385</v>
      </c>
      <c r="G79" s="46">
        <v>0</v>
      </c>
      <c r="H79" s="40">
        <v>1548173.165</v>
      </c>
      <c r="I79" s="40">
        <v>0</v>
      </c>
      <c r="J79" s="40">
        <v>0</v>
      </c>
      <c r="K79" s="40">
        <v>122045.1699999999</v>
      </c>
      <c r="L79" s="40">
        <v>0</v>
      </c>
      <c r="M79" s="40">
        <v>298342.79999999976</v>
      </c>
      <c r="N79" s="40">
        <v>0</v>
      </c>
      <c r="O79" s="40">
        <v>4364.1709977599949</v>
      </c>
      <c r="P79" s="40">
        <v>9997.3562572799983</v>
      </c>
      <c r="Q79" s="40">
        <v>5050.2640742399872</v>
      </c>
      <c r="R79" s="40">
        <v>31343.620546559992</v>
      </c>
      <c r="S79" s="40">
        <v>60087.309434879826</v>
      </c>
      <c r="T79" s="40">
        <v>86927.47693055986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48635.136809815864</v>
      </c>
      <c r="AB79" s="40">
        <v>0</v>
      </c>
      <c r="AC79" s="40">
        <v>158412.9423291627</v>
      </c>
      <c r="AD79" s="40">
        <v>0</v>
      </c>
      <c r="AE79" s="40">
        <v>5686.1839999999893</v>
      </c>
      <c r="AF79" s="40">
        <v>0</v>
      </c>
      <c r="AG79" s="40">
        <v>149406.57</v>
      </c>
      <c r="AH79" s="40">
        <v>0</v>
      </c>
      <c r="AI79" s="40">
        <v>0</v>
      </c>
      <c r="AJ79" s="40">
        <v>0</v>
      </c>
      <c r="AK79" s="40">
        <v>31408.513500000001</v>
      </c>
      <c r="AL79" s="40">
        <v>0</v>
      </c>
      <c r="AM79" s="40">
        <v>0</v>
      </c>
      <c r="AN79" s="40">
        <v>0</v>
      </c>
      <c r="AO79" s="40">
        <v>0</v>
      </c>
      <c r="AP79" s="40">
        <v>0</v>
      </c>
      <c r="AQ79" s="40">
        <v>0</v>
      </c>
      <c r="AR79" s="40">
        <v>0</v>
      </c>
      <c r="AS79" s="40">
        <v>0</v>
      </c>
      <c r="AT79" s="40">
        <v>1548173.165</v>
      </c>
      <c r="AU79" s="40">
        <v>830892.43138025783</v>
      </c>
      <c r="AV79" s="40">
        <v>180815.08350000001</v>
      </c>
      <c r="AW79" s="40">
        <v>458358.5411460232</v>
      </c>
      <c r="AX79" s="56">
        <v>2559880.6798802582</v>
      </c>
      <c r="AY79" s="56">
        <v>2528472.1663802583</v>
      </c>
      <c r="AZ79" s="56">
        <v>5115</v>
      </c>
      <c r="BA79" s="56">
        <v>1969275</v>
      </c>
      <c r="BB79" s="56">
        <v>0</v>
      </c>
      <c r="BC79" s="56">
        <v>0</v>
      </c>
      <c r="BD79" s="56">
        <v>2559880.6798802582</v>
      </c>
      <c r="BE79" s="40">
        <v>2559880.6798802582</v>
      </c>
      <c r="BF79" s="40">
        <v>0</v>
      </c>
      <c r="BG79" s="56">
        <v>2000683.5134999999</v>
      </c>
      <c r="BH79" s="56">
        <v>1819868.4299999997</v>
      </c>
      <c r="BI79" s="40">
        <v>2379065.5963802584</v>
      </c>
      <c r="BJ79" s="40">
        <v>6179.3911594292431</v>
      </c>
      <c r="BK79" s="40">
        <v>6139.3309940860217</v>
      </c>
      <c r="BL79" s="41">
        <v>6.5251678695628307E-3</v>
      </c>
      <c r="BM79" s="41">
        <v>0</v>
      </c>
      <c r="BN79" s="40">
        <v>0</v>
      </c>
      <c r="BO79" s="56">
        <v>2559880.6798802582</v>
      </c>
      <c r="BP79" s="56">
        <v>6567.4601724162549</v>
      </c>
      <c r="BQ79" s="56" t="s">
        <v>1091</v>
      </c>
      <c r="BR79" s="56">
        <v>6649.0407269617099</v>
      </c>
      <c r="BS79" s="47">
        <v>3.9491565856162314E-3</v>
      </c>
      <c r="BT79" s="40">
        <v>-9586.5</v>
      </c>
      <c r="BU79" s="40">
        <v>2550294.1798802582</v>
      </c>
      <c r="BV79" s="40">
        <v>0</v>
      </c>
      <c r="BW79" s="40">
        <v>2550294.1798802582</v>
      </c>
      <c r="BX79" s="40">
        <v>31408.513500000001</v>
      </c>
      <c r="BY79" s="40">
        <v>2518885.6663802583</v>
      </c>
    </row>
    <row r="80" spans="1:77">
      <c r="A80">
        <f>_xlfn.XLOOKUP(B80,'Summary June 2026'!B:B,'Summary June 2026'!A:A,0,0)</f>
        <v>2456</v>
      </c>
      <c r="B80" s="54">
        <v>103383</v>
      </c>
      <c r="C80" s="54">
        <v>3302456</v>
      </c>
      <c r="D80" s="55" t="s">
        <v>68</v>
      </c>
      <c r="E80" s="46">
        <v>197</v>
      </c>
      <c r="F80" s="46">
        <v>197</v>
      </c>
      <c r="G80" s="46">
        <v>0</v>
      </c>
      <c r="H80" s="40">
        <v>792182.11300000001</v>
      </c>
      <c r="I80" s="40">
        <v>0</v>
      </c>
      <c r="J80" s="40">
        <v>0</v>
      </c>
      <c r="K80" s="40">
        <v>40517.020000000004</v>
      </c>
      <c r="L80" s="40">
        <v>0</v>
      </c>
      <c r="M80" s="40">
        <v>97079.8</v>
      </c>
      <c r="N80" s="40">
        <v>0</v>
      </c>
      <c r="O80" s="40">
        <v>5091.5328307199707</v>
      </c>
      <c r="P80" s="40">
        <v>2646.3590092799968</v>
      </c>
      <c r="Q80" s="40">
        <v>918.22983167999166</v>
      </c>
      <c r="R80" s="40">
        <v>3033.2536012799928</v>
      </c>
      <c r="S80" s="40">
        <v>7510.9136793599973</v>
      </c>
      <c r="T80" s="40">
        <v>74206.382745599985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17496.648809523715</v>
      </c>
      <c r="AB80" s="40">
        <v>0</v>
      </c>
      <c r="AC80" s="40">
        <v>95968.432871241996</v>
      </c>
      <c r="AD80" s="40">
        <v>0</v>
      </c>
      <c r="AE80" s="40">
        <v>4992.2767999999969</v>
      </c>
      <c r="AF80" s="40">
        <v>0</v>
      </c>
      <c r="AG80" s="40">
        <v>149406.57</v>
      </c>
      <c r="AH80" s="40">
        <v>0</v>
      </c>
      <c r="AI80" s="40">
        <v>0</v>
      </c>
      <c r="AJ80" s="40">
        <v>0</v>
      </c>
      <c r="AK80" s="40">
        <v>22911.210800000001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792182.11300000001</v>
      </c>
      <c r="AU80" s="40">
        <v>349460.85017868562</v>
      </c>
      <c r="AV80" s="40">
        <v>172317.78080000001</v>
      </c>
      <c r="AW80" s="40">
        <v>218738.79553249315</v>
      </c>
      <c r="AX80" s="56">
        <v>1313960.7439786857</v>
      </c>
      <c r="AY80" s="56">
        <v>1291049.5331786857</v>
      </c>
      <c r="AZ80" s="56">
        <v>5115</v>
      </c>
      <c r="BA80" s="56">
        <v>1007655</v>
      </c>
      <c r="BB80" s="56">
        <v>0</v>
      </c>
      <c r="BC80" s="56">
        <v>0</v>
      </c>
      <c r="BD80" s="56">
        <v>1313960.7439786857</v>
      </c>
      <c r="BE80" s="40">
        <v>1313960.7439786857</v>
      </c>
      <c r="BF80" s="40">
        <v>0</v>
      </c>
      <c r="BG80" s="56">
        <v>1030566.2108</v>
      </c>
      <c r="BH80" s="56">
        <v>858248.42999999993</v>
      </c>
      <c r="BI80" s="40">
        <v>1141642.9631786856</v>
      </c>
      <c r="BJ80" s="40">
        <v>5795.1419450694702</v>
      </c>
      <c r="BK80" s="40">
        <v>5909.8372721393034</v>
      </c>
      <c r="BL80" s="41">
        <v>-1.9407527109171079E-2</v>
      </c>
      <c r="BM80" s="41">
        <v>1.4407527109171078E-2</v>
      </c>
      <c r="BN80" s="40">
        <v>16773.789719699926</v>
      </c>
      <c r="BO80" s="56">
        <v>1330734.5336983856</v>
      </c>
      <c r="BP80" s="56">
        <v>6638.6970705501808</v>
      </c>
      <c r="BQ80" s="56" t="s">
        <v>1091</v>
      </c>
      <c r="BR80" s="56">
        <v>6754.9976329867286</v>
      </c>
      <c r="BS80" s="47">
        <v>-1.6838474026187877E-2</v>
      </c>
      <c r="BT80" s="40">
        <v>-4905.2999999999993</v>
      </c>
      <c r="BU80" s="40">
        <v>1325829.2336983855</v>
      </c>
      <c r="BV80" s="40">
        <v>0</v>
      </c>
      <c r="BW80" s="40">
        <v>1325829.2336983855</v>
      </c>
      <c r="BX80" s="40">
        <v>22911.210800000001</v>
      </c>
      <c r="BY80" s="40">
        <v>1302918.0228983855</v>
      </c>
    </row>
    <row r="81" spans="1:77">
      <c r="A81">
        <f>_xlfn.XLOOKUP(B81,'Summary June 2026'!B:B,'Summary June 2026'!A:A,0,0)</f>
        <v>2457</v>
      </c>
      <c r="B81" s="54">
        <v>103384</v>
      </c>
      <c r="C81" s="54">
        <v>3302457</v>
      </c>
      <c r="D81" s="55" t="s">
        <v>246</v>
      </c>
      <c r="E81" s="46">
        <v>404</v>
      </c>
      <c r="F81" s="46">
        <v>404</v>
      </c>
      <c r="G81" s="46">
        <v>0</v>
      </c>
      <c r="H81" s="40">
        <v>1624576.5160000001</v>
      </c>
      <c r="I81" s="40">
        <v>0</v>
      </c>
      <c r="J81" s="40">
        <v>0</v>
      </c>
      <c r="K81" s="40">
        <v>103763.09999999985</v>
      </c>
      <c r="L81" s="40">
        <v>0</v>
      </c>
      <c r="M81" s="40">
        <v>253354.59999999966</v>
      </c>
      <c r="N81" s="40">
        <v>0</v>
      </c>
      <c r="O81" s="40">
        <v>6319.4447422761223</v>
      </c>
      <c r="P81" s="40">
        <v>7074.4684185218839</v>
      </c>
      <c r="Q81" s="40">
        <v>22552.45378155975</v>
      </c>
      <c r="R81" s="40">
        <v>78553.490699815273</v>
      </c>
      <c r="S81" s="40">
        <v>49479.907769310972</v>
      </c>
      <c r="T81" s="40">
        <v>24088.3581092653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95090.90253521112</v>
      </c>
      <c r="AB81" s="40">
        <v>0</v>
      </c>
      <c r="AC81" s="40">
        <v>162996.2179774727</v>
      </c>
      <c r="AD81" s="40">
        <v>0</v>
      </c>
      <c r="AE81" s="40">
        <v>2659.9775999999861</v>
      </c>
      <c r="AF81" s="40">
        <v>0</v>
      </c>
      <c r="AG81" s="40">
        <v>149406.57</v>
      </c>
      <c r="AH81" s="40">
        <v>0</v>
      </c>
      <c r="AI81" s="40">
        <v>0</v>
      </c>
      <c r="AJ81" s="40">
        <v>0</v>
      </c>
      <c r="AK81" s="40">
        <v>10603.975200000001</v>
      </c>
      <c r="AL81" s="40">
        <v>0</v>
      </c>
      <c r="AM81" s="40">
        <v>0</v>
      </c>
      <c r="AN81" s="40">
        <v>0</v>
      </c>
      <c r="AO81" s="40">
        <v>0</v>
      </c>
      <c r="AP81" s="40">
        <v>0</v>
      </c>
      <c r="AQ81" s="40">
        <v>0</v>
      </c>
      <c r="AR81" s="40">
        <v>0</v>
      </c>
      <c r="AS81" s="40">
        <v>0</v>
      </c>
      <c r="AT81" s="40">
        <v>1624576.5160000001</v>
      </c>
      <c r="AU81" s="40">
        <v>805932.92163343262</v>
      </c>
      <c r="AV81" s="40">
        <v>160010.54519999999</v>
      </c>
      <c r="AW81" s="40">
        <v>440491.94024494226</v>
      </c>
      <c r="AX81" s="56">
        <v>2590519.9828334325</v>
      </c>
      <c r="AY81" s="56">
        <v>2579916.0076334323</v>
      </c>
      <c r="AZ81" s="56">
        <v>5115</v>
      </c>
      <c r="BA81" s="56">
        <v>2066460</v>
      </c>
      <c r="BB81" s="56">
        <v>0</v>
      </c>
      <c r="BC81" s="56">
        <v>0</v>
      </c>
      <c r="BD81" s="56">
        <v>2590519.9828334325</v>
      </c>
      <c r="BE81" s="40">
        <v>2590519.9828334325</v>
      </c>
      <c r="BF81" s="40">
        <v>0</v>
      </c>
      <c r="BG81" s="56">
        <v>2077063.9752</v>
      </c>
      <c r="BH81" s="56">
        <v>1917053.43</v>
      </c>
      <c r="BI81" s="40">
        <v>2430509.4376334324</v>
      </c>
      <c r="BJ81" s="40">
        <v>6016.1124693896845</v>
      </c>
      <c r="BK81" s="40">
        <v>5821.3296418269229</v>
      </c>
      <c r="BL81" s="41">
        <v>3.3460195444563842E-2</v>
      </c>
      <c r="BM81" s="41">
        <v>0</v>
      </c>
      <c r="BN81" s="40">
        <v>0</v>
      </c>
      <c r="BO81" s="56">
        <v>2590519.9828334325</v>
      </c>
      <c r="BP81" s="56">
        <v>6385.9307119639416</v>
      </c>
      <c r="BQ81" s="56" t="s">
        <v>1091</v>
      </c>
      <c r="BR81" s="56">
        <v>6412.1781753302785</v>
      </c>
      <c r="BS81" s="47">
        <v>2.4813522740659621E-2</v>
      </c>
      <c r="BT81" s="40">
        <v>-10059.599999999999</v>
      </c>
      <c r="BU81" s="40">
        <v>2580460.3828334324</v>
      </c>
      <c r="BV81" s="40">
        <v>0</v>
      </c>
      <c r="BW81" s="40">
        <v>2580460.3828334324</v>
      </c>
      <c r="BX81" s="40">
        <v>10603.975200000001</v>
      </c>
      <c r="BY81" s="40">
        <v>2569856.4076334322</v>
      </c>
    </row>
    <row r="82" spans="1:77">
      <c r="A82">
        <f>_xlfn.XLOOKUP(B82,'Summary June 2026'!B:B,'Summary June 2026'!A:A,0,0)</f>
        <v>2462</v>
      </c>
      <c r="B82" s="54">
        <v>103388</v>
      </c>
      <c r="C82" s="54">
        <v>3302462</v>
      </c>
      <c r="D82" s="55" t="s">
        <v>220</v>
      </c>
      <c r="E82" s="46">
        <v>420</v>
      </c>
      <c r="F82" s="46">
        <v>420</v>
      </c>
      <c r="G82" s="46">
        <v>0</v>
      </c>
      <c r="H82" s="40">
        <v>1688916.1800000002</v>
      </c>
      <c r="I82" s="40">
        <v>0</v>
      </c>
      <c r="J82" s="40">
        <v>0</v>
      </c>
      <c r="K82" s="40">
        <v>12352.749999999995</v>
      </c>
      <c r="L82" s="40">
        <v>0</v>
      </c>
      <c r="M82" s="40">
        <v>29597.499999999989</v>
      </c>
      <c r="N82" s="40">
        <v>0</v>
      </c>
      <c r="O82" s="40">
        <v>4849.0788863999987</v>
      </c>
      <c r="P82" s="40">
        <v>588.07977983999979</v>
      </c>
      <c r="Q82" s="40">
        <v>0</v>
      </c>
      <c r="R82" s="40">
        <v>505.54226687999977</v>
      </c>
      <c r="S82" s="40">
        <v>0</v>
      </c>
      <c r="T82" s="40">
        <v>706.72745471999963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42475.113333333225</v>
      </c>
      <c r="AB82" s="40">
        <v>0</v>
      </c>
      <c r="AC82" s="40">
        <v>80102.256306798197</v>
      </c>
      <c r="AD82" s="40">
        <v>0</v>
      </c>
      <c r="AE82" s="40">
        <v>0</v>
      </c>
      <c r="AF82" s="40">
        <v>0</v>
      </c>
      <c r="AG82" s="40">
        <v>149406.57</v>
      </c>
      <c r="AH82" s="40">
        <v>0</v>
      </c>
      <c r="AI82" s="40">
        <v>0</v>
      </c>
      <c r="AJ82" s="40">
        <v>0</v>
      </c>
      <c r="AK82" s="40">
        <v>37459.695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1688916.1800000002</v>
      </c>
      <c r="AU82" s="40">
        <v>171177.04802797141</v>
      </c>
      <c r="AV82" s="40">
        <v>186866.26500000001</v>
      </c>
      <c r="AW82" s="40">
        <v>182043.94952642059</v>
      </c>
      <c r="AX82" s="56">
        <v>2046959.4930279716</v>
      </c>
      <c r="AY82" s="56">
        <v>2009499.7980279715</v>
      </c>
      <c r="AZ82" s="56">
        <v>5115</v>
      </c>
      <c r="BA82" s="56">
        <v>2148300</v>
      </c>
      <c r="BB82" s="56">
        <v>138800.20197202847</v>
      </c>
      <c r="BC82" s="56">
        <v>0</v>
      </c>
      <c r="BD82" s="56">
        <v>2185759.6950000003</v>
      </c>
      <c r="BE82" s="40">
        <v>2185759.6950000003</v>
      </c>
      <c r="BF82" s="40">
        <v>0</v>
      </c>
      <c r="BG82" s="56">
        <v>2185759.6949999998</v>
      </c>
      <c r="BH82" s="56">
        <v>1998893.4299999997</v>
      </c>
      <c r="BI82" s="40">
        <v>1998893.4300000002</v>
      </c>
      <c r="BJ82" s="40">
        <v>4759.270071428572</v>
      </c>
      <c r="BK82" s="40">
        <v>4753.0538066350709</v>
      </c>
      <c r="BL82" s="41">
        <v>1.3078465017213594E-3</v>
      </c>
      <c r="BM82" s="41">
        <v>0</v>
      </c>
      <c r="BN82" s="40">
        <v>0</v>
      </c>
      <c r="BO82" s="56">
        <v>2185759.6950000003</v>
      </c>
      <c r="BP82" s="56">
        <v>5115.0000000000009</v>
      </c>
      <c r="BQ82" s="56" t="s">
        <v>1091</v>
      </c>
      <c r="BR82" s="56">
        <v>5204.1897500000005</v>
      </c>
      <c r="BS82" s="47">
        <v>-7.7896206599448181E-3</v>
      </c>
      <c r="BT82" s="40">
        <v>-10458</v>
      </c>
      <c r="BU82" s="40">
        <v>2175301.6950000003</v>
      </c>
      <c r="BV82" s="40">
        <v>0</v>
      </c>
      <c r="BW82" s="40">
        <v>2175301.6950000003</v>
      </c>
      <c r="BX82" s="40">
        <v>37459.695</v>
      </c>
      <c r="BY82" s="40">
        <v>2137842.0000000005</v>
      </c>
    </row>
    <row r="83" spans="1:77">
      <c r="A83">
        <f>_xlfn.XLOOKUP(B83,'Summary June 2026'!B:B,'Summary June 2026'!A:A,0,0)</f>
        <v>2464</v>
      </c>
      <c r="B83" s="54">
        <v>103390</v>
      </c>
      <c r="C83" s="54">
        <v>3302464</v>
      </c>
      <c r="D83" s="55" t="s">
        <v>126</v>
      </c>
      <c r="E83" s="46">
        <v>413</v>
      </c>
      <c r="F83" s="46">
        <v>413</v>
      </c>
      <c r="G83" s="46">
        <v>0</v>
      </c>
      <c r="H83" s="40">
        <v>1660767.577</v>
      </c>
      <c r="I83" s="40">
        <v>0</v>
      </c>
      <c r="J83" s="40">
        <v>0</v>
      </c>
      <c r="K83" s="40">
        <v>14823.299999999988</v>
      </c>
      <c r="L83" s="40">
        <v>0</v>
      </c>
      <c r="M83" s="40">
        <v>39068.699999999968</v>
      </c>
      <c r="N83" s="40">
        <v>0</v>
      </c>
      <c r="O83" s="40">
        <v>4121.7170534399929</v>
      </c>
      <c r="P83" s="40">
        <v>882.11966975999928</v>
      </c>
      <c r="Q83" s="40">
        <v>0</v>
      </c>
      <c r="R83" s="40">
        <v>7077.5917363199869</v>
      </c>
      <c r="S83" s="40">
        <v>0</v>
      </c>
      <c r="T83" s="40">
        <v>706.72745471999747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12569.146062322923</v>
      </c>
      <c r="AB83" s="40">
        <v>0</v>
      </c>
      <c r="AC83" s="40">
        <v>96190.333641122896</v>
      </c>
      <c r="AD83" s="40">
        <v>0</v>
      </c>
      <c r="AE83" s="40">
        <v>0</v>
      </c>
      <c r="AF83" s="40">
        <v>0</v>
      </c>
      <c r="AG83" s="40">
        <v>149406.57</v>
      </c>
      <c r="AH83" s="40">
        <v>0</v>
      </c>
      <c r="AI83" s="40">
        <v>0</v>
      </c>
      <c r="AJ83" s="40">
        <v>0</v>
      </c>
      <c r="AK83" s="40">
        <v>33844.406999999999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1660767.577</v>
      </c>
      <c r="AU83" s="40">
        <v>175439.63561768574</v>
      </c>
      <c r="AV83" s="40">
        <v>183250.97700000001</v>
      </c>
      <c r="AW83" s="40">
        <v>203233.56862024928</v>
      </c>
      <c r="AX83" s="56">
        <v>2019458.1896176857</v>
      </c>
      <c r="AY83" s="56">
        <v>1985613.7826176859</v>
      </c>
      <c r="AZ83" s="56">
        <v>5115</v>
      </c>
      <c r="BA83" s="56">
        <v>2112495</v>
      </c>
      <c r="BB83" s="56">
        <v>126881.21738231415</v>
      </c>
      <c r="BC83" s="56">
        <v>0</v>
      </c>
      <c r="BD83" s="56">
        <v>2146339.4069999997</v>
      </c>
      <c r="BE83" s="40">
        <v>2146339.4070000001</v>
      </c>
      <c r="BF83" s="40">
        <v>0</v>
      </c>
      <c r="BG83" s="56">
        <v>2146339.4070000001</v>
      </c>
      <c r="BH83" s="56">
        <v>1963088.4300000002</v>
      </c>
      <c r="BI83" s="40">
        <v>1963088.4299999997</v>
      </c>
      <c r="BJ83" s="40">
        <v>4753.240750605326</v>
      </c>
      <c r="BK83" s="40">
        <v>4746.4988987834549</v>
      </c>
      <c r="BL83" s="41">
        <v>1.4203841538020759E-3</v>
      </c>
      <c r="BM83" s="41">
        <v>0</v>
      </c>
      <c r="BN83" s="40">
        <v>4.6566128730773926E-10</v>
      </c>
      <c r="BO83" s="56">
        <v>2146339.4070000001</v>
      </c>
      <c r="BP83" s="56">
        <v>5115</v>
      </c>
      <c r="BQ83" s="56" t="s">
        <v>1091</v>
      </c>
      <c r="BR83" s="56">
        <v>5196.9477167070218</v>
      </c>
      <c r="BS83" s="47">
        <v>1.7179169698700036E-3</v>
      </c>
      <c r="BT83" s="40">
        <v>-10283.699999999999</v>
      </c>
      <c r="BU83" s="40">
        <v>2136055.7069999999</v>
      </c>
      <c r="BV83" s="40">
        <v>0</v>
      </c>
      <c r="BW83" s="40">
        <v>2136055.7069999999</v>
      </c>
      <c r="BX83" s="40">
        <v>33844.406999999999</v>
      </c>
      <c r="BY83" s="40">
        <v>2102211.2999999998</v>
      </c>
    </row>
    <row r="84" spans="1:77">
      <c r="A84">
        <f>_xlfn.XLOOKUP(B84,'Summary June 2026'!B:B,'Summary June 2026'!A:A,0,0)</f>
        <v>2465</v>
      </c>
      <c r="B84" s="54">
        <v>103391</v>
      </c>
      <c r="C84" s="54">
        <v>3302465</v>
      </c>
      <c r="D84" s="55" t="s">
        <v>93</v>
      </c>
      <c r="E84" s="46">
        <v>412</v>
      </c>
      <c r="F84" s="46">
        <v>412</v>
      </c>
      <c r="G84" s="46">
        <v>0</v>
      </c>
      <c r="H84" s="40">
        <v>1656746.348</v>
      </c>
      <c r="I84" s="40">
        <v>0</v>
      </c>
      <c r="J84" s="40">
        <v>0</v>
      </c>
      <c r="K84" s="40">
        <v>64234.299999999945</v>
      </c>
      <c r="L84" s="40">
        <v>0</v>
      </c>
      <c r="M84" s="40">
        <v>159826.49999999985</v>
      </c>
      <c r="N84" s="40">
        <v>0</v>
      </c>
      <c r="O84" s="40">
        <v>34998.315349432931</v>
      </c>
      <c r="P84" s="40">
        <v>3537.0637853150361</v>
      </c>
      <c r="Q84" s="40">
        <v>1380.6959512852552</v>
      </c>
      <c r="R84" s="40">
        <v>2533.8614836321167</v>
      </c>
      <c r="S84" s="40">
        <v>5915.7908923982486</v>
      </c>
      <c r="T84" s="40">
        <v>708.44698623999989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49041.471011235953</v>
      </c>
      <c r="AB84" s="40">
        <v>0</v>
      </c>
      <c r="AC84" s="40">
        <v>165481.9996547722</v>
      </c>
      <c r="AD84" s="40">
        <v>0</v>
      </c>
      <c r="AE84" s="40">
        <v>0</v>
      </c>
      <c r="AF84" s="40">
        <v>0</v>
      </c>
      <c r="AG84" s="40">
        <v>149406.57</v>
      </c>
      <c r="AH84" s="40">
        <v>0</v>
      </c>
      <c r="AI84" s="40">
        <v>0</v>
      </c>
      <c r="AJ84" s="40">
        <v>0</v>
      </c>
      <c r="AK84" s="40">
        <v>42646.421999999999</v>
      </c>
      <c r="AL84" s="40">
        <v>482644.14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1656746.348</v>
      </c>
      <c r="AU84" s="40">
        <v>487658.44511431153</v>
      </c>
      <c r="AV84" s="40">
        <v>674697.13199999998</v>
      </c>
      <c r="AW84" s="40">
        <v>346647.90785616147</v>
      </c>
      <c r="AX84" s="56">
        <v>2819101.9251143113</v>
      </c>
      <c r="AY84" s="56">
        <v>2293811.3631143114</v>
      </c>
      <c r="AZ84" s="56">
        <v>5115</v>
      </c>
      <c r="BA84" s="56">
        <v>2107380</v>
      </c>
      <c r="BB84" s="56">
        <v>0</v>
      </c>
      <c r="BC84" s="56">
        <v>0</v>
      </c>
      <c r="BD84" s="56">
        <v>2819101.9251143113</v>
      </c>
      <c r="BE84" s="40">
        <v>2819101.9251143113</v>
      </c>
      <c r="BF84" s="40">
        <v>0</v>
      </c>
      <c r="BG84" s="56">
        <v>2632670.5619999999</v>
      </c>
      <c r="BH84" s="56">
        <v>1957973.4300000002</v>
      </c>
      <c r="BI84" s="40">
        <v>2144404.7931143115</v>
      </c>
      <c r="BJ84" s="40">
        <v>5204.8660027046399</v>
      </c>
      <c r="BK84" s="40">
        <v>5125.2848217703358</v>
      </c>
      <c r="BL84" s="41">
        <v>1.5527172381966417E-2</v>
      </c>
      <c r="BM84" s="41">
        <v>0</v>
      </c>
      <c r="BN84" s="40">
        <v>0</v>
      </c>
      <c r="BO84" s="56">
        <v>2819101.9251143113</v>
      </c>
      <c r="BP84" s="56">
        <v>5567.5033085298819</v>
      </c>
      <c r="BQ84" s="56" t="s">
        <v>1091</v>
      </c>
      <c r="BR84" s="56">
        <v>6842.4804007628918</v>
      </c>
      <c r="BS84" s="47">
        <v>2.1120271077017305E-2</v>
      </c>
      <c r="BT84" s="40">
        <v>-10258.799999999999</v>
      </c>
      <c r="BU84" s="40">
        <v>2808843.1251143115</v>
      </c>
      <c r="BV84" s="40">
        <v>0</v>
      </c>
      <c r="BW84" s="40">
        <v>2808843.1251143115</v>
      </c>
      <c r="BX84" s="40">
        <v>42646.421999999999</v>
      </c>
      <c r="BY84" s="40">
        <v>2766196.7031143117</v>
      </c>
    </row>
    <row r="85" spans="1:77">
      <c r="A85">
        <f>_xlfn.XLOOKUP(B85,'Summary June 2026'!B:B,'Summary June 2026'!A:A,0,0)</f>
        <v>2466</v>
      </c>
      <c r="B85" s="54">
        <v>103392</v>
      </c>
      <c r="C85" s="54">
        <v>3302466</v>
      </c>
      <c r="D85" s="55" t="s">
        <v>162</v>
      </c>
      <c r="E85" s="46">
        <v>570</v>
      </c>
      <c r="F85" s="46">
        <v>570</v>
      </c>
      <c r="G85" s="46">
        <v>0</v>
      </c>
      <c r="H85" s="40">
        <v>2292100.5300000003</v>
      </c>
      <c r="I85" s="40">
        <v>0</v>
      </c>
      <c r="J85" s="40">
        <v>0</v>
      </c>
      <c r="K85" s="40">
        <v>162068.07999999999</v>
      </c>
      <c r="L85" s="40">
        <v>0</v>
      </c>
      <c r="M85" s="40">
        <v>398974.29999999964</v>
      </c>
      <c r="N85" s="40">
        <v>0</v>
      </c>
      <c r="O85" s="40">
        <v>3406.307175481682</v>
      </c>
      <c r="P85" s="40">
        <v>7081.80579948168</v>
      </c>
      <c r="Q85" s="40">
        <v>69570.459166107001</v>
      </c>
      <c r="R85" s="40">
        <v>100449.82436633221</v>
      </c>
      <c r="S85" s="40">
        <v>83987.731937712495</v>
      </c>
      <c r="T85" s="40">
        <v>7801.3752484055967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104265.25108054979</v>
      </c>
      <c r="AB85" s="40">
        <v>0</v>
      </c>
      <c r="AC85" s="40">
        <v>223073.03652046662</v>
      </c>
      <c r="AD85" s="40">
        <v>0</v>
      </c>
      <c r="AE85" s="40">
        <v>6623.012920913874</v>
      </c>
      <c r="AF85" s="40">
        <v>0</v>
      </c>
      <c r="AG85" s="40">
        <v>149406.57</v>
      </c>
      <c r="AH85" s="40">
        <v>0</v>
      </c>
      <c r="AI85" s="40">
        <v>0</v>
      </c>
      <c r="AJ85" s="40">
        <v>53911.6</v>
      </c>
      <c r="AK85" s="40">
        <v>40053.058499999999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2292100.5300000003</v>
      </c>
      <c r="AU85" s="40">
        <v>1167301.1842154509</v>
      </c>
      <c r="AV85" s="40">
        <v>243371.22850000003</v>
      </c>
      <c r="AW85" s="40">
        <v>637680.42115013395</v>
      </c>
      <c r="AX85" s="56">
        <v>3702772.9427154511</v>
      </c>
      <c r="AY85" s="56">
        <v>3608808.2842154512</v>
      </c>
      <c r="AZ85" s="56">
        <v>5115</v>
      </c>
      <c r="BA85" s="56">
        <v>2915550</v>
      </c>
      <c r="BB85" s="56">
        <v>0</v>
      </c>
      <c r="BC85" s="56">
        <v>0</v>
      </c>
      <c r="BD85" s="56">
        <v>3702772.9427154511</v>
      </c>
      <c r="BE85" s="40">
        <v>3702772.9427154507</v>
      </c>
      <c r="BF85" s="40">
        <v>0</v>
      </c>
      <c r="BG85" s="56">
        <v>3009514.6584999999</v>
      </c>
      <c r="BH85" s="56">
        <v>2766143.43</v>
      </c>
      <c r="BI85" s="40">
        <v>3459401.7142154514</v>
      </c>
      <c r="BJ85" s="40">
        <v>6069.1258144130725</v>
      </c>
      <c r="BK85" s="40">
        <v>5885.7287248344373</v>
      </c>
      <c r="BL85" s="41">
        <v>3.1159623243389289E-2</v>
      </c>
      <c r="BM85" s="41">
        <v>0</v>
      </c>
      <c r="BN85" s="40">
        <v>0</v>
      </c>
      <c r="BO85" s="56">
        <v>3702772.9427154511</v>
      </c>
      <c r="BP85" s="56">
        <v>6331.2426038867561</v>
      </c>
      <c r="BQ85" s="56" t="s">
        <v>1091</v>
      </c>
      <c r="BR85" s="56">
        <v>6496.0928819569317</v>
      </c>
      <c r="BS85" s="47">
        <v>3.5818270068102231E-2</v>
      </c>
      <c r="BT85" s="40">
        <v>-14193</v>
      </c>
      <c r="BU85" s="40">
        <v>3688579.9427154511</v>
      </c>
      <c r="BV85" s="40">
        <v>0</v>
      </c>
      <c r="BW85" s="40">
        <v>3688579.9427154511</v>
      </c>
      <c r="BX85" s="40">
        <v>40053.058499999999</v>
      </c>
      <c r="BY85" s="40">
        <v>3648526.8842154513</v>
      </c>
    </row>
    <row r="86" spans="1:77">
      <c r="A86">
        <f>_xlfn.XLOOKUP(B86,'Summary June 2026'!B:B,'Summary June 2026'!A:A,0,0)</f>
        <v>2469</v>
      </c>
      <c r="B86" s="54">
        <v>103395</v>
      </c>
      <c r="C86" s="54">
        <v>3302469</v>
      </c>
      <c r="D86" s="55" t="s">
        <v>250</v>
      </c>
      <c r="E86" s="46">
        <v>303</v>
      </c>
      <c r="F86" s="46">
        <v>303</v>
      </c>
      <c r="G86" s="46">
        <v>0</v>
      </c>
      <c r="H86" s="40">
        <v>1218432.3870000001</v>
      </c>
      <c r="I86" s="40">
        <v>0</v>
      </c>
      <c r="J86" s="40">
        <v>0</v>
      </c>
      <c r="K86" s="40">
        <v>63246.079999999936</v>
      </c>
      <c r="L86" s="40">
        <v>0</v>
      </c>
      <c r="M86" s="40">
        <v>156274.79999999978</v>
      </c>
      <c r="N86" s="40">
        <v>0</v>
      </c>
      <c r="O86" s="40">
        <v>729.77031585059558</v>
      </c>
      <c r="P86" s="40">
        <v>1475.0676596980063</v>
      </c>
      <c r="Q86" s="40">
        <v>460.63516390569458</v>
      </c>
      <c r="R86" s="40">
        <v>88255.627133931514</v>
      </c>
      <c r="S86" s="40">
        <v>2153.0812155591925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33660.469051094733</v>
      </c>
      <c r="AB86" s="40">
        <v>0</v>
      </c>
      <c r="AC86" s="40">
        <v>133466.6277281474</v>
      </c>
      <c r="AD86" s="40">
        <v>0</v>
      </c>
      <c r="AE86" s="40">
        <v>28739.323199999879</v>
      </c>
      <c r="AF86" s="40">
        <v>0</v>
      </c>
      <c r="AG86" s="40">
        <v>149406.57</v>
      </c>
      <c r="AH86" s="40">
        <v>0</v>
      </c>
      <c r="AI86" s="40">
        <v>0</v>
      </c>
      <c r="AJ86" s="40">
        <v>0</v>
      </c>
      <c r="AK86" s="40">
        <v>8644.5450000000001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1218432.3870000001</v>
      </c>
      <c r="AU86" s="40">
        <v>508461.48146818671</v>
      </c>
      <c r="AV86" s="40">
        <v>158051.11500000002</v>
      </c>
      <c r="AW86" s="40">
        <v>306922.4692141675</v>
      </c>
      <c r="AX86" s="56">
        <v>1884944.9834681868</v>
      </c>
      <c r="AY86" s="56">
        <v>1876300.4384681869</v>
      </c>
      <c r="AZ86" s="56">
        <v>5115</v>
      </c>
      <c r="BA86" s="56">
        <v>1549845</v>
      </c>
      <c r="BB86" s="56">
        <v>0</v>
      </c>
      <c r="BC86" s="56">
        <v>0</v>
      </c>
      <c r="BD86" s="56">
        <v>1884944.9834681868</v>
      </c>
      <c r="BE86" s="40">
        <v>1884944.983468187</v>
      </c>
      <c r="BF86" s="40">
        <v>0</v>
      </c>
      <c r="BG86" s="56">
        <v>1558489.5449999999</v>
      </c>
      <c r="BH86" s="56">
        <v>1400438.43</v>
      </c>
      <c r="BI86" s="40">
        <v>1726893.8684681868</v>
      </c>
      <c r="BJ86" s="40">
        <v>5699.3196979148079</v>
      </c>
      <c r="BK86" s="40">
        <v>5543.6506283911667</v>
      </c>
      <c r="BL86" s="41">
        <v>2.8080606076869272E-2</v>
      </c>
      <c r="BM86" s="41">
        <v>0</v>
      </c>
      <c r="BN86" s="40">
        <v>0</v>
      </c>
      <c r="BO86" s="56">
        <v>1884944.9834681868</v>
      </c>
      <c r="BP86" s="56">
        <v>6192.4106880138179</v>
      </c>
      <c r="BQ86" s="56" t="s">
        <v>1091</v>
      </c>
      <c r="BR86" s="56">
        <v>6220.9405394989662</v>
      </c>
      <c r="BS86" s="47">
        <v>2.0831465449520969E-2</v>
      </c>
      <c r="BT86" s="40">
        <v>-7544.7</v>
      </c>
      <c r="BU86" s="40">
        <v>1877400.2834681869</v>
      </c>
      <c r="BV86" s="40">
        <v>0</v>
      </c>
      <c r="BW86" s="40">
        <v>1877400.2834681869</v>
      </c>
      <c r="BX86" s="40">
        <v>8644.5450000000001</v>
      </c>
      <c r="BY86" s="40">
        <v>1868755.7384681869</v>
      </c>
    </row>
    <row r="87" spans="1:77">
      <c r="A87">
        <f>_xlfn.XLOOKUP(B87,'Summary June 2026'!B:B,'Summary June 2026'!A:A,0,0)</f>
        <v>2474</v>
      </c>
      <c r="B87" s="54">
        <v>131672</v>
      </c>
      <c r="C87" s="54">
        <v>3302474</v>
      </c>
      <c r="D87" s="55" t="s">
        <v>188</v>
      </c>
      <c r="E87" s="46">
        <v>400</v>
      </c>
      <c r="F87" s="46">
        <v>400</v>
      </c>
      <c r="G87" s="46">
        <v>0</v>
      </c>
      <c r="H87" s="40">
        <v>1608491.6</v>
      </c>
      <c r="I87" s="40">
        <v>0</v>
      </c>
      <c r="J87" s="40">
        <v>0</v>
      </c>
      <c r="K87" s="40">
        <v>62751.97</v>
      </c>
      <c r="L87" s="40">
        <v>0</v>
      </c>
      <c r="M87" s="40">
        <v>150355.30000000002</v>
      </c>
      <c r="N87" s="40">
        <v>0</v>
      </c>
      <c r="O87" s="40">
        <v>14062.328770559998</v>
      </c>
      <c r="P87" s="40">
        <v>12349.67537664</v>
      </c>
      <c r="Q87" s="40">
        <v>918.22983167999996</v>
      </c>
      <c r="R87" s="40">
        <v>34376.874147839997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25310.120343839455</v>
      </c>
      <c r="AB87" s="40">
        <v>0</v>
      </c>
      <c r="AC87" s="40">
        <v>132105.86309321542</v>
      </c>
      <c r="AD87" s="40">
        <v>0</v>
      </c>
      <c r="AE87" s="40">
        <v>0</v>
      </c>
      <c r="AF87" s="40">
        <v>0</v>
      </c>
      <c r="AG87" s="40">
        <v>149406.57</v>
      </c>
      <c r="AH87" s="40">
        <v>0</v>
      </c>
      <c r="AI87" s="40">
        <v>0</v>
      </c>
      <c r="AJ87" s="40">
        <v>0</v>
      </c>
      <c r="AK87" s="40">
        <v>37171.5435</v>
      </c>
      <c r="AL87" s="40">
        <v>0</v>
      </c>
      <c r="AM87" s="40">
        <v>0</v>
      </c>
      <c r="AN87" s="40">
        <v>0</v>
      </c>
      <c r="AO87" s="40">
        <v>0</v>
      </c>
      <c r="AP87" s="40">
        <v>0</v>
      </c>
      <c r="AQ87" s="40">
        <v>0</v>
      </c>
      <c r="AR87" s="40">
        <v>0</v>
      </c>
      <c r="AS87" s="40">
        <v>0</v>
      </c>
      <c r="AT87" s="40">
        <v>1608491.6</v>
      </c>
      <c r="AU87" s="40">
        <v>432230.36156377487</v>
      </c>
      <c r="AV87" s="40">
        <v>186578.11350000001</v>
      </c>
      <c r="AW87" s="40">
        <v>311463.61921883468</v>
      </c>
      <c r="AX87" s="56">
        <v>2227300.0750637748</v>
      </c>
      <c r="AY87" s="56">
        <v>2190128.5315637747</v>
      </c>
      <c r="AZ87" s="56">
        <v>5115</v>
      </c>
      <c r="BA87" s="56">
        <v>2046000</v>
      </c>
      <c r="BB87" s="56">
        <v>0</v>
      </c>
      <c r="BC87" s="56">
        <v>0</v>
      </c>
      <c r="BD87" s="56">
        <v>2227300.0750637748</v>
      </c>
      <c r="BE87" s="40">
        <v>2227300.0750637753</v>
      </c>
      <c r="BF87" s="40">
        <v>0</v>
      </c>
      <c r="BG87" s="56">
        <v>2083171.5434999999</v>
      </c>
      <c r="BH87" s="56">
        <v>1896593.43</v>
      </c>
      <c r="BI87" s="40">
        <v>2040721.9615637749</v>
      </c>
      <c r="BJ87" s="40">
        <v>5101.8049039094367</v>
      </c>
      <c r="BK87" s="40">
        <v>5071.3869075060538</v>
      </c>
      <c r="BL87" s="41">
        <v>5.9979640595675746E-3</v>
      </c>
      <c r="BM87" s="41">
        <v>0</v>
      </c>
      <c r="BN87" s="40">
        <v>0</v>
      </c>
      <c r="BO87" s="56">
        <v>2227300.0750637748</v>
      </c>
      <c r="BP87" s="56">
        <v>5475.3213289094365</v>
      </c>
      <c r="BQ87" s="56" t="s">
        <v>1091</v>
      </c>
      <c r="BR87" s="56">
        <v>5568.250187659437</v>
      </c>
      <c r="BS87" s="47">
        <v>9.6325298748851651E-3</v>
      </c>
      <c r="BT87" s="40">
        <v>-9960</v>
      </c>
      <c r="BU87" s="40">
        <v>2217340.0750637748</v>
      </c>
      <c r="BV87" s="40">
        <v>0</v>
      </c>
      <c r="BW87" s="40">
        <v>2217340.0750637748</v>
      </c>
      <c r="BX87" s="40">
        <v>37171.5435</v>
      </c>
      <c r="BY87" s="40">
        <v>2180168.5315637747</v>
      </c>
    </row>
    <row r="88" spans="1:77">
      <c r="A88">
        <f>_xlfn.XLOOKUP(B88,'Summary June 2026'!B:B,'Summary June 2026'!A:A,0,0)</f>
        <v>2477</v>
      </c>
      <c r="B88" s="54">
        <v>132261</v>
      </c>
      <c r="C88" s="54">
        <v>3302477</v>
      </c>
      <c r="D88" s="55" t="s">
        <v>172</v>
      </c>
      <c r="E88" s="46">
        <v>807</v>
      </c>
      <c r="F88" s="46">
        <v>807</v>
      </c>
      <c r="G88" s="46">
        <v>0</v>
      </c>
      <c r="H88" s="40">
        <v>3245131.8030000003</v>
      </c>
      <c r="I88" s="40">
        <v>0</v>
      </c>
      <c r="J88" s="40">
        <v>0</v>
      </c>
      <c r="K88" s="40">
        <v>51881.54999999969</v>
      </c>
      <c r="L88" s="40">
        <v>0</v>
      </c>
      <c r="M88" s="40">
        <v>129045.09999999977</v>
      </c>
      <c r="N88" s="40">
        <v>0</v>
      </c>
      <c r="O88" s="40">
        <v>11152.881438719984</v>
      </c>
      <c r="P88" s="40">
        <v>14113.914716159994</v>
      </c>
      <c r="Q88" s="40">
        <v>11936.987811839997</v>
      </c>
      <c r="R88" s="40">
        <v>13649.64120575997</v>
      </c>
      <c r="S88" s="40">
        <v>47211.457413119795</v>
      </c>
      <c r="T88" s="40">
        <v>19788.368732159975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88131.680170212625</v>
      </c>
      <c r="AB88" s="40">
        <v>0</v>
      </c>
      <c r="AC88" s="40">
        <v>308973.24485955969</v>
      </c>
      <c r="AD88" s="40">
        <v>0</v>
      </c>
      <c r="AE88" s="40">
        <v>0</v>
      </c>
      <c r="AF88" s="40">
        <v>0</v>
      </c>
      <c r="AG88" s="40">
        <v>149406.57</v>
      </c>
      <c r="AH88" s="40">
        <v>0</v>
      </c>
      <c r="AI88" s="40">
        <v>0</v>
      </c>
      <c r="AJ88" s="40">
        <v>80916.320000000007</v>
      </c>
      <c r="AK88" s="40">
        <v>46680.542999999998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3245131.8030000003</v>
      </c>
      <c r="AU88" s="40">
        <v>695884.82634753152</v>
      </c>
      <c r="AV88" s="40">
        <v>277003.43300000002</v>
      </c>
      <c r="AW88" s="40">
        <v>578790.59948395309</v>
      </c>
      <c r="AX88" s="56">
        <v>4218020.0623475322</v>
      </c>
      <c r="AY88" s="56">
        <v>4090423.1993475324</v>
      </c>
      <c r="AZ88" s="56">
        <v>5115</v>
      </c>
      <c r="BA88" s="56">
        <v>4127805</v>
      </c>
      <c r="BB88" s="56">
        <v>37381.800652467646</v>
      </c>
      <c r="BC88" s="56">
        <v>0</v>
      </c>
      <c r="BD88" s="56">
        <v>4255401.8629999999</v>
      </c>
      <c r="BE88" s="40">
        <v>4255401.8629999999</v>
      </c>
      <c r="BF88" s="40">
        <v>0</v>
      </c>
      <c r="BG88" s="56">
        <v>4255401.8629999999</v>
      </c>
      <c r="BH88" s="56">
        <v>3978398.4299999997</v>
      </c>
      <c r="BI88" s="40">
        <v>3978398.4299999997</v>
      </c>
      <c r="BJ88" s="40">
        <v>4929.8617472118958</v>
      </c>
      <c r="BK88" s="40">
        <v>4929.0033727491</v>
      </c>
      <c r="BL88" s="41">
        <v>1.741476720307228E-4</v>
      </c>
      <c r="BM88" s="41">
        <v>0</v>
      </c>
      <c r="BN88" s="40">
        <v>0</v>
      </c>
      <c r="BO88" s="56">
        <v>4255401.8629999999</v>
      </c>
      <c r="BP88" s="56">
        <v>5115</v>
      </c>
      <c r="BQ88" s="56" t="s">
        <v>1091</v>
      </c>
      <c r="BR88" s="56">
        <v>5273.1125935563814</v>
      </c>
      <c r="BS88" s="47">
        <v>5.6305248067420877E-3</v>
      </c>
      <c r="BT88" s="40">
        <v>-20094.3</v>
      </c>
      <c r="BU88" s="40">
        <v>4235307.5630000001</v>
      </c>
      <c r="BV88" s="40">
        <v>0</v>
      </c>
      <c r="BW88" s="40">
        <v>4235307.5630000001</v>
      </c>
      <c r="BX88" s="40">
        <v>46680.542999999998</v>
      </c>
      <c r="BY88" s="40">
        <v>4188627.02</v>
      </c>
    </row>
    <row r="89" spans="1:77">
      <c r="A89">
        <f>_xlfn.XLOOKUP(B89,'Summary June 2026'!B:B,'Summary June 2026'!A:A,0,0)</f>
        <v>2478</v>
      </c>
      <c r="B89" s="54">
        <v>132007</v>
      </c>
      <c r="C89" s="54">
        <v>3302478</v>
      </c>
      <c r="D89" s="55" t="s">
        <v>392</v>
      </c>
      <c r="E89" s="46">
        <v>420</v>
      </c>
      <c r="F89" s="46">
        <v>420</v>
      </c>
      <c r="G89" s="46">
        <v>0</v>
      </c>
      <c r="H89" s="40">
        <v>1688916.1800000002</v>
      </c>
      <c r="I89" s="40">
        <v>0</v>
      </c>
      <c r="J89" s="40">
        <v>0</v>
      </c>
      <c r="K89" s="40">
        <v>14823.299999999994</v>
      </c>
      <c r="L89" s="40">
        <v>0</v>
      </c>
      <c r="M89" s="40">
        <v>35516.999999999985</v>
      </c>
      <c r="N89" s="40">
        <v>0</v>
      </c>
      <c r="O89" s="40">
        <v>8749.173360664432</v>
      </c>
      <c r="P89" s="40">
        <v>1473.708278835313</v>
      </c>
      <c r="Q89" s="40">
        <v>1380.6319664878272</v>
      </c>
      <c r="R89" s="40">
        <v>16215.961973430067</v>
      </c>
      <c r="S89" s="40">
        <v>537.77424911885339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23543.854143646393</v>
      </c>
      <c r="AB89" s="40">
        <v>0</v>
      </c>
      <c r="AC89" s="40">
        <v>90646.549872105999</v>
      </c>
      <c r="AD89" s="40">
        <v>0</v>
      </c>
      <c r="AE89" s="40">
        <v>0</v>
      </c>
      <c r="AF89" s="40">
        <v>0</v>
      </c>
      <c r="AG89" s="40">
        <v>149406.57</v>
      </c>
      <c r="AH89" s="40">
        <v>0</v>
      </c>
      <c r="AI89" s="40">
        <v>0</v>
      </c>
      <c r="AJ89" s="40">
        <v>0</v>
      </c>
      <c r="AK89" s="40">
        <v>40917.512999999999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  <c r="AQ89" s="40">
        <v>0</v>
      </c>
      <c r="AR89" s="40">
        <v>0</v>
      </c>
      <c r="AS89" s="40">
        <v>0</v>
      </c>
      <c r="AT89" s="40">
        <v>1688916.1800000002</v>
      </c>
      <c r="AU89" s="40">
        <v>192887.95384428886</v>
      </c>
      <c r="AV89" s="40">
        <v>190324.08300000001</v>
      </c>
      <c r="AW89" s="40">
        <v>203423.47681037913</v>
      </c>
      <c r="AX89" s="56">
        <v>2072128.2168442891</v>
      </c>
      <c r="AY89" s="56">
        <v>2031210.7038442891</v>
      </c>
      <c r="AZ89" s="56">
        <v>5115</v>
      </c>
      <c r="BA89" s="56">
        <v>2148300</v>
      </c>
      <c r="BB89" s="56">
        <v>117089.29615571094</v>
      </c>
      <c r="BC89" s="56">
        <v>0</v>
      </c>
      <c r="BD89" s="56">
        <v>2189217.5130000003</v>
      </c>
      <c r="BE89" s="40">
        <v>2189217.5129999998</v>
      </c>
      <c r="BF89" s="40">
        <v>0</v>
      </c>
      <c r="BG89" s="56">
        <v>2189217.5129999998</v>
      </c>
      <c r="BH89" s="56">
        <v>1998893.4299999997</v>
      </c>
      <c r="BI89" s="40">
        <v>1998893.4300000002</v>
      </c>
      <c r="BJ89" s="40">
        <v>4759.270071428572</v>
      </c>
      <c r="BK89" s="40">
        <v>4757.2772971698105</v>
      </c>
      <c r="BL89" s="41">
        <v>4.1888965773491187E-4</v>
      </c>
      <c r="BM89" s="41">
        <v>0</v>
      </c>
      <c r="BN89" s="40">
        <v>0</v>
      </c>
      <c r="BO89" s="56">
        <v>2189217.5130000003</v>
      </c>
      <c r="BP89" s="56">
        <v>5115.0000000000009</v>
      </c>
      <c r="BQ89" s="56" t="s">
        <v>1091</v>
      </c>
      <c r="BR89" s="56">
        <v>5212.4226500000004</v>
      </c>
      <c r="BS89" s="47">
        <v>-1.5922179152488836E-3</v>
      </c>
      <c r="BT89" s="40">
        <v>-10458</v>
      </c>
      <c r="BU89" s="40">
        <v>2178759.5130000003</v>
      </c>
      <c r="BV89" s="40">
        <v>0</v>
      </c>
      <c r="BW89" s="40">
        <v>2178759.5130000003</v>
      </c>
      <c r="BX89" s="40">
        <v>40917.512999999999</v>
      </c>
      <c r="BY89" s="40">
        <v>2137842.0000000005</v>
      </c>
    </row>
    <row r="90" spans="1:77">
      <c r="A90">
        <f>_xlfn.XLOOKUP(B90,'Summary June 2026'!B:B,'Summary June 2026'!A:A,0,0)</f>
        <v>2479</v>
      </c>
      <c r="B90" s="54">
        <v>132074</v>
      </c>
      <c r="C90" s="54">
        <v>3302479</v>
      </c>
      <c r="D90" s="55" t="s">
        <v>49</v>
      </c>
      <c r="E90" s="46">
        <v>619</v>
      </c>
      <c r="F90" s="46">
        <v>619</v>
      </c>
      <c r="G90" s="46">
        <v>0</v>
      </c>
      <c r="H90" s="40">
        <v>2489140.7510000002</v>
      </c>
      <c r="I90" s="40">
        <v>0</v>
      </c>
      <c r="J90" s="40">
        <v>0</v>
      </c>
      <c r="K90" s="40">
        <v>221361.27999999988</v>
      </c>
      <c r="L90" s="40">
        <v>0</v>
      </c>
      <c r="M90" s="40">
        <v>537490.59999999963</v>
      </c>
      <c r="N90" s="40">
        <v>0</v>
      </c>
      <c r="O90" s="40">
        <v>2424.5394431999866</v>
      </c>
      <c r="P90" s="40">
        <v>2352.3191193599905</v>
      </c>
      <c r="Q90" s="40">
        <v>14232.562391039986</v>
      </c>
      <c r="R90" s="40">
        <v>25277.113343999983</v>
      </c>
      <c r="S90" s="40">
        <v>262881.97877759975</v>
      </c>
      <c r="T90" s="40">
        <v>12721.094184959979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112981.92397748565</v>
      </c>
      <c r="AB90" s="40">
        <v>0</v>
      </c>
      <c r="AC90" s="40">
        <v>264480.89914455952</v>
      </c>
      <c r="AD90" s="40">
        <v>0</v>
      </c>
      <c r="AE90" s="40">
        <v>5714.6913346277952</v>
      </c>
      <c r="AF90" s="40">
        <v>0</v>
      </c>
      <c r="AG90" s="40">
        <v>149406.57</v>
      </c>
      <c r="AH90" s="40">
        <v>0</v>
      </c>
      <c r="AI90" s="40">
        <v>0</v>
      </c>
      <c r="AJ90" s="40">
        <v>54838.448965110438</v>
      </c>
      <c r="AK90" s="40">
        <v>22384.516299999999</v>
      </c>
      <c r="AL90" s="40">
        <v>0</v>
      </c>
      <c r="AM90" s="40">
        <v>0</v>
      </c>
      <c r="AN90" s="40">
        <v>0</v>
      </c>
      <c r="AO90" s="40">
        <v>0</v>
      </c>
      <c r="AP90" s="40">
        <v>0</v>
      </c>
      <c r="AQ90" s="40">
        <v>0</v>
      </c>
      <c r="AR90" s="40">
        <v>0</v>
      </c>
      <c r="AS90" s="40">
        <v>0</v>
      </c>
      <c r="AT90" s="40">
        <v>2489140.7510000002</v>
      </c>
      <c r="AU90" s="40">
        <v>1461919.0017168324</v>
      </c>
      <c r="AV90" s="40">
        <v>226629.53526511043</v>
      </c>
      <c r="AW90" s="40">
        <v>777284.87210821686</v>
      </c>
      <c r="AX90" s="56">
        <v>4177689.2879819432</v>
      </c>
      <c r="AY90" s="56">
        <v>4100466.3227168331</v>
      </c>
      <c r="AZ90" s="56">
        <v>5115</v>
      </c>
      <c r="BA90" s="56">
        <v>3166185</v>
      </c>
      <c r="BB90" s="56">
        <v>0</v>
      </c>
      <c r="BC90" s="56">
        <v>0</v>
      </c>
      <c r="BD90" s="56">
        <v>4177689.2879819432</v>
      </c>
      <c r="BE90" s="40">
        <v>4177689.2879819423</v>
      </c>
      <c r="BF90" s="40">
        <v>0</v>
      </c>
      <c r="BG90" s="56">
        <v>3243407.9652651101</v>
      </c>
      <c r="BH90" s="56">
        <v>3016778.4299999997</v>
      </c>
      <c r="BI90" s="40">
        <v>3951059.7527168328</v>
      </c>
      <c r="BJ90" s="40">
        <v>6382.9721368607961</v>
      </c>
      <c r="BK90" s="40">
        <v>5998.5462651757189</v>
      </c>
      <c r="BL90" s="41">
        <v>6.4086506078455008E-2</v>
      </c>
      <c r="BM90" s="41">
        <v>0</v>
      </c>
      <c r="BN90" s="40">
        <v>0</v>
      </c>
      <c r="BO90" s="56">
        <v>4177689.2879819432</v>
      </c>
      <c r="BP90" s="56">
        <v>6624.3397782178245</v>
      </c>
      <c r="BQ90" s="56" t="s">
        <v>1091</v>
      </c>
      <c r="BR90" s="56">
        <v>6749.0941647527352</v>
      </c>
      <c r="BS90" s="47">
        <v>5.9010923949306182E-2</v>
      </c>
      <c r="BT90" s="40">
        <v>-15413.099999999999</v>
      </c>
      <c r="BU90" s="40">
        <v>4162276.1879819431</v>
      </c>
      <c r="BV90" s="40">
        <v>0</v>
      </c>
      <c r="BW90" s="40">
        <v>4162276.1879819431</v>
      </c>
      <c r="BX90" s="40">
        <v>22384.516299999999</v>
      </c>
      <c r="BY90" s="40">
        <v>4139891.6716819433</v>
      </c>
    </row>
    <row r="91" spans="1:77">
      <c r="A91">
        <f>_xlfn.XLOOKUP(B91,'Summary June 2026'!B:B,'Summary June 2026'!A:A,0,0)</f>
        <v>2486</v>
      </c>
      <c r="B91" s="54">
        <v>133759</v>
      </c>
      <c r="C91" s="54">
        <v>3302486</v>
      </c>
      <c r="D91" s="55" t="s">
        <v>142</v>
      </c>
      <c r="E91" s="46">
        <v>188</v>
      </c>
      <c r="F91" s="46">
        <v>188</v>
      </c>
      <c r="G91" s="46">
        <v>0</v>
      </c>
      <c r="H91" s="40">
        <v>755991.05200000003</v>
      </c>
      <c r="I91" s="40">
        <v>0</v>
      </c>
      <c r="J91" s="40">
        <v>0</v>
      </c>
      <c r="K91" s="40">
        <v>58304.979999999989</v>
      </c>
      <c r="L91" s="40">
        <v>0</v>
      </c>
      <c r="M91" s="40">
        <v>140884.09999999995</v>
      </c>
      <c r="N91" s="40">
        <v>0</v>
      </c>
      <c r="O91" s="40">
        <v>727.3618329599982</v>
      </c>
      <c r="P91" s="40">
        <v>0</v>
      </c>
      <c r="Q91" s="40">
        <v>459.11491583999975</v>
      </c>
      <c r="R91" s="40">
        <v>15166.268006399963</v>
      </c>
      <c r="S91" s="40">
        <v>74036.149125119977</v>
      </c>
      <c r="T91" s="40">
        <v>6360.5470924799974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13683.648780487792</v>
      </c>
      <c r="AB91" s="40">
        <v>0</v>
      </c>
      <c r="AC91" s="40">
        <v>83116.37693541091</v>
      </c>
      <c r="AD91" s="40">
        <v>0</v>
      </c>
      <c r="AE91" s="40">
        <v>16114.067199999827</v>
      </c>
      <c r="AF91" s="40">
        <v>0</v>
      </c>
      <c r="AG91" s="40">
        <v>149406.57</v>
      </c>
      <c r="AH91" s="40">
        <v>0</v>
      </c>
      <c r="AI91" s="40">
        <v>0</v>
      </c>
      <c r="AJ91" s="40">
        <v>0</v>
      </c>
      <c r="AK91" s="40">
        <v>4187.2213000000002</v>
      </c>
      <c r="AL91" s="40">
        <v>0</v>
      </c>
      <c r="AM91" s="40">
        <v>0</v>
      </c>
      <c r="AN91" s="40">
        <v>0</v>
      </c>
      <c r="AO91" s="40">
        <v>0</v>
      </c>
      <c r="AP91" s="40">
        <v>0</v>
      </c>
      <c r="AQ91" s="40">
        <v>0</v>
      </c>
      <c r="AR91" s="40">
        <v>0</v>
      </c>
      <c r="AS91" s="40">
        <v>0</v>
      </c>
      <c r="AT91" s="40">
        <v>755991.05200000003</v>
      </c>
      <c r="AU91" s="40">
        <v>408852.61388869834</v>
      </c>
      <c r="AV91" s="40">
        <v>153593.79130000001</v>
      </c>
      <c r="AW91" s="40">
        <v>227453.79708561889</v>
      </c>
      <c r="AX91" s="56">
        <v>1318437.4571886982</v>
      </c>
      <c r="AY91" s="56">
        <v>1314250.2358886981</v>
      </c>
      <c r="AZ91" s="56">
        <v>5115</v>
      </c>
      <c r="BA91" s="56">
        <v>961620</v>
      </c>
      <c r="BB91" s="56">
        <v>0</v>
      </c>
      <c r="BC91" s="56">
        <v>0</v>
      </c>
      <c r="BD91" s="56">
        <v>1318437.4571886982</v>
      </c>
      <c r="BE91" s="40">
        <v>1318437.4571886985</v>
      </c>
      <c r="BF91" s="40">
        <v>0</v>
      </c>
      <c r="BG91" s="56">
        <v>965807.22129999998</v>
      </c>
      <c r="BH91" s="56">
        <v>812213.43</v>
      </c>
      <c r="BI91" s="40">
        <v>1164843.6658886981</v>
      </c>
      <c r="BJ91" s="40">
        <v>6195.9769462164795</v>
      </c>
      <c r="BK91" s="40">
        <v>6544.7497304812832</v>
      </c>
      <c r="BL91" s="41">
        <v>-5.329046925055695E-2</v>
      </c>
      <c r="BM91" s="41">
        <v>4.8290469250556953E-2</v>
      </c>
      <c r="BN91" s="40">
        <v>59417.218695130694</v>
      </c>
      <c r="BO91" s="56">
        <v>1377854.6758838289</v>
      </c>
      <c r="BP91" s="56">
        <v>7306.7417797012167</v>
      </c>
      <c r="BQ91" s="56" t="s">
        <v>1091</v>
      </c>
      <c r="BR91" s="56">
        <v>7329.014233424622</v>
      </c>
      <c r="BS91" s="47">
        <v>-1.2770546645908376E-2</v>
      </c>
      <c r="BT91" s="40">
        <v>-4681.2</v>
      </c>
      <c r="BU91" s="40">
        <v>1373173.4758838289</v>
      </c>
      <c r="BV91" s="40">
        <v>0</v>
      </c>
      <c r="BW91" s="40">
        <v>1373173.4758838289</v>
      </c>
      <c r="BX91" s="40">
        <v>4187.2213000000002</v>
      </c>
      <c r="BY91" s="40">
        <v>1368986.2545838288</v>
      </c>
    </row>
    <row r="92" spans="1:77">
      <c r="A92">
        <f>_xlfn.XLOOKUP(B92,'Summary June 2026'!B:B,'Summary June 2026'!A:A,0,0)</f>
        <v>3002</v>
      </c>
      <c r="B92" s="54">
        <v>103397</v>
      </c>
      <c r="C92" s="54">
        <v>3303002</v>
      </c>
      <c r="D92" s="55" t="s">
        <v>107</v>
      </c>
      <c r="E92" s="46">
        <v>179</v>
      </c>
      <c r="F92" s="46">
        <v>179</v>
      </c>
      <c r="G92" s="46">
        <v>0</v>
      </c>
      <c r="H92" s="40">
        <v>719799.99100000004</v>
      </c>
      <c r="I92" s="40">
        <v>0</v>
      </c>
      <c r="J92" s="40">
        <v>0</v>
      </c>
      <c r="K92" s="40">
        <v>52869.769999999953</v>
      </c>
      <c r="L92" s="40">
        <v>0</v>
      </c>
      <c r="M92" s="40">
        <v>126677.29999999989</v>
      </c>
      <c r="N92" s="40">
        <v>0</v>
      </c>
      <c r="O92" s="40">
        <v>1454.72366592</v>
      </c>
      <c r="P92" s="40">
        <v>1764.2393395200002</v>
      </c>
      <c r="Q92" s="40">
        <v>3672.9193267199998</v>
      </c>
      <c r="R92" s="40">
        <v>6572.0494694399958</v>
      </c>
      <c r="S92" s="40">
        <v>33799.111557119926</v>
      </c>
      <c r="T92" s="40">
        <v>54418.014013439977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25694.339746835441</v>
      </c>
      <c r="AB92" s="40">
        <v>0</v>
      </c>
      <c r="AC92" s="40">
        <v>71372.009855029246</v>
      </c>
      <c r="AD92" s="40">
        <v>0</v>
      </c>
      <c r="AE92" s="40">
        <v>0</v>
      </c>
      <c r="AF92" s="40">
        <v>0</v>
      </c>
      <c r="AG92" s="40">
        <v>149406.57</v>
      </c>
      <c r="AH92" s="40">
        <v>0</v>
      </c>
      <c r="AI92" s="40">
        <v>0</v>
      </c>
      <c r="AJ92" s="40">
        <v>0</v>
      </c>
      <c r="AK92" s="40">
        <v>19882.717400000001</v>
      </c>
      <c r="AL92" s="40">
        <v>0</v>
      </c>
      <c r="AM92" s="40">
        <v>0</v>
      </c>
      <c r="AN92" s="40">
        <v>0</v>
      </c>
      <c r="AO92" s="40">
        <v>0</v>
      </c>
      <c r="AP92" s="40">
        <v>0</v>
      </c>
      <c r="AQ92" s="40">
        <v>0</v>
      </c>
      <c r="AR92" s="40">
        <v>0</v>
      </c>
      <c r="AS92" s="40">
        <v>0</v>
      </c>
      <c r="AT92" s="40">
        <v>719799.99100000004</v>
      </c>
      <c r="AU92" s="40">
        <v>378294.47697402444</v>
      </c>
      <c r="AV92" s="40">
        <v>169289.2874</v>
      </c>
      <c r="AW92" s="40">
        <v>208604.13525900675</v>
      </c>
      <c r="AX92" s="56">
        <v>1267383.7553740244</v>
      </c>
      <c r="AY92" s="56">
        <v>1247501.0379740244</v>
      </c>
      <c r="AZ92" s="56">
        <v>5115</v>
      </c>
      <c r="BA92" s="56">
        <v>915585</v>
      </c>
      <c r="BB92" s="56">
        <v>0</v>
      </c>
      <c r="BC92" s="56">
        <v>0</v>
      </c>
      <c r="BD92" s="56">
        <v>1267383.7553740244</v>
      </c>
      <c r="BE92" s="40">
        <v>1267383.7553740244</v>
      </c>
      <c r="BF92" s="40">
        <v>0</v>
      </c>
      <c r="BG92" s="56">
        <v>935467.71739999996</v>
      </c>
      <c r="BH92" s="56">
        <v>766178.42999999993</v>
      </c>
      <c r="BI92" s="40">
        <v>1098094.4679740244</v>
      </c>
      <c r="BJ92" s="40">
        <v>6134.6059663353317</v>
      </c>
      <c r="BK92" s="40">
        <v>6062.5926100502511</v>
      </c>
      <c r="BL92" s="41">
        <v>1.1878310306666588E-2</v>
      </c>
      <c r="BM92" s="41">
        <v>0</v>
      </c>
      <c r="BN92" s="40">
        <v>0</v>
      </c>
      <c r="BO92" s="56">
        <v>1267383.7553740244</v>
      </c>
      <c r="BP92" s="56">
        <v>6969.2795417543266</v>
      </c>
      <c r="BQ92" s="56" t="s">
        <v>1091</v>
      </c>
      <c r="BR92" s="56">
        <v>7080.3561752738797</v>
      </c>
      <c r="BS92" s="47">
        <v>2.4066413872485759E-2</v>
      </c>
      <c r="BT92" s="40">
        <v>-4457.0999999999995</v>
      </c>
      <c r="BU92" s="40">
        <v>1262926.6553740243</v>
      </c>
      <c r="BV92" s="40">
        <v>0</v>
      </c>
      <c r="BW92" s="40">
        <v>1262926.6553740243</v>
      </c>
      <c r="BX92" s="40">
        <v>19882.717400000001</v>
      </c>
      <c r="BY92" s="40">
        <v>1243043.9379740243</v>
      </c>
    </row>
    <row r="93" spans="1:77">
      <c r="A93">
        <f>_xlfn.XLOOKUP(B93,'Summary June 2026'!B:B,'Summary June 2026'!A:A,0,0)</f>
        <v>3003</v>
      </c>
      <c r="B93" s="54">
        <v>103398</v>
      </c>
      <c r="C93" s="54">
        <v>3303003</v>
      </c>
      <c r="D93" s="55" t="s">
        <v>242</v>
      </c>
      <c r="E93" s="46">
        <v>211</v>
      </c>
      <c r="F93" s="46">
        <v>211</v>
      </c>
      <c r="G93" s="46">
        <v>0</v>
      </c>
      <c r="H93" s="40">
        <v>848479.31900000002</v>
      </c>
      <c r="I93" s="40">
        <v>0</v>
      </c>
      <c r="J93" s="40">
        <v>0</v>
      </c>
      <c r="K93" s="40">
        <v>18282.069999999912</v>
      </c>
      <c r="L93" s="40">
        <v>0</v>
      </c>
      <c r="M93" s="40">
        <v>43804.299999999792</v>
      </c>
      <c r="N93" s="40">
        <v>0</v>
      </c>
      <c r="O93" s="40">
        <v>6061.3486079999548</v>
      </c>
      <c r="P93" s="40">
        <v>3822.518568959998</v>
      </c>
      <c r="Q93" s="40">
        <v>3213.8044108799932</v>
      </c>
      <c r="R93" s="40">
        <v>5055.4226687999944</v>
      </c>
      <c r="S93" s="40">
        <v>536.4938342399995</v>
      </c>
      <c r="T93" s="40">
        <v>1413.4549094399997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7653.4013259668482</v>
      </c>
      <c r="AB93" s="40">
        <v>0</v>
      </c>
      <c r="AC93" s="40">
        <v>56089.568032926363</v>
      </c>
      <c r="AD93" s="40">
        <v>0</v>
      </c>
      <c r="AE93" s="40">
        <v>0</v>
      </c>
      <c r="AF93" s="40">
        <v>0</v>
      </c>
      <c r="AG93" s="40">
        <v>149406.57</v>
      </c>
      <c r="AH93" s="40">
        <v>0</v>
      </c>
      <c r="AI93" s="40">
        <v>0</v>
      </c>
      <c r="AJ93" s="40">
        <v>0</v>
      </c>
      <c r="AK93" s="40">
        <v>23832.926100000001</v>
      </c>
      <c r="AL93" s="40">
        <v>0</v>
      </c>
      <c r="AM93" s="40">
        <v>0</v>
      </c>
      <c r="AN93" s="40">
        <v>0</v>
      </c>
      <c r="AO93" s="40">
        <v>0</v>
      </c>
      <c r="AP93" s="40">
        <v>0</v>
      </c>
      <c r="AQ93" s="40">
        <v>0</v>
      </c>
      <c r="AR93" s="40">
        <v>0</v>
      </c>
      <c r="AS93" s="40">
        <v>0</v>
      </c>
      <c r="AT93" s="40">
        <v>848479.31900000002</v>
      </c>
      <c r="AU93" s="40">
        <v>145932.38235921285</v>
      </c>
      <c r="AV93" s="40">
        <v>173239.49610000002</v>
      </c>
      <c r="AW93" s="40">
        <v>128101.72266304144</v>
      </c>
      <c r="AX93" s="56">
        <v>1167651.197459213</v>
      </c>
      <c r="AY93" s="56">
        <v>1143818.2713592129</v>
      </c>
      <c r="AZ93" s="56">
        <v>5115</v>
      </c>
      <c r="BA93" s="56">
        <v>1079265</v>
      </c>
      <c r="BB93" s="56">
        <v>0</v>
      </c>
      <c r="BC93" s="56">
        <v>0</v>
      </c>
      <c r="BD93" s="56">
        <v>1167651.197459213</v>
      </c>
      <c r="BE93" s="40">
        <v>1167651.197459213</v>
      </c>
      <c r="BF93" s="40">
        <v>0</v>
      </c>
      <c r="BG93" s="56">
        <v>1103097.9261</v>
      </c>
      <c r="BH93" s="56">
        <v>929858.42999999993</v>
      </c>
      <c r="BI93" s="40">
        <v>994411.70135921286</v>
      </c>
      <c r="BJ93" s="40">
        <v>4712.8516652095395</v>
      </c>
      <c r="BK93" s="40">
        <v>4579.7322176190473</v>
      </c>
      <c r="BL93" s="41">
        <v>2.9067081057350456E-2</v>
      </c>
      <c r="BM93" s="41">
        <v>0</v>
      </c>
      <c r="BN93" s="40">
        <v>0</v>
      </c>
      <c r="BO93" s="56">
        <v>1167651.197459213</v>
      </c>
      <c r="BP93" s="56">
        <v>5420.939674688213</v>
      </c>
      <c r="BQ93" s="56" t="s">
        <v>1091</v>
      </c>
      <c r="BR93" s="56">
        <v>5533.8919310863175</v>
      </c>
      <c r="BS93" s="47">
        <v>1.4453739758426565E-3</v>
      </c>
      <c r="BT93" s="40">
        <v>-5253.9</v>
      </c>
      <c r="BU93" s="40">
        <v>1162397.2974592131</v>
      </c>
      <c r="BV93" s="40">
        <v>0</v>
      </c>
      <c r="BW93" s="40">
        <v>1162397.2974592131</v>
      </c>
      <c r="BX93" s="40">
        <v>23832.926100000001</v>
      </c>
      <c r="BY93" s="40">
        <v>1138564.371359213</v>
      </c>
    </row>
    <row r="94" spans="1:77">
      <c r="A94">
        <f>_xlfn.XLOOKUP(B94,'Summary June 2026'!B:B,'Summary June 2026'!A:A,0,0)</f>
        <v>3010</v>
      </c>
      <c r="B94" s="54">
        <v>103401</v>
      </c>
      <c r="C94" s="54">
        <v>3303010</v>
      </c>
      <c r="D94" s="55" t="s">
        <v>322</v>
      </c>
      <c r="E94" s="46">
        <v>411</v>
      </c>
      <c r="F94" s="46">
        <v>411</v>
      </c>
      <c r="G94" s="46">
        <v>0</v>
      </c>
      <c r="H94" s="40">
        <v>1652725.1190000002</v>
      </c>
      <c r="I94" s="40">
        <v>0</v>
      </c>
      <c r="J94" s="40">
        <v>0</v>
      </c>
      <c r="K94" s="40">
        <v>103763.09999999999</v>
      </c>
      <c r="L94" s="40">
        <v>0</v>
      </c>
      <c r="M94" s="40">
        <v>250986.79999999961</v>
      </c>
      <c r="N94" s="40">
        <v>0</v>
      </c>
      <c r="O94" s="40">
        <v>6061.3486079999993</v>
      </c>
      <c r="P94" s="40">
        <v>3822.5185689599994</v>
      </c>
      <c r="Q94" s="40">
        <v>73917.501450239826</v>
      </c>
      <c r="R94" s="40">
        <v>66226.036961279795</v>
      </c>
      <c r="S94" s="40">
        <v>34872.099225599894</v>
      </c>
      <c r="T94" s="40">
        <v>7067.2745471999997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89200.450909090752</v>
      </c>
      <c r="AB94" s="40">
        <v>0</v>
      </c>
      <c r="AC94" s="40">
        <v>249918.20588938094</v>
      </c>
      <c r="AD94" s="40">
        <v>0</v>
      </c>
      <c r="AE94" s="40">
        <v>0</v>
      </c>
      <c r="AF94" s="40">
        <v>0</v>
      </c>
      <c r="AG94" s="40">
        <v>149406.57</v>
      </c>
      <c r="AH94" s="40">
        <v>0</v>
      </c>
      <c r="AI94" s="40">
        <v>0</v>
      </c>
      <c r="AJ94" s="40">
        <v>0</v>
      </c>
      <c r="AK94" s="40">
        <v>13946.5326</v>
      </c>
      <c r="AL94" s="40">
        <v>0</v>
      </c>
      <c r="AM94" s="40">
        <v>0</v>
      </c>
      <c r="AN94" s="40">
        <v>0</v>
      </c>
      <c r="AO94" s="40">
        <v>0</v>
      </c>
      <c r="AP94" s="40">
        <v>0</v>
      </c>
      <c r="AQ94" s="40">
        <v>0</v>
      </c>
      <c r="AR94" s="40">
        <v>0</v>
      </c>
      <c r="AS94" s="40">
        <v>0</v>
      </c>
      <c r="AT94" s="40">
        <v>1652725.1190000002</v>
      </c>
      <c r="AU94" s="40">
        <v>885835.33615975082</v>
      </c>
      <c r="AV94" s="40">
        <v>163353.10260000001</v>
      </c>
      <c r="AW94" s="40">
        <v>529372.46640944143</v>
      </c>
      <c r="AX94" s="56">
        <v>2701913.5577597506</v>
      </c>
      <c r="AY94" s="56">
        <v>2687967.0251597506</v>
      </c>
      <c r="AZ94" s="56">
        <v>5115</v>
      </c>
      <c r="BA94" s="56">
        <v>2102265</v>
      </c>
      <c r="BB94" s="56">
        <v>0</v>
      </c>
      <c r="BC94" s="56">
        <v>0</v>
      </c>
      <c r="BD94" s="56">
        <v>2701913.5577597506</v>
      </c>
      <c r="BE94" s="40">
        <v>2701913.5577597511</v>
      </c>
      <c r="BF94" s="40">
        <v>0</v>
      </c>
      <c r="BG94" s="56">
        <v>2116211.5326</v>
      </c>
      <c r="BH94" s="56">
        <v>1952858.43</v>
      </c>
      <c r="BI94" s="40">
        <v>2538560.4551597508</v>
      </c>
      <c r="BJ94" s="40">
        <v>6176.5461196100996</v>
      </c>
      <c r="BK94" s="40">
        <v>5963.0001338095253</v>
      </c>
      <c r="BL94" s="41">
        <v>3.5811836493142617E-2</v>
      </c>
      <c r="BM94" s="41">
        <v>0</v>
      </c>
      <c r="BN94" s="40">
        <v>0</v>
      </c>
      <c r="BO94" s="56">
        <v>2701913.5577597506</v>
      </c>
      <c r="BP94" s="56">
        <v>6540.0657546465955</v>
      </c>
      <c r="BQ94" s="56" t="s">
        <v>1091</v>
      </c>
      <c r="BR94" s="56">
        <v>6573.9989239896613</v>
      </c>
      <c r="BS94" s="47">
        <v>3.4409074915584537E-2</v>
      </c>
      <c r="BT94" s="40">
        <v>-10233.9</v>
      </c>
      <c r="BU94" s="40">
        <v>2691679.6577597507</v>
      </c>
      <c r="BV94" s="40">
        <v>0</v>
      </c>
      <c r="BW94" s="40">
        <v>2691679.6577597507</v>
      </c>
      <c r="BX94" s="40">
        <v>13946.5326</v>
      </c>
      <c r="BY94" s="40">
        <v>2677733.1251597507</v>
      </c>
    </row>
    <row r="95" spans="1:77">
      <c r="A95">
        <f>_xlfn.XLOOKUP(B95,'Summary June 2026'!B:B,'Summary June 2026'!A:A,0,0)</f>
        <v>3016</v>
      </c>
      <c r="B95" s="54">
        <v>103404</v>
      </c>
      <c r="C95" s="54">
        <v>3303016</v>
      </c>
      <c r="D95" s="55" t="s">
        <v>340</v>
      </c>
      <c r="E95" s="46">
        <v>192</v>
      </c>
      <c r="F95" s="46">
        <v>192</v>
      </c>
      <c r="G95" s="46">
        <v>0</v>
      </c>
      <c r="H95" s="40">
        <v>772075.96800000011</v>
      </c>
      <c r="I95" s="40">
        <v>0</v>
      </c>
      <c r="J95" s="40">
        <v>0</v>
      </c>
      <c r="K95" s="40">
        <v>69669.509999999995</v>
      </c>
      <c r="L95" s="40">
        <v>0</v>
      </c>
      <c r="M95" s="40">
        <v>171665.49999999994</v>
      </c>
      <c r="N95" s="40">
        <v>0</v>
      </c>
      <c r="O95" s="40">
        <v>0</v>
      </c>
      <c r="P95" s="40">
        <v>882.11966976000008</v>
      </c>
      <c r="Q95" s="40">
        <v>1377.3447475200001</v>
      </c>
      <c r="R95" s="40">
        <v>4549.8804019199997</v>
      </c>
      <c r="S95" s="40">
        <v>91740.445655040006</v>
      </c>
      <c r="T95" s="40">
        <v>2826.9098188799953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50449.871698113209</v>
      </c>
      <c r="AB95" s="40">
        <v>0</v>
      </c>
      <c r="AC95" s="40">
        <v>66624.621261173394</v>
      </c>
      <c r="AD95" s="40">
        <v>0</v>
      </c>
      <c r="AE95" s="40">
        <v>0</v>
      </c>
      <c r="AF95" s="40">
        <v>0</v>
      </c>
      <c r="AG95" s="40">
        <v>149406.57</v>
      </c>
      <c r="AH95" s="40">
        <v>0</v>
      </c>
      <c r="AI95" s="40">
        <v>0</v>
      </c>
      <c r="AJ95" s="40">
        <v>0</v>
      </c>
      <c r="AK95" s="40">
        <v>16590.876799999998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  <c r="AQ95" s="40">
        <v>0</v>
      </c>
      <c r="AR95" s="40">
        <v>0</v>
      </c>
      <c r="AS95" s="40">
        <v>0</v>
      </c>
      <c r="AT95" s="40">
        <v>772075.96800000011</v>
      </c>
      <c r="AU95" s="40">
        <v>459786.20325240656</v>
      </c>
      <c r="AV95" s="40">
        <v>165997.44680000001</v>
      </c>
      <c r="AW95" s="40">
        <v>228604.6353666966</v>
      </c>
      <c r="AX95" s="56">
        <v>1397859.6180524067</v>
      </c>
      <c r="AY95" s="56">
        <v>1381268.7412524067</v>
      </c>
      <c r="AZ95" s="56">
        <v>5115</v>
      </c>
      <c r="BA95" s="56">
        <v>982080</v>
      </c>
      <c r="BB95" s="56">
        <v>0</v>
      </c>
      <c r="BC95" s="56">
        <v>0</v>
      </c>
      <c r="BD95" s="56">
        <v>1397859.6180524067</v>
      </c>
      <c r="BE95" s="40">
        <v>1397859.6180524067</v>
      </c>
      <c r="BF95" s="40">
        <v>0</v>
      </c>
      <c r="BG95" s="56">
        <v>998670.87679999997</v>
      </c>
      <c r="BH95" s="56">
        <v>832673.42999999993</v>
      </c>
      <c r="BI95" s="40">
        <v>1231862.1712524067</v>
      </c>
      <c r="BJ95" s="40">
        <v>6415.9488086062847</v>
      </c>
      <c r="BK95" s="40">
        <v>6477.2560117647054</v>
      </c>
      <c r="BL95" s="41">
        <v>-9.4649961414320725E-3</v>
      </c>
      <c r="BM95" s="41">
        <v>4.4649961414320724E-3</v>
      </c>
      <c r="BN95" s="40">
        <v>5552.817235122644</v>
      </c>
      <c r="BO95" s="56">
        <v>1403412.4352875294</v>
      </c>
      <c r="BP95" s="56">
        <v>7223.0289504558823</v>
      </c>
      <c r="BQ95" s="56" t="s">
        <v>1091</v>
      </c>
      <c r="BR95" s="56">
        <v>7309.4397671225488</v>
      </c>
      <c r="BS95" s="47">
        <v>3.1846146174527856E-3</v>
      </c>
      <c r="BT95" s="40">
        <v>-4780.7999999999993</v>
      </c>
      <c r="BU95" s="40">
        <v>1398631.6352875293</v>
      </c>
      <c r="BV95" s="40">
        <v>0</v>
      </c>
      <c r="BW95" s="40">
        <v>1398631.6352875293</v>
      </c>
      <c r="BX95" s="40">
        <v>16590.876799999998</v>
      </c>
      <c r="BY95" s="40">
        <v>1382040.7584875294</v>
      </c>
    </row>
    <row r="96" spans="1:77">
      <c r="A96">
        <f>_xlfn.XLOOKUP(B96,'Summary June 2026'!B:B,'Summary June 2026'!A:A,0,0)</f>
        <v>3019</v>
      </c>
      <c r="B96" s="54">
        <v>103406</v>
      </c>
      <c r="C96" s="54">
        <v>3303019</v>
      </c>
      <c r="D96" s="55" t="s">
        <v>348</v>
      </c>
      <c r="E96" s="46">
        <v>404</v>
      </c>
      <c r="F96" s="46">
        <v>404</v>
      </c>
      <c r="G96" s="46">
        <v>0</v>
      </c>
      <c r="H96" s="40">
        <v>1624576.5160000001</v>
      </c>
      <c r="I96" s="40">
        <v>0</v>
      </c>
      <c r="J96" s="40">
        <v>0</v>
      </c>
      <c r="K96" s="40">
        <v>114139.40999999983</v>
      </c>
      <c r="L96" s="40">
        <v>0</v>
      </c>
      <c r="M96" s="40">
        <v>275848.69999999966</v>
      </c>
      <c r="N96" s="40">
        <v>0</v>
      </c>
      <c r="O96" s="40">
        <v>488.53562845526136</v>
      </c>
      <c r="P96" s="40">
        <v>39399.878716163148</v>
      </c>
      <c r="Q96" s="40">
        <v>2775.2981446288136</v>
      </c>
      <c r="R96" s="40">
        <v>52460.410996036306</v>
      </c>
      <c r="S96" s="40">
        <v>82697.648084894827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119151.60187134486</v>
      </c>
      <c r="AB96" s="40">
        <v>0</v>
      </c>
      <c r="AC96" s="40">
        <v>194279.10307586906</v>
      </c>
      <c r="AD96" s="40">
        <v>0</v>
      </c>
      <c r="AE96" s="40">
        <v>0</v>
      </c>
      <c r="AF96" s="40">
        <v>0</v>
      </c>
      <c r="AG96" s="40">
        <v>149406.57</v>
      </c>
      <c r="AH96" s="40">
        <v>0</v>
      </c>
      <c r="AI96" s="40">
        <v>0</v>
      </c>
      <c r="AJ96" s="40">
        <v>0</v>
      </c>
      <c r="AK96" s="40">
        <v>8356.3935000000001</v>
      </c>
      <c r="AL96" s="40">
        <v>0</v>
      </c>
      <c r="AM96" s="40">
        <v>0</v>
      </c>
      <c r="AN96" s="40">
        <v>0</v>
      </c>
      <c r="AO96" s="40">
        <v>0</v>
      </c>
      <c r="AP96" s="40">
        <v>0</v>
      </c>
      <c r="AQ96" s="40">
        <v>0</v>
      </c>
      <c r="AR96" s="40">
        <v>0</v>
      </c>
      <c r="AS96" s="40">
        <v>0</v>
      </c>
      <c r="AT96" s="40">
        <v>1624576.5160000001</v>
      </c>
      <c r="AU96" s="40">
        <v>881240.58651739184</v>
      </c>
      <c r="AV96" s="40">
        <v>157762.96350000001</v>
      </c>
      <c r="AW96" s="40">
        <v>479919.48624113307</v>
      </c>
      <c r="AX96" s="56">
        <v>2663580.0660173921</v>
      </c>
      <c r="AY96" s="56">
        <v>2655223.6725173923</v>
      </c>
      <c r="AZ96" s="56">
        <v>5115</v>
      </c>
      <c r="BA96" s="56">
        <v>2066460</v>
      </c>
      <c r="BB96" s="56">
        <v>0</v>
      </c>
      <c r="BC96" s="56">
        <v>0</v>
      </c>
      <c r="BD96" s="56">
        <v>2663580.0660173921</v>
      </c>
      <c r="BE96" s="40">
        <v>2663580.0660173916</v>
      </c>
      <c r="BF96" s="40">
        <v>0</v>
      </c>
      <c r="BG96" s="56">
        <v>2074816.3935</v>
      </c>
      <c r="BH96" s="56">
        <v>1917053.43</v>
      </c>
      <c r="BI96" s="40">
        <v>2505817.1025173925</v>
      </c>
      <c r="BJ96" s="40">
        <v>6202.5175804885948</v>
      </c>
      <c r="BK96" s="40">
        <v>5964.9399778869774</v>
      </c>
      <c r="BL96" s="41">
        <v>3.9829001378447561E-2</v>
      </c>
      <c r="BM96" s="41">
        <v>0</v>
      </c>
      <c r="BN96" s="40">
        <v>0</v>
      </c>
      <c r="BO96" s="56">
        <v>2663580.0660173921</v>
      </c>
      <c r="BP96" s="56">
        <v>6572.3358230628519</v>
      </c>
      <c r="BQ96" s="56" t="s">
        <v>1091</v>
      </c>
      <c r="BR96" s="56">
        <v>6593.0199653895843</v>
      </c>
      <c r="BS96" s="47">
        <v>3.0095316471535849E-2</v>
      </c>
      <c r="BT96" s="40">
        <v>-10059.599999999999</v>
      </c>
      <c r="BU96" s="40">
        <v>2653520.466017392</v>
      </c>
      <c r="BV96" s="40">
        <v>0</v>
      </c>
      <c r="BW96" s="40">
        <v>2653520.466017392</v>
      </c>
      <c r="BX96" s="40">
        <v>8356.3935000000001</v>
      </c>
      <c r="BY96" s="40">
        <v>2645164.0725173922</v>
      </c>
    </row>
    <row r="97" spans="1:77">
      <c r="A97">
        <f>_xlfn.XLOOKUP(B97,'Summary June 2026'!B:B,'Summary June 2026'!A:A,0,0)</f>
        <v>3025</v>
      </c>
      <c r="B97" s="54">
        <v>103410</v>
      </c>
      <c r="C97" s="54">
        <v>3303025</v>
      </c>
      <c r="D97" s="55" t="s">
        <v>338</v>
      </c>
      <c r="E97" s="46">
        <v>410</v>
      </c>
      <c r="F97" s="46">
        <v>410</v>
      </c>
      <c r="G97" s="46">
        <v>0</v>
      </c>
      <c r="H97" s="40">
        <v>1648703.8900000001</v>
      </c>
      <c r="I97" s="40">
        <v>0</v>
      </c>
      <c r="J97" s="40">
        <v>0</v>
      </c>
      <c r="K97" s="40">
        <v>53363.879999999903</v>
      </c>
      <c r="L97" s="40">
        <v>0</v>
      </c>
      <c r="M97" s="40">
        <v>130228.99999999987</v>
      </c>
      <c r="N97" s="40">
        <v>0</v>
      </c>
      <c r="O97" s="40">
        <v>16971.776102399985</v>
      </c>
      <c r="P97" s="40">
        <v>3528.4786790399962</v>
      </c>
      <c r="Q97" s="40">
        <v>27087.780034559957</v>
      </c>
      <c r="R97" s="40">
        <v>8088.6762700799909</v>
      </c>
      <c r="S97" s="40">
        <v>54185.877258239976</v>
      </c>
      <c r="T97" s="40">
        <v>8480.7294566399905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51152.897175141035</v>
      </c>
      <c r="AB97" s="40">
        <v>0</v>
      </c>
      <c r="AC97" s="40">
        <v>168675.64044504747</v>
      </c>
      <c r="AD97" s="40">
        <v>0</v>
      </c>
      <c r="AE97" s="40">
        <v>1349.2639999999737</v>
      </c>
      <c r="AF97" s="40">
        <v>0</v>
      </c>
      <c r="AG97" s="40">
        <v>149406.57</v>
      </c>
      <c r="AH97" s="40">
        <v>0</v>
      </c>
      <c r="AI97" s="40">
        <v>0</v>
      </c>
      <c r="AJ97" s="40">
        <v>0</v>
      </c>
      <c r="AK97" s="40">
        <v>8529.2844000000005</v>
      </c>
      <c r="AL97" s="40">
        <v>0</v>
      </c>
      <c r="AM97" s="40">
        <v>0</v>
      </c>
      <c r="AN97" s="40">
        <v>0</v>
      </c>
      <c r="AO97" s="40">
        <v>0</v>
      </c>
      <c r="AP97" s="40">
        <v>0</v>
      </c>
      <c r="AQ97" s="40">
        <v>0</v>
      </c>
      <c r="AR97" s="40">
        <v>0</v>
      </c>
      <c r="AS97" s="40">
        <v>0</v>
      </c>
      <c r="AT97" s="40">
        <v>1648703.8900000001</v>
      </c>
      <c r="AU97" s="40">
        <v>523113.9994211481</v>
      </c>
      <c r="AV97" s="40">
        <v>157935.85440000001</v>
      </c>
      <c r="AW97" s="40">
        <v>359807.86615339294</v>
      </c>
      <c r="AX97" s="56">
        <v>2329753.7438211483</v>
      </c>
      <c r="AY97" s="56">
        <v>2321224.4594211485</v>
      </c>
      <c r="AZ97" s="56">
        <v>5115</v>
      </c>
      <c r="BA97" s="56">
        <v>2097150</v>
      </c>
      <c r="BB97" s="56">
        <v>0</v>
      </c>
      <c r="BC97" s="56">
        <v>0</v>
      </c>
      <c r="BD97" s="56">
        <v>2329753.7438211483</v>
      </c>
      <c r="BE97" s="40">
        <v>2329753.7438211483</v>
      </c>
      <c r="BF97" s="40">
        <v>0</v>
      </c>
      <c r="BG97" s="56">
        <v>2105679.2843999998</v>
      </c>
      <c r="BH97" s="56">
        <v>1947743.4299999997</v>
      </c>
      <c r="BI97" s="40">
        <v>2171817.8894211487</v>
      </c>
      <c r="BJ97" s="40">
        <v>5297.116803466216</v>
      </c>
      <c r="BK97" s="40">
        <v>5185.0684815085169</v>
      </c>
      <c r="BL97" s="41">
        <v>2.1609805609568399E-2</v>
      </c>
      <c r="BM97" s="41">
        <v>0</v>
      </c>
      <c r="BN97" s="40">
        <v>0</v>
      </c>
      <c r="BO97" s="56">
        <v>2329753.7438211483</v>
      </c>
      <c r="BP97" s="56">
        <v>5661.5230717588993</v>
      </c>
      <c r="BQ97" s="56" t="s">
        <v>1091</v>
      </c>
      <c r="BR97" s="56">
        <v>5682.3262044418252</v>
      </c>
      <c r="BS97" s="47">
        <v>2.1806232468027043E-2</v>
      </c>
      <c r="BT97" s="40">
        <v>-10209</v>
      </c>
      <c r="BU97" s="40">
        <v>2319544.7438211483</v>
      </c>
      <c r="BV97" s="40">
        <v>0</v>
      </c>
      <c r="BW97" s="40">
        <v>2319544.7438211483</v>
      </c>
      <c r="BX97" s="40">
        <v>8529.2844000000005</v>
      </c>
      <c r="BY97" s="40">
        <v>2311015.4594211485</v>
      </c>
    </row>
    <row r="98" spans="1:77">
      <c r="A98">
        <f>_xlfn.XLOOKUP(B98,'Summary June 2026'!B:B,'Summary June 2026'!A:A,0,0)</f>
        <v>3307</v>
      </c>
      <c r="B98" s="54">
        <v>103416</v>
      </c>
      <c r="C98" s="54">
        <v>3303307</v>
      </c>
      <c r="D98" s="55" t="s">
        <v>330</v>
      </c>
      <c r="E98" s="46">
        <v>358</v>
      </c>
      <c r="F98" s="46">
        <v>358</v>
      </c>
      <c r="G98" s="46">
        <v>0</v>
      </c>
      <c r="H98" s="40">
        <v>1439599.9820000001</v>
      </c>
      <c r="I98" s="40">
        <v>0</v>
      </c>
      <c r="J98" s="40">
        <v>0</v>
      </c>
      <c r="K98" s="40">
        <v>49905.109999999833</v>
      </c>
      <c r="L98" s="40">
        <v>0</v>
      </c>
      <c r="M98" s="40">
        <v>119573.8999999996</v>
      </c>
      <c r="N98" s="40">
        <v>0</v>
      </c>
      <c r="O98" s="40">
        <v>3160.7301312752916</v>
      </c>
      <c r="P98" s="40">
        <v>13268.858898070564</v>
      </c>
      <c r="Q98" s="40">
        <v>5524.8114242258716</v>
      </c>
      <c r="R98" s="40">
        <v>18757.459011463521</v>
      </c>
      <c r="S98" s="40">
        <v>22595.857959755216</v>
      </c>
      <c r="T98" s="40">
        <v>46065.960423905708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6583.6300280111855</v>
      </c>
      <c r="AB98" s="40">
        <v>0</v>
      </c>
      <c r="AC98" s="40">
        <v>147481.30710915127</v>
      </c>
      <c r="AD98" s="40">
        <v>0</v>
      </c>
      <c r="AE98" s="40">
        <v>0</v>
      </c>
      <c r="AF98" s="40">
        <v>0</v>
      </c>
      <c r="AG98" s="40">
        <v>149406.57</v>
      </c>
      <c r="AH98" s="40">
        <v>0</v>
      </c>
      <c r="AI98" s="40">
        <v>0</v>
      </c>
      <c r="AJ98" s="40">
        <v>0</v>
      </c>
      <c r="AK98" s="40">
        <v>10488.714599999999</v>
      </c>
      <c r="AL98" s="40">
        <v>0</v>
      </c>
      <c r="AM98" s="40">
        <v>0</v>
      </c>
      <c r="AN98" s="40">
        <v>0</v>
      </c>
      <c r="AO98" s="40">
        <v>0</v>
      </c>
      <c r="AP98" s="40">
        <v>0</v>
      </c>
      <c r="AQ98" s="40">
        <v>0</v>
      </c>
      <c r="AR98" s="40">
        <v>0</v>
      </c>
      <c r="AS98" s="40">
        <v>0</v>
      </c>
      <c r="AT98" s="40">
        <v>1439599.9820000001</v>
      </c>
      <c r="AU98" s="40">
        <v>432917.62498585798</v>
      </c>
      <c r="AV98" s="40">
        <v>159895.28460000001</v>
      </c>
      <c r="AW98" s="40">
        <v>319848.27383468166</v>
      </c>
      <c r="AX98" s="56">
        <v>2032412.8915858581</v>
      </c>
      <c r="AY98" s="56">
        <v>2021924.176985858</v>
      </c>
      <c r="AZ98" s="56">
        <v>5115</v>
      </c>
      <c r="BA98" s="56">
        <v>1831170</v>
      </c>
      <c r="BB98" s="56">
        <v>0</v>
      </c>
      <c r="BC98" s="56">
        <v>0</v>
      </c>
      <c r="BD98" s="56">
        <v>2032412.8915858581</v>
      </c>
      <c r="BE98" s="40">
        <v>2032412.8915858581</v>
      </c>
      <c r="BF98" s="40">
        <v>0</v>
      </c>
      <c r="BG98" s="56">
        <v>1841658.7146000001</v>
      </c>
      <c r="BH98" s="56">
        <v>1681763.43</v>
      </c>
      <c r="BI98" s="40">
        <v>1872517.6069858579</v>
      </c>
      <c r="BJ98" s="40">
        <v>5230.4961088990449</v>
      </c>
      <c r="BK98" s="40">
        <v>5004.0964150837981</v>
      </c>
      <c r="BL98" s="41">
        <v>4.5242872046352356E-2</v>
      </c>
      <c r="BM98" s="41">
        <v>0</v>
      </c>
      <c r="BN98" s="40">
        <v>0</v>
      </c>
      <c r="BO98" s="56">
        <v>2032412.8915858581</v>
      </c>
      <c r="BP98" s="56">
        <v>5647.8328966085419</v>
      </c>
      <c r="BQ98" s="56" t="s">
        <v>1091</v>
      </c>
      <c r="BR98" s="56">
        <v>5677.1309820834022</v>
      </c>
      <c r="BS98" s="47">
        <v>4.4796214618022745E-2</v>
      </c>
      <c r="BT98" s="40">
        <v>-8914.1999999999989</v>
      </c>
      <c r="BU98" s="40">
        <v>2023498.6915858581</v>
      </c>
      <c r="BV98" s="40">
        <v>0</v>
      </c>
      <c r="BW98" s="40">
        <v>2023498.6915858581</v>
      </c>
      <c r="BX98" s="40">
        <v>10488.714599999999</v>
      </c>
      <c r="BY98" s="40">
        <v>2013009.9769858581</v>
      </c>
    </row>
    <row r="99" spans="1:77">
      <c r="A99">
        <f>_xlfn.XLOOKUP(B99,'Summary June 2026'!B:B,'Summary June 2026'!A:A,0,0)</f>
        <v>3317</v>
      </c>
      <c r="B99" s="54">
        <v>103421</v>
      </c>
      <c r="C99" s="54">
        <v>3303317</v>
      </c>
      <c r="D99" s="55" t="s">
        <v>192</v>
      </c>
      <c r="E99" s="46">
        <v>186</v>
      </c>
      <c r="F99" s="46">
        <v>186</v>
      </c>
      <c r="G99" s="46">
        <v>0</v>
      </c>
      <c r="H99" s="40">
        <v>747948.59400000004</v>
      </c>
      <c r="I99" s="40">
        <v>0</v>
      </c>
      <c r="J99" s="40">
        <v>0</v>
      </c>
      <c r="K99" s="40">
        <v>57810.869999999988</v>
      </c>
      <c r="L99" s="40">
        <v>0</v>
      </c>
      <c r="M99" s="40">
        <v>139700.19999999987</v>
      </c>
      <c r="N99" s="40">
        <v>0</v>
      </c>
      <c r="O99" s="40">
        <v>727.36183295999922</v>
      </c>
      <c r="P99" s="40">
        <v>17054.313615359981</v>
      </c>
      <c r="Q99" s="40">
        <v>29383.35461375997</v>
      </c>
      <c r="R99" s="40">
        <v>27299.282411519973</v>
      </c>
      <c r="S99" s="40">
        <v>2145.975336959998</v>
      </c>
      <c r="T99" s="40">
        <v>0</v>
      </c>
      <c r="U99" s="40">
        <v>0</v>
      </c>
      <c r="V99" s="40">
        <v>0</v>
      </c>
      <c r="W99" s="40">
        <v>0</v>
      </c>
      <c r="X99" s="40">
        <v>0</v>
      </c>
      <c r="Y99" s="40">
        <v>0</v>
      </c>
      <c r="Z99" s="40">
        <v>0</v>
      </c>
      <c r="AA99" s="40">
        <v>38139.1744785275</v>
      </c>
      <c r="AB99" s="40">
        <v>0</v>
      </c>
      <c r="AC99" s="40">
        <v>92216.7559740789</v>
      </c>
      <c r="AD99" s="40">
        <v>0</v>
      </c>
      <c r="AE99" s="40">
        <v>10447.158399999978</v>
      </c>
      <c r="AF99" s="40">
        <v>0</v>
      </c>
      <c r="AG99" s="40">
        <v>149406.57</v>
      </c>
      <c r="AH99" s="40">
        <v>0</v>
      </c>
      <c r="AI99" s="40">
        <v>0</v>
      </c>
      <c r="AJ99" s="40">
        <v>0</v>
      </c>
      <c r="AK99" s="40">
        <v>4582.2421999999997</v>
      </c>
      <c r="AL99" s="40">
        <v>0</v>
      </c>
      <c r="AM99" s="40">
        <v>0</v>
      </c>
      <c r="AN99" s="40">
        <v>0</v>
      </c>
      <c r="AO99" s="40">
        <v>0</v>
      </c>
      <c r="AP99" s="40">
        <v>0</v>
      </c>
      <c r="AQ99" s="40">
        <v>0</v>
      </c>
      <c r="AR99" s="40">
        <v>0</v>
      </c>
      <c r="AS99" s="40">
        <v>0</v>
      </c>
      <c r="AT99" s="40">
        <v>747948.59400000004</v>
      </c>
      <c r="AU99" s="40">
        <v>414924.44666316611</v>
      </c>
      <c r="AV99" s="40">
        <v>153988.81220000001</v>
      </c>
      <c r="AW99" s="40">
        <v>228297.8744858804</v>
      </c>
      <c r="AX99" s="56">
        <v>1316861.8528631662</v>
      </c>
      <c r="AY99" s="56">
        <v>1312279.6106631663</v>
      </c>
      <c r="AZ99" s="56">
        <v>5115</v>
      </c>
      <c r="BA99" s="56">
        <v>951390</v>
      </c>
      <c r="BB99" s="56">
        <v>0</v>
      </c>
      <c r="BC99" s="56">
        <v>0</v>
      </c>
      <c r="BD99" s="56">
        <v>1316861.8528631662</v>
      </c>
      <c r="BE99" s="40">
        <v>1316861.8528631665</v>
      </c>
      <c r="BF99" s="40">
        <v>0</v>
      </c>
      <c r="BG99" s="56">
        <v>955972.24219999998</v>
      </c>
      <c r="BH99" s="56">
        <v>801983.42999999993</v>
      </c>
      <c r="BI99" s="40">
        <v>1162873.0406631662</v>
      </c>
      <c r="BJ99" s="40">
        <v>6252.0055949632588</v>
      </c>
      <c r="BK99" s="40">
        <v>5974.5302666666666</v>
      </c>
      <c r="BL99" s="41">
        <v>4.6443036675986621E-2</v>
      </c>
      <c r="BM99" s="41">
        <v>0</v>
      </c>
      <c r="BN99" s="40">
        <v>0</v>
      </c>
      <c r="BO99" s="56">
        <v>1316861.8528631662</v>
      </c>
      <c r="BP99" s="56">
        <v>7055.2667239955172</v>
      </c>
      <c r="BQ99" s="56" t="s">
        <v>1091</v>
      </c>
      <c r="BR99" s="56">
        <v>7079.9024347482055</v>
      </c>
      <c r="BS99" s="47">
        <v>5.3298480473117804E-2</v>
      </c>
      <c r="BT99" s="40">
        <v>-4631.3999999999996</v>
      </c>
      <c r="BU99" s="40">
        <v>1312230.4528631663</v>
      </c>
      <c r="BV99" s="40">
        <v>0</v>
      </c>
      <c r="BW99" s="40">
        <v>1312230.4528631663</v>
      </c>
      <c r="BX99" s="40">
        <v>4582.2421999999997</v>
      </c>
      <c r="BY99" s="40">
        <v>1307648.2106631664</v>
      </c>
    </row>
    <row r="100" spans="1:77">
      <c r="A100">
        <f>_xlfn.XLOOKUP(B100,'Summary June 2026'!B:B,'Summary June 2026'!A:A,0,0)</f>
        <v>3319</v>
      </c>
      <c r="B100" s="54">
        <v>103423</v>
      </c>
      <c r="C100" s="54">
        <v>3303319</v>
      </c>
      <c r="D100" s="55" t="s">
        <v>109</v>
      </c>
      <c r="E100" s="46">
        <v>364</v>
      </c>
      <c r="F100" s="46">
        <v>364</v>
      </c>
      <c r="G100" s="46">
        <v>0</v>
      </c>
      <c r="H100" s="40">
        <v>1463727.3560000001</v>
      </c>
      <c r="I100" s="40">
        <v>0</v>
      </c>
      <c r="J100" s="40">
        <v>0</v>
      </c>
      <c r="K100" s="40">
        <v>82022.259999999995</v>
      </c>
      <c r="L100" s="40">
        <v>0</v>
      </c>
      <c r="M100" s="40">
        <v>198895.19999999978</v>
      </c>
      <c r="N100" s="40">
        <v>0</v>
      </c>
      <c r="O100" s="40">
        <v>3151.9012761599988</v>
      </c>
      <c r="P100" s="40">
        <v>4704.6382387199938</v>
      </c>
      <c r="Q100" s="40">
        <v>5050.2640742399963</v>
      </c>
      <c r="R100" s="40">
        <v>25277.113343999936</v>
      </c>
      <c r="S100" s="40">
        <v>99787.853168640009</v>
      </c>
      <c r="T100" s="40">
        <v>14841.276549119973</v>
      </c>
      <c r="U100" s="40">
        <v>0</v>
      </c>
      <c r="V100" s="40">
        <v>0</v>
      </c>
      <c r="W100" s="40">
        <v>0</v>
      </c>
      <c r="X100" s="40">
        <v>0</v>
      </c>
      <c r="Y100" s="40">
        <v>0</v>
      </c>
      <c r="Z100" s="40">
        <v>0</v>
      </c>
      <c r="AA100" s="40">
        <v>37812.458227848016</v>
      </c>
      <c r="AB100" s="40">
        <v>0</v>
      </c>
      <c r="AC100" s="40">
        <v>147809.52949749664</v>
      </c>
      <c r="AD100" s="40">
        <v>0</v>
      </c>
      <c r="AE100" s="40">
        <v>0</v>
      </c>
      <c r="AF100" s="40">
        <v>0</v>
      </c>
      <c r="AG100" s="40">
        <v>149406.57</v>
      </c>
      <c r="AH100" s="40">
        <v>0</v>
      </c>
      <c r="AI100" s="40">
        <v>0</v>
      </c>
      <c r="AJ100" s="40">
        <v>0</v>
      </c>
      <c r="AK100" s="40">
        <v>7088.5268999999998</v>
      </c>
      <c r="AL100" s="40">
        <v>0</v>
      </c>
      <c r="AM100" s="40">
        <v>0</v>
      </c>
      <c r="AN100" s="40">
        <v>0</v>
      </c>
      <c r="AO100" s="40">
        <v>0</v>
      </c>
      <c r="AP100" s="40">
        <v>0</v>
      </c>
      <c r="AQ100" s="40">
        <v>0</v>
      </c>
      <c r="AR100" s="40">
        <v>0</v>
      </c>
      <c r="AS100" s="40">
        <v>0</v>
      </c>
      <c r="AT100" s="40">
        <v>1463727.3560000001</v>
      </c>
      <c r="AU100" s="40">
        <v>619352.49437622435</v>
      </c>
      <c r="AV100" s="40">
        <v>156495.0969</v>
      </c>
      <c r="AW100" s="40">
        <v>377138.87969181337</v>
      </c>
      <c r="AX100" s="56">
        <v>2239574.9472762244</v>
      </c>
      <c r="AY100" s="56">
        <v>2232486.4203762244</v>
      </c>
      <c r="AZ100" s="56">
        <v>5115</v>
      </c>
      <c r="BA100" s="56">
        <v>1861860</v>
      </c>
      <c r="BB100" s="56">
        <v>0</v>
      </c>
      <c r="BC100" s="56">
        <v>0</v>
      </c>
      <c r="BD100" s="56">
        <v>2239574.9472762244</v>
      </c>
      <c r="BE100" s="40">
        <v>2239574.9472762244</v>
      </c>
      <c r="BF100" s="40">
        <v>0</v>
      </c>
      <c r="BG100" s="56">
        <v>1868948.5268999999</v>
      </c>
      <c r="BH100" s="56">
        <v>1712453.43</v>
      </c>
      <c r="BI100" s="40">
        <v>2083079.8503762244</v>
      </c>
      <c r="BJ100" s="40">
        <v>5722.7468416929241</v>
      </c>
      <c r="BK100" s="40">
        <v>5595.5474519337013</v>
      </c>
      <c r="BL100" s="41">
        <v>2.273225110713081E-2</v>
      </c>
      <c r="BM100" s="41">
        <v>0</v>
      </c>
      <c r="BN100" s="40">
        <v>0</v>
      </c>
      <c r="BO100" s="56">
        <v>2239574.9472762244</v>
      </c>
      <c r="BP100" s="56">
        <v>6133.2044515830339</v>
      </c>
      <c r="BQ100" s="56" t="s">
        <v>1091</v>
      </c>
      <c r="BR100" s="56">
        <v>6152.6784265830338</v>
      </c>
      <c r="BS100" s="47">
        <v>2.1557610409418393E-2</v>
      </c>
      <c r="BT100" s="40">
        <v>-9063.6</v>
      </c>
      <c r="BU100" s="40">
        <v>2230511.3472762243</v>
      </c>
      <c r="BV100" s="40">
        <v>0</v>
      </c>
      <c r="BW100" s="40">
        <v>2230511.3472762243</v>
      </c>
      <c r="BX100" s="40">
        <v>7088.5268999999998</v>
      </c>
      <c r="BY100" s="40">
        <v>2223422.8203762244</v>
      </c>
    </row>
    <row r="101" spans="1:77">
      <c r="A101">
        <f>_xlfn.XLOOKUP(B101,'Summary June 2026'!B:B,'Summary June 2026'!A:A,0,0)</f>
        <v>3320</v>
      </c>
      <c r="B101" s="54">
        <v>103424</v>
      </c>
      <c r="C101" s="54">
        <v>3303320</v>
      </c>
      <c r="D101" s="55" t="s">
        <v>128</v>
      </c>
      <c r="E101" s="46">
        <v>393</v>
      </c>
      <c r="F101" s="46">
        <v>393</v>
      </c>
      <c r="G101" s="46">
        <v>0</v>
      </c>
      <c r="H101" s="40">
        <v>1580342.9970000002</v>
      </c>
      <c r="I101" s="40">
        <v>0</v>
      </c>
      <c r="J101" s="40">
        <v>0</v>
      </c>
      <c r="K101" s="40">
        <v>113645.29999999996</v>
      </c>
      <c r="L101" s="40">
        <v>0</v>
      </c>
      <c r="M101" s="40">
        <v>278216.49999999965</v>
      </c>
      <c r="N101" s="40">
        <v>0</v>
      </c>
      <c r="O101" s="40">
        <v>13334.966937599975</v>
      </c>
      <c r="P101" s="40">
        <v>24405.310863359926</v>
      </c>
      <c r="Q101" s="40">
        <v>12396.102727679985</v>
      </c>
      <c r="R101" s="40">
        <v>34376.874147839815</v>
      </c>
      <c r="S101" s="40">
        <v>21996.247203839986</v>
      </c>
      <c r="T101" s="40">
        <v>66432.380743679911</v>
      </c>
      <c r="U101" s="40">
        <v>0</v>
      </c>
      <c r="V101" s="40">
        <v>0</v>
      </c>
      <c r="W101" s="40">
        <v>0</v>
      </c>
      <c r="X101" s="40">
        <v>0</v>
      </c>
      <c r="Y101" s="40">
        <v>0</v>
      </c>
      <c r="Z101" s="40">
        <v>0</v>
      </c>
      <c r="AA101" s="40">
        <v>41011.695828220822</v>
      </c>
      <c r="AB101" s="40">
        <v>0</v>
      </c>
      <c r="AC101" s="40">
        <v>167674.23800741363</v>
      </c>
      <c r="AD101" s="40">
        <v>0</v>
      </c>
      <c r="AE101" s="40">
        <v>463.78491428568827</v>
      </c>
      <c r="AF101" s="40">
        <v>0</v>
      </c>
      <c r="AG101" s="40">
        <v>149406.57</v>
      </c>
      <c r="AH101" s="40">
        <v>0</v>
      </c>
      <c r="AI101" s="40">
        <v>0</v>
      </c>
      <c r="AJ101" s="40">
        <v>0</v>
      </c>
      <c r="AK101" s="40">
        <v>7549.5693000000001</v>
      </c>
      <c r="AL101" s="40">
        <v>0</v>
      </c>
      <c r="AM101" s="40">
        <v>0</v>
      </c>
      <c r="AN101" s="40">
        <v>0</v>
      </c>
      <c r="AO101" s="40">
        <v>0</v>
      </c>
      <c r="AP101" s="40">
        <v>0</v>
      </c>
      <c r="AQ101" s="40">
        <v>0</v>
      </c>
      <c r="AR101" s="40">
        <v>0</v>
      </c>
      <c r="AS101" s="40">
        <v>0</v>
      </c>
      <c r="AT101" s="40">
        <v>1580342.9970000002</v>
      </c>
      <c r="AU101" s="40">
        <v>773953.40137391933</v>
      </c>
      <c r="AV101" s="40">
        <v>156956.13930000001</v>
      </c>
      <c r="AW101" s="40">
        <v>450020.71360205341</v>
      </c>
      <c r="AX101" s="56">
        <v>2511252.5376739195</v>
      </c>
      <c r="AY101" s="56">
        <v>2503702.9683739194</v>
      </c>
      <c r="AZ101" s="56">
        <v>5115</v>
      </c>
      <c r="BA101" s="56">
        <v>2010195</v>
      </c>
      <c r="BB101" s="56">
        <v>0</v>
      </c>
      <c r="BC101" s="56">
        <v>0</v>
      </c>
      <c r="BD101" s="56">
        <v>2511252.5376739195</v>
      </c>
      <c r="BE101" s="40">
        <v>2511252.5376739195</v>
      </c>
      <c r="BF101" s="40">
        <v>0</v>
      </c>
      <c r="BG101" s="56">
        <v>2017744.5693000001</v>
      </c>
      <c r="BH101" s="56">
        <v>1860788.43</v>
      </c>
      <c r="BI101" s="40">
        <v>2354296.3983739195</v>
      </c>
      <c r="BJ101" s="40">
        <v>5990.5760772873273</v>
      </c>
      <c r="BK101" s="40">
        <v>5854.9880129353242</v>
      </c>
      <c r="BL101" s="41">
        <v>2.3157701442334425E-2</v>
      </c>
      <c r="BM101" s="41">
        <v>0</v>
      </c>
      <c r="BN101" s="40">
        <v>0</v>
      </c>
      <c r="BO101" s="56">
        <v>2511252.5376739195</v>
      </c>
      <c r="BP101" s="56">
        <v>6370.7454666003041</v>
      </c>
      <c r="BQ101" s="56" t="s">
        <v>1091</v>
      </c>
      <c r="BR101" s="56">
        <v>6389.9555666003043</v>
      </c>
      <c r="BS101" s="47">
        <v>2.4643750071325687E-2</v>
      </c>
      <c r="BT101" s="40">
        <v>-9785.6999999999989</v>
      </c>
      <c r="BU101" s="40">
        <v>2501466.8376739193</v>
      </c>
      <c r="BV101" s="40">
        <v>0</v>
      </c>
      <c r="BW101" s="40">
        <v>2501466.8376739193</v>
      </c>
      <c r="BX101" s="40">
        <v>7549.5693000000001</v>
      </c>
      <c r="BY101" s="40">
        <v>2493917.2683739192</v>
      </c>
    </row>
    <row r="102" spans="1:77">
      <c r="A102">
        <f>_xlfn.XLOOKUP(B102,'Summary June 2026'!B:B,'Summary June 2026'!A:A,0,0)</f>
        <v>3321</v>
      </c>
      <c r="B102" s="54">
        <v>103425</v>
      </c>
      <c r="C102" s="54">
        <v>3303321</v>
      </c>
      <c r="D102" s="55" t="s">
        <v>136</v>
      </c>
      <c r="E102" s="46">
        <v>302</v>
      </c>
      <c r="F102" s="46">
        <v>302</v>
      </c>
      <c r="G102" s="46">
        <v>0</v>
      </c>
      <c r="H102" s="40">
        <v>1214411.1580000001</v>
      </c>
      <c r="I102" s="40">
        <v>0</v>
      </c>
      <c r="J102" s="40">
        <v>0</v>
      </c>
      <c r="K102" s="40">
        <v>79057.599999999962</v>
      </c>
      <c r="L102" s="40">
        <v>0</v>
      </c>
      <c r="M102" s="40">
        <v>189423.99999999991</v>
      </c>
      <c r="N102" s="40">
        <v>0</v>
      </c>
      <c r="O102" s="40">
        <v>1697.1776102399951</v>
      </c>
      <c r="P102" s="40">
        <v>28815.90921215999</v>
      </c>
      <c r="Q102" s="40">
        <v>45911.491583999923</v>
      </c>
      <c r="R102" s="40">
        <v>31849.162813439878</v>
      </c>
      <c r="S102" s="40">
        <v>6974.4198451199954</v>
      </c>
      <c r="T102" s="40">
        <v>4947.0921830399857</v>
      </c>
      <c r="U102" s="40">
        <v>0</v>
      </c>
      <c r="V102" s="40">
        <v>0</v>
      </c>
      <c r="W102" s="40">
        <v>0</v>
      </c>
      <c r="X102" s="40">
        <v>0</v>
      </c>
      <c r="Y102" s="40">
        <v>0</v>
      </c>
      <c r="Z102" s="40">
        <v>0</v>
      </c>
      <c r="AA102" s="40">
        <v>58546.954452554717</v>
      </c>
      <c r="AB102" s="40">
        <v>0</v>
      </c>
      <c r="AC102" s="40">
        <v>108021.41422786073</v>
      </c>
      <c r="AD102" s="40">
        <v>0</v>
      </c>
      <c r="AE102" s="40">
        <v>2775.628799999999</v>
      </c>
      <c r="AF102" s="40">
        <v>0</v>
      </c>
      <c r="AG102" s="40">
        <v>149406.57</v>
      </c>
      <c r="AH102" s="40">
        <v>0</v>
      </c>
      <c r="AI102" s="40">
        <v>0</v>
      </c>
      <c r="AJ102" s="40">
        <v>0</v>
      </c>
      <c r="AK102" s="40">
        <v>5214.2755999999999</v>
      </c>
      <c r="AL102" s="40">
        <v>0</v>
      </c>
      <c r="AM102" s="40">
        <v>0</v>
      </c>
      <c r="AN102" s="40">
        <v>0</v>
      </c>
      <c r="AO102" s="40">
        <v>0</v>
      </c>
      <c r="AP102" s="40">
        <v>0</v>
      </c>
      <c r="AQ102" s="40">
        <v>0</v>
      </c>
      <c r="AR102" s="40">
        <v>0</v>
      </c>
      <c r="AS102" s="40">
        <v>0</v>
      </c>
      <c r="AT102" s="40">
        <v>1214411.1580000001</v>
      </c>
      <c r="AU102" s="40">
        <v>558020.85072841495</v>
      </c>
      <c r="AV102" s="40">
        <v>154620.8456</v>
      </c>
      <c r="AW102" s="40">
        <v>308665.63929714059</v>
      </c>
      <c r="AX102" s="56">
        <v>1927052.8543284149</v>
      </c>
      <c r="AY102" s="56">
        <v>1921838.5787284148</v>
      </c>
      <c r="AZ102" s="56">
        <v>5115</v>
      </c>
      <c r="BA102" s="56">
        <v>1544730</v>
      </c>
      <c r="BB102" s="56">
        <v>0</v>
      </c>
      <c r="BC102" s="56">
        <v>0</v>
      </c>
      <c r="BD102" s="56">
        <v>1927052.8543284149</v>
      </c>
      <c r="BE102" s="40">
        <v>1927052.8543284154</v>
      </c>
      <c r="BF102" s="40">
        <v>0</v>
      </c>
      <c r="BG102" s="56">
        <v>1549944.2756000001</v>
      </c>
      <c r="BH102" s="56">
        <v>1395323.43</v>
      </c>
      <c r="BI102" s="40">
        <v>1772432.0087284148</v>
      </c>
      <c r="BJ102" s="40">
        <v>5868.9801613523668</v>
      </c>
      <c r="BK102" s="40">
        <v>5637.2512764367802</v>
      </c>
      <c r="BL102" s="41">
        <v>4.1106715587469582E-2</v>
      </c>
      <c r="BM102" s="41">
        <v>0</v>
      </c>
      <c r="BN102" s="40">
        <v>0</v>
      </c>
      <c r="BO102" s="56">
        <v>1927052.8543284149</v>
      </c>
      <c r="BP102" s="56">
        <v>6363.7039030742217</v>
      </c>
      <c r="BQ102" s="56" t="s">
        <v>1091</v>
      </c>
      <c r="BR102" s="56">
        <v>6380.969716319255</v>
      </c>
      <c r="BS102" s="47">
        <v>4.9925379112638169E-2</v>
      </c>
      <c r="BT102" s="40">
        <v>-7519.7999999999993</v>
      </c>
      <c r="BU102" s="40">
        <v>1919533.0543284148</v>
      </c>
      <c r="BV102" s="40">
        <v>0</v>
      </c>
      <c r="BW102" s="40">
        <v>1919533.0543284148</v>
      </c>
      <c r="BX102" s="40">
        <v>5214.2755999999999</v>
      </c>
      <c r="BY102" s="40">
        <v>1914318.7787284148</v>
      </c>
    </row>
    <row r="103" spans="1:77">
      <c r="A103">
        <f>_xlfn.XLOOKUP(B103,'Summary June 2026'!B:B,'Summary June 2026'!A:A,0,0)</f>
        <v>3328</v>
      </c>
      <c r="B103" s="54">
        <v>103430</v>
      </c>
      <c r="C103" s="54">
        <v>3303328</v>
      </c>
      <c r="D103" s="55" t="s">
        <v>258</v>
      </c>
      <c r="E103" s="46">
        <v>208</v>
      </c>
      <c r="F103" s="46">
        <v>208</v>
      </c>
      <c r="G103" s="46">
        <v>0</v>
      </c>
      <c r="H103" s="40">
        <v>836415.6320000001</v>
      </c>
      <c r="I103" s="40">
        <v>0</v>
      </c>
      <c r="J103" s="40">
        <v>0</v>
      </c>
      <c r="K103" s="40">
        <v>26681.93999999994</v>
      </c>
      <c r="L103" s="40">
        <v>0</v>
      </c>
      <c r="M103" s="40">
        <v>65114.499999999767</v>
      </c>
      <c r="N103" s="40">
        <v>0</v>
      </c>
      <c r="O103" s="40">
        <v>727.36183295999888</v>
      </c>
      <c r="P103" s="40">
        <v>7645.0371379200005</v>
      </c>
      <c r="Q103" s="40">
        <v>20201.056296959949</v>
      </c>
      <c r="R103" s="40">
        <v>1516.6268006399976</v>
      </c>
      <c r="S103" s="40">
        <v>16631.308861439942</v>
      </c>
      <c r="T103" s="40">
        <v>9187.4569113599991</v>
      </c>
      <c r="U103" s="40">
        <v>0</v>
      </c>
      <c r="V103" s="40">
        <v>0</v>
      </c>
      <c r="W103" s="40">
        <v>0</v>
      </c>
      <c r="X103" s="40">
        <v>0</v>
      </c>
      <c r="Y103" s="40">
        <v>0</v>
      </c>
      <c r="Z103" s="40">
        <v>0</v>
      </c>
      <c r="AA103" s="40">
        <v>8916.3279558011054</v>
      </c>
      <c r="AB103" s="40">
        <v>0</v>
      </c>
      <c r="AC103" s="40">
        <v>49937.493103658366</v>
      </c>
      <c r="AD103" s="40">
        <v>0</v>
      </c>
      <c r="AE103" s="40">
        <v>0</v>
      </c>
      <c r="AF103" s="40">
        <v>0</v>
      </c>
      <c r="AG103" s="40">
        <v>149406.57</v>
      </c>
      <c r="AH103" s="40">
        <v>0</v>
      </c>
      <c r="AI103" s="40">
        <v>0</v>
      </c>
      <c r="AJ103" s="40">
        <v>0</v>
      </c>
      <c r="AK103" s="40">
        <v>4081.8824</v>
      </c>
      <c r="AL103" s="40">
        <v>0</v>
      </c>
      <c r="AM103" s="40">
        <v>0</v>
      </c>
      <c r="AN103" s="40">
        <v>0</v>
      </c>
      <c r="AO103" s="40">
        <v>0</v>
      </c>
      <c r="AP103" s="40">
        <v>0</v>
      </c>
      <c r="AQ103" s="40">
        <v>0</v>
      </c>
      <c r="AR103" s="40">
        <v>0</v>
      </c>
      <c r="AS103" s="40">
        <v>0</v>
      </c>
      <c r="AT103" s="40">
        <v>836415.6320000001</v>
      </c>
      <c r="AU103" s="40">
        <v>206559.10890073905</v>
      </c>
      <c r="AV103" s="40">
        <v>153488.45240000001</v>
      </c>
      <c r="AW103" s="40">
        <v>144932.17832651903</v>
      </c>
      <c r="AX103" s="56">
        <v>1196463.1933007392</v>
      </c>
      <c r="AY103" s="56">
        <v>1192381.3109007392</v>
      </c>
      <c r="AZ103" s="56">
        <v>5115</v>
      </c>
      <c r="BA103" s="56">
        <v>1063920</v>
      </c>
      <c r="BB103" s="56">
        <v>0</v>
      </c>
      <c r="BC103" s="56">
        <v>0</v>
      </c>
      <c r="BD103" s="56">
        <v>1196463.1933007392</v>
      </c>
      <c r="BE103" s="40">
        <v>1196463.1933007394</v>
      </c>
      <c r="BF103" s="40">
        <v>0</v>
      </c>
      <c r="BG103" s="56">
        <v>1068001.8824</v>
      </c>
      <c r="BH103" s="56">
        <v>914513.42999999993</v>
      </c>
      <c r="BI103" s="40">
        <v>1042974.7409007391</v>
      </c>
      <c r="BJ103" s="40">
        <v>5014.3016389458608</v>
      </c>
      <c r="BK103" s="40">
        <v>5128.0882382775117</v>
      </c>
      <c r="BL103" s="41">
        <v>-2.218889263299241E-2</v>
      </c>
      <c r="BM103" s="41">
        <v>1.7188892632992409E-2</v>
      </c>
      <c r="BN103" s="40">
        <v>18334.400893174774</v>
      </c>
      <c r="BO103" s="56">
        <v>1214797.594193914</v>
      </c>
      <c r="BP103" s="56">
        <v>5820.7486143938168</v>
      </c>
      <c r="BQ103" s="56" t="s">
        <v>1091</v>
      </c>
      <c r="BR103" s="56">
        <v>5840.3730490092021</v>
      </c>
      <c r="BS103" s="47">
        <v>-3.2748372973391282E-3</v>
      </c>
      <c r="BT103" s="40">
        <v>-5179.2</v>
      </c>
      <c r="BU103" s="40">
        <v>1209618.394193914</v>
      </c>
      <c r="BV103" s="40">
        <v>0</v>
      </c>
      <c r="BW103" s="40">
        <v>1209618.394193914</v>
      </c>
      <c r="BX103" s="40">
        <v>4081.8824</v>
      </c>
      <c r="BY103" s="40">
        <v>1205536.511793914</v>
      </c>
    </row>
    <row r="104" spans="1:77">
      <c r="A104">
        <f>_xlfn.XLOOKUP(B104,'Summary June 2026'!B:B,'Summary June 2026'!A:A,0,0)</f>
        <v>3331</v>
      </c>
      <c r="B104" s="54">
        <v>103433</v>
      </c>
      <c r="C104" s="54">
        <v>3303331</v>
      </c>
      <c r="D104" s="55" t="s">
        <v>312</v>
      </c>
      <c r="E104" s="46">
        <v>211</v>
      </c>
      <c r="F104" s="46">
        <v>211</v>
      </c>
      <c r="G104" s="46">
        <v>0</v>
      </c>
      <c r="H104" s="40">
        <v>848479.31900000002</v>
      </c>
      <c r="I104" s="40">
        <v>0</v>
      </c>
      <c r="J104" s="40">
        <v>0</v>
      </c>
      <c r="K104" s="40">
        <v>37058.249999999927</v>
      </c>
      <c r="L104" s="40">
        <v>0</v>
      </c>
      <c r="M104" s="40">
        <v>88792.49999999984</v>
      </c>
      <c r="N104" s="40">
        <v>0</v>
      </c>
      <c r="O104" s="40">
        <v>11637.78932735996</v>
      </c>
      <c r="P104" s="40">
        <v>2940.3988991999968</v>
      </c>
      <c r="Q104" s="40">
        <v>4591.149158399995</v>
      </c>
      <c r="R104" s="40">
        <v>5560.9649356799955</v>
      </c>
      <c r="S104" s="40">
        <v>27897.679380479916</v>
      </c>
      <c r="T104" s="40">
        <v>25442.188369919877</v>
      </c>
      <c r="U104" s="40">
        <v>0</v>
      </c>
      <c r="V104" s="40">
        <v>0</v>
      </c>
      <c r="W104" s="40">
        <v>0</v>
      </c>
      <c r="X104" s="40">
        <v>0</v>
      </c>
      <c r="Y104" s="40">
        <v>0</v>
      </c>
      <c r="Z104" s="40">
        <v>0</v>
      </c>
      <c r="AA104" s="40">
        <v>38962.770386740311</v>
      </c>
      <c r="AB104" s="40">
        <v>0</v>
      </c>
      <c r="AC104" s="40">
        <v>95469.951679214966</v>
      </c>
      <c r="AD104" s="40">
        <v>0</v>
      </c>
      <c r="AE104" s="40">
        <v>1291.438399999993</v>
      </c>
      <c r="AF104" s="40">
        <v>0</v>
      </c>
      <c r="AG104" s="40">
        <v>149406.57</v>
      </c>
      <c r="AH104" s="40">
        <v>0</v>
      </c>
      <c r="AI104" s="40">
        <v>0</v>
      </c>
      <c r="AJ104" s="40">
        <v>0</v>
      </c>
      <c r="AK104" s="40">
        <v>3686.8615</v>
      </c>
      <c r="AL104" s="40">
        <v>0</v>
      </c>
      <c r="AM104" s="40">
        <v>0</v>
      </c>
      <c r="AN104" s="40">
        <v>0</v>
      </c>
      <c r="AO104" s="40">
        <v>0</v>
      </c>
      <c r="AP104" s="40">
        <v>0</v>
      </c>
      <c r="AQ104" s="40">
        <v>0</v>
      </c>
      <c r="AR104" s="40">
        <v>0</v>
      </c>
      <c r="AS104" s="40">
        <v>0</v>
      </c>
      <c r="AT104" s="40">
        <v>848479.31900000002</v>
      </c>
      <c r="AU104" s="40">
        <v>339645.08053699473</v>
      </c>
      <c r="AV104" s="40">
        <v>153093.43150000001</v>
      </c>
      <c r="AW104" s="40">
        <v>211305.4488547892</v>
      </c>
      <c r="AX104" s="56">
        <v>1341217.8310369947</v>
      </c>
      <c r="AY104" s="56">
        <v>1337530.9695369946</v>
      </c>
      <c r="AZ104" s="56">
        <v>5115</v>
      </c>
      <c r="BA104" s="56">
        <v>1079265</v>
      </c>
      <c r="BB104" s="56">
        <v>0</v>
      </c>
      <c r="BC104" s="56">
        <v>0</v>
      </c>
      <c r="BD104" s="56">
        <v>1341217.8310369947</v>
      </c>
      <c r="BE104" s="40">
        <v>1341217.8310369952</v>
      </c>
      <c r="BF104" s="40">
        <v>0</v>
      </c>
      <c r="BG104" s="56">
        <v>1082951.8615000001</v>
      </c>
      <c r="BH104" s="56">
        <v>929858.43</v>
      </c>
      <c r="BI104" s="40">
        <v>1188124.3995369945</v>
      </c>
      <c r="BJ104" s="40">
        <v>5630.9213248198794</v>
      </c>
      <c r="BK104" s="40">
        <v>5683.2411777251182</v>
      </c>
      <c r="BL104" s="41">
        <v>-9.2059884965468488E-3</v>
      </c>
      <c r="BM104" s="41">
        <v>4.2059884965468487E-3</v>
      </c>
      <c r="BN104" s="40">
        <v>5043.6695205053875</v>
      </c>
      <c r="BO104" s="56">
        <v>1346261.5005575002</v>
      </c>
      <c r="BP104" s="56">
        <v>6362.9129813151658</v>
      </c>
      <c r="BQ104" s="56" t="s">
        <v>1091</v>
      </c>
      <c r="BR104" s="56">
        <v>6380.3862585663519</v>
      </c>
      <c r="BS104" s="47">
        <v>-7.755484881177388E-3</v>
      </c>
      <c r="BT104" s="40">
        <v>-5253.9</v>
      </c>
      <c r="BU104" s="40">
        <v>1341007.6005575003</v>
      </c>
      <c r="BV104" s="40">
        <v>0</v>
      </c>
      <c r="BW104" s="40">
        <v>1341007.6005575003</v>
      </c>
      <c r="BX104" s="40">
        <v>3686.8615</v>
      </c>
      <c r="BY104" s="40">
        <v>1337320.7390575001</v>
      </c>
    </row>
    <row r="105" spans="1:77">
      <c r="A105">
        <f>_xlfn.XLOOKUP(B105,'Summary June 2026'!B:B,'Summary June 2026'!A:A,0,0)</f>
        <v>3335</v>
      </c>
      <c r="B105" s="54">
        <v>103434</v>
      </c>
      <c r="C105" s="54">
        <v>3303335</v>
      </c>
      <c r="D105" s="55" t="s">
        <v>304</v>
      </c>
      <c r="E105" s="46">
        <v>195</v>
      </c>
      <c r="F105" s="46">
        <v>195</v>
      </c>
      <c r="G105" s="46">
        <v>0</v>
      </c>
      <c r="H105" s="40">
        <v>784139.65500000003</v>
      </c>
      <c r="I105" s="40">
        <v>0</v>
      </c>
      <c r="J105" s="40">
        <v>0</v>
      </c>
      <c r="K105" s="40">
        <v>64234.29999999993</v>
      </c>
      <c r="L105" s="40">
        <v>0</v>
      </c>
      <c r="M105" s="40">
        <v>153906.99999999985</v>
      </c>
      <c r="N105" s="40">
        <v>0</v>
      </c>
      <c r="O105" s="40">
        <v>484.90788863999734</v>
      </c>
      <c r="P105" s="40">
        <v>1764.2393395199961</v>
      </c>
      <c r="Q105" s="40">
        <v>39024.767846399918</v>
      </c>
      <c r="R105" s="40">
        <v>6066.5072025599966</v>
      </c>
      <c r="S105" s="40">
        <v>39164.049899519967</v>
      </c>
      <c r="T105" s="40">
        <v>8480.7294566399942</v>
      </c>
      <c r="U105" s="40">
        <v>0</v>
      </c>
      <c r="V105" s="40">
        <v>0</v>
      </c>
      <c r="W105" s="40">
        <v>0</v>
      </c>
      <c r="X105" s="40">
        <v>0</v>
      </c>
      <c r="Y105" s="40">
        <v>0</v>
      </c>
      <c r="Z105" s="40">
        <v>0</v>
      </c>
      <c r="AA105" s="40">
        <v>34509.149999999914</v>
      </c>
      <c r="AB105" s="40">
        <v>0</v>
      </c>
      <c r="AC105" s="40">
        <v>62732.549246356852</v>
      </c>
      <c r="AD105" s="40">
        <v>0</v>
      </c>
      <c r="AE105" s="40">
        <v>3180.4079999999958</v>
      </c>
      <c r="AF105" s="40">
        <v>0</v>
      </c>
      <c r="AG105" s="40">
        <v>149406.57</v>
      </c>
      <c r="AH105" s="40">
        <v>0</v>
      </c>
      <c r="AI105" s="40">
        <v>0</v>
      </c>
      <c r="AJ105" s="40">
        <v>0</v>
      </c>
      <c r="AK105" s="40">
        <v>4687.5811000000003</v>
      </c>
      <c r="AL105" s="40">
        <v>0</v>
      </c>
      <c r="AM105" s="40">
        <v>0</v>
      </c>
      <c r="AN105" s="40">
        <v>0</v>
      </c>
      <c r="AO105" s="40">
        <v>0</v>
      </c>
      <c r="AP105" s="40">
        <v>0</v>
      </c>
      <c r="AQ105" s="40">
        <v>0</v>
      </c>
      <c r="AR105" s="40">
        <v>0</v>
      </c>
      <c r="AS105" s="40">
        <v>0</v>
      </c>
      <c r="AT105" s="40">
        <v>784139.65500000003</v>
      </c>
      <c r="AU105" s="40">
        <v>413548.60887963633</v>
      </c>
      <c r="AV105" s="40">
        <v>154094.15110000002</v>
      </c>
      <c r="AW105" s="40">
        <v>214665.07258433755</v>
      </c>
      <c r="AX105" s="56">
        <v>1351782.4149796362</v>
      </c>
      <c r="AY105" s="56">
        <v>1347094.8338796361</v>
      </c>
      <c r="AZ105" s="56">
        <v>5115</v>
      </c>
      <c r="BA105" s="56">
        <v>997425</v>
      </c>
      <c r="BB105" s="56">
        <v>0</v>
      </c>
      <c r="BC105" s="56">
        <v>0</v>
      </c>
      <c r="BD105" s="56">
        <v>1351782.4149796362</v>
      </c>
      <c r="BE105" s="40">
        <v>1351782.4149796367</v>
      </c>
      <c r="BF105" s="40">
        <v>0</v>
      </c>
      <c r="BG105" s="56">
        <v>1002112.5811</v>
      </c>
      <c r="BH105" s="56">
        <v>848018.43</v>
      </c>
      <c r="BI105" s="40">
        <v>1197688.2638796361</v>
      </c>
      <c r="BJ105" s="40">
        <v>6141.9910968186468</v>
      </c>
      <c r="BK105" s="40">
        <v>6211.4483406862746</v>
      </c>
      <c r="BL105" s="41">
        <v>-1.1182133386293888E-2</v>
      </c>
      <c r="BM105" s="41">
        <v>6.1821333862938877E-3</v>
      </c>
      <c r="BN105" s="40">
        <v>7488.0004220182955</v>
      </c>
      <c r="BO105" s="56">
        <v>1359270.4154016546</v>
      </c>
      <c r="BP105" s="56">
        <v>6946.5786374443824</v>
      </c>
      <c r="BQ105" s="56" t="s">
        <v>1091</v>
      </c>
      <c r="BR105" s="56">
        <v>6970.6175148802795</v>
      </c>
      <c r="BS105" s="47">
        <v>1.5261163004787193E-4</v>
      </c>
      <c r="BT105" s="40">
        <v>-4855.5</v>
      </c>
      <c r="BU105" s="40">
        <v>1354414.9154016546</v>
      </c>
      <c r="BV105" s="40">
        <v>0</v>
      </c>
      <c r="BW105" s="40">
        <v>1354414.9154016546</v>
      </c>
      <c r="BX105" s="40">
        <v>4687.5811000000003</v>
      </c>
      <c r="BY105" s="40">
        <v>1349727.3343016545</v>
      </c>
    </row>
    <row r="106" spans="1:77">
      <c r="A106">
        <f>_xlfn.XLOOKUP(B106,'Summary June 2026'!B:B,'Summary June 2026'!A:A,0,0)</f>
        <v>3344</v>
      </c>
      <c r="B106" s="54">
        <v>103438</v>
      </c>
      <c r="C106" s="54">
        <v>3303344</v>
      </c>
      <c r="D106" s="55" t="s">
        <v>336</v>
      </c>
      <c r="E106" s="46">
        <v>419</v>
      </c>
      <c r="F106" s="46">
        <v>419</v>
      </c>
      <c r="G106" s="46">
        <v>0</v>
      </c>
      <c r="H106" s="40">
        <v>1684894.9510000001</v>
      </c>
      <c r="I106" s="40">
        <v>0</v>
      </c>
      <c r="J106" s="40">
        <v>0</v>
      </c>
      <c r="K106" s="40">
        <v>41011.129999999997</v>
      </c>
      <c r="L106" s="40">
        <v>0</v>
      </c>
      <c r="M106" s="40">
        <v>100631.49999999977</v>
      </c>
      <c r="N106" s="40">
        <v>0</v>
      </c>
      <c r="O106" s="40">
        <v>6303.8025523199994</v>
      </c>
      <c r="P106" s="40">
        <v>8233.1169177599895</v>
      </c>
      <c r="Q106" s="40">
        <v>12855.217643519984</v>
      </c>
      <c r="R106" s="40">
        <v>16682.894807039989</v>
      </c>
      <c r="S106" s="40">
        <v>33262.617722879877</v>
      </c>
      <c r="T106" s="40">
        <v>26855.643279359989</v>
      </c>
      <c r="U106" s="40">
        <v>0</v>
      </c>
      <c r="V106" s="40">
        <v>0</v>
      </c>
      <c r="W106" s="40">
        <v>0</v>
      </c>
      <c r="X106" s="40">
        <v>0</v>
      </c>
      <c r="Y106" s="40">
        <v>0</v>
      </c>
      <c r="Z106" s="40">
        <v>0</v>
      </c>
      <c r="AA106" s="40">
        <v>57656.401888888744</v>
      </c>
      <c r="AB106" s="40">
        <v>0</v>
      </c>
      <c r="AC106" s="40">
        <v>125110.75249415047</v>
      </c>
      <c r="AD106" s="40">
        <v>0</v>
      </c>
      <c r="AE106" s="40">
        <v>0</v>
      </c>
      <c r="AF106" s="40">
        <v>0</v>
      </c>
      <c r="AG106" s="40">
        <v>149406.57</v>
      </c>
      <c r="AH106" s="40">
        <v>0</v>
      </c>
      <c r="AI106" s="40">
        <v>0</v>
      </c>
      <c r="AJ106" s="40">
        <v>0</v>
      </c>
      <c r="AK106" s="40">
        <v>10200.563099999999</v>
      </c>
      <c r="AL106" s="40">
        <v>0</v>
      </c>
      <c r="AM106" s="40">
        <v>0</v>
      </c>
      <c r="AN106" s="40">
        <v>0</v>
      </c>
      <c r="AO106" s="40">
        <v>0</v>
      </c>
      <c r="AP106" s="40">
        <v>0</v>
      </c>
      <c r="AQ106" s="40">
        <v>0</v>
      </c>
      <c r="AR106" s="40">
        <v>0</v>
      </c>
      <c r="AS106" s="40">
        <v>0</v>
      </c>
      <c r="AT106" s="40">
        <v>1684894.9510000001</v>
      </c>
      <c r="AU106" s="40">
        <v>428603.07730591885</v>
      </c>
      <c r="AV106" s="40">
        <v>159607.13310000001</v>
      </c>
      <c r="AW106" s="40">
        <v>297856.43229638715</v>
      </c>
      <c r="AX106" s="56">
        <v>2273105.1614059191</v>
      </c>
      <c r="AY106" s="56">
        <v>2262904.5983059192</v>
      </c>
      <c r="AZ106" s="56">
        <v>5115</v>
      </c>
      <c r="BA106" s="56">
        <v>2143185</v>
      </c>
      <c r="BB106" s="56">
        <v>0</v>
      </c>
      <c r="BC106" s="56">
        <v>0</v>
      </c>
      <c r="BD106" s="56">
        <v>2273105.1614059191</v>
      </c>
      <c r="BE106" s="40">
        <v>2273105.1614059191</v>
      </c>
      <c r="BF106" s="40">
        <v>0</v>
      </c>
      <c r="BG106" s="56">
        <v>2153385.5630999999</v>
      </c>
      <c r="BH106" s="56">
        <v>1993778.43</v>
      </c>
      <c r="BI106" s="40">
        <v>2113498.0283059194</v>
      </c>
      <c r="BJ106" s="40">
        <v>5044.1480389162753</v>
      </c>
      <c r="BK106" s="40">
        <v>4928.2865952380962</v>
      </c>
      <c r="BL106" s="41">
        <v>2.3509477673260507E-2</v>
      </c>
      <c r="BM106" s="41">
        <v>0</v>
      </c>
      <c r="BN106" s="40">
        <v>0</v>
      </c>
      <c r="BO106" s="56">
        <v>2273105.1614059191</v>
      </c>
      <c r="BP106" s="56">
        <v>5400.7269649305945</v>
      </c>
      <c r="BQ106" s="56" t="s">
        <v>1091</v>
      </c>
      <c r="BR106" s="56">
        <v>5425.0719842623366</v>
      </c>
      <c r="BS106" s="47">
        <v>2.5286839318351184E-2</v>
      </c>
      <c r="BT106" s="40">
        <v>-10433.099999999999</v>
      </c>
      <c r="BU106" s="40">
        <v>2262672.061405919</v>
      </c>
      <c r="BV106" s="40">
        <v>0</v>
      </c>
      <c r="BW106" s="40">
        <v>2262672.061405919</v>
      </c>
      <c r="BX106" s="40">
        <v>10200.563099999999</v>
      </c>
      <c r="BY106" s="40">
        <v>2252471.4983059191</v>
      </c>
    </row>
    <row r="107" spans="1:77">
      <c r="A107">
        <f>_xlfn.XLOOKUP(B107,'Summary June 2026'!B:B,'Summary June 2026'!A:A,0,0)</f>
        <v>3346</v>
      </c>
      <c r="B107" s="54">
        <v>103439</v>
      </c>
      <c r="C107" s="54">
        <v>3303346</v>
      </c>
      <c r="D107" s="55" t="s">
        <v>342</v>
      </c>
      <c r="E107" s="46">
        <v>300</v>
      </c>
      <c r="F107" s="46">
        <v>300</v>
      </c>
      <c r="G107" s="46">
        <v>0</v>
      </c>
      <c r="H107" s="40">
        <v>1206368.7000000002</v>
      </c>
      <c r="I107" s="40">
        <v>0</v>
      </c>
      <c r="J107" s="40">
        <v>0</v>
      </c>
      <c r="K107" s="40">
        <v>60281.419999999904</v>
      </c>
      <c r="L107" s="40">
        <v>0</v>
      </c>
      <c r="M107" s="40">
        <v>185872.29999999987</v>
      </c>
      <c r="N107" s="40">
        <v>0</v>
      </c>
      <c r="O107" s="40">
        <v>2666.9933875199949</v>
      </c>
      <c r="P107" s="40">
        <v>7645.0371379199942</v>
      </c>
      <c r="Q107" s="40">
        <v>10100.528148479996</v>
      </c>
      <c r="R107" s="40">
        <v>28310.3669452799</v>
      </c>
      <c r="S107" s="40">
        <v>46674.963578880008</v>
      </c>
      <c r="T107" s="40">
        <v>53004.559104</v>
      </c>
      <c r="U107" s="40">
        <v>0</v>
      </c>
      <c r="V107" s="40">
        <v>0</v>
      </c>
      <c r="W107" s="40">
        <v>0</v>
      </c>
      <c r="X107" s="40">
        <v>0</v>
      </c>
      <c r="Y107" s="40">
        <v>0</v>
      </c>
      <c r="Z107" s="40">
        <v>0</v>
      </c>
      <c r="AA107" s="40">
        <v>39188.739622641355</v>
      </c>
      <c r="AB107" s="40">
        <v>0</v>
      </c>
      <c r="AC107" s="40">
        <v>202663.49027229537</v>
      </c>
      <c r="AD107" s="40">
        <v>0</v>
      </c>
      <c r="AE107" s="40">
        <v>20238.960000000003</v>
      </c>
      <c r="AF107" s="40">
        <v>0</v>
      </c>
      <c r="AG107" s="40">
        <v>149406.57</v>
      </c>
      <c r="AH107" s="40">
        <v>0</v>
      </c>
      <c r="AI107" s="40">
        <v>0</v>
      </c>
      <c r="AJ107" s="40">
        <v>80916.320000000007</v>
      </c>
      <c r="AK107" s="40">
        <v>3660.5268000000001</v>
      </c>
      <c r="AL107" s="40">
        <v>0</v>
      </c>
      <c r="AM107" s="40">
        <v>0</v>
      </c>
      <c r="AN107" s="40">
        <v>0</v>
      </c>
      <c r="AO107" s="40">
        <v>0</v>
      </c>
      <c r="AP107" s="40">
        <v>0</v>
      </c>
      <c r="AQ107" s="40">
        <v>0</v>
      </c>
      <c r="AR107" s="40">
        <v>0</v>
      </c>
      <c r="AS107" s="40">
        <v>0</v>
      </c>
      <c r="AT107" s="40">
        <v>1206368.7000000002</v>
      </c>
      <c r="AU107" s="40">
        <v>656647.35819701641</v>
      </c>
      <c r="AV107" s="40">
        <v>233983.41680000001</v>
      </c>
      <c r="AW107" s="40">
        <v>405022.14586104406</v>
      </c>
      <c r="AX107" s="56">
        <v>2096999.4749970166</v>
      </c>
      <c r="AY107" s="56">
        <v>2012422.6281970164</v>
      </c>
      <c r="AZ107" s="56">
        <v>5115</v>
      </c>
      <c r="BA107" s="56">
        <v>1534500</v>
      </c>
      <c r="BB107" s="56">
        <v>0</v>
      </c>
      <c r="BC107" s="56">
        <v>0</v>
      </c>
      <c r="BD107" s="56">
        <v>2096999.4749970166</v>
      </c>
      <c r="BE107" s="40">
        <v>2096999.4749970168</v>
      </c>
      <c r="BF107" s="40">
        <v>0</v>
      </c>
      <c r="BG107" s="56">
        <v>1619076.8468000002</v>
      </c>
      <c r="BH107" s="56">
        <v>1385093.4300000002</v>
      </c>
      <c r="BI107" s="40">
        <v>1863016.0581970164</v>
      </c>
      <c r="BJ107" s="40">
        <v>6210.0535273233882</v>
      </c>
      <c r="BK107" s="40">
        <v>6028.4301471910103</v>
      </c>
      <c r="BL107" s="41">
        <v>3.0127807024023751E-2</v>
      </c>
      <c r="BM107" s="41">
        <v>0</v>
      </c>
      <c r="BN107" s="40">
        <v>0</v>
      </c>
      <c r="BO107" s="56">
        <v>2096999.4749970166</v>
      </c>
      <c r="BP107" s="56">
        <v>6708.0754273233879</v>
      </c>
      <c r="BQ107" s="56" t="s">
        <v>1091</v>
      </c>
      <c r="BR107" s="56">
        <v>6989.9982499900552</v>
      </c>
      <c r="BS107" s="47">
        <v>4.4724726355061861E-2</v>
      </c>
      <c r="BT107" s="40">
        <v>-7470</v>
      </c>
      <c r="BU107" s="40">
        <v>2089529.4749970166</v>
      </c>
      <c r="BV107" s="40">
        <v>0</v>
      </c>
      <c r="BW107" s="40">
        <v>2089529.4749970166</v>
      </c>
      <c r="BX107" s="40">
        <v>3660.5268000000001</v>
      </c>
      <c r="BY107" s="40">
        <v>2085868.9481970165</v>
      </c>
    </row>
    <row r="108" spans="1:77">
      <c r="A108">
        <f>_xlfn.XLOOKUP(B108,'Summary June 2026'!B:B,'Summary June 2026'!A:A,0,0)</f>
        <v>3351</v>
      </c>
      <c r="B108" s="54">
        <v>103443</v>
      </c>
      <c r="C108" s="54">
        <v>3303351</v>
      </c>
      <c r="D108" s="55" t="s">
        <v>256</v>
      </c>
      <c r="E108" s="46">
        <v>206</v>
      </c>
      <c r="F108" s="46">
        <v>206</v>
      </c>
      <c r="G108" s="46">
        <v>0</v>
      </c>
      <c r="H108" s="40">
        <v>828373.174</v>
      </c>
      <c r="I108" s="40">
        <v>0</v>
      </c>
      <c r="J108" s="40">
        <v>0</v>
      </c>
      <c r="K108" s="40">
        <v>44964.01</v>
      </c>
      <c r="L108" s="40">
        <v>0</v>
      </c>
      <c r="M108" s="40">
        <v>112470.49999999993</v>
      </c>
      <c r="N108" s="40">
        <v>0</v>
      </c>
      <c r="O108" s="40">
        <v>484.9078886399995</v>
      </c>
      <c r="P108" s="40">
        <v>882.11966975999974</v>
      </c>
      <c r="Q108" s="40">
        <v>22037.515960319994</v>
      </c>
      <c r="R108" s="40">
        <v>4549.8804019199988</v>
      </c>
      <c r="S108" s="40">
        <v>56331.852595199933</v>
      </c>
      <c r="T108" s="40">
        <v>8480.7294566399978</v>
      </c>
      <c r="U108" s="40">
        <v>0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15195.948764044881</v>
      </c>
      <c r="AB108" s="40">
        <v>0</v>
      </c>
      <c r="AC108" s="40">
        <v>78389.239930241689</v>
      </c>
      <c r="AD108" s="40">
        <v>0</v>
      </c>
      <c r="AE108" s="40">
        <v>0</v>
      </c>
      <c r="AF108" s="40">
        <v>0</v>
      </c>
      <c r="AG108" s="40">
        <v>149406.57</v>
      </c>
      <c r="AH108" s="40">
        <v>0</v>
      </c>
      <c r="AI108" s="40">
        <v>0</v>
      </c>
      <c r="AJ108" s="40">
        <v>0</v>
      </c>
      <c r="AK108" s="40">
        <v>4266.2254999999996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828373.174</v>
      </c>
      <c r="AU108" s="40">
        <v>343786.70466676645</v>
      </c>
      <c r="AV108" s="40">
        <v>153672.79550000001</v>
      </c>
      <c r="AW108" s="40">
        <v>209880.44438033446</v>
      </c>
      <c r="AX108" s="56">
        <v>1325832.6741667665</v>
      </c>
      <c r="AY108" s="56">
        <v>1321566.4486667665</v>
      </c>
      <c r="AZ108" s="56">
        <v>5115</v>
      </c>
      <c r="BA108" s="56">
        <v>1053690</v>
      </c>
      <c r="BB108" s="56">
        <v>0</v>
      </c>
      <c r="BC108" s="56">
        <v>0</v>
      </c>
      <c r="BD108" s="56">
        <v>1325832.6741667665</v>
      </c>
      <c r="BE108" s="40">
        <v>1325832.6741667662</v>
      </c>
      <c r="BF108" s="40">
        <v>0</v>
      </c>
      <c r="BG108" s="56">
        <v>1057956.2254999999</v>
      </c>
      <c r="BH108" s="56">
        <v>904283.42999999993</v>
      </c>
      <c r="BI108" s="40">
        <v>1172159.8786667665</v>
      </c>
      <c r="BJ108" s="40">
        <v>5690.0964983823615</v>
      </c>
      <c r="BK108" s="40">
        <v>5730.3409538461528</v>
      </c>
      <c r="BL108" s="41">
        <v>-7.0230472825146065E-3</v>
      </c>
      <c r="BM108" s="41">
        <v>2.0230472825146064E-3</v>
      </c>
      <c r="BN108" s="40">
        <v>2388.1066430794872</v>
      </c>
      <c r="BO108" s="56">
        <v>1328220.780809846</v>
      </c>
      <c r="BP108" s="56">
        <v>6426.9638607274082</v>
      </c>
      <c r="BQ108" s="56" t="s">
        <v>1091</v>
      </c>
      <c r="BR108" s="56">
        <v>6447.6736932516797</v>
      </c>
      <c r="BS108" s="47">
        <v>-1.60039881105839E-2</v>
      </c>
      <c r="BT108" s="40">
        <v>-5129.3999999999996</v>
      </c>
      <c r="BU108" s="40">
        <v>1323091.3808098461</v>
      </c>
      <c r="BV108" s="40">
        <v>0</v>
      </c>
      <c r="BW108" s="40">
        <v>1323091.3808098461</v>
      </c>
      <c r="BX108" s="40">
        <v>4266.2254999999996</v>
      </c>
      <c r="BY108" s="40">
        <v>1318825.1553098462</v>
      </c>
    </row>
    <row r="109" spans="1:77">
      <c r="A109">
        <f>_xlfn.XLOOKUP(B109,'Summary June 2026'!B:B,'Summary June 2026'!A:A,0,0)</f>
        <v>3352</v>
      </c>
      <c r="B109" s="54">
        <v>103444</v>
      </c>
      <c r="C109" s="54">
        <v>3303352</v>
      </c>
      <c r="D109" s="55" t="s">
        <v>1093</v>
      </c>
      <c r="E109" s="46">
        <v>119</v>
      </c>
      <c r="F109" s="46">
        <v>119</v>
      </c>
      <c r="G109" s="46">
        <v>0</v>
      </c>
      <c r="H109" s="40">
        <v>478526.25100000005</v>
      </c>
      <c r="I109" s="40">
        <v>0</v>
      </c>
      <c r="J109" s="40">
        <v>0</v>
      </c>
      <c r="K109" s="40">
        <v>23223.169999999984</v>
      </c>
      <c r="L109" s="40">
        <v>0</v>
      </c>
      <c r="M109" s="40">
        <v>61562.799999999952</v>
      </c>
      <c r="N109" s="40">
        <v>0</v>
      </c>
      <c r="O109" s="40">
        <v>1212.2697215999979</v>
      </c>
      <c r="P109" s="40">
        <v>3234.4387891199981</v>
      </c>
      <c r="Q109" s="40">
        <v>5509.3789900799575</v>
      </c>
      <c r="R109" s="40">
        <v>4549.8804019199979</v>
      </c>
      <c r="S109" s="40">
        <v>8583.9013478399993</v>
      </c>
      <c r="T109" s="40">
        <v>2826.9098188799944</v>
      </c>
      <c r="U109" s="40">
        <v>0</v>
      </c>
      <c r="V109" s="40">
        <v>0</v>
      </c>
      <c r="W109" s="40">
        <v>0</v>
      </c>
      <c r="X109" s="40">
        <v>0</v>
      </c>
      <c r="Y109" s="40">
        <v>0</v>
      </c>
      <c r="Z109" s="40">
        <v>0</v>
      </c>
      <c r="AA109" s="40">
        <v>19071.248518518481</v>
      </c>
      <c r="AB109" s="40">
        <v>0</v>
      </c>
      <c r="AC109" s="40">
        <v>44313.196246798143</v>
      </c>
      <c r="AD109" s="40">
        <v>0</v>
      </c>
      <c r="AE109" s="40">
        <v>2756.3535999999949</v>
      </c>
      <c r="AF109" s="40">
        <v>0</v>
      </c>
      <c r="AG109" s="40">
        <v>149406.57</v>
      </c>
      <c r="AH109" s="40">
        <v>0</v>
      </c>
      <c r="AI109" s="40">
        <v>0</v>
      </c>
      <c r="AJ109" s="40">
        <v>0</v>
      </c>
      <c r="AK109" s="40">
        <v>4529.5726999999997</v>
      </c>
      <c r="AL109" s="40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v>478526.25100000005</v>
      </c>
      <c r="AU109" s="40">
        <v>176843.54743475653</v>
      </c>
      <c r="AV109" s="40">
        <v>153936.1427</v>
      </c>
      <c r="AW109" s="40">
        <v>108092.49846179649</v>
      </c>
      <c r="AX109" s="56">
        <v>809305.94113475655</v>
      </c>
      <c r="AY109" s="56">
        <v>804776.36843475653</v>
      </c>
      <c r="AZ109" s="56">
        <v>5115</v>
      </c>
      <c r="BA109" s="56">
        <v>608685</v>
      </c>
      <c r="BB109" s="56">
        <v>0</v>
      </c>
      <c r="BC109" s="56">
        <v>0</v>
      </c>
      <c r="BD109" s="56">
        <v>809305.94113475655</v>
      </c>
      <c r="BE109" s="40">
        <v>809305.94113475655</v>
      </c>
      <c r="BF109" s="40">
        <v>0</v>
      </c>
      <c r="BG109" s="56">
        <v>613214.57270000002</v>
      </c>
      <c r="BH109" s="56">
        <v>459278.43</v>
      </c>
      <c r="BI109" s="40">
        <v>655369.79843475658</v>
      </c>
      <c r="BJ109" s="40">
        <v>5507.3092305441733</v>
      </c>
      <c r="BK109" s="40">
        <v>5271.0358562913907</v>
      </c>
      <c r="BL109" s="41">
        <v>4.4824846708407785E-2</v>
      </c>
      <c r="BM109" s="41">
        <v>0</v>
      </c>
      <c r="BN109" s="40">
        <v>0</v>
      </c>
      <c r="BO109" s="56">
        <v>809305.94113475655</v>
      </c>
      <c r="BP109" s="56">
        <v>6762.8266255021554</v>
      </c>
      <c r="BQ109" s="56" t="s">
        <v>1091</v>
      </c>
      <c r="BR109" s="56">
        <v>6800.8902616366095</v>
      </c>
      <c r="BS109" s="47">
        <v>7.8100039323556913E-2</v>
      </c>
      <c r="BT109" s="40">
        <v>-2963.1</v>
      </c>
      <c r="BU109" s="40">
        <v>806342.84113475657</v>
      </c>
      <c r="BV109" s="40">
        <v>0</v>
      </c>
      <c r="BW109" s="40">
        <v>806342.84113475657</v>
      </c>
      <c r="BX109" s="40">
        <v>4529.5726999999997</v>
      </c>
      <c r="BY109" s="40">
        <v>801813.26843475655</v>
      </c>
    </row>
    <row r="110" spans="1:77">
      <c r="A110">
        <f>_xlfn.XLOOKUP(B110,'Summary June 2026'!B:B,'Summary June 2026'!A:A,0,0)</f>
        <v>3353</v>
      </c>
      <c r="B110" s="54">
        <v>103445</v>
      </c>
      <c r="C110" s="54">
        <v>3303353</v>
      </c>
      <c r="D110" s="55" t="s">
        <v>87</v>
      </c>
      <c r="E110" s="46">
        <v>647</v>
      </c>
      <c r="F110" s="46">
        <v>647</v>
      </c>
      <c r="G110" s="46">
        <v>0</v>
      </c>
      <c r="H110" s="40">
        <v>2601735.1630000002</v>
      </c>
      <c r="I110" s="40">
        <v>0</v>
      </c>
      <c r="J110" s="40">
        <v>0</v>
      </c>
      <c r="K110" s="40">
        <v>39034.689999999893</v>
      </c>
      <c r="L110" s="40">
        <v>0</v>
      </c>
      <c r="M110" s="40">
        <v>106550.99999999969</v>
      </c>
      <c r="N110" s="40">
        <v>0</v>
      </c>
      <c r="O110" s="40">
        <v>5818.8946636799928</v>
      </c>
      <c r="P110" s="40">
        <v>4116.5584588799857</v>
      </c>
      <c r="Q110" s="40">
        <v>7804.9535692799836</v>
      </c>
      <c r="R110" s="40">
        <v>9605.303070719996</v>
      </c>
      <c r="S110" s="40">
        <v>17704.296529919971</v>
      </c>
      <c r="T110" s="40">
        <v>5653.8196377599925</v>
      </c>
      <c r="U110" s="40">
        <v>0</v>
      </c>
      <c r="V110" s="40">
        <v>0</v>
      </c>
      <c r="W110" s="40">
        <v>0</v>
      </c>
      <c r="X110" s="40">
        <v>0</v>
      </c>
      <c r="Y110" s="40">
        <v>0</v>
      </c>
      <c r="Z110" s="40">
        <v>0</v>
      </c>
      <c r="AA110" s="40">
        <v>25605.291684587792</v>
      </c>
      <c r="AB110" s="40">
        <v>0</v>
      </c>
      <c r="AC110" s="40">
        <v>171109.10069501566</v>
      </c>
      <c r="AD110" s="40">
        <v>0</v>
      </c>
      <c r="AE110" s="40">
        <v>0</v>
      </c>
      <c r="AF110" s="40">
        <v>0</v>
      </c>
      <c r="AG110" s="40">
        <v>149406.57</v>
      </c>
      <c r="AH110" s="40">
        <v>0</v>
      </c>
      <c r="AI110" s="40">
        <v>0</v>
      </c>
      <c r="AJ110" s="40">
        <v>0</v>
      </c>
      <c r="AK110" s="40">
        <v>10431.0843</v>
      </c>
      <c r="AL110" s="40">
        <v>0</v>
      </c>
      <c r="AM110" s="40">
        <v>0</v>
      </c>
      <c r="AN110" s="40">
        <v>0</v>
      </c>
      <c r="AO110" s="40">
        <v>0</v>
      </c>
      <c r="AP110" s="40">
        <v>0</v>
      </c>
      <c r="AQ110" s="40">
        <v>0</v>
      </c>
      <c r="AR110" s="40">
        <v>0</v>
      </c>
      <c r="AS110" s="40">
        <v>0</v>
      </c>
      <c r="AT110" s="40">
        <v>2601735.1630000002</v>
      </c>
      <c r="AU110" s="40">
        <v>393003.90830984293</v>
      </c>
      <c r="AV110" s="40">
        <v>159837.65429999999</v>
      </c>
      <c r="AW110" s="40">
        <v>371860.08457990194</v>
      </c>
      <c r="AX110" s="56">
        <v>3154576.7256098432</v>
      </c>
      <c r="AY110" s="56">
        <v>3144145.6413098429</v>
      </c>
      <c r="AZ110" s="56">
        <v>5115</v>
      </c>
      <c r="BA110" s="56">
        <v>3309405</v>
      </c>
      <c r="BB110" s="56">
        <v>165259.35869015707</v>
      </c>
      <c r="BC110" s="56">
        <v>0</v>
      </c>
      <c r="BD110" s="56">
        <v>3319836.0843000002</v>
      </c>
      <c r="BE110" s="40">
        <v>3319836.0843000002</v>
      </c>
      <c r="BF110" s="40">
        <v>0</v>
      </c>
      <c r="BG110" s="56">
        <v>3319836.0843000002</v>
      </c>
      <c r="BH110" s="56">
        <v>3159998.43</v>
      </c>
      <c r="BI110" s="40">
        <v>3159998.43</v>
      </c>
      <c r="BJ110" s="40">
        <v>4884.077944358578</v>
      </c>
      <c r="BK110" s="40">
        <v>4882.9591747692311</v>
      </c>
      <c r="BL110" s="41">
        <v>2.291171294504392E-4</v>
      </c>
      <c r="BM110" s="41">
        <v>0</v>
      </c>
      <c r="BN110" s="40">
        <v>0</v>
      </c>
      <c r="BO110" s="56">
        <v>3319836.0843000002</v>
      </c>
      <c r="BP110" s="56">
        <v>5115</v>
      </c>
      <c r="BQ110" s="56" t="s">
        <v>1091</v>
      </c>
      <c r="BR110" s="56">
        <v>5131.1222323029369</v>
      </c>
      <c r="BS110" s="47">
        <v>2.0429676024180665E-4</v>
      </c>
      <c r="BT110" s="40">
        <v>-16110.3</v>
      </c>
      <c r="BU110" s="40">
        <v>3303725.7843000004</v>
      </c>
      <c r="BV110" s="40">
        <v>0</v>
      </c>
      <c r="BW110" s="40">
        <v>3303725.7843000004</v>
      </c>
      <c r="BX110" s="40">
        <v>10431.0843</v>
      </c>
      <c r="BY110" s="40">
        <v>3293294.7</v>
      </c>
    </row>
    <row r="111" spans="1:77">
      <c r="A111">
        <f>_xlfn.XLOOKUP(B111,'Summary June 2026'!B:B,'Summary June 2026'!A:A,0,0)</f>
        <v>3355</v>
      </c>
      <c r="B111" s="54">
        <v>103447</v>
      </c>
      <c r="C111" s="54">
        <v>3303355</v>
      </c>
      <c r="D111" s="55" t="s">
        <v>318</v>
      </c>
      <c r="E111" s="46">
        <v>369</v>
      </c>
      <c r="F111" s="46">
        <v>369</v>
      </c>
      <c r="G111" s="46">
        <v>0</v>
      </c>
      <c r="H111" s="40">
        <v>1483833.5010000002</v>
      </c>
      <c r="I111" s="40">
        <v>0</v>
      </c>
      <c r="J111" s="40">
        <v>0</v>
      </c>
      <c r="K111" s="40">
        <v>51881.549999999952</v>
      </c>
      <c r="L111" s="40">
        <v>0</v>
      </c>
      <c r="M111" s="40">
        <v>130228.99999999987</v>
      </c>
      <c r="N111" s="40">
        <v>0</v>
      </c>
      <c r="O111" s="40">
        <v>1939.631554559998</v>
      </c>
      <c r="P111" s="40">
        <v>28815.909212159972</v>
      </c>
      <c r="Q111" s="40">
        <v>10559.643064319987</v>
      </c>
      <c r="R111" s="40">
        <v>10616.387604479989</v>
      </c>
      <c r="S111" s="40">
        <v>10729.876684799992</v>
      </c>
      <c r="T111" s="40">
        <v>5653.8196377599943</v>
      </c>
      <c r="U111" s="40">
        <v>0</v>
      </c>
      <c r="V111" s="40">
        <v>0</v>
      </c>
      <c r="W111" s="40">
        <v>0</v>
      </c>
      <c r="X111" s="40">
        <v>0</v>
      </c>
      <c r="Y111" s="40">
        <v>0</v>
      </c>
      <c r="Z111" s="40">
        <v>0</v>
      </c>
      <c r="AA111" s="40">
        <v>62433.926355140029</v>
      </c>
      <c r="AB111" s="40">
        <v>0</v>
      </c>
      <c r="AC111" s="40">
        <v>178897.64305725473</v>
      </c>
      <c r="AD111" s="40">
        <v>0</v>
      </c>
      <c r="AE111" s="40">
        <v>8538.9135999999708</v>
      </c>
      <c r="AF111" s="40">
        <v>0</v>
      </c>
      <c r="AG111" s="40">
        <v>149406.57</v>
      </c>
      <c r="AH111" s="40">
        <v>0</v>
      </c>
      <c r="AI111" s="40">
        <v>0</v>
      </c>
      <c r="AJ111" s="40">
        <v>0</v>
      </c>
      <c r="AK111" s="40">
        <v>9105.5874000000003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1483833.5010000002</v>
      </c>
      <c r="AU111" s="40">
        <v>500296.30077047454</v>
      </c>
      <c r="AV111" s="40">
        <v>158512.1574</v>
      </c>
      <c r="AW111" s="40">
        <v>343242.61250016349</v>
      </c>
      <c r="AX111" s="56">
        <v>2142641.9591704747</v>
      </c>
      <c r="AY111" s="56">
        <v>2133536.3717704746</v>
      </c>
      <c r="AZ111" s="56">
        <v>5115</v>
      </c>
      <c r="BA111" s="56">
        <v>1887435</v>
      </c>
      <c r="BB111" s="56">
        <v>0</v>
      </c>
      <c r="BC111" s="56">
        <v>0</v>
      </c>
      <c r="BD111" s="56">
        <v>2142641.9591704747</v>
      </c>
      <c r="BE111" s="40">
        <v>2142641.9591704747</v>
      </c>
      <c r="BF111" s="40">
        <v>0</v>
      </c>
      <c r="BG111" s="56">
        <v>1896540.5874000001</v>
      </c>
      <c r="BH111" s="56">
        <v>1738028.43</v>
      </c>
      <c r="BI111" s="40">
        <v>1984129.8017704745</v>
      </c>
      <c r="BJ111" s="40">
        <v>5377.0455332533184</v>
      </c>
      <c r="BK111" s="40">
        <v>5100.6177723076917</v>
      </c>
      <c r="BL111" s="41">
        <v>5.419495701999278E-2</v>
      </c>
      <c r="BM111" s="41">
        <v>0</v>
      </c>
      <c r="BN111" s="40">
        <v>0</v>
      </c>
      <c r="BO111" s="56">
        <v>2142641.9591704747</v>
      </c>
      <c r="BP111" s="56">
        <v>5781.9413869118553</v>
      </c>
      <c r="BQ111" s="56" t="s">
        <v>1091</v>
      </c>
      <c r="BR111" s="56">
        <v>5806.6177755297413</v>
      </c>
      <c r="BS111" s="47">
        <v>5.5823277691894102E-2</v>
      </c>
      <c r="BT111" s="40">
        <v>-9188.1</v>
      </c>
      <c r="BU111" s="40">
        <v>2133453.8591704746</v>
      </c>
      <c r="BV111" s="40">
        <v>0</v>
      </c>
      <c r="BW111" s="40">
        <v>2133453.8591704746</v>
      </c>
      <c r="BX111" s="40">
        <v>9105.5874000000003</v>
      </c>
      <c r="BY111" s="40">
        <v>2124348.2717704745</v>
      </c>
    </row>
    <row r="112" spans="1:77">
      <c r="A112">
        <f>_xlfn.XLOOKUP(B112,'Summary June 2026'!B:B,'Summary June 2026'!A:A,0,0)</f>
        <v>3361</v>
      </c>
      <c r="B112" s="54">
        <v>103453</v>
      </c>
      <c r="C112" s="54">
        <v>3303361</v>
      </c>
      <c r="D112" s="55" t="s">
        <v>1094</v>
      </c>
      <c r="E112" s="46">
        <v>335</v>
      </c>
      <c r="F112" s="46">
        <v>335</v>
      </c>
      <c r="G112" s="46">
        <v>0</v>
      </c>
      <c r="H112" s="40">
        <v>1347111.7150000001</v>
      </c>
      <c r="I112" s="40">
        <v>0</v>
      </c>
      <c r="J112" s="40">
        <v>0</v>
      </c>
      <c r="K112" s="40">
        <v>80539.92999999992</v>
      </c>
      <c r="L112" s="40">
        <v>0</v>
      </c>
      <c r="M112" s="40">
        <v>195343.49999999971</v>
      </c>
      <c r="N112" s="40">
        <v>0</v>
      </c>
      <c r="O112" s="40">
        <v>4606.624942079995</v>
      </c>
      <c r="P112" s="40">
        <v>14701.994495999945</v>
      </c>
      <c r="Q112" s="40">
        <v>14691.677306879999</v>
      </c>
      <c r="R112" s="40">
        <v>39432.296816639937</v>
      </c>
      <c r="S112" s="40">
        <v>43456.000573439938</v>
      </c>
      <c r="T112" s="40">
        <v>23322.006005759984</v>
      </c>
      <c r="U112" s="40">
        <v>0</v>
      </c>
      <c r="V112" s="40">
        <v>0</v>
      </c>
      <c r="W112" s="40">
        <v>0</v>
      </c>
      <c r="X112" s="40">
        <v>0</v>
      </c>
      <c r="Y112" s="40">
        <v>0</v>
      </c>
      <c r="Z112" s="40">
        <v>0</v>
      </c>
      <c r="AA112" s="40">
        <v>54466.795172413738</v>
      </c>
      <c r="AB112" s="40">
        <v>0</v>
      </c>
      <c r="AC112" s="40">
        <v>99948.615228767958</v>
      </c>
      <c r="AD112" s="40">
        <v>0</v>
      </c>
      <c r="AE112" s="40">
        <v>5686.1839999999811</v>
      </c>
      <c r="AF112" s="40">
        <v>0</v>
      </c>
      <c r="AG112" s="40">
        <v>149406.57</v>
      </c>
      <c r="AH112" s="40">
        <v>0</v>
      </c>
      <c r="AI112" s="40">
        <v>0</v>
      </c>
      <c r="AJ112" s="40">
        <v>0</v>
      </c>
      <c r="AK112" s="40">
        <v>8875.0661999999993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1347111.7150000001</v>
      </c>
      <c r="AU112" s="40">
        <v>576195.62454198115</v>
      </c>
      <c r="AV112" s="40">
        <v>158281.63620000001</v>
      </c>
      <c r="AW112" s="40">
        <v>317098.05182945577</v>
      </c>
      <c r="AX112" s="56">
        <v>2081588.9757419813</v>
      </c>
      <c r="AY112" s="56">
        <v>2072713.9095419813</v>
      </c>
      <c r="AZ112" s="56">
        <v>5115</v>
      </c>
      <c r="BA112" s="56">
        <v>1713525</v>
      </c>
      <c r="BB112" s="56">
        <v>0</v>
      </c>
      <c r="BC112" s="56">
        <v>0</v>
      </c>
      <c r="BD112" s="56">
        <v>2081588.9757419813</v>
      </c>
      <c r="BE112" s="40">
        <v>2081588.9757419813</v>
      </c>
      <c r="BF112" s="40">
        <v>0</v>
      </c>
      <c r="BG112" s="56">
        <v>1722400.0662</v>
      </c>
      <c r="BH112" s="56">
        <v>1564118.43</v>
      </c>
      <c r="BI112" s="40">
        <v>1923307.3395419812</v>
      </c>
      <c r="BJ112" s="40">
        <v>5741.2159389312874</v>
      </c>
      <c r="BK112" s="40">
        <v>5573.226875379939</v>
      </c>
      <c r="BL112" s="41">
        <v>3.0142154142952637E-2</v>
      </c>
      <c r="BM112" s="41">
        <v>0</v>
      </c>
      <c r="BN112" s="40">
        <v>0</v>
      </c>
      <c r="BO112" s="56">
        <v>2081588.9757419813</v>
      </c>
      <c r="BP112" s="56">
        <v>6187.205700125317</v>
      </c>
      <c r="BQ112" s="56" t="s">
        <v>1091</v>
      </c>
      <c r="BR112" s="56">
        <v>6213.69843505069</v>
      </c>
      <c r="BS112" s="47">
        <v>2.732021121862438E-2</v>
      </c>
      <c r="BT112" s="40">
        <v>-8341.5</v>
      </c>
      <c r="BU112" s="40">
        <v>2073247.4757419813</v>
      </c>
      <c r="BV112" s="40">
        <v>0</v>
      </c>
      <c r="BW112" s="40">
        <v>2073247.4757419813</v>
      </c>
      <c r="BX112" s="40">
        <v>8875.0661999999993</v>
      </c>
      <c r="BY112" s="40">
        <v>2064372.4095419813</v>
      </c>
    </row>
    <row r="113" spans="1:77">
      <c r="A113">
        <f>_xlfn.XLOOKUP(B113,'Summary June 2026'!B:B,'Summary June 2026'!A:A,0,0)</f>
        <v>3363</v>
      </c>
      <c r="B113" s="54">
        <v>103455</v>
      </c>
      <c r="C113" s="54">
        <v>3303363</v>
      </c>
      <c r="D113" s="55" t="s">
        <v>316</v>
      </c>
      <c r="E113" s="46">
        <v>264</v>
      </c>
      <c r="F113" s="46">
        <v>264</v>
      </c>
      <c r="G113" s="46">
        <v>0</v>
      </c>
      <c r="H113" s="40">
        <v>1061604.456</v>
      </c>
      <c r="I113" s="40">
        <v>0</v>
      </c>
      <c r="J113" s="40">
        <v>0</v>
      </c>
      <c r="K113" s="40">
        <v>45952.229999999967</v>
      </c>
      <c r="L113" s="40">
        <v>0</v>
      </c>
      <c r="M113" s="40">
        <v>113654.39999999981</v>
      </c>
      <c r="N113" s="40">
        <v>0</v>
      </c>
      <c r="O113" s="40">
        <v>1212.2697215999974</v>
      </c>
      <c r="P113" s="40">
        <v>15878.154055679959</v>
      </c>
      <c r="Q113" s="40">
        <v>6886.7237375999985</v>
      </c>
      <c r="R113" s="40">
        <v>6572.0494694399949</v>
      </c>
      <c r="S113" s="40">
        <v>19313.778032639948</v>
      </c>
      <c r="T113" s="40">
        <v>12014.366730239983</v>
      </c>
      <c r="U113" s="40">
        <v>0</v>
      </c>
      <c r="V113" s="40">
        <v>0</v>
      </c>
      <c r="W113" s="40">
        <v>0</v>
      </c>
      <c r="X113" s="40">
        <v>0</v>
      </c>
      <c r="Y113" s="40">
        <v>0</v>
      </c>
      <c r="Z113" s="40">
        <v>0</v>
      </c>
      <c r="AA113" s="40">
        <v>18230.749090908939</v>
      </c>
      <c r="AB113" s="40">
        <v>0</v>
      </c>
      <c r="AC113" s="40">
        <v>92112.934921122389</v>
      </c>
      <c r="AD113" s="40">
        <v>0</v>
      </c>
      <c r="AE113" s="40">
        <v>0</v>
      </c>
      <c r="AF113" s="40">
        <v>0</v>
      </c>
      <c r="AG113" s="40">
        <v>149406.57</v>
      </c>
      <c r="AH113" s="40">
        <v>0</v>
      </c>
      <c r="AI113" s="40">
        <v>0</v>
      </c>
      <c r="AJ113" s="40">
        <v>0</v>
      </c>
      <c r="AK113" s="40">
        <v>9681.8904000000002</v>
      </c>
      <c r="AL113" s="40">
        <v>0</v>
      </c>
      <c r="AM113" s="40">
        <v>0</v>
      </c>
      <c r="AN113" s="40">
        <v>0</v>
      </c>
      <c r="AO113" s="40">
        <v>0</v>
      </c>
      <c r="AP113" s="40">
        <v>0</v>
      </c>
      <c r="AQ113" s="40">
        <v>0</v>
      </c>
      <c r="AR113" s="40">
        <v>0</v>
      </c>
      <c r="AS113" s="40">
        <v>0</v>
      </c>
      <c r="AT113" s="40">
        <v>1061604.456</v>
      </c>
      <c r="AU113" s="40">
        <v>331827.65575923095</v>
      </c>
      <c r="AV113" s="40">
        <v>159088.46040000001</v>
      </c>
      <c r="AW113" s="40">
        <v>224927.38755011425</v>
      </c>
      <c r="AX113" s="56">
        <v>1552520.5721592309</v>
      </c>
      <c r="AY113" s="56">
        <v>1542838.681759231</v>
      </c>
      <c r="AZ113" s="56">
        <v>5115</v>
      </c>
      <c r="BA113" s="56">
        <v>1350360</v>
      </c>
      <c r="BB113" s="56">
        <v>0</v>
      </c>
      <c r="BC113" s="56">
        <v>0</v>
      </c>
      <c r="BD113" s="56">
        <v>1552520.5721592309</v>
      </c>
      <c r="BE113" s="40">
        <v>1552520.5721592312</v>
      </c>
      <c r="BF113" s="40">
        <v>0</v>
      </c>
      <c r="BG113" s="56">
        <v>1360041.8903999999</v>
      </c>
      <c r="BH113" s="56">
        <v>1200953.43</v>
      </c>
      <c r="BI113" s="40">
        <v>1393432.111759231</v>
      </c>
      <c r="BJ113" s="40">
        <v>5278.1519384819358</v>
      </c>
      <c r="BK113" s="40">
        <v>5195.3825522336765</v>
      </c>
      <c r="BL113" s="41">
        <v>1.5931336223291931E-2</v>
      </c>
      <c r="BM113" s="41">
        <v>0</v>
      </c>
      <c r="BN113" s="40">
        <v>0</v>
      </c>
      <c r="BO113" s="56">
        <v>1552520.5721592309</v>
      </c>
      <c r="BP113" s="56">
        <v>5844.0859157546629</v>
      </c>
      <c r="BQ113" s="56" t="s">
        <v>1091</v>
      </c>
      <c r="BR113" s="56">
        <v>5880.75974302739</v>
      </c>
      <c r="BS113" s="47">
        <v>2.8217972750181231E-2</v>
      </c>
      <c r="BT113" s="40">
        <v>-6573.5999999999995</v>
      </c>
      <c r="BU113" s="40">
        <v>1545946.9721592308</v>
      </c>
      <c r="BV113" s="40">
        <v>0</v>
      </c>
      <c r="BW113" s="40">
        <v>1545946.9721592308</v>
      </c>
      <c r="BX113" s="40">
        <v>9681.8904000000002</v>
      </c>
      <c r="BY113" s="40">
        <v>1536265.0817592309</v>
      </c>
    </row>
    <row r="114" spans="1:77">
      <c r="A114">
        <f>_xlfn.XLOOKUP(B114,'Summary June 2026'!B:B,'Summary June 2026'!A:A,0,0)</f>
        <v>3367</v>
      </c>
      <c r="B114" s="54">
        <v>103458</v>
      </c>
      <c r="C114" s="54">
        <v>3303367</v>
      </c>
      <c r="D114" s="55" t="s">
        <v>320</v>
      </c>
      <c r="E114" s="46">
        <v>209</v>
      </c>
      <c r="F114" s="46">
        <v>209</v>
      </c>
      <c r="G114" s="46">
        <v>0</v>
      </c>
      <c r="H114" s="40">
        <v>840436.86100000003</v>
      </c>
      <c r="I114" s="40">
        <v>0</v>
      </c>
      <c r="J114" s="40">
        <v>0</v>
      </c>
      <c r="K114" s="40">
        <v>47928.669999999984</v>
      </c>
      <c r="L114" s="40">
        <v>0</v>
      </c>
      <c r="M114" s="40">
        <v>116022.1999999999</v>
      </c>
      <c r="N114" s="40">
        <v>0</v>
      </c>
      <c r="O114" s="40">
        <v>10526.249263786625</v>
      </c>
      <c r="P114" s="40">
        <v>0</v>
      </c>
      <c r="Q114" s="40">
        <v>6489.7113224533241</v>
      </c>
      <c r="R114" s="40">
        <v>3062.5603993599989</v>
      </c>
      <c r="S114" s="40">
        <v>46042.574711466616</v>
      </c>
      <c r="T114" s="40">
        <v>33537.119747413279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10453.035754189939</v>
      </c>
      <c r="AB114" s="40">
        <v>0</v>
      </c>
      <c r="AC114" s="40">
        <v>65026.478706821908</v>
      </c>
      <c r="AD114" s="40">
        <v>0</v>
      </c>
      <c r="AE114" s="40">
        <v>0</v>
      </c>
      <c r="AF114" s="40">
        <v>0</v>
      </c>
      <c r="AG114" s="40">
        <v>149406.57</v>
      </c>
      <c r="AH114" s="40">
        <v>0</v>
      </c>
      <c r="AI114" s="40">
        <v>0</v>
      </c>
      <c r="AJ114" s="40">
        <v>0</v>
      </c>
      <c r="AK114" s="40">
        <v>4002.8782000000001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840436.86100000003</v>
      </c>
      <c r="AU114" s="40">
        <v>339088.59990549157</v>
      </c>
      <c r="AV114" s="40">
        <v>153409.44820000001</v>
      </c>
      <c r="AW114" s="40">
        <v>201947.59251683461</v>
      </c>
      <c r="AX114" s="56">
        <v>1332934.9091054916</v>
      </c>
      <c r="AY114" s="56">
        <v>1328932.0309054917</v>
      </c>
      <c r="AZ114" s="56">
        <v>5115</v>
      </c>
      <c r="BA114" s="56">
        <v>1069035</v>
      </c>
      <c r="BB114" s="56">
        <v>0</v>
      </c>
      <c r="BC114" s="56">
        <v>0</v>
      </c>
      <c r="BD114" s="56">
        <v>1332934.9091054916</v>
      </c>
      <c r="BE114" s="40">
        <v>1332934.9091054914</v>
      </c>
      <c r="BF114" s="40">
        <v>0</v>
      </c>
      <c r="BG114" s="56">
        <v>1073037.8781999999</v>
      </c>
      <c r="BH114" s="56">
        <v>919628.42999999982</v>
      </c>
      <c r="BI114" s="40">
        <v>1179525.4609054916</v>
      </c>
      <c r="BJ114" s="40">
        <v>5643.6624923707732</v>
      </c>
      <c r="BK114" s="40">
        <v>5526.103736231883</v>
      </c>
      <c r="BL114" s="41">
        <v>2.1273353116431123E-2</v>
      </c>
      <c r="BM114" s="41">
        <v>0</v>
      </c>
      <c r="BN114" s="40">
        <v>0</v>
      </c>
      <c r="BO114" s="56">
        <v>1332934.9091054916</v>
      </c>
      <c r="BP114" s="56">
        <v>6358.5264636626398</v>
      </c>
      <c r="BQ114" s="56" t="s">
        <v>1091</v>
      </c>
      <c r="BR114" s="56">
        <v>6377.6789909353665</v>
      </c>
      <c r="BS114" s="47">
        <v>1.8302019838510653E-2</v>
      </c>
      <c r="BT114" s="40">
        <v>-5204.0999999999995</v>
      </c>
      <c r="BU114" s="40">
        <v>1327730.8091054915</v>
      </c>
      <c r="BV114" s="40">
        <v>0</v>
      </c>
      <c r="BW114" s="40">
        <v>1327730.8091054915</v>
      </c>
      <c r="BX114" s="40">
        <v>4002.8782000000001</v>
      </c>
      <c r="BY114" s="40">
        <v>1323727.9309054916</v>
      </c>
    </row>
    <row r="115" spans="1:77">
      <c r="A115">
        <f>_xlfn.XLOOKUP(B115,'Summary June 2026'!B:B,'Summary June 2026'!A:A,0,0)</f>
        <v>3371</v>
      </c>
      <c r="B115" s="54">
        <v>103459</v>
      </c>
      <c r="C115" s="54">
        <v>3303371</v>
      </c>
      <c r="D115" s="55" t="s">
        <v>328</v>
      </c>
      <c r="E115" s="46">
        <v>256</v>
      </c>
      <c r="F115" s="46">
        <v>256</v>
      </c>
      <c r="G115" s="46">
        <v>0</v>
      </c>
      <c r="H115" s="40">
        <v>1029434.6240000001</v>
      </c>
      <c r="I115" s="40">
        <v>0</v>
      </c>
      <c r="J115" s="40">
        <v>0</v>
      </c>
      <c r="K115" s="40">
        <v>32117.15</v>
      </c>
      <c r="L115" s="40">
        <v>0</v>
      </c>
      <c r="M115" s="40">
        <v>78137.400000000009</v>
      </c>
      <c r="N115" s="40">
        <v>0</v>
      </c>
      <c r="O115" s="40">
        <v>2182.0854988800002</v>
      </c>
      <c r="P115" s="40">
        <v>6762.9174681599998</v>
      </c>
      <c r="Q115" s="40">
        <v>4591.1491583999996</v>
      </c>
      <c r="R115" s="40">
        <v>12133.01440512</v>
      </c>
      <c r="S115" s="40">
        <v>12339.358187520002</v>
      </c>
      <c r="T115" s="40">
        <v>29682.553098239998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6254.603976608174</v>
      </c>
      <c r="AB115" s="40">
        <v>0</v>
      </c>
      <c r="AC115" s="40">
        <v>102591.37149700595</v>
      </c>
      <c r="AD115" s="40">
        <v>0</v>
      </c>
      <c r="AE115" s="40">
        <v>0</v>
      </c>
      <c r="AF115" s="40">
        <v>0</v>
      </c>
      <c r="AG115" s="40">
        <v>149406.57</v>
      </c>
      <c r="AH115" s="40">
        <v>0</v>
      </c>
      <c r="AI115" s="40">
        <v>0</v>
      </c>
      <c r="AJ115" s="40">
        <v>0</v>
      </c>
      <c r="AK115" s="40">
        <v>19803.1643</v>
      </c>
      <c r="AL115" s="40">
        <v>0</v>
      </c>
      <c r="AM115" s="40">
        <v>0</v>
      </c>
      <c r="AN115" s="40">
        <v>0</v>
      </c>
      <c r="AO115" s="40">
        <v>0</v>
      </c>
      <c r="AP115" s="40">
        <v>0</v>
      </c>
      <c r="AQ115" s="40">
        <v>0</v>
      </c>
      <c r="AR115" s="40">
        <v>0</v>
      </c>
      <c r="AS115" s="40">
        <v>0</v>
      </c>
      <c r="AT115" s="40">
        <v>1029434.6240000001</v>
      </c>
      <c r="AU115" s="40">
        <v>286791.60328993411</v>
      </c>
      <c r="AV115" s="40">
        <v>169209.73430000001</v>
      </c>
      <c r="AW115" s="40">
        <v>218123.52871088119</v>
      </c>
      <c r="AX115" s="56">
        <v>1485435.9615899343</v>
      </c>
      <c r="AY115" s="56">
        <v>1465632.7972899342</v>
      </c>
      <c r="AZ115" s="56">
        <v>5115</v>
      </c>
      <c r="BA115" s="56">
        <v>1309440</v>
      </c>
      <c r="BB115" s="56">
        <v>0</v>
      </c>
      <c r="BC115" s="56">
        <v>0</v>
      </c>
      <c r="BD115" s="56">
        <v>1485435.9615899343</v>
      </c>
      <c r="BE115" s="40">
        <v>1485435.9615899338</v>
      </c>
      <c r="BF115" s="40">
        <v>0</v>
      </c>
      <c r="BG115" s="56">
        <v>1329243.1643000001</v>
      </c>
      <c r="BH115" s="56">
        <v>1160033.43</v>
      </c>
      <c r="BI115" s="40">
        <v>1316226.2272899342</v>
      </c>
      <c r="BJ115" s="40">
        <v>5141.5087003513054</v>
      </c>
      <c r="BK115" s="40">
        <v>5141.3664007462694</v>
      </c>
      <c r="BL115" s="41">
        <v>2.7677390394765922E-5</v>
      </c>
      <c r="BM115" s="41">
        <v>0</v>
      </c>
      <c r="BN115" s="40">
        <v>0</v>
      </c>
      <c r="BO115" s="56">
        <v>1485435.9615899343</v>
      </c>
      <c r="BP115" s="56">
        <v>5725.1281144138056</v>
      </c>
      <c r="BQ115" s="56" t="s">
        <v>1091</v>
      </c>
      <c r="BR115" s="56">
        <v>5802.4842249606809</v>
      </c>
      <c r="BS115" s="47">
        <v>5.8284659706391295E-3</v>
      </c>
      <c r="BT115" s="40">
        <v>-6374.4</v>
      </c>
      <c r="BU115" s="40">
        <v>1479061.5615899344</v>
      </c>
      <c r="BV115" s="40">
        <v>0</v>
      </c>
      <c r="BW115" s="40">
        <v>1479061.5615899344</v>
      </c>
      <c r="BX115" s="40">
        <v>19803.1643</v>
      </c>
      <c r="BY115" s="40">
        <v>1459258.3972899343</v>
      </c>
    </row>
    <row r="116" spans="1:77">
      <c r="A116">
        <f>_xlfn.XLOOKUP(B116,'Summary June 2026'!B:B,'Summary June 2026'!A:A,0,0)</f>
        <v>3372</v>
      </c>
      <c r="B116" s="54">
        <v>103460</v>
      </c>
      <c r="C116" s="54">
        <v>3303372</v>
      </c>
      <c r="D116" s="55" t="s">
        <v>308</v>
      </c>
      <c r="E116" s="46">
        <v>516</v>
      </c>
      <c r="F116" s="46">
        <v>516</v>
      </c>
      <c r="G116" s="46">
        <v>0</v>
      </c>
      <c r="H116" s="40">
        <v>2074954.1640000001</v>
      </c>
      <c r="I116" s="40">
        <v>0</v>
      </c>
      <c r="J116" s="40">
        <v>0</v>
      </c>
      <c r="K116" s="40">
        <v>120562.83999999987</v>
      </c>
      <c r="L116" s="40">
        <v>0</v>
      </c>
      <c r="M116" s="40">
        <v>291239.39999999962</v>
      </c>
      <c r="N116" s="40">
        <v>0</v>
      </c>
      <c r="O116" s="40">
        <v>11660.386976539337</v>
      </c>
      <c r="P116" s="40">
        <v>23568.867293004943</v>
      </c>
      <c r="Q116" s="40">
        <v>66240.921760340294</v>
      </c>
      <c r="R116" s="40">
        <v>51665.438039666209</v>
      </c>
      <c r="S116" s="40">
        <v>39240.096598354023</v>
      </c>
      <c r="T116" s="40">
        <v>14870.094561836733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59224.892307692222</v>
      </c>
      <c r="AB116" s="40">
        <v>0</v>
      </c>
      <c r="AC116" s="40">
        <v>198619.45219536551</v>
      </c>
      <c r="AD116" s="40">
        <v>0</v>
      </c>
      <c r="AE116" s="40">
        <v>6784.8703999999625</v>
      </c>
      <c r="AF116" s="40">
        <v>0</v>
      </c>
      <c r="AG116" s="40">
        <v>149406.57</v>
      </c>
      <c r="AH116" s="40">
        <v>0</v>
      </c>
      <c r="AI116" s="40">
        <v>0</v>
      </c>
      <c r="AJ116" s="40">
        <v>0</v>
      </c>
      <c r="AK116" s="40">
        <v>11007.3873</v>
      </c>
      <c r="AL116" s="40">
        <v>0</v>
      </c>
      <c r="AM116" s="40">
        <v>0</v>
      </c>
      <c r="AN116" s="40">
        <v>0</v>
      </c>
      <c r="AO116" s="40">
        <v>0</v>
      </c>
      <c r="AP116" s="40">
        <v>0</v>
      </c>
      <c r="AQ116" s="40">
        <v>0</v>
      </c>
      <c r="AR116" s="40">
        <v>0</v>
      </c>
      <c r="AS116" s="40">
        <v>0</v>
      </c>
      <c r="AT116" s="40">
        <v>2074954.1640000001</v>
      </c>
      <c r="AU116" s="40">
        <v>883677.26013279858</v>
      </c>
      <c r="AV116" s="40">
        <v>160413.95730000001</v>
      </c>
      <c r="AW116" s="40">
        <v>525224.45667807222</v>
      </c>
      <c r="AX116" s="56">
        <v>3119045.3814327987</v>
      </c>
      <c r="AY116" s="56">
        <v>3108037.9941327986</v>
      </c>
      <c r="AZ116" s="56">
        <v>5115</v>
      </c>
      <c r="BA116" s="56">
        <v>2639340</v>
      </c>
      <c r="BB116" s="56">
        <v>0</v>
      </c>
      <c r="BC116" s="56">
        <v>0</v>
      </c>
      <c r="BD116" s="56">
        <v>3119045.3814327987</v>
      </c>
      <c r="BE116" s="40">
        <v>3119045.3814327982</v>
      </c>
      <c r="BF116" s="40">
        <v>0</v>
      </c>
      <c r="BG116" s="56">
        <v>2650347.3873000001</v>
      </c>
      <c r="BH116" s="56">
        <v>2489933.4300000002</v>
      </c>
      <c r="BI116" s="40">
        <v>2958631.4241327988</v>
      </c>
      <c r="BJ116" s="40">
        <v>5733.781829714726</v>
      </c>
      <c r="BK116" s="40">
        <v>5670.7350931860037</v>
      </c>
      <c r="BL116" s="41">
        <v>1.111791249153565E-2</v>
      </c>
      <c r="BM116" s="41">
        <v>0</v>
      </c>
      <c r="BN116" s="40">
        <v>0</v>
      </c>
      <c r="BO116" s="56">
        <v>3119045.3814327987</v>
      </c>
      <c r="BP116" s="56">
        <v>6023.3294459937961</v>
      </c>
      <c r="BQ116" s="56" t="s">
        <v>1091</v>
      </c>
      <c r="BR116" s="56">
        <v>6044.6615919240285</v>
      </c>
      <c r="BS116" s="47">
        <v>1.4796768193244159E-2</v>
      </c>
      <c r="BT116" s="40">
        <v>-12848.4</v>
      </c>
      <c r="BU116" s="40">
        <v>3106196.9814327988</v>
      </c>
      <c r="BV116" s="40">
        <v>0</v>
      </c>
      <c r="BW116" s="40">
        <v>3106196.9814327988</v>
      </c>
      <c r="BX116" s="40">
        <v>11007.3873</v>
      </c>
      <c r="BY116" s="40">
        <v>3095189.5941327987</v>
      </c>
    </row>
    <row r="117" spans="1:77">
      <c r="A117">
        <f>_xlfn.XLOOKUP(B117,'Summary June 2026'!B:B,'Summary June 2026'!A:A,0,0)</f>
        <v>3375</v>
      </c>
      <c r="B117" s="54">
        <v>103462</v>
      </c>
      <c r="C117" s="54">
        <v>3303375</v>
      </c>
      <c r="D117" s="55" t="s">
        <v>310</v>
      </c>
      <c r="E117" s="46">
        <v>402</v>
      </c>
      <c r="F117" s="46">
        <v>402</v>
      </c>
      <c r="G117" s="46">
        <v>0</v>
      </c>
      <c r="H117" s="40">
        <v>1616534.0580000002</v>
      </c>
      <c r="I117" s="40">
        <v>0</v>
      </c>
      <c r="J117" s="40">
        <v>0</v>
      </c>
      <c r="K117" s="40">
        <v>71151.839999999895</v>
      </c>
      <c r="L117" s="40">
        <v>0</v>
      </c>
      <c r="M117" s="40">
        <v>171665.49999999988</v>
      </c>
      <c r="N117" s="40">
        <v>0</v>
      </c>
      <c r="O117" s="40">
        <v>26185.025986559955</v>
      </c>
      <c r="P117" s="40">
        <v>47634.462167039928</v>
      </c>
      <c r="Q117" s="40">
        <v>7804.9535692799918</v>
      </c>
      <c r="R117" s="40">
        <v>2527.7113343999931</v>
      </c>
      <c r="S117" s="40">
        <v>4828.4445081599933</v>
      </c>
      <c r="T117" s="40">
        <v>3533.6372735999903</v>
      </c>
      <c r="U117" s="40">
        <v>0</v>
      </c>
      <c r="V117" s="40">
        <v>0</v>
      </c>
      <c r="W117" s="40">
        <v>0</v>
      </c>
      <c r="X117" s="40">
        <v>0</v>
      </c>
      <c r="Y117" s="40">
        <v>0</v>
      </c>
      <c r="Z117" s="40">
        <v>0</v>
      </c>
      <c r="AA117" s="40">
        <v>55912.816283185632</v>
      </c>
      <c r="AB117" s="40">
        <v>0</v>
      </c>
      <c r="AC117" s="40">
        <v>161997.00974442292</v>
      </c>
      <c r="AD117" s="40">
        <v>0</v>
      </c>
      <c r="AE117" s="40">
        <v>0</v>
      </c>
      <c r="AF117" s="40">
        <v>0</v>
      </c>
      <c r="AG117" s="40">
        <v>149406.57</v>
      </c>
      <c r="AH117" s="40">
        <v>0</v>
      </c>
      <c r="AI117" s="40">
        <v>0</v>
      </c>
      <c r="AJ117" s="40">
        <v>0</v>
      </c>
      <c r="AK117" s="40">
        <v>6973.2663000000002</v>
      </c>
      <c r="AL117" s="40">
        <v>0</v>
      </c>
      <c r="AM117" s="40">
        <v>0</v>
      </c>
      <c r="AN117" s="40">
        <v>0</v>
      </c>
      <c r="AO117" s="40">
        <v>0</v>
      </c>
      <c r="AP117" s="40">
        <v>0</v>
      </c>
      <c r="AQ117" s="40">
        <v>0</v>
      </c>
      <c r="AR117" s="40">
        <v>0</v>
      </c>
      <c r="AS117" s="40">
        <v>0</v>
      </c>
      <c r="AT117" s="40">
        <v>1616534.0580000002</v>
      </c>
      <c r="AU117" s="40">
        <v>553241.40086664818</v>
      </c>
      <c r="AV117" s="40">
        <v>156379.8363</v>
      </c>
      <c r="AW117" s="40">
        <v>363543.07958647714</v>
      </c>
      <c r="AX117" s="56">
        <v>2326155.2951666485</v>
      </c>
      <c r="AY117" s="56">
        <v>2319182.0288666487</v>
      </c>
      <c r="AZ117" s="56">
        <v>5115</v>
      </c>
      <c r="BA117" s="56">
        <v>2056230</v>
      </c>
      <c r="BB117" s="56">
        <v>0</v>
      </c>
      <c r="BC117" s="56">
        <v>0</v>
      </c>
      <c r="BD117" s="56">
        <v>2326155.2951666485</v>
      </c>
      <c r="BE117" s="40">
        <v>2326155.2951666485</v>
      </c>
      <c r="BF117" s="40">
        <v>0</v>
      </c>
      <c r="BG117" s="56">
        <v>2063203.2663</v>
      </c>
      <c r="BH117" s="56">
        <v>1906823.43</v>
      </c>
      <c r="BI117" s="40">
        <v>2169775.4588666488</v>
      </c>
      <c r="BJ117" s="40">
        <v>5397.4513902155441</v>
      </c>
      <c r="BK117" s="40">
        <v>5332.7059105134476</v>
      </c>
      <c r="BL117" s="41">
        <v>1.2141205757184264E-2</v>
      </c>
      <c r="BM117" s="41">
        <v>0</v>
      </c>
      <c r="BN117" s="40">
        <v>0</v>
      </c>
      <c r="BO117" s="56">
        <v>2326155.2951666485</v>
      </c>
      <c r="BP117" s="56">
        <v>5769.1095245439019</v>
      </c>
      <c r="BQ117" s="56" t="s">
        <v>1091</v>
      </c>
      <c r="BR117" s="56">
        <v>5786.4559581259909</v>
      </c>
      <c r="BS117" s="47">
        <v>1.3874869323156958E-2</v>
      </c>
      <c r="BT117" s="40">
        <v>-10009.799999999999</v>
      </c>
      <c r="BU117" s="40">
        <v>2316145.4951666486</v>
      </c>
      <c r="BV117" s="40">
        <v>0</v>
      </c>
      <c r="BW117" s="40">
        <v>2316145.4951666486</v>
      </c>
      <c r="BX117" s="40">
        <v>6973.2663000000002</v>
      </c>
      <c r="BY117" s="40">
        <v>2309172.2288666489</v>
      </c>
    </row>
    <row r="118" spans="1:77">
      <c r="A118">
        <f>_xlfn.XLOOKUP(B118,'Summary June 2026'!B:B,'Summary June 2026'!A:A,0,0)</f>
        <v>3377</v>
      </c>
      <c r="B118" s="54">
        <v>103463</v>
      </c>
      <c r="C118" s="54">
        <v>3303377</v>
      </c>
      <c r="D118" s="55" t="s">
        <v>326</v>
      </c>
      <c r="E118" s="46">
        <v>188</v>
      </c>
      <c r="F118" s="46">
        <v>188</v>
      </c>
      <c r="G118" s="46">
        <v>0</v>
      </c>
      <c r="H118" s="40">
        <v>755991.05200000003</v>
      </c>
      <c r="I118" s="40">
        <v>0</v>
      </c>
      <c r="J118" s="40">
        <v>0</v>
      </c>
      <c r="K118" s="40">
        <v>61763.749999999949</v>
      </c>
      <c r="L118" s="40">
        <v>0</v>
      </c>
      <c r="M118" s="40">
        <v>149171.39999999985</v>
      </c>
      <c r="N118" s="40">
        <v>0</v>
      </c>
      <c r="O118" s="40">
        <v>3636.8091648</v>
      </c>
      <c r="P118" s="40">
        <v>1764.2393395199956</v>
      </c>
      <c r="Q118" s="40">
        <v>5968.4939059199942</v>
      </c>
      <c r="R118" s="40">
        <v>21738.317475839987</v>
      </c>
      <c r="S118" s="40">
        <v>10193.382850559996</v>
      </c>
      <c r="T118" s="40">
        <v>54418.014013439948</v>
      </c>
      <c r="U118" s="40">
        <v>0</v>
      </c>
      <c r="V118" s="40">
        <v>0</v>
      </c>
      <c r="W118" s="40">
        <v>0</v>
      </c>
      <c r="X118" s="40">
        <v>0</v>
      </c>
      <c r="Y118" s="40">
        <v>0</v>
      </c>
      <c r="Z118" s="40">
        <v>0</v>
      </c>
      <c r="AA118" s="40">
        <v>13767.597546012217</v>
      </c>
      <c r="AB118" s="40">
        <v>0</v>
      </c>
      <c r="AC118" s="40">
        <v>56215.250455617614</v>
      </c>
      <c r="AD118" s="40">
        <v>0</v>
      </c>
      <c r="AE118" s="40">
        <v>8403.9871999999559</v>
      </c>
      <c r="AF118" s="40">
        <v>0</v>
      </c>
      <c r="AG118" s="40">
        <v>149406.57</v>
      </c>
      <c r="AH118" s="40">
        <v>0</v>
      </c>
      <c r="AI118" s="40">
        <v>0</v>
      </c>
      <c r="AJ118" s="40">
        <v>0</v>
      </c>
      <c r="AK118" s="40">
        <v>4292.5601999999999</v>
      </c>
      <c r="AL118" s="40">
        <v>0</v>
      </c>
      <c r="AM118" s="40">
        <v>0</v>
      </c>
      <c r="AN118" s="40">
        <v>0</v>
      </c>
      <c r="AO118" s="40">
        <v>0</v>
      </c>
      <c r="AP118" s="40">
        <v>0</v>
      </c>
      <c r="AQ118" s="40">
        <v>0</v>
      </c>
      <c r="AR118" s="40">
        <v>0</v>
      </c>
      <c r="AS118" s="40">
        <v>0</v>
      </c>
      <c r="AT118" s="40">
        <v>755991.05200000003</v>
      </c>
      <c r="AU118" s="40">
        <v>387041.2419517095</v>
      </c>
      <c r="AV118" s="40">
        <v>153699.13020000001</v>
      </c>
      <c r="AW118" s="40">
        <v>205130.38948564633</v>
      </c>
      <c r="AX118" s="56">
        <v>1296731.4241517095</v>
      </c>
      <c r="AY118" s="56">
        <v>1292438.8639517096</v>
      </c>
      <c r="AZ118" s="56">
        <v>5115</v>
      </c>
      <c r="BA118" s="56">
        <v>961620</v>
      </c>
      <c r="BB118" s="56">
        <v>0</v>
      </c>
      <c r="BC118" s="56">
        <v>0</v>
      </c>
      <c r="BD118" s="56">
        <v>1296731.4241517095</v>
      </c>
      <c r="BE118" s="40">
        <v>1296731.4241517093</v>
      </c>
      <c r="BF118" s="40">
        <v>0</v>
      </c>
      <c r="BG118" s="56">
        <v>965912.56019999995</v>
      </c>
      <c r="BH118" s="56">
        <v>812213.42999999993</v>
      </c>
      <c r="BI118" s="40">
        <v>1143032.2939517095</v>
      </c>
      <c r="BJ118" s="40">
        <v>6079.9590103814335</v>
      </c>
      <c r="BK118" s="40">
        <v>6087.9159781725893</v>
      </c>
      <c r="BL118" s="41">
        <v>-1.3070101196673086E-3</v>
      </c>
      <c r="BM118" s="41">
        <v>0</v>
      </c>
      <c r="BN118" s="40">
        <v>0</v>
      </c>
      <c r="BO118" s="56">
        <v>1296731.4241517095</v>
      </c>
      <c r="BP118" s="56">
        <v>6874.6748082537742</v>
      </c>
      <c r="BQ118" s="56" t="s">
        <v>1091</v>
      </c>
      <c r="BR118" s="56">
        <v>6897.5075752750508</v>
      </c>
      <c r="BS118" s="47">
        <v>4.4367043368020997E-3</v>
      </c>
      <c r="BT118" s="40">
        <v>-4681.2</v>
      </c>
      <c r="BU118" s="40">
        <v>1292050.2241517096</v>
      </c>
      <c r="BV118" s="40">
        <v>0</v>
      </c>
      <c r="BW118" s="40">
        <v>1292050.2241517096</v>
      </c>
      <c r="BX118" s="40">
        <v>4292.5601999999999</v>
      </c>
      <c r="BY118" s="40">
        <v>1287757.6639517096</v>
      </c>
    </row>
    <row r="119" spans="1:77">
      <c r="A119">
        <f>_xlfn.XLOOKUP(B119,'Summary June 2026'!B:B,'Summary June 2026'!A:A,0,0)</f>
        <v>3381</v>
      </c>
      <c r="B119" s="54">
        <v>103466</v>
      </c>
      <c r="C119" s="54">
        <v>3303381</v>
      </c>
      <c r="D119" s="55" t="s">
        <v>302</v>
      </c>
      <c r="E119" s="46">
        <v>207</v>
      </c>
      <c r="F119" s="46">
        <v>207</v>
      </c>
      <c r="G119" s="46">
        <v>0</v>
      </c>
      <c r="H119" s="40">
        <v>832394.40300000005</v>
      </c>
      <c r="I119" s="40">
        <v>0</v>
      </c>
      <c r="J119" s="40">
        <v>0</v>
      </c>
      <c r="K119" s="40">
        <v>34093.589999999967</v>
      </c>
      <c r="L119" s="40">
        <v>0</v>
      </c>
      <c r="M119" s="40">
        <v>91160.299999999901</v>
      </c>
      <c r="N119" s="40">
        <v>0</v>
      </c>
      <c r="O119" s="40">
        <v>2666.9933875199954</v>
      </c>
      <c r="P119" s="40">
        <v>13525.834936319985</v>
      </c>
      <c r="Q119" s="40">
        <v>5050.2640742399908</v>
      </c>
      <c r="R119" s="40">
        <v>7583.1340031999971</v>
      </c>
      <c r="S119" s="40">
        <v>15558.321192959898</v>
      </c>
      <c r="T119" s="40">
        <v>6360.5470924799974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6979.993220338979</v>
      </c>
      <c r="AB119" s="40">
        <v>0</v>
      </c>
      <c r="AC119" s="40">
        <v>74135.923490402114</v>
      </c>
      <c r="AD119" s="40">
        <v>0</v>
      </c>
      <c r="AE119" s="40">
        <v>558.98079999998959</v>
      </c>
      <c r="AF119" s="40">
        <v>0</v>
      </c>
      <c r="AG119" s="40">
        <v>149406.57</v>
      </c>
      <c r="AH119" s="40">
        <v>0</v>
      </c>
      <c r="AI119" s="40">
        <v>0</v>
      </c>
      <c r="AJ119" s="40">
        <v>0</v>
      </c>
      <c r="AK119" s="40">
        <v>3660.5268000000001</v>
      </c>
      <c r="AL119" s="40">
        <v>0</v>
      </c>
      <c r="AM119" s="40">
        <v>0</v>
      </c>
      <c r="AN119" s="40">
        <v>0</v>
      </c>
      <c r="AO119" s="40">
        <v>0</v>
      </c>
      <c r="AP119" s="40">
        <v>0</v>
      </c>
      <c r="AQ119" s="40">
        <v>0</v>
      </c>
      <c r="AR119" s="40">
        <v>0</v>
      </c>
      <c r="AS119" s="40">
        <v>0</v>
      </c>
      <c r="AT119" s="40">
        <v>832394.40300000005</v>
      </c>
      <c r="AU119" s="40">
        <v>257673.88219746083</v>
      </c>
      <c r="AV119" s="40">
        <v>153067.0968</v>
      </c>
      <c r="AW119" s="40">
        <v>179115.27812762122</v>
      </c>
      <c r="AX119" s="56">
        <v>1243135.3819974607</v>
      </c>
      <c r="AY119" s="56">
        <v>1239474.8551974606</v>
      </c>
      <c r="AZ119" s="56">
        <v>5115</v>
      </c>
      <c r="BA119" s="56">
        <v>1058805</v>
      </c>
      <c r="BB119" s="56">
        <v>0</v>
      </c>
      <c r="BC119" s="56">
        <v>0</v>
      </c>
      <c r="BD119" s="56">
        <v>1243135.3819974607</v>
      </c>
      <c r="BE119" s="40">
        <v>1243135.3819974607</v>
      </c>
      <c r="BF119" s="40">
        <v>0</v>
      </c>
      <c r="BG119" s="56">
        <v>1062465.5268000001</v>
      </c>
      <c r="BH119" s="56">
        <v>909398.43</v>
      </c>
      <c r="BI119" s="40">
        <v>1090068.2851974606</v>
      </c>
      <c r="BJ119" s="40">
        <v>5266.0303632727564</v>
      </c>
      <c r="BK119" s="40">
        <v>5120.3144405797093</v>
      </c>
      <c r="BL119" s="41">
        <v>2.8458393402212522E-2</v>
      </c>
      <c r="BM119" s="41">
        <v>0</v>
      </c>
      <c r="BN119" s="40">
        <v>0</v>
      </c>
      <c r="BO119" s="56">
        <v>1243135.3819974607</v>
      </c>
      <c r="BP119" s="56">
        <v>5987.8012328379737</v>
      </c>
      <c r="BQ119" s="56" t="s">
        <v>1091</v>
      </c>
      <c r="BR119" s="56">
        <v>6005.4849371858008</v>
      </c>
      <c r="BS119" s="47">
        <v>2.4601558966430348E-2</v>
      </c>
      <c r="BT119" s="40">
        <v>-5154.2999999999993</v>
      </c>
      <c r="BU119" s="40">
        <v>1237981.0819974607</v>
      </c>
      <c r="BV119" s="40">
        <v>0</v>
      </c>
      <c r="BW119" s="40">
        <v>1237981.0819974607</v>
      </c>
      <c r="BX119" s="40">
        <v>3660.5268000000001</v>
      </c>
      <c r="BY119" s="40">
        <v>1234320.5551974606</v>
      </c>
    </row>
    <row r="120" spans="1:77">
      <c r="A120">
        <f>_xlfn.XLOOKUP(B120,'Summary June 2026'!B:B,'Summary June 2026'!A:A,0,0)</f>
        <v>3382</v>
      </c>
      <c r="B120" s="54">
        <v>103467</v>
      </c>
      <c r="C120" s="54">
        <v>3303382</v>
      </c>
      <c r="D120" s="55" t="s">
        <v>334</v>
      </c>
      <c r="E120" s="46">
        <v>202</v>
      </c>
      <c r="F120" s="46">
        <v>202</v>
      </c>
      <c r="G120" s="46">
        <v>0</v>
      </c>
      <c r="H120" s="40">
        <v>812288.25800000003</v>
      </c>
      <c r="I120" s="40">
        <v>0</v>
      </c>
      <c r="J120" s="40">
        <v>0</v>
      </c>
      <c r="K120" s="40">
        <v>39034.689999999995</v>
      </c>
      <c r="L120" s="40">
        <v>0</v>
      </c>
      <c r="M120" s="40">
        <v>95895.900000000009</v>
      </c>
      <c r="N120" s="40">
        <v>0</v>
      </c>
      <c r="O120" s="40">
        <v>8485.8880511999887</v>
      </c>
      <c r="P120" s="40">
        <v>8527.1568076799667</v>
      </c>
      <c r="Q120" s="40">
        <v>4591.1491583999987</v>
      </c>
      <c r="R120" s="40">
        <v>20727.232942079903</v>
      </c>
      <c r="S120" s="40">
        <v>8583.9013478399993</v>
      </c>
      <c r="T120" s="40">
        <v>2826.9098188799994</v>
      </c>
      <c r="U120" s="40">
        <v>0</v>
      </c>
      <c r="V120" s="40">
        <v>0</v>
      </c>
      <c r="W120" s="40">
        <v>0</v>
      </c>
      <c r="X120" s="40">
        <v>0</v>
      </c>
      <c r="Y120" s="40">
        <v>0</v>
      </c>
      <c r="Z120" s="40">
        <v>0</v>
      </c>
      <c r="AA120" s="40">
        <v>10106.96718562874</v>
      </c>
      <c r="AB120" s="40">
        <v>0</v>
      </c>
      <c r="AC120" s="40">
        <v>97104.243733762269</v>
      </c>
      <c r="AD120" s="40">
        <v>0</v>
      </c>
      <c r="AE120" s="40">
        <v>0</v>
      </c>
      <c r="AF120" s="40">
        <v>0</v>
      </c>
      <c r="AG120" s="40">
        <v>149406.57</v>
      </c>
      <c r="AH120" s="40">
        <v>0</v>
      </c>
      <c r="AI120" s="40">
        <v>0</v>
      </c>
      <c r="AJ120" s="40">
        <v>0</v>
      </c>
      <c r="AK120" s="40">
        <v>4187.2213000000002</v>
      </c>
      <c r="AL120" s="40">
        <v>0</v>
      </c>
      <c r="AM120" s="40">
        <v>0</v>
      </c>
      <c r="AN120" s="40">
        <v>0</v>
      </c>
      <c r="AO120" s="40">
        <v>0</v>
      </c>
      <c r="AP120" s="40">
        <v>0</v>
      </c>
      <c r="AQ120" s="40">
        <v>0</v>
      </c>
      <c r="AR120" s="40">
        <v>0</v>
      </c>
      <c r="AS120" s="40">
        <v>0</v>
      </c>
      <c r="AT120" s="40">
        <v>812288.25800000003</v>
      </c>
      <c r="AU120" s="40">
        <v>295884.03904547088</v>
      </c>
      <c r="AV120" s="40">
        <v>153593.79130000001</v>
      </c>
      <c r="AW120" s="40">
        <v>205640.87475915105</v>
      </c>
      <c r="AX120" s="56">
        <v>1261766.0883454708</v>
      </c>
      <c r="AY120" s="56">
        <v>1257578.8670454707</v>
      </c>
      <c r="AZ120" s="56">
        <v>5115</v>
      </c>
      <c r="BA120" s="56">
        <v>1033230</v>
      </c>
      <c r="BB120" s="56">
        <v>0</v>
      </c>
      <c r="BC120" s="56">
        <v>0</v>
      </c>
      <c r="BD120" s="56">
        <v>1261766.0883454708</v>
      </c>
      <c r="BE120" s="40">
        <v>1261766.0883454706</v>
      </c>
      <c r="BF120" s="40">
        <v>0</v>
      </c>
      <c r="BG120" s="56">
        <v>1037417.2213</v>
      </c>
      <c r="BH120" s="56">
        <v>883823.43</v>
      </c>
      <c r="BI120" s="40">
        <v>1108172.2970454707</v>
      </c>
      <c r="BJ120" s="40">
        <v>5486.001470522132</v>
      </c>
      <c r="BK120" s="40">
        <v>5408.1822228571436</v>
      </c>
      <c r="BL120" s="41">
        <v>1.438916894036836E-2</v>
      </c>
      <c r="BM120" s="41">
        <v>0</v>
      </c>
      <c r="BN120" s="40">
        <v>0</v>
      </c>
      <c r="BO120" s="56">
        <v>1261766.0883454708</v>
      </c>
      <c r="BP120" s="56">
        <v>6225.637955670647</v>
      </c>
      <c r="BQ120" s="56" t="s">
        <v>1091</v>
      </c>
      <c r="BR120" s="56">
        <v>6246.3667739874791</v>
      </c>
      <c r="BS120" s="47">
        <v>1.7100488158857674E-2</v>
      </c>
      <c r="BT120" s="40">
        <v>-5029.7999999999993</v>
      </c>
      <c r="BU120" s="40">
        <v>1256736.2883454708</v>
      </c>
      <c r="BV120" s="40">
        <v>0</v>
      </c>
      <c r="BW120" s="40">
        <v>1256736.2883454708</v>
      </c>
      <c r="BX120" s="40">
        <v>4187.2213000000002</v>
      </c>
      <c r="BY120" s="40">
        <v>1252549.0670454707</v>
      </c>
    </row>
    <row r="121" spans="1:77">
      <c r="A121">
        <f>_xlfn.XLOOKUP(B121,'Summary June 2026'!B:B,'Summary June 2026'!A:A,0,0)</f>
        <v>3386</v>
      </c>
      <c r="B121" s="54">
        <v>103470</v>
      </c>
      <c r="C121" s="54">
        <v>3303386</v>
      </c>
      <c r="D121" s="55" t="s">
        <v>1095</v>
      </c>
      <c r="E121" s="46">
        <v>206</v>
      </c>
      <c r="F121" s="46">
        <v>206</v>
      </c>
      <c r="G121" s="46">
        <v>0</v>
      </c>
      <c r="H121" s="40">
        <v>828373.174</v>
      </c>
      <c r="I121" s="40">
        <v>0</v>
      </c>
      <c r="J121" s="40">
        <v>0</v>
      </c>
      <c r="K121" s="40">
        <v>59787.31</v>
      </c>
      <c r="L121" s="40">
        <v>0</v>
      </c>
      <c r="M121" s="40">
        <v>144435.79999999981</v>
      </c>
      <c r="N121" s="40">
        <v>0</v>
      </c>
      <c r="O121" s="40">
        <v>2182.0854988799997</v>
      </c>
      <c r="P121" s="40">
        <v>6468.877578239978</v>
      </c>
      <c r="Q121" s="40">
        <v>8264.0684851199985</v>
      </c>
      <c r="R121" s="40">
        <v>55104.107089919999</v>
      </c>
      <c r="S121" s="40">
        <v>12875.852021759998</v>
      </c>
      <c r="T121" s="40">
        <v>4240.3647283199989</v>
      </c>
      <c r="U121" s="40">
        <v>0</v>
      </c>
      <c r="V121" s="40">
        <v>0</v>
      </c>
      <c r="W121" s="40">
        <v>0</v>
      </c>
      <c r="X121" s="40">
        <v>0</v>
      </c>
      <c r="Y121" s="40">
        <v>0</v>
      </c>
      <c r="Z121" s="40">
        <v>0</v>
      </c>
      <c r="AA121" s="40">
        <v>40062.04674157298</v>
      </c>
      <c r="AB121" s="40">
        <v>0</v>
      </c>
      <c r="AC121" s="40">
        <v>117499.95391266582</v>
      </c>
      <c r="AD121" s="40">
        <v>0</v>
      </c>
      <c r="AE121" s="40">
        <v>0</v>
      </c>
      <c r="AF121" s="40">
        <v>0</v>
      </c>
      <c r="AG121" s="40">
        <v>149406.57</v>
      </c>
      <c r="AH121" s="40">
        <v>0</v>
      </c>
      <c r="AI121" s="40">
        <v>0</v>
      </c>
      <c r="AJ121" s="40">
        <v>0</v>
      </c>
      <c r="AK121" s="40">
        <v>4292.5601999999999</v>
      </c>
      <c r="AL121" s="40">
        <v>0</v>
      </c>
      <c r="AM121" s="40">
        <v>0</v>
      </c>
      <c r="AN121" s="40">
        <v>0</v>
      </c>
      <c r="AO121" s="40">
        <v>0</v>
      </c>
      <c r="AP121" s="40">
        <v>0</v>
      </c>
      <c r="AQ121" s="40">
        <v>0</v>
      </c>
      <c r="AR121" s="40">
        <v>0</v>
      </c>
      <c r="AS121" s="40">
        <v>0</v>
      </c>
      <c r="AT121" s="40">
        <v>828373.174</v>
      </c>
      <c r="AU121" s="40">
        <v>450920.46605647862</v>
      </c>
      <c r="AV121" s="40">
        <v>153699.13020000001</v>
      </c>
      <c r="AW121" s="40">
        <v>264527.66015747213</v>
      </c>
      <c r="AX121" s="56">
        <v>1432992.7702564786</v>
      </c>
      <c r="AY121" s="56">
        <v>1428700.2100564786</v>
      </c>
      <c r="AZ121" s="56">
        <v>5115</v>
      </c>
      <c r="BA121" s="56">
        <v>1053690</v>
      </c>
      <c r="BB121" s="56">
        <v>0</v>
      </c>
      <c r="BC121" s="56">
        <v>0</v>
      </c>
      <c r="BD121" s="56">
        <v>1432992.7702564786</v>
      </c>
      <c r="BE121" s="40">
        <v>1432992.7702564786</v>
      </c>
      <c r="BF121" s="40">
        <v>0</v>
      </c>
      <c r="BG121" s="56">
        <v>1057982.5601999999</v>
      </c>
      <c r="BH121" s="56">
        <v>904283.42999999993</v>
      </c>
      <c r="BI121" s="40">
        <v>1279293.6400564786</v>
      </c>
      <c r="BJ121" s="40">
        <v>6210.1633012450411</v>
      </c>
      <c r="BK121" s="40">
        <v>6072.9322132075467</v>
      </c>
      <c r="BL121" s="41">
        <v>2.2597171056683487E-2</v>
      </c>
      <c r="BM121" s="41">
        <v>0</v>
      </c>
      <c r="BN121" s="40">
        <v>0</v>
      </c>
      <c r="BO121" s="56">
        <v>1432992.7702564786</v>
      </c>
      <c r="BP121" s="56">
        <v>6935.437912895527</v>
      </c>
      <c r="BQ121" s="56" t="s">
        <v>1091</v>
      </c>
      <c r="BR121" s="56">
        <v>6956.275583769313</v>
      </c>
      <c r="BS121" s="47">
        <v>2.2428389875410515E-2</v>
      </c>
      <c r="BT121" s="40">
        <v>-5129.3999999999996</v>
      </c>
      <c r="BU121" s="40">
        <v>1427863.3702564787</v>
      </c>
      <c r="BV121" s="40">
        <v>0</v>
      </c>
      <c r="BW121" s="40">
        <v>1427863.3702564787</v>
      </c>
      <c r="BX121" s="40">
        <v>4292.5601999999999</v>
      </c>
      <c r="BY121" s="40">
        <v>1423570.8100564787</v>
      </c>
    </row>
    <row r="122" spans="1:77">
      <c r="A122">
        <f>_xlfn.XLOOKUP(B122,'Summary June 2026'!B:B,'Summary June 2026'!A:A,0,0)</f>
        <v>3410</v>
      </c>
      <c r="B122" s="54">
        <v>103478</v>
      </c>
      <c r="C122" s="54">
        <v>3303410</v>
      </c>
      <c r="D122" s="55" t="s">
        <v>1096</v>
      </c>
      <c r="E122" s="46">
        <v>200</v>
      </c>
      <c r="F122" s="46">
        <v>200</v>
      </c>
      <c r="G122" s="46">
        <v>0</v>
      </c>
      <c r="H122" s="40">
        <v>804245.8</v>
      </c>
      <c r="I122" s="40">
        <v>0</v>
      </c>
      <c r="J122" s="40">
        <v>0</v>
      </c>
      <c r="K122" s="40">
        <v>30634.82</v>
      </c>
      <c r="L122" s="40">
        <v>0</v>
      </c>
      <c r="M122" s="40">
        <v>73401.8</v>
      </c>
      <c r="N122" s="40">
        <v>0</v>
      </c>
      <c r="O122" s="40">
        <v>2182.0854988800002</v>
      </c>
      <c r="P122" s="40">
        <v>17348.35350528</v>
      </c>
      <c r="Q122" s="40">
        <v>5509.3789900800002</v>
      </c>
      <c r="R122" s="40">
        <v>8088.67627008</v>
      </c>
      <c r="S122" s="40">
        <v>19850.271866880001</v>
      </c>
      <c r="T122" s="40">
        <v>3533.6372735999998</v>
      </c>
      <c r="U122" s="40">
        <v>0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33506.807017543753</v>
      </c>
      <c r="AB122" s="40">
        <v>0</v>
      </c>
      <c r="AC122" s="40">
        <v>83942.008606160787</v>
      </c>
      <c r="AD122" s="40">
        <v>0</v>
      </c>
      <c r="AE122" s="40">
        <v>0</v>
      </c>
      <c r="AF122" s="40">
        <v>0</v>
      </c>
      <c r="AG122" s="40">
        <v>149406.57</v>
      </c>
      <c r="AH122" s="40">
        <v>0</v>
      </c>
      <c r="AI122" s="40">
        <v>0</v>
      </c>
      <c r="AJ122" s="40">
        <v>0</v>
      </c>
      <c r="AK122" s="40">
        <v>4187.2213000000002</v>
      </c>
      <c r="AL122" s="40">
        <v>0</v>
      </c>
      <c r="AM122" s="40">
        <v>0</v>
      </c>
      <c r="AN122" s="40">
        <v>0</v>
      </c>
      <c r="AO122" s="40">
        <v>0</v>
      </c>
      <c r="AP122" s="40">
        <v>0</v>
      </c>
      <c r="AQ122" s="40">
        <v>0</v>
      </c>
      <c r="AR122" s="40">
        <v>0</v>
      </c>
      <c r="AS122" s="40">
        <v>0</v>
      </c>
      <c r="AT122" s="40">
        <v>804245.8</v>
      </c>
      <c r="AU122" s="40">
        <v>277997.83902850456</v>
      </c>
      <c r="AV122" s="40">
        <v>153593.79130000001</v>
      </c>
      <c r="AW122" s="40">
        <v>181951.94703188879</v>
      </c>
      <c r="AX122" s="56">
        <v>1235837.4303285044</v>
      </c>
      <c r="AY122" s="56">
        <v>1231650.2090285043</v>
      </c>
      <c r="AZ122" s="56">
        <v>5115</v>
      </c>
      <c r="BA122" s="56">
        <v>1023000</v>
      </c>
      <c r="BB122" s="56">
        <v>0</v>
      </c>
      <c r="BC122" s="56">
        <v>0</v>
      </c>
      <c r="BD122" s="56">
        <v>1235837.4303285044</v>
      </c>
      <c r="BE122" s="40">
        <v>1235837.4303285044</v>
      </c>
      <c r="BF122" s="40">
        <v>0</v>
      </c>
      <c r="BG122" s="56">
        <v>1027187.2213</v>
      </c>
      <c r="BH122" s="56">
        <v>873593.43</v>
      </c>
      <c r="BI122" s="40">
        <v>1082243.6390285043</v>
      </c>
      <c r="BJ122" s="40">
        <v>5411.2181951425209</v>
      </c>
      <c r="BK122" s="40">
        <v>5374.3064903381637</v>
      </c>
      <c r="BL122" s="41">
        <v>6.8681800843916228E-3</v>
      </c>
      <c r="BM122" s="41">
        <v>0</v>
      </c>
      <c r="BN122" s="40">
        <v>0</v>
      </c>
      <c r="BO122" s="56">
        <v>1235837.4303285044</v>
      </c>
      <c r="BP122" s="56">
        <v>6158.2510451425214</v>
      </c>
      <c r="BQ122" s="56" t="s">
        <v>1091</v>
      </c>
      <c r="BR122" s="56">
        <v>6179.1871516425217</v>
      </c>
      <c r="BS122" s="47">
        <v>1.0492694056083884E-2</v>
      </c>
      <c r="BT122" s="40">
        <v>-4980</v>
      </c>
      <c r="BU122" s="40">
        <v>1230857.4303285044</v>
      </c>
      <c r="BV122" s="40">
        <v>0</v>
      </c>
      <c r="BW122" s="40">
        <v>1230857.4303285044</v>
      </c>
      <c r="BX122" s="40">
        <v>4187.2213000000002</v>
      </c>
      <c r="BY122" s="40">
        <v>1226670.2090285043</v>
      </c>
    </row>
    <row r="123" spans="1:77">
      <c r="A123">
        <f>_xlfn.XLOOKUP(B123,'Summary June 2026'!B:B,'Summary June 2026'!A:A,0,0)</f>
        <v>3411</v>
      </c>
      <c r="B123" s="54">
        <v>103479</v>
      </c>
      <c r="C123" s="54">
        <v>3303411</v>
      </c>
      <c r="D123" s="55" t="s">
        <v>186</v>
      </c>
      <c r="E123" s="46">
        <v>148</v>
      </c>
      <c r="F123" s="46">
        <v>148</v>
      </c>
      <c r="G123" s="46">
        <v>0</v>
      </c>
      <c r="H123" s="40">
        <v>595141.89199999999</v>
      </c>
      <c r="I123" s="40">
        <v>0</v>
      </c>
      <c r="J123" s="40">
        <v>0</v>
      </c>
      <c r="K123" s="40">
        <v>49905.109999999971</v>
      </c>
      <c r="L123" s="40">
        <v>0</v>
      </c>
      <c r="M123" s="40">
        <v>120757.79999999997</v>
      </c>
      <c r="N123" s="40">
        <v>0</v>
      </c>
      <c r="O123" s="40">
        <v>727.3618329599974</v>
      </c>
      <c r="P123" s="40">
        <v>0</v>
      </c>
      <c r="Q123" s="40">
        <v>918.22983167999905</v>
      </c>
      <c r="R123" s="40">
        <v>7583.1340031999734</v>
      </c>
      <c r="S123" s="40">
        <v>39164.049899519981</v>
      </c>
      <c r="T123" s="40">
        <v>36749.82764543996</v>
      </c>
      <c r="U123" s="40">
        <v>0</v>
      </c>
      <c r="V123" s="40">
        <v>0</v>
      </c>
      <c r="W123" s="40">
        <v>0</v>
      </c>
      <c r="X123" s="40">
        <v>0</v>
      </c>
      <c r="Y123" s="40">
        <v>0</v>
      </c>
      <c r="Z123" s="40">
        <v>0</v>
      </c>
      <c r="AA123" s="40">
        <v>19123.491958762825</v>
      </c>
      <c r="AB123" s="40">
        <v>0</v>
      </c>
      <c r="AC123" s="40">
        <v>84197.718762886463</v>
      </c>
      <c r="AD123" s="40">
        <v>0</v>
      </c>
      <c r="AE123" s="40">
        <v>0</v>
      </c>
      <c r="AF123" s="40">
        <v>0</v>
      </c>
      <c r="AG123" s="40">
        <v>149406.57</v>
      </c>
      <c r="AH123" s="40">
        <v>0</v>
      </c>
      <c r="AI123" s="40">
        <v>0</v>
      </c>
      <c r="AJ123" s="40">
        <v>0</v>
      </c>
      <c r="AK123" s="40">
        <v>4266.2254999999996</v>
      </c>
      <c r="AL123" s="40">
        <v>0</v>
      </c>
      <c r="AM123" s="40">
        <v>0</v>
      </c>
      <c r="AN123" s="40">
        <v>0</v>
      </c>
      <c r="AO123" s="40">
        <v>0</v>
      </c>
      <c r="AP123" s="40">
        <v>0</v>
      </c>
      <c r="AQ123" s="40">
        <v>0</v>
      </c>
      <c r="AR123" s="40">
        <v>0</v>
      </c>
      <c r="AS123" s="40">
        <v>0</v>
      </c>
      <c r="AT123" s="40">
        <v>595141.89199999999</v>
      </c>
      <c r="AU123" s="40">
        <v>359126.72393444914</v>
      </c>
      <c r="AV123" s="40">
        <v>153672.79550000001</v>
      </c>
      <c r="AW123" s="40">
        <v>206044.7981194944</v>
      </c>
      <c r="AX123" s="56">
        <v>1107941.4114344493</v>
      </c>
      <c r="AY123" s="56">
        <v>1103675.1859344493</v>
      </c>
      <c r="AZ123" s="56">
        <v>5115</v>
      </c>
      <c r="BA123" s="56">
        <v>757020</v>
      </c>
      <c r="BB123" s="56">
        <v>0</v>
      </c>
      <c r="BC123" s="56">
        <v>0</v>
      </c>
      <c r="BD123" s="56">
        <v>1107941.4114344493</v>
      </c>
      <c r="BE123" s="40">
        <v>1107941.4114344493</v>
      </c>
      <c r="BF123" s="40">
        <v>0</v>
      </c>
      <c r="BG123" s="56">
        <v>761286.22549999994</v>
      </c>
      <c r="BH123" s="56">
        <v>607613.42999999993</v>
      </c>
      <c r="BI123" s="40">
        <v>954268.61593444925</v>
      </c>
      <c r="BJ123" s="40">
        <v>6447.7609184760086</v>
      </c>
      <c r="BK123" s="40">
        <v>6476.3401971830981</v>
      </c>
      <c r="BL123" s="41">
        <v>-4.4128748393298086E-3</v>
      </c>
      <c r="BM123" s="41">
        <v>0</v>
      </c>
      <c r="BN123" s="40">
        <v>0</v>
      </c>
      <c r="BO123" s="56">
        <v>1107941.4114344493</v>
      </c>
      <c r="BP123" s="56">
        <v>7457.2647698273604</v>
      </c>
      <c r="BQ123" s="56" t="s">
        <v>1091</v>
      </c>
      <c r="BR123" s="56">
        <v>7486.0906178003324</v>
      </c>
      <c r="BS123" s="47">
        <v>-3.5981454516615718E-2</v>
      </c>
      <c r="BT123" s="40">
        <v>-3685.2</v>
      </c>
      <c r="BU123" s="40">
        <v>1104256.2114344493</v>
      </c>
      <c r="BV123" s="40">
        <v>0</v>
      </c>
      <c r="BW123" s="40">
        <v>1104256.2114344493</v>
      </c>
      <c r="BX123" s="40">
        <v>4266.2254999999996</v>
      </c>
      <c r="BY123" s="40">
        <v>1099989.9859344494</v>
      </c>
    </row>
    <row r="124" spans="1:77">
      <c r="A124">
        <f>_xlfn.XLOOKUP(B124,'Summary June 2026'!B:B,'Summary June 2026'!A:A,0,0)</f>
        <v>3421</v>
      </c>
      <c r="B124" s="54">
        <v>133996</v>
      </c>
      <c r="C124" s="54">
        <v>3303421</v>
      </c>
      <c r="D124" s="55" t="s">
        <v>406</v>
      </c>
      <c r="E124" s="46">
        <v>821</v>
      </c>
      <c r="F124" s="46">
        <v>821</v>
      </c>
      <c r="G124" s="46">
        <v>0</v>
      </c>
      <c r="H124" s="40">
        <v>3301429.0090000001</v>
      </c>
      <c r="I124" s="40">
        <v>0</v>
      </c>
      <c r="J124" s="40">
        <v>0</v>
      </c>
      <c r="K124" s="40">
        <v>175903.15999999965</v>
      </c>
      <c r="L124" s="40">
        <v>0</v>
      </c>
      <c r="M124" s="40">
        <v>421468.39999999915</v>
      </c>
      <c r="N124" s="40">
        <v>0</v>
      </c>
      <c r="O124" s="40">
        <v>32246.374594559835</v>
      </c>
      <c r="P124" s="40">
        <v>77920.570828799973</v>
      </c>
      <c r="Q124" s="40">
        <v>20660.171212799989</v>
      </c>
      <c r="R124" s="40">
        <v>26793.740144639993</v>
      </c>
      <c r="S124" s="40">
        <v>39700.54373375998</v>
      </c>
      <c r="T124" s="40">
        <v>10600.911820799956</v>
      </c>
      <c r="U124" s="40">
        <v>0</v>
      </c>
      <c r="V124" s="40">
        <v>0</v>
      </c>
      <c r="W124" s="40">
        <v>0</v>
      </c>
      <c r="X124" s="40">
        <v>0</v>
      </c>
      <c r="Y124" s="40">
        <v>0</v>
      </c>
      <c r="Z124" s="40">
        <v>0</v>
      </c>
      <c r="AA124" s="40">
        <v>111841.51554921517</v>
      </c>
      <c r="AB124" s="40">
        <v>0</v>
      </c>
      <c r="AC124" s="40">
        <v>234501.45516911423</v>
      </c>
      <c r="AD124" s="40">
        <v>0</v>
      </c>
      <c r="AE124" s="40">
        <v>0</v>
      </c>
      <c r="AF124" s="40">
        <v>0</v>
      </c>
      <c r="AG124" s="40">
        <v>149406.57</v>
      </c>
      <c r="AH124" s="40">
        <v>0</v>
      </c>
      <c r="AI124" s="40">
        <v>0</v>
      </c>
      <c r="AJ124" s="40">
        <v>0</v>
      </c>
      <c r="AK124" s="40">
        <v>48121.300499999998</v>
      </c>
      <c r="AL124" s="40">
        <v>0</v>
      </c>
      <c r="AM124" s="40">
        <v>0</v>
      </c>
      <c r="AN124" s="40">
        <v>0</v>
      </c>
      <c r="AO124" s="40">
        <v>0</v>
      </c>
      <c r="AP124" s="40">
        <v>0</v>
      </c>
      <c r="AQ124" s="40">
        <v>0</v>
      </c>
      <c r="AR124" s="40">
        <v>0</v>
      </c>
      <c r="AS124" s="40">
        <v>0</v>
      </c>
      <c r="AT124" s="40">
        <v>3301429.0090000001</v>
      </c>
      <c r="AU124" s="40">
        <v>1151636.8430536878</v>
      </c>
      <c r="AV124" s="40">
        <v>197527.87050000002</v>
      </c>
      <c r="AW124" s="40">
        <v>689478.69965984323</v>
      </c>
      <c r="AX124" s="56">
        <v>4650593.7225536881</v>
      </c>
      <c r="AY124" s="56">
        <v>4602472.4220536882</v>
      </c>
      <c r="AZ124" s="56">
        <v>5115</v>
      </c>
      <c r="BA124" s="56">
        <v>4199415</v>
      </c>
      <c r="BB124" s="56">
        <v>0</v>
      </c>
      <c r="BC124" s="56">
        <v>0</v>
      </c>
      <c r="BD124" s="56">
        <v>4650593.7225536881</v>
      </c>
      <c r="BE124" s="40">
        <v>4650593.7225536881</v>
      </c>
      <c r="BF124" s="40">
        <v>0</v>
      </c>
      <c r="BG124" s="56">
        <v>4247536.3004999999</v>
      </c>
      <c r="BH124" s="56">
        <v>4050008.43</v>
      </c>
      <c r="BI124" s="40">
        <v>4453065.8520536879</v>
      </c>
      <c r="BJ124" s="40">
        <v>5423.9535347791571</v>
      </c>
      <c r="BK124" s="40">
        <v>5260.6623762246118</v>
      </c>
      <c r="BL124" s="41">
        <v>3.1040037713223004E-2</v>
      </c>
      <c r="BM124" s="41">
        <v>0</v>
      </c>
      <c r="BN124" s="40">
        <v>0</v>
      </c>
      <c r="BO124" s="56">
        <v>4650593.7225536881</v>
      </c>
      <c r="BP124" s="56">
        <v>5605.9347406256857</v>
      </c>
      <c r="BQ124" s="56" t="s">
        <v>1091</v>
      </c>
      <c r="BR124" s="56">
        <v>5664.5477741214227</v>
      </c>
      <c r="BS124" s="47">
        <v>3.404564895578166E-2</v>
      </c>
      <c r="BT124" s="40">
        <v>-20442.899999999998</v>
      </c>
      <c r="BU124" s="40">
        <v>4630150.8225536877</v>
      </c>
      <c r="BV124" s="40">
        <v>0</v>
      </c>
      <c r="BW124" s="40">
        <v>4630150.8225536877</v>
      </c>
      <c r="BX124" s="40">
        <v>48121.300499999998</v>
      </c>
      <c r="BY124" s="40">
        <v>4582029.5220536878</v>
      </c>
    </row>
    <row r="125" spans="1:77">
      <c r="A125">
        <f>_xlfn.XLOOKUP(B125,'Summary June 2026'!B:B,'Summary June 2026'!A:A,0,0)</f>
        <v>3428</v>
      </c>
      <c r="B125" s="54">
        <v>134476</v>
      </c>
      <c r="C125" s="54">
        <v>3303428</v>
      </c>
      <c r="D125" s="55" t="s">
        <v>346</v>
      </c>
      <c r="E125" s="46">
        <v>410</v>
      </c>
      <c r="F125" s="46">
        <v>410</v>
      </c>
      <c r="G125" s="46">
        <v>0</v>
      </c>
      <c r="H125" s="40">
        <v>1648703.8900000001</v>
      </c>
      <c r="I125" s="40">
        <v>0</v>
      </c>
      <c r="J125" s="40">
        <v>0</v>
      </c>
      <c r="K125" s="40">
        <v>45952.229999999814</v>
      </c>
      <c r="L125" s="40">
        <v>0</v>
      </c>
      <c r="M125" s="40">
        <v>116022.19999999981</v>
      </c>
      <c r="N125" s="40">
        <v>0</v>
      </c>
      <c r="O125" s="40">
        <v>8040.2006535529354</v>
      </c>
      <c r="P125" s="40">
        <v>20683.688335058778</v>
      </c>
      <c r="Q125" s="40">
        <v>3690.9238332235291</v>
      </c>
      <c r="R125" s="40">
        <v>11176.449135435278</v>
      </c>
      <c r="S125" s="40">
        <v>11860.721531482337</v>
      </c>
      <c r="T125" s="40">
        <v>14914.027904752935</v>
      </c>
      <c r="U125" s="40">
        <v>0</v>
      </c>
      <c r="V125" s="40">
        <v>0</v>
      </c>
      <c r="W125" s="40">
        <v>0</v>
      </c>
      <c r="X125" s="40">
        <v>0</v>
      </c>
      <c r="Y125" s="40">
        <v>0</v>
      </c>
      <c r="Z125" s="40">
        <v>0</v>
      </c>
      <c r="AA125" s="40">
        <v>25361.520448179261</v>
      </c>
      <c r="AB125" s="40">
        <v>0</v>
      </c>
      <c r="AC125" s="40">
        <v>129196.08370771227</v>
      </c>
      <c r="AD125" s="40">
        <v>0</v>
      </c>
      <c r="AE125" s="40">
        <v>4240.5439999999708</v>
      </c>
      <c r="AF125" s="40">
        <v>0</v>
      </c>
      <c r="AG125" s="40">
        <v>149406.57</v>
      </c>
      <c r="AH125" s="40">
        <v>0</v>
      </c>
      <c r="AI125" s="40">
        <v>0</v>
      </c>
      <c r="AJ125" s="40">
        <v>54351.897410807098</v>
      </c>
      <c r="AK125" s="40">
        <v>21462.800899999998</v>
      </c>
      <c r="AL125" s="40">
        <v>0</v>
      </c>
      <c r="AM125" s="40">
        <v>0</v>
      </c>
      <c r="AN125" s="40">
        <v>0</v>
      </c>
      <c r="AO125" s="40">
        <v>0</v>
      </c>
      <c r="AP125" s="40">
        <v>0</v>
      </c>
      <c r="AQ125" s="40">
        <v>0</v>
      </c>
      <c r="AR125" s="40">
        <v>0</v>
      </c>
      <c r="AS125" s="40">
        <v>0</v>
      </c>
      <c r="AT125" s="40">
        <v>1648703.8900000001</v>
      </c>
      <c r="AU125" s="40">
        <v>391138.58954939689</v>
      </c>
      <c r="AV125" s="40">
        <v>225221.26831080709</v>
      </c>
      <c r="AW125" s="40">
        <v>295273.83710937423</v>
      </c>
      <c r="AX125" s="56">
        <v>2265063.747860204</v>
      </c>
      <c r="AY125" s="56">
        <v>2189249.0495493966</v>
      </c>
      <c r="AZ125" s="56">
        <v>5115</v>
      </c>
      <c r="BA125" s="56">
        <v>2097150</v>
      </c>
      <c r="BB125" s="56">
        <v>0</v>
      </c>
      <c r="BC125" s="56">
        <v>0</v>
      </c>
      <c r="BD125" s="56">
        <v>2265063.747860204</v>
      </c>
      <c r="BE125" s="40">
        <v>2265063.747860204</v>
      </c>
      <c r="BF125" s="40">
        <v>0</v>
      </c>
      <c r="BG125" s="56">
        <v>2172964.6983108073</v>
      </c>
      <c r="BH125" s="56">
        <v>1947743.4300000004</v>
      </c>
      <c r="BI125" s="40">
        <v>2039842.479549397</v>
      </c>
      <c r="BJ125" s="40">
        <v>4975.2255598765778</v>
      </c>
      <c r="BK125" s="40">
        <v>4947.8025633495145</v>
      </c>
      <c r="BL125" s="41">
        <v>5.5424597436844331E-3</v>
      </c>
      <c r="BM125" s="41">
        <v>0</v>
      </c>
      <c r="BN125" s="40">
        <v>0</v>
      </c>
      <c r="BO125" s="56">
        <v>2265063.747860204</v>
      </c>
      <c r="BP125" s="56">
        <v>5339.6318281692602</v>
      </c>
      <c r="BQ125" s="56" t="s">
        <v>1091</v>
      </c>
      <c r="BR125" s="56">
        <v>5524.5457264883025</v>
      </c>
      <c r="BS125" s="47">
        <v>-4.3041903049714225E-3</v>
      </c>
      <c r="BT125" s="40">
        <v>-10209</v>
      </c>
      <c r="BU125" s="40">
        <v>2254854.747860204</v>
      </c>
      <c r="BV125" s="40">
        <v>0</v>
      </c>
      <c r="BW125" s="40">
        <v>2254854.747860204</v>
      </c>
      <c r="BX125" s="40">
        <v>21462.800899999998</v>
      </c>
      <c r="BY125" s="40">
        <v>2233391.9469602038</v>
      </c>
    </row>
    <row r="126" spans="1:77">
      <c r="A126">
        <f>_xlfn.XLOOKUP(B126,'Summary June 2026'!B:B,'Summary June 2026'!A:A,0,0)</f>
        <v>3432</v>
      </c>
      <c r="B126" s="54">
        <v>134840</v>
      </c>
      <c r="C126" s="54">
        <v>3303432</v>
      </c>
      <c r="D126" s="55" t="s">
        <v>114</v>
      </c>
      <c r="E126" s="46">
        <v>816</v>
      </c>
      <c r="F126" s="46">
        <v>816</v>
      </c>
      <c r="G126" s="46">
        <v>0</v>
      </c>
      <c r="H126" s="40">
        <v>3281322.8640000001</v>
      </c>
      <c r="I126" s="40">
        <v>0</v>
      </c>
      <c r="J126" s="40">
        <v>0</v>
      </c>
      <c r="K126" s="40">
        <v>222349.49999999997</v>
      </c>
      <c r="L126" s="40">
        <v>0</v>
      </c>
      <c r="M126" s="40">
        <v>546961.7999999997</v>
      </c>
      <c r="N126" s="40">
        <v>0</v>
      </c>
      <c r="O126" s="40">
        <v>3636.8091647999859</v>
      </c>
      <c r="P126" s="40">
        <v>13525.83493631999</v>
      </c>
      <c r="Q126" s="40">
        <v>20660.171212799996</v>
      </c>
      <c r="R126" s="40">
        <v>172895.45527295978</v>
      </c>
      <c r="S126" s="40">
        <v>109444.74218496002</v>
      </c>
      <c r="T126" s="40">
        <v>93288.024023039456</v>
      </c>
      <c r="U126" s="40">
        <v>0</v>
      </c>
      <c r="V126" s="40">
        <v>0</v>
      </c>
      <c r="W126" s="40">
        <v>0</v>
      </c>
      <c r="X126" s="40">
        <v>0</v>
      </c>
      <c r="Y126" s="40">
        <v>0</v>
      </c>
      <c r="Z126" s="40">
        <v>0</v>
      </c>
      <c r="AA126" s="40">
        <v>239020.45140425503</v>
      </c>
      <c r="AB126" s="40">
        <v>0</v>
      </c>
      <c r="AC126" s="40">
        <v>585412.63725821616</v>
      </c>
      <c r="AD126" s="40">
        <v>0</v>
      </c>
      <c r="AE126" s="40">
        <v>24132.550399999989</v>
      </c>
      <c r="AF126" s="40">
        <v>0</v>
      </c>
      <c r="AG126" s="40">
        <v>149406.57</v>
      </c>
      <c r="AH126" s="40">
        <v>0</v>
      </c>
      <c r="AI126" s="40">
        <v>0</v>
      </c>
      <c r="AJ126" s="40">
        <v>0</v>
      </c>
      <c r="AK126" s="40">
        <v>23974.2048</v>
      </c>
      <c r="AL126" s="40">
        <v>400389.03</v>
      </c>
      <c r="AM126" s="40">
        <v>0</v>
      </c>
      <c r="AN126" s="40">
        <v>0</v>
      </c>
      <c r="AO126" s="40">
        <v>0</v>
      </c>
      <c r="AP126" s="40">
        <v>0</v>
      </c>
      <c r="AQ126" s="40">
        <v>0</v>
      </c>
      <c r="AR126" s="40">
        <v>0</v>
      </c>
      <c r="AS126" s="40">
        <v>0</v>
      </c>
      <c r="AT126" s="40">
        <v>3281322.8640000001</v>
      </c>
      <c r="AU126" s="40">
        <v>2031327.97585735</v>
      </c>
      <c r="AV126" s="40">
        <v>573769.80480000004</v>
      </c>
      <c r="AW126" s="40">
        <v>1175273.2217043727</v>
      </c>
      <c r="AX126" s="56">
        <v>5886420.6446573501</v>
      </c>
      <c r="AY126" s="56">
        <v>5462057.4098573495</v>
      </c>
      <c r="AZ126" s="56">
        <v>5115</v>
      </c>
      <c r="BA126" s="56">
        <v>4173840</v>
      </c>
      <c r="BB126" s="56">
        <v>0</v>
      </c>
      <c r="BC126" s="56">
        <v>0</v>
      </c>
      <c r="BD126" s="56">
        <v>5886420.6446573501</v>
      </c>
      <c r="BE126" s="40">
        <v>5886420.6446573501</v>
      </c>
      <c r="BF126" s="40">
        <v>0</v>
      </c>
      <c r="BG126" s="56">
        <v>4598203.2348000007</v>
      </c>
      <c r="BH126" s="56">
        <v>4024433.4299999997</v>
      </c>
      <c r="BI126" s="40">
        <v>5312650.8398573492</v>
      </c>
      <c r="BJ126" s="40">
        <v>6510.6015194330257</v>
      </c>
      <c r="BK126" s="40">
        <v>6388.0704140567204</v>
      </c>
      <c r="BL126" s="41">
        <v>1.9181239002419255E-2</v>
      </c>
      <c r="BM126" s="41">
        <v>0</v>
      </c>
      <c r="BN126" s="40">
        <v>0</v>
      </c>
      <c r="BO126" s="56">
        <v>5886420.6446573501</v>
      </c>
      <c r="BP126" s="56">
        <v>6693.6978061977325</v>
      </c>
      <c r="BQ126" s="56" t="s">
        <v>1091</v>
      </c>
      <c r="BR126" s="56">
        <v>7213.7507900212622</v>
      </c>
      <c r="BS126" s="47">
        <v>1.8034643410356654E-2</v>
      </c>
      <c r="BT126" s="40">
        <v>-20318.399999999998</v>
      </c>
      <c r="BU126" s="40">
        <v>5866102.2446573498</v>
      </c>
      <c r="BV126" s="40">
        <v>0</v>
      </c>
      <c r="BW126" s="40">
        <v>5866102.2446573498</v>
      </c>
      <c r="BX126" s="40">
        <v>23974.2048</v>
      </c>
      <c r="BY126" s="40">
        <v>5842128.0398573494</v>
      </c>
    </row>
    <row r="127" spans="1:77">
      <c r="A127">
        <f>_xlfn.XLOOKUP(B127,'Summary June 2026'!B:B,'Summary June 2026'!A:A,0,0)</f>
        <v>3435</v>
      </c>
      <c r="B127" s="54">
        <v>131920</v>
      </c>
      <c r="C127" s="54">
        <v>3303435</v>
      </c>
      <c r="D127" s="55" t="s">
        <v>144</v>
      </c>
      <c r="E127" s="46">
        <v>420</v>
      </c>
      <c r="F127" s="46">
        <v>420</v>
      </c>
      <c r="G127" s="46">
        <v>0</v>
      </c>
      <c r="H127" s="40">
        <v>1688916.1800000002</v>
      </c>
      <c r="I127" s="40">
        <v>0</v>
      </c>
      <c r="J127" s="40">
        <v>0</v>
      </c>
      <c r="K127" s="40">
        <v>14823.299999999994</v>
      </c>
      <c r="L127" s="40">
        <v>0</v>
      </c>
      <c r="M127" s="40">
        <v>35516.999999999985</v>
      </c>
      <c r="N127" s="40">
        <v>0</v>
      </c>
      <c r="O127" s="40">
        <v>1454.7236659199914</v>
      </c>
      <c r="P127" s="40">
        <v>294.03988991999989</v>
      </c>
      <c r="Q127" s="40">
        <v>459.11491583999975</v>
      </c>
      <c r="R127" s="40">
        <v>2527.711334399999</v>
      </c>
      <c r="S127" s="40">
        <v>0</v>
      </c>
      <c r="T127" s="40">
        <v>0</v>
      </c>
      <c r="U127" s="40">
        <v>0</v>
      </c>
      <c r="V127" s="40">
        <v>0</v>
      </c>
      <c r="W127" s="40">
        <v>0</v>
      </c>
      <c r="X127" s="40">
        <v>0</v>
      </c>
      <c r="Y127" s="40">
        <v>0</v>
      </c>
      <c r="Z127" s="40">
        <v>0</v>
      </c>
      <c r="AA127" s="40">
        <v>56401.380000000005</v>
      </c>
      <c r="AB127" s="40">
        <v>0</v>
      </c>
      <c r="AC127" s="40">
        <v>93788.516787768182</v>
      </c>
      <c r="AD127" s="40">
        <v>0</v>
      </c>
      <c r="AE127" s="40">
        <v>0</v>
      </c>
      <c r="AF127" s="40">
        <v>0</v>
      </c>
      <c r="AG127" s="40">
        <v>149406.57</v>
      </c>
      <c r="AH127" s="40">
        <v>0</v>
      </c>
      <c r="AI127" s="40">
        <v>0</v>
      </c>
      <c r="AJ127" s="40">
        <v>0</v>
      </c>
      <c r="AK127" s="40">
        <v>8068.2420000000002</v>
      </c>
      <c r="AL127" s="40">
        <v>0</v>
      </c>
      <c r="AM127" s="40">
        <v>0</v>
      </c>
      <c r="AN127" s="40">
        <v>0</v>
      </c>
      <c r="AO127" s="40">
        <v>0</v>
      </c>
      <c r="AP127" s="40">
        <v>0</v>
      </c>
      <c r="AQ127" s="40">
        <v>0</v>
      </c>
      <c r="AR127" s="40">
        <v>0</v>
      </c>
      <c r="AS127" s="40">
        <v>0</v>
      </c>
      <c r="AT127" s="40">
        <v>1688916.1800000002</v>
      </c>
      <c r="AU127" s="40">
        <v>205265.78659384814</v>
      </c>
      <c r="AV127" s="40">
        <v>157474.81200000001</v>
      </c>
      <c r="AW127" s="40">
        <v>198061.64611795696</v>
      </c>
      <c r="AX127" s="56">
        <v>2051656.7785938482</v>
      </c>
      <c r="AY127" s="56">
        <v>2043588.5365938481</v>
      </c>
      <c r="AZ127" s="56">
        <v>5115</v>
      </c>
      <c r="BA127" s="56">
        <v>2148300</v>
      </c>
      <c r="BB127" s="56">
        <v>104711.46340615186</v>
      </c>
      <c r="BC127" s="56">
        <v>0</v>
      </c>
      <c r="BD127" s="56">
        <v>2156368.2420000001</v>
      </c>
      <c r="BE127" s="40">
        <v>2156368.2420000006</v>
      </c>
      <c r="BF127" s="40">
        <v>0</v>
      </c>
      <c r="BG127" s="56">
        <v>2156368.2420000001</v>
      </c>
      <c r="BH127" s="56">
        <v>1998893.43</v>
      </c>
      <c r="BI127" s="40">
        <v>1998893.43</v>
      </c>
      <c r="BJ127" s="40">
        <v>4759.2700714285711</v>
      </c>
      <c r="BK127" s="40">
        <v>4751.1603159523811</v>
      </c>
      <c r="BL127" s="41">
        <v>1.7068999858752152E-3</v>
      </c>
      <c r="BM127" s="41">
        <v>0</v>
      </c>
      <c r="BN127" s="40">
        <v>0</v>
      </c>
      <c r="BO127" s="56">
        <v>2156368.2420000001</v>
      </c>
      <c r="BP127" s="56">
        <v>5115</v>
      </c>
      <c r="BQ127" s="56" t="s">
        <v>1091</v>
      </c>
      <c r="BR127" s="56">
        <v>5134.2101000000002</v>
      </c>
      <c r="BS127" s="47">
        <v>2.9209826164515729E-3</v>
      </c>
      <c r="BT127" s="40">
        <v>-10458</v>
      </c>
      <c r="BU127" s="40">
        <v>2145910.2420000001</v>
      </c>
      <c r="BV127" s="40">
        <v>0</v>
      </c>
      <c r="BW127" s="40">
        <v>2145910.2420000001</v>
      </c>
      <c r="BX127" s="40">
        <v>8068.2420000000002</v>
      </c>
      <c r="BY127" s="40">
        <v>2137842</v>
      </c>
    </row>
    <row r="128" spans="1:77">
      <c r="A128">
        <f>_xlfn.XLOOKUP(B128,'Summary June 2026'!B:B,'Summary June 2026'!A:A,0,0)</f>
        <v>3436</v>
      </c>
      <c r="B128" s="54">
        <v>136440</v>
      </c>
      <c r="C128" s="54">
        <v>3303436</v>
      </c>
      <c r="D128" s="55" t="s">
        <v>1097</v>
      </c>
      <c r="E128" s="46">
        <v>140</v>
      </c>
      <c r="F128" s="46">
        <v>140</v>
      </c>
      <c r="G128" s="46">
        <v>0</v>
      </c>
      <c r="H128" s="40">
        <v>562972.06000000006</v>
      </c>
      <c r="I128" s="40">
        <v>0</v>
      </c>
      <c r="J128" s="40">
        <v>0</v>
      </c>
      <c r="K128" s="40">
        <v>24211.39</v>
      </c>
      <c r="L128" s="40">
        <v>0</v>
      </c>
      <c r="M128" s="40">
        <v>61562.799999999937</v>
      </c>
      <c r="N128" s="40">
        <v>0</v>
      </c>
      <c r="O128" s="40">
        <v>1721.7743871999994</v>
      </c>
      <c r="P128" s="40">
        <v>2088.1093631999993</v>
      </c>
      <c r="Q128" s="40">
        <v>25617.281535999988</v>
      </c>
      <c r="R128" s="40">
        <v>3077.2137983999987</v>
      </c>
      <c r="S128" s="40">
        <v>19593.687859199981</v>
      </c>
      <c r="T128" s="40">
        <v>10037.578342399916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30209.286153846107</v>
      </c>
      <c r="AB128" s="40">
        <v>0</v>
      </c>
      <c r="AC128" s="40">
        <v>72971.009345794417</v>
      </c>
      <c r="AD128" s="40">
        <v>0</v>
      </c>
      <c r="AE128" s="40">
        <v>13107.13599999998</v>
      </c>
      <c r="AF128" s="40">
        <v>0</v>
      </c>
      <c r="AG128" s="40">
        <v>149406.57</v>
      </c>
      <c r="AH128" s="40">
        <v>0</v>
      </c>
      <c r="AI128" s="40">
        <v>0</v>
      </c>
      <c r="AJ128" s="40">
        <v>0</v>
      </c>
      <c r="AK128" s="40">
        <v>4134.5518000000002</v>
      </c>
      <c r="AL128" s="40">
        <v>0</v>
      </c>
      <c r="AM128" s="40">
        <v>0</v>
      </c>
      <c r="AN128" s="40">
        <v>0</v>
      </c>
      <c r="AO128" s="40">
        <v>0</v>
      </c>
      <c r="AP128" s="40">
        <v>0</v>
      </c>
      <c r="AQ128" s="40">
        <v>0</v>
      </c>
      <c r="AR128" s="40">
        <v>0</v>
      </c>
      <c r="AS128" s="40">
        <v>0</v>
      </c>
      <c r="AT128" s="40">
        <v>562972.06000000006</v>
      </c>
      <c r="AU128" s="40">
        <v>264197.26678604033</v>
      </c>
      <c r="AV128" s="40">
        <v>153541.12179999999</v>
      </c>
      <c r="AW128" s="40">
        <v>154367.15304889833</v>
      </c>
      <c r="AX128" s="56">
        <v>980710.44858604029</v>
      </c>
      <c r="AY128" s="56">
        <v>976575.89678604028</v>
      </c>
      <c r="AZ128" s="56">
        <v>5115</v>
      </c>
      <c r="BA128" s="56">
        <v>716100</v>
      </c>
      <c r="BB128" s="56">
        <v>0</v>
      </c>
      <c r="BC128" s="56">
        <v>0</v>
      </c>
      <c r="BD128" s="56">
        <v>980710.44858604029</v>
      </c>
      <c r="BE128" s="40">
        <v>980710.44858604029</v>
      </c>
      <c r="BF128" s="40">
        <v>0</v>
      </c>
      <c r="BG128" s="56">
        <v>720234.55180000002</v>
      </c>
      <c r="BH128" s="56">
        <v>566693.42999999993</v>
      </c>
      <c r="BI128" s="40">
        <v>827169.32678604033</v>
      </c>
      <c r="BJ128" s="40">
        <v>5908.3523341860027</v>
      </c>
      <c r="BK128" s="40">
        <v>5757.0956343195257</v>
      </c>
      <c r="BL128" s="41">
        <v>2.6273091411717561E-2</v>
      </c>
      <c r="BM128" s="41">
        <v>0</v>
      </c>
      <c r="BN128" s="40">
        <v>0</v>
      </c>
      <c r="BO128" s="56">
        <v>980710.44858604029</v>
      </c>
      <c r="BP128" s="56">
        <v>6975.5421199002876</v>
      </c>
      <c r="BQ128" s="56" t="s">
        <v>1091</v>
      </c>
      <c r="BR128" s="56">
        <v>7005.0746327574307</v>
      </c>
      <c r="BS128" s="47">
        <v>4.8558268114371028E-2</v>
      </c>
      <c r="BT128" s="40">
        <v>-3486</v>
      </c>
      <c r="BU128" s="40">
        <v>977224.44858604029</v>
      </c>
      <c r="BV128" s="40">
        <v>0</v>
      </c>
      <c r="BW128" s="40">
        <v>977224.44858604029</v>
      </c>
      <c r="BX128" s="40">
        <v>4134.5518000000002</v>
      </c>
      <c r="BY128" s="40">
        <v>973089.89678604028</v>
      </c>
    </row>
    <row r="129" spans="1:77">
      <c r="A129">
        <f>_xlfn.XLOOKUP(B129,'Summary June 2026'!B:B,'Summary June 2026'!A:A,0,0)</f>
        <v>5202</v>
      </c>
      <c r="B129" s="54">
        <v>103543</v>
      </c>
      <c r="C129" s="54">
        <v>3305202</v>
      </c>
      <c r="D129" s="55" t="s">
        <v>370</v>
      </c>
      <c r="E129" s="46">
        <v>360</v>
      </c>
      <c r="F129" s="46">
        <v>360</v>
      </c>
      <c r="G129" s="46">
        <v>0</v>
      </c>
      <c r="H129" s="40">
        <v>1447642.4400000002</v>
      </c>
      <c r="I129" s="40">
        <v>0</v>
      </c>
      <c r="J129" s="40">
        <v>0</v>
      </c>
      <c r="K129" s="40">
        <v>29646.599999999882</v>
      </c>
      <c r="L129" s="40">
        <v>0</v>
      </c>
      <c r="M129" s="40">
        <v>74585.7</v>
      </c>
      <c r="N129" s="40">
        <v>0</v>
      </c>
      <c r="O129" s="40">
        <v>14101.499602789956</v>
      </c>
      <c r="P129" s="40">
        <v>1474.294712690807</v>
      </c>
      <c r="Q129" s="40">
        <v>1381.181362415598</v>
      </c>
      <c r="R129" s="40">
        <v>6083.4055513136418</v>
      </c>
      <c r="S129" s="40">
        <v>4841.8942143108534</v>
      </c>
      <c r="T129" s="40">
        <v>2126.0881646172688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7758.9199999999983</v>
      </c>
      <c r="AB129" s="40">
        <v>0</v>
      </c>
      <c r="AC129" s="40">
        <v>116887.9579304706</v>
      </c>
      <c r="AD129" s="40">
        <v>0</v>
      </c>
      <c r="AE129" s="40">
        <v>0</v>
      </c>
      <c r="AF129" s="40">
        <v>0</v>
      </c>
      <c r="AG129" s="40">
        <v>149406.57</v>
      </c>
      <c r="AH129" s="40">
        <v>0</v>
      </c>
      <c r="AI129" s="40">
        <v>0</v>
      </c>
      <c r="AJ129" s="40">
        <v>0</v>
      </c>
      <c r="AK129" s="40">
        <v>4447.3176000000003</v>
      </c>
      <c r="AL129" s="40">
        <v>0</v>
      </c>
      <c r="AM129" s="40">
        <v>0</v>
      </c>
      <c r="AN129" s="40">
        <v>0</v>
      </c>
      <c r="AO129" s="40">
        <v>0</v>
      </c>
      <c r="AP129" s="40">
        <v>0</v>
      </c>
      <c r="AQ129" s="40">
        <v>0</v>
      </c>
      <c r="AR129" s="40">
        <v>0</v>
      </c>
      <c r="AS129" s="40">
        <v>0</v>
      </c>
      <c r="AT129" s="40">
        <v>1447642.4400000002</v>
      </c>
      <c r="AU129" s="40">
        <v>258887.54153860861</v>
      </c>
      <c r="AV129" s="40">
        <v>153853.88760000002</v>
      </c>
      <c r="AW129" s="40">
        <v>237596.71882940031</v>
      </c>
      <c r="AX129" s="56">
        <v>1860383.8691386087</v>
      </c>
      <c r="AY129" s="56">
        <v>1855936.5515386087</v>
      </c>
      <c r="AZ129" s="56">
        <v>5115</v>
      </c>
      <c r="BA129" s="56">
        <v>1841400</v>
      </c>
      <c r="BB129" s="56">
        <v>0</v>
      </c>
      <c r="BC129" s="56">
        <v>0</v>
      </c>
      <c r="BD129" s="56">
        <v>1860383.8691386087</v>
      </c>
      <c r="BE129" s="40">
        <v>1860383.8691386089</v>
      </c>
      <c r="BF129" s="40">
        <v>0</v>
      </c>
      <c r="BG129" s="56">
        <v>1845847.3176</v>
      </c>
      <c r="BH129" s="56">
        <v>1691993.43</v>
      </c>
      <c r="BI129" s="40">
        <v>1706529.9815386087</v>
      </c>
      <c r="BJ129" s="40">
        <v>4740.3610598294681</v>
      </c>
      <c r="BK129" s="40">
        <v>4706.3489961111109</v>
      </c>
      <c r="BL129" s="41">
        <v>7.2268469139159987E-3</v>
      </c>
      <c r="BM129" s="41">
        <v>0</v>
      </c>
      <c r="BN129" s="40">
        <v>0</v>
      </c>
      <c r="BO129" s="56">
        <v>1860383.8691386087</v>
      </c>
      <c r="BP129" s="56">
        <v>5155.3793098294691</v>
      </c>
      <c r="BQ129" s="56" t="s">
        <v>1091</v>
      </c>
      <c r="BR129" s="56">
        <v>5167.7329698294689</v>
      </c>
      <c r="BS129" s="47">
        <v>6.7526122589018911E-3</v>
      </c>
      <c r="BT129" s="40">
        <v>-8964</v>
      </c>
      <c r="BU129" s="40">
        <v>1851419.8691386087</v>
      </c>
      <c r="BV129" s="40">
        <v>0</v>
      </c>
      <c r="BW129" s="40">
        <v>1851419.8691386087</v>
      </c>
      <c r="BX129" s="40">
        <v>4447.3176000000003</v>
      </c>
      <c r="BY129" s="40">
        <v>1846972.5515386087</v>
      </c>
    </row>
    <row r="130" spans="1:77">
      <c r="A130">
        <f>_xlfn.XLOOKUP(B130,'Summary June 2026'!B:B,'Summary June 2026'!A:A,0,0)</f>
        <v>5203</v>
      </c>
      <c r="B130" s="54">
        <v>103544</v>
      </c>
      <c r="C130" s="54">
        <v>3305203</v>
      </c>
      <c r="D130" s="55" t="s">
        <v>368</v>
      </c>
      <c r="E130" s="46">
        <v>267</v>
      </c>
      <c r="F130" s="46">
        <v>267</v>
      </c>
      <c r="G130" s="46">
        <v>0</v>
      </c>
      <c r="H130" s="40">
        <v>1073668.1430000002</v>
      </c>
      <c r="I130" s="40">
        <v>0</v>
      </c>
      <c r="J130" s="40">
        <v>0</v>
      </c>
      <c r="K130" s="40">
        <v>13835.079999999884</v>
      </c>
      <c r="L130" s="40">
        <v>0</v>
      </c>
      <c r="M130" s="40">
        <v>33149.199999999721</v>
      </c>
      <c r="N130" s="40">
        <v>0</v>
      </c>
      <c r="O130" s="40">
        <v>13628.463817566273</v>
      </c>
      <c r="P130" s="40">
        <v>1475.7265151999995</v>
      </c>
      <c r="Q130" s="40">
        <v>460.84091176421038</v>
      </c>
      <c r="R130" s="40">
        <v>4059.5424137431564</v>
      </c>
      <c r="S130" s="40">
        <v>3769.5750984757883</v>
      </c>
      <c r="T130" s="40">
        <v>1418.768649701052</v>
      </c>
      <c r="U130" s="40">
        <v>0</v>
      </c>
      <c r="V130" s="40">
        <v>0</v>
      </c>
      <c r="W130" s="40">
        <v>0</v>
      </c>
      <c r="X130" s="40">
        <v>0</v>
      </c>
      <c r="Y130" s="40">
        <v>0</v>
      </c>
      <c r="Z130" s="40">
        <v>0</v>
      </c>
      <c r="AA130" s="40">
        <v>14405.08745762712</v>
      </c>
      <c r="AB130" s="40">
        <v>0</v>
      </c>
      <c r="AC130" s="40">
        <v>111065.04274285704</v>
      </c>
      <c r="AD130" s="40">
        <v>0</v>
      </c>
      <c r="AE130" s="40">
        <v>0</v>
      </c>
      <c r="AF130" s="40">
        <v>0</v>
      </c>
      <c r="AG130" s="40">
        <v>149406.57</v>
      </c>
      <c r="AH130" s="40">
        <v>0</v>
      </c>
      <c r="AI130" s="40">
        <v>0</v>
      </c>
      <c r="AJ130" s="40">
        <v>0</v>
      </c>
      <c r="AK130" s="40">
        <v>5935.9209000000001</v>
      </c>
      <c r="AL130" s="40">
        <v>0</v>
      </c>
      <c r="AM130" s="40">
        <v>0</v>
      </c>
      <c r="AN130" s="40">
        <v>0</v>
      </c>
      <c r="AO130" s="40">
        <v>0</v>
      </c>
      <c r="AP130" s="40">
        <v>0</v>
      </c>
      <c r="AQ130" s="40">
        <v>0</v>
      </c>
      <c r="AR130" s="40">
        <v>0</v>
      </c>
      <c r="AS130" s="40">
        <v>0</v>
      </c>
      <c r="AT130" s="40">
        <v>1073668.1430000002</v>
      </c>
      <c r="AU130" s="40">
        <v>197267.32760693424</v>
      </c>
      <c r="AV130" s="40">
        <v>155342.4909</v>
      </c>
      <c r="AW130" s="40">
        <v>190595.44095917908</v>
      </c>
      <c r="AX130" s="56">
        <v>1426277.9615069344</v>
      </c>
      <c r="AY130" s="56">
        <v>1420342.0406069343</v>
      </c>
      <c r="AZ130" s="56">
        <v>5115</v>
      </c>
      <c r="BA130" s="56">
        <v>1365705</v>
      </c>
      <c r="BB130" s="56">
        <v>0</v>
      </c>
      <c r="BC130" s="56">
        <v>0</v>
      </c>
      <c r="BD130" s="56">
        <v>1426277.9615069344</v>
      </c>
      <c r="BE130" s="40">
        <v>1426277.9615069341</v>
      </c>
      <c r="BF130" s="40">
        <v>0</v>
      </c>
      <c r="BG130" s="56">
        <v>1371640.9209</v>
      </c>
      <c r="BH130" s="56">
        <v>1216298.43</v>
      </c>
      <c r="BI130" s="40">
        <v>1270935.4706069343</v>
      </c>
      <c r="BJ130" s="40">
        <v>4760.0579423480685</v>
      </c>
      <c r="BK130" s="40">
        <v>4654.9566856060601</v>
      </c>
      <c r="BL130" s="41">
        <v>2.2578353321095319E-2</v>
      </c>
      <c r="BM130" s="41">
        <v>0</v>
      </c>
      <c r="BN130" s="40">
        <v>0</v>
      </c>
      <c r="BO130" s="56">
        <v>1426277.9615069344</v>
      </c>
      <c r="BP130" s="56">
        <v>5319.6331108873947</v>
      </c>
      <c r="BQ130" s="56" t="s">
        <v>1091</v>
      </c>
      <c r="BR130" s="56">
        <v>5341.8650243705406</v>
      </c>
      <c r="BS130" s="47">
        <v>1.853698923724556E-2</v>
      </c>
      <c r="BT130" s="40">
        <v>-6648.2999999999993</v>
      </c>
      <c r="BU130" s="40">
        <v>1419629.6615069343</v>
      </c>
      <c r="BV130" s="40">
        <v>0</v>
      </c>
      <c r="BW130" s="40">
        <v>1419629.6615069343</v>
      </c>
      <c r="BX130" s="40">
        <v>5935.9209000000001</v>
      </c>
      <c r="BY130" s="40">
        <v>1413693.7406069343</v>
      </c>
    </row>
    <row r="131" spans="1:77">
      <c r="A131">
        <f>_xlfn.XLOOKUP(B131,'Summary June 2026'!B:B,'Summary June 2026'!A:A,0,0)</f>
        <v>5949</v>
      </c>
      <c r="B131" s="54">
        <v>131465</v>
      </c>
      <c r="C131" s="54">
        <v>3305949</v>
      </c>
      <c r="D131" s="55" t="s">
        <v>41</v>
      </c>
      <c r="E131" s="46">
        <v>628</v>
      </c>
      <c r="F131" s="46">
        <v>628</v>
      </c>
      <c r="G131" s="46">
        <v>0</v>
      </c>
      <c r="H131" s="40">
        <v>2525331.8120000004</v>
      </c>
      <c r="I131" s="40">
        <v>0</v>
      </c>
      <c r="J131" s="40">
        <v>0</v>
      </c>
      <c r="K131" s="40">
        <v>149715.33000000002</v>
      </c>
      <c r="L131" s="40">
        <v>0</v>
      </c>
      <c r="M131" s="40">
        <v>361089.49999999988</v>
      </c>
      <c r="N131" s="40">
        <v>0</v>
      </c>
      <c r="O131" s="40">
        <v>7516.07227391999</v>
      </c>
      <c r="P131" s="40">
        <v>77332.491048959913</v>
      </c>
      <c r="Q131" s="40">
        <v>60603.168890879773</v>
      </c>
      <c r="R131" s="40">
        <v>46004.346286079963</v>
      </c>
      <c r="S131" s="40">
        <v>17704.29652991999</v>
      </c>
      <c r="T131" s="40">
        <v>9894.1843660799768</v>
      </c>
      <c r="U131" s="40">
        <v>0</v>
      </c>
      <c r="V131" s="40">
        <v>0</v>
      </c>
      <c r="W131" s="40">
        <v>0</v>
      </c>
      <c r="X131" s="40">
        <v>0</v>
      </c>
      <c r="Y131" s="40">
        <v>0</v>
      </c>
      <c r="Z131" s="40">
        <v>0</v>
      </c>
      <c r="AA131" s="40">
        <v>148118.19250463805</v>
      </c>
      <c r="AB131" s="40">
        <v>0</v>
      </c>
      <c r="AC131" s="40">
        <v>182063.43182047785</v>
      </c>
      <c r="AD131" s="40">
        <v>0</v>
      </c>
      <c r="AE131" s="40">
        <v>0</v>
      </c>
      <c r="AF131" s="40">
        <v>0</v>
      </c>
      <c r="AG131" s="40">
        <v>149406.57</v>
      </c>
      <c r="AH131" s="40">
        <v>0</v>
      </c>
      <c r="AI131" s="40">
        <v>0</v>
      </c>
      <c r="AJ131" s="40">
        <v>0</v>
      </c>
      <c r="AK131" s="40">
        <v>11237.9085</v>
      </c>
      <c r="AL131" s="40">
        <v>0</v>
      </c>
      <c r="AM131" s="40">
        <v>0</v>
      </c>
      <c r="AN131" s="40">
        <v>0</v>
      </c>
      <c r="AO131" s="40">
        <v>0</v>
      </c>
      <c r="AP131" s="40">
        <v>0</v>
      </c>
      <c r="AQ131" s="40">
        <v>0</v>
      </c>
      <c r="AR131" s="40">
        <v>0</v>
      </c>
      <c r="AS131" s="40">
        <v>0</v>
      </c>
      <c r="AT131" s="40">
        <v>2525331.8120000004</v>
      </c>
      <c r="AU131" s="40">
        <v>1060041.0137209552</v>
      </c>
      <c r="AV131" s="40">
        <v>160644.4785</v>
      </c>
      <c r="AW131" s="40">
        <v>571079.40260298015</v>
      </c>
      <c r="AX131" s="56">
        <v>3746017.3042209558</v>
      </c>
      <c r="AY131" s="56">
        <v>3734779.3957209559</v>
      </c>
      <c r="AZ131" s="56">
        <v>5115</v>
      </c>
      <c r="BA131" s="56">
        <v>3212220</v>
      </c>
      <c r="BB131" s="56">
        <v>0</v>
      </c>
      <c r="BC131" s="56">
        <v>0</v>
      </c>
      <c r="BD131" s="56">
        <v>3746017.3042209558</v>
      </c>
      <c r="BE131" s="40">
        <v>3746017.3042209558</v>
      </c>
      <c r="BF131" s="40">
        <v>0</v>
      </c>
      <c r="BG131" s="56">
        <v>3223457.9084999999</v>
      </c>
      <c r="BH131" s="56">
        <v>3062813.43</v>
      </c>
      <c r="BI131" s="40">
        <v>3585372.8257209561</v>
      </c>
      <c r="BJ131" s="40">
        <v>5709.1923976448343</v>
      </c>
      <c r="BK131" s="40">
        <v>5607.3480270998416</v>
      </c>
      <c r="BL131" s="41">
        <v>1.8162662644228143E-2</v>
      </c>
      <c r="BM131" s="41">
        <v>0</v>
      </c>
      <c r="BN131" s="40">
        <v>0</v>
      </c>
      <c r="BO131" s="56">
        <v>3746017.3042209558</v>
      </c>
      <c r="BP131" s="56">
        <v>5947.1009486002486</v>
      </c>
      <c r="BQ131" s="56" t="s">
        <v>1091</v>
      </c>
      <c r="BR131" s="56">
        <v>5964.99570735821</v>
      </c>
      <c r="BS131" s="47">
        <v>6.456777460499552E-4</v>
      </c>
      <c r="BT131" s="40">
        <v>-15637.199999999999</v>
      </c>
      <c r="BU131" s="40">
        <v>3730380.1042209556</v>
      </c>
      <c r="BV131" s="40">
        <v>0</v>
      </c>
      <c r="BW131" s="40">
        <v>3730380.1042209556</v>
      </c>
      <c r="BX131" s="40">
        <v>11237.9085</v>
      </c>
      <c r="BY131" s="40">
        <v>3719142.1957209557</v>
      </c>
    </row>
    <row r="132" spans="1:77">
      <c r="A132">
        <f>_xlfn.XLOOKUP(B132,'Summary June 2026'!B:B,'Summary June 2026'!A:A,0,0)</f>
        <v>4015</v>
      </c>
      <c r="B132" s="54">
        <v>103483</v>
      </c>
      <c r="C132" s="54">
        <v>3304015</v>
      </c>
      <c r="D132" s="55" t="s">
        <v>184</v>
      </c>
      <c r="E132" s="46">
        <v>750</v>
      </c>
      <c r="F132" s="46">
        <v>0</v>
      </c>
      <c r="G132" s="46">
        <v>750</v>
      </c>
      <c r="H132" s="40">
        <v>0</v>
      </c>
      <c r="I132" s="40">
        <v>2560337.5500000003</v>
      </c>
      <c r="J132" s="40">
        <v>1930304.7</v>
      </c>
      <c r="K132" s="40">
        <v>0</v>
      </c>
      <c r="L132" s="40">
        <v>206043.87000000002</v>
      </c>
      <c r="M132" s="40">
        <v>0</v>
      </c>
      <c r="N132" s="40">
        <v>732505.19999999914</v>
      </c>
      <c r="O132" s="40">
        <v>0</v>
      </c>
      <c r="P132" s="40">
        <v>0</v>
      </c>
      <c r="Q132" s="40">
        <v>0</v>
      </c>
      <c r="R132" s="40">
        <v>0</v>
      </c>
      <c r="S132" s="40">
        <v>0</v>
      </c>
      <c r="T132" s="40">
        <v>0</v>
      </c>
      <c r="U132" s="40">
        <v>19643.928084479983</v>
      </c>
      <c r="V132" s="40">
        <v>73355.214643199768</v>
      </c>
      <c r="W132" s="40">
        <v>32101.933946879981</v>
      </c>
      <c r="X132" s="40">
        <v>67402.196520959827</v>
      </c>
      <c r="Y132" s="40">
        <v>126824.0472576</v>
      </c>
      <c r="Z132" s="40">
        <v>42145.717555199975</v>
      </c>
      <c r="AA132" s="40">
        <v>0</v>
      </c>
      <c r="AB132" s="40">
        <v>35227.389558232899</v>
      </c>
      <c r="AC132" s="40">
        <v>0</v>
      </c>
      <c r="AD132" s="40">
        <v>258697.60143759914</v>
      </c>
      <c r="AE132" s="40">
        <v>0</v>
      </c>
      <c r="AF132" s="40">
        <v>0</v>
      </c>
      <c r="AG132" s="40">
        <v>149406.57</v>
      </c>
      <c r="AH132" s="40">
        <v>0</v>
      </c>
      <c r="AI132" s="40">
        <v>0</v>
      </c>
      <c r="AJ132" s="40">
        <v>0</v>
      </c>
      <c r="AK132" s="40">
        <v>94513.691999999995</v>
      </c>
      <c r="AL132" s="40">
        <v>0</v>
      </c>
      <c r="AM132" s="40">
        <v>0</v>
      </c>
      <c r="AN132" s="40">
        <v>0</v>
      </c>
      <c r="AO132" s="40">
        <v>0</v>
      </c>
      <c r="AP132" s="40">
        <v>0</v>
      </c>
      <c r="AQ132" s="40">
        <v>0</v>
      </c>
      <c r="AR132" s="40">
        <v>0</v>
      </c>
      <c r="AS132" s="40">
        <v>0</v>
      </c>
      <c r="AT132" s="40">
        <v>4490642.25</v>
      </c>
      <c r="AU132" s="40">
        <v>1593947.0990041508</v>
      </c>
      <c r="AV132" s="40">
        <v>243920.26199999999</v>
      </c>
      <c r="AW132" s="40">
        <v>951237.67282059393</v>
      </c>
      <c r="AX132" s="56">
        <v>6328509.6110041514</v>
      </c>
      <c r="AY132" s="56">
        <v>6233995.9190041516</v>
      </c>
      <c r="AZ132" s="56">
        <v>6640</v>
      </c>
      <c r="BA132" s="56">
        <v>4980000</v>
      </c>
      <c r="BB132" s="56">
        <v>0</v>
      </c>
      <c r="BC132" s="56">
        <v>0</v>
      </c>
      <c r="BD132" s="56">
        <v>6328509.6110041514</v>
      </c>
      <c r="BE132" s="40">
        <v>0</v>
      </c>
      <c r="BF132" s="40">
        <v>6328509.6110041514</v>
      </c>
      <c r="BG132" s="56">
        <v>5074513.6919999998</v>
      </c>
      <c r="BH132" s="56">
        <v>4830593.43</v>
      </c>
      <c r="BI132" s="40">
        <v>6084589.3490041513</v>
      </c>
      <c r="BJ132" s="40">
        <v>8112.785798672202</v>
      </c>
      <c r="BK132" s="40">
        <v>7774.4644046480744</v>
      </c>
      <c r="BL132" s="41">
        <v>4.351700341207522E-2</v>
      </c>
      <c r="BM132" s="41">
        <v>0</v>
      </c>
      <c r="BN132" s="40">
        <v>0</v>
      </c>
      <c r="BO132" s="56">
        <v>6328509.6110041514</v>
      </c>
      <c r="BP132" s="56">
        <v>8311.9945586722024</v>
      </c>
      <c r="BQ132" s="56" t="s">
        <v>1091</v>
      </c>
      <c r="BR132" s="56">
        <v>8438.0128146722018</v>
      </c>
      <c r="BS132" s="47">
        <v>4.4749760639088976E-2</v>
      </c>
      <c r="BT132" s="40">
        <v>-14625</v>
      </c>
      <c r="BU132" s="40">
        <v>6313884.6110041514</v>
      </c>
      <c r="BV132" s="40">
        <v>0</v>
      </c>
      <c r="BW132" s="40">
        <v>6313884.6110041514</v>
      </c>
      <c r="BX132" s="40">
        <v>94513.691999999995</v>
      </c>
      <c r="BY132" s="40">
        <v>6219370.9190041516</v>
      </c>
    </row>
    <row r="133" spans="1:77">
      <c r="A133">
        <f>_xlfn.XLOOKUP(B133,'Summary June 2026'!B:B,'Summary June 2026'!A:A,0,0)</f>
        <v>4063</v>
      </c>
      <c r="B133" s="54">
        <v>103486</v>
      </c>
      <c r="C133" s="54">
        <v>3304063</v>
      </c>
      <c r="D133" s="55" t="s">
        <v>202</v>
      </c>
      <c r="E133" s="46">
        <v>795</v>
      </c>
      <c r="F133" s="46">
        <v>0</v>
      </c>
      <c r="G133" s="46">
        <v>795</v>
      </c>
      <c r="H133" s="40">
        <v>0</v>
      </c>
      <c r="I133" s="40">
        <v>2833440.2220000001</v>
      </c>
      <c r="J133" s="40">
        <v>1911001.6529999999</v>
      </c>
      <c r="K133" s="40">
        <v>0</v>
      </c>
      <c r="L133" s="40">
        <v>195667.55999999968</v>
      </c>
      <c r="M133" s="40">
        <v>0</v>
      </c>
      <c r="N133" s="40">
        <v>724066.2</v>
      </c>
      <c r="O133" s="40">
        <v>0</v>
      </c>
      <c r="P133" s="40">
        <v>0</v>
      </c>
      <c r="Q133" s="40">
        <v>0</v>
      </c>
      <c r="R133" s="40">
        <v>0</v>
      </c>
      <c r="S133" s="40">
        <v>0</v>
      </c>
      <c r="T133" s="40">
        <v>0</v>
      </c>
      <c r="U133" s="40">
        <v>17890.005934079996</v>
      </c>
      <c r="V133" s="40">
        <v>74748.035174399905</v>
      </c>
      <c r="W133" s="40">
        <v>62893.584875519955</v>
      </c>
      <c r="X133" s="40">
        <v>91064.669767679443</v>
      </c>
      <c r="Y133" s="40">
        <v>109145.54370047948</v>
      </c>
      <c r="Z133" s="40">
        <v>76450.371379200005</v>
      </c>
      <c r="AA133" s="40">
        <v>0</v>
      </c>
      <c r="AB133" s="40">
        <v>100474.91999999997</v>
      </c>
      <c r="AC133" s="40">
        <v>0</v>
      </c>
      <c r="AD133" s="40">
        <v>354052.04234012077</v>
      </c>
      <c r="AE133" s="40">
        <v>0</v>
      </c>
      <c r="AF133" s="40">
        <v>10202.606267002464</v>
      </c>
      <c r="AG133" s="40">
        <v>149406.57</v>
      </c>
      <c r="AH133" s="40">
        <v>0</v>
      </c>
      <c r="AI133" s="40">
        <v>0</v>
      </c>
      <c r="AJ133" s="40">
        <v>0</v>
      </c>
      <c r="AK133" s="40">
        <v>110650.17600000001</v>
      </c>
      <c r="AL133" s="40">
        <v>0</v>
      </c>
      <c r="AM133" s="40">
        <v>0</v>
      </c>
      <c r="AN133" s="40">
        <v>0</v>
      </c>
      <c r="AO133" s="40">
        <v>0</v>
      </c>
      <c r="AP133" s="40">
        <v>0</v>
      </c>
      <c r="AQ133" s="40">
        <v>0</v>
      </c>
      <c r="AR133" s="40">
        <v>0</v>
      </c>
      <c r="AS133" s="40">
        <v>0</v>
      </c>
      <c r="AT133" s="40">
        <v>4744441.875</v>
      </c>
      <c r="AU133" s="40">
        <v>1816655.5394384812</v>
      </c>
      <c r="AV133" s="40">
        <v>260056.74600000001</v>
      </c>
      <c r="AW133" s="40">
        <v>1077967.4855894097</v>
      </c>
      <c r="AX133" s="56">
        <v>6821154.1604384817</v>
      </c>
      <c r="AY133" s="56">
        <v>6710503.9844384817</v>
      </c>
      <c r="AZ133" s="56">
        <v>6640</v>
      </c>
      <c r="BA133" s="56">
        <v>5278800</v>
      </c>
      <c r="BB133" s="56">
        <v>0</v>
      </c>
      <c r="BC133" s="56">
        <v>0</v>
      </c>
      <c r="BD133" s="56">
        <v>6821154.1604384817</v>
      </c>
      <c r="BE133" s="40">
        <v>0</v>
      </c>
      <c r="BF133" s="40">
        <v>6821154.1604384836</v>
      </c>
      <c r="BG133" s="56">
        <v>5389450.176</v>
      </c>
      <c r="BH133" s="56">
        <v>5129393.43</v>
      </c>
      <c r="BI133" s="40">
        <v>6561097.4144384814</v>
      </c>
      <c r="BJ133" s="40">
        <v>8252.9527225641268</v>
      </c>
      <c r="BK133" s="40">
        <v>8386.5815410419291</v>
      </c>
      <c r="BL133" s="41">
        <v>-1.5933645648570246E-2</v>
      </c>
      <c r="BM133" s="41">
        <v>1.0933645648570245E-2</v>
      </c>
      <c r="BN133" s="40">
        <v>72898.249064211137</v>
      </c>
      <c r="BO133" s="56">
        <v>6894052.4095026925</v>
      </c>
      <c r="BP133" s="56">
        <v>8532.5814257895508</v>
      </c>
      <c r="BQ133" s="56" t="s">
        <v>1091</v>
      </c>
      <c r="BR133" s="56">
        <v>8671.7640371103043</v>
      </c>
      <c r="BS133" s="47">
        <v>-6.6833068871307022E-3</v>
      </c>
      <c r="BT133" s="40">
        <v>-15502.5</v>
      </c>
      <c r="BU133" s="40">
        <v>6878549.9095026925</v>
      </c>
      <c r="BV133" s="40">
        <v>0</v>
      </c>
      <c r="BW133" s="40">
        <v>6878549.9095026925</v>
      </c>
      <c r="BX133" s="40">
        <v>110650.17600000001</v>
      </c>
      <c r="BY133" s="40">
        <v>6767899.7335026925</v>
      </c>
    </row>
    <row r="134" spans="1:77">
      <c r="A134">
        <f>_xlfn.XLOOKUP(B134,'Summary June 2026'!B:B,'Summary June 2026'!A:A,0,0)</f>
        <v>4115</v>
      </c>
      <c r="B134" s="54">
        <v>103493</v>
      </c>
      <c r="C134" s="54">
        <v>3304115</v>
      </c>
      <c r="D134" s="55" t="s">
        <v>83</v>
      </c>
      <c r="E134" s="46">
        <v>618</v>
      </c>
      <c r="F134" s="46">
        <v>0</v>
      </c>
      <c r="G134" s="46">
        <v>618</v>
      </c>
      <c r="H134" s="40">
        <v>0</v>
      </c>
      <c r="I134" s="40">
        <v>2105166.4300000002</v>
      </c>
      <c r="J134" s="40">
        <v>1595718.5520000001</v>
      </c>
      <c r="K134" s="40">
        <v>0</v>
      </c>
      <c r="L134" s="40">
        <v>199620.43999999986</v>
      </c>
      <c r="M134" s="40">
        <v>0</v>
      </c>
      <c r="N134" s="40">
        <v>702124.79999999923</v>
      </c>
      <c r="O134" s="40">
        <v>0</v>
      </c>
      <c r="P134" s="40">
        <v>0</v>
      </c>
      <c r="Q134" s="40">
        <v>0</v>
      </c>
      <c r="R134" s="40">
        <v>0</v>
      </c>
      <c r="S134" s="40">
        <v>0</v>
      </c>
      <c r="T134" s="40">
        <v>0</v>
      </c>
      <c r="U134" s="40">
        <v>1753.9221503999993</v>
      </c>
      <c r="V134" s="40">
        <v>40856.068915199859</v>
      </c>
      <c r="W134" s="40">
        <v>138889.99993344001</v>
      </c>
      <c r="X134" s="40">
        <v>129785.08053503984</v>
      </c>
      <c r="Y134" s="40">
        <v>89161.148375039862</v>
      </c>
      <c r="Z134" s="40">
        <v>6860.9307647999722</v>
      </c>
      <c r="AA134" s="40">
        <v>0</v>
      </c>
      <c r="AB134" s="40">
        <v>75078.96700162068</v>
      </c>
      <c r="AC134" s="40">
        <v>0</v>
      </c>
      <c r="AD134" s="40">
        <v>251856.71976719587</v>
      </c>
      <c r="AE134" s="40">
        <v>0</v>
      </c>
      <c r="AF134" s="40">
        <v>0</v>
      </c>
      <c r="AG134" s="40">
        <v>149406.57</v>
      </c>
      <c r="AH134" s="40">
        <v>0</v>
      </c>
      <c r="AI134" s="40">
        <v>0</v>
      </c>
      <c r="AJ134" s="40">
        <v>0</v>
      </c>
      <c r="AK134" s="40">
        <v>33713.7255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0</v>
      </c>
      <c r="AT134" s="40">
        <v>3700884.9820000003</v>
      </c>
      <c r="AU134" s="40">
        <v>1635988.0774427352</v>
      </c>
      <c r="AV134" s="40">
        <v>183120.29550000001</v>
      </c>
      <c r="AW134" s="40">
        <v>908159.82950980659</v>
      </c>
      <c r="AX134" s="56">
        <v>5519993.3549427353</v>
      </c>
      <c r="AY134" s="56">
        <v>5486279.6294427356</v>
      </c>
      <c r="AZ134" s="56">
        <v>6640</v>
      </c>
      <c r="BA134" s="56">
        <v>4103520</v>
      </c>
      <c r="BB134" s="56">
        <v>0</v>
      </c>
      <c r="BC134" s="56">
        <v>0</v>
      </c>
      <c r="BD134" s="56">
        <v>5519993.3549427353</v>
      </c>
      <c r="BE134" s="40">
        <v>0</v>
      </c>
      <c r="BF134" s="40">
        <v>5519993.3549427353</v>
      </c>
      <c r="BG134" s="56">
        <v>4137233.7255000002</v>
      </c>
      <c r="BH134" s="56">
        <v>3954113.43</v>
      </c>
      <c r="BI134" s="40">
        <v>5336873.0594427353</v>
      </c>
      <c r="BJ134" s="40">
        <v>8635.7169246646208</v>
      </c>
      <c r="BK134" s="40">
        <v>8233.7752258320124</v>
      </c>
      <c r="BL134" s="41">
        <v>4.8816209795427432E-2</v>
      </c>
      <c r="BM134" s="41">
        <v>0</v>
      </c>
      <c r="BN134" s="40">
        <v>0</v>
      </c>
      <c r="BO134" s="56">
        <v>5519993.3549427353</v>
      </c>
      <c r="BP134" s="56">
        <v>8877.4751285481161</v>
      </c>
      <c r="BQ134" s="56" t="s">
        <v>1091</v>
      </c>
      <c r="BR134" s="56">
        <v>8932.0280824316105</v>
      </c>
      <c r="BS134" s="47">
        <v>3.7855019836572357E-2</v>
      </c>
      <c r="BT134" s="40">
        <v>-12051</v>
      </c>
      <c r="BU134" s="40">
        <v>5507942.3549427353</v>
      </c>
      <c r="BV134" s="40">
        <v>0</v>
      </c>
      <c r="BW134" s="40">
        <v>5507942.3549427353</v>
      </c>
      <c r="BX134" s="40">
        <v>33713.7255</v>
      </c>
      <c r="BY134" s="40">
        <v>5474228.6294427356</v>
      </c>
    </row>
    <row r="135" spans="1:77">
      <c r="A135">
        <f>_xlfn.XLOOKUP(B135,'Summary June 2026'!B:B,'Summary June 2026'!A:A,0,0)</f>
        <v>4173</v>
      </c>
      <c r="B135" s="54">
        <v>103497</v>
      </c>
      <c r="C135" s="54">
        <v>3304173</v>
      </c>
      <c r="D135" s="55" t="s">
        <v>268</v>
      </c>
      <c r="E135" s="46">
        <v>915</v>
      </c>
      <c r="F135" s="46">
        <v>0</v>
      </c>
      <c r="G135" s="46">
        <v>915</v>
      </c>
      <c r="H135" s="40">
        <v>0</v>
      </c>
      <c r="I135" s="40">
        <v>3146370.3670000001</v>
      </c>
      <c r="J135" s="40">
        <v>2329234.338</v>
      </c>
      <c r="K135" s="40">
        <v>0</v>
      </c>
      <c r="L135" s="40">
        <v>123033.38999999972</v>
      </c>
      <c r="M135" s="40">
        <v>0</v>
      </c>
      <c r="N135" s="40">
        <v>562037.39999999967</v>
      </c>
      <c r="O135" s="40">
        <v>0</v>
      </c>
      <c r="P135" s="40">
        <v>0</v>
      </c>
      <c r="Q135" s="40">
        <v>0</v>
      </c>
      <c r="R135" s="40">
        <v>0</v>
      </c>
      <c r="S135" s="40">
        <v>0</v>
      </c>
      <c r="T135" s="40">
        <v>0</v>
      </c>
      <c r="U135" s="40">
        <v>13329.808343039987</v>
      </c>
      <c r="V135" s="40">
        <v>49677.265612799783</v>
      </c>
      <c r="W135" s="40">
        <v>7861.6981094399662</v>
      </c>
      <c r="X135" s="40">
        <v>85328.312616959884</v>
      </c>
      <c r="Y135" s="40">
        <v>39968.79065087995</v>
      </c>
      <c r="Z135" s="40">
        <v>13721.861529599973</v>
      </c>
      <c r="AA135" s="40">
        <v>0</v>
      </c>
      <c r="AB135" s="40">
        <v>44655.519999999909</v>
      </c>
      <c r="AC135" s="40">
        <v>0</v>
      </c>
      <c r="AD135" s="40">
        <v>350630.70032981812</v>
      </c>
      <c r="AE135" s="40">
        <v>0</v>
      </c>
      <c r="AF135" s="40">
        <v>0</v>
      </c>
      <c r="AG135" s="40">
        <v>149406.57</v>
      </c>
      <c r="AH135" s="40">
        <v>0</v>
      </c>
      <c r="AI135" s="40">
        <v>0</v>
      </c>
      <c r="AJ135" s="40">
        <v>0</v>
      </c>
      <c r="AK135" s="40">
        <v>24089.465400000001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5475604.7050000001</v>
      </c>
      <c r="AU135" s="40">
        <v>1290244.7471925369</v>
      </c>
      <c r="AV135" s="40">
        <v>173496.03539999999</v>
      </c>
      <c r="AW135" s="40">
        <v>946596.00525039691</v>
      </c>
      <c r="AX135" s="56">
        <v>6939345.4875925379</v>
      </c>
      <c r="AY135" s="56">
        <v>6915256.0221925378</v>
      </c>
      <c r="AZ135" s="56">
        <v>6640</v>
      </c>
      <c r="BA135" s="56">
        <v>6075600</v>
      </c>
      <c r="BB135" s="56">
        <v>0</v>
      </c>
      <c r="BC135" s="56">
        <v>0</v>
      </c>
      <c r="BD135" s="56">
        <v>6939345.4875925379</v>
      </c>
      <c r="BE135" s="40">
        <v>0</v>
      </c>
      <c r="BF135" s="40">
        <v>6939345.487592536</v>
      </c>
      <c r="BG135" s="56">
        <v>6099689.4654000001</v>
      </c>
      <c r="BH135" s="56">
        <v>5926193.4299999997</v>
      </c>
      <c r="BI135" s="40">
        <v>6765849.4521925375</v>
      </c>
      <c r="BJ135" s="40">
        <v>7394.370986002773</v>
      </c>
      <c r="BK135" s="40">
        <v>7571.2051810572684</v>
      </c>
      <c r="BL135" s="41">
        <v>-2.335614883307148E-2</v>
      </c>
      <c r="BM135" s="41">
        <v>1.8356148833071479E-2</v>
      </c>
      <c r="BN135" s="40">
        <v>127165.02477152635</v>
      </c>
      <c r="BO135" s="56">
        <v>7066510.5123640643</v>
      </c>
      <c r="BP135" s="56">
        <v>7696.6350240044421</v>
      </c>
      <c r="BQ135" s="56" t="s">
        <v>1091</v>
      </c>
      <c r="BR135" s="56">
        <v>7722.9623085946059</v>
      </c>
      <c r="BS135" s="47">
        <v>-1.3088303192966944E-2</v>
      </c>
      <c r="BT135" s="40">
        <v>-17842.5</v>
      </c>
      <c r="BU135" s="40">
        <v>7048668.0123640643</v>
      </c>
      <c r="BV135" s="40">
        <v>0</v>
      </c>
      <c r="BW135" s="40">
        <v>7048668.0123640643</v>
      </c>
      <c r="BX135" s="40">
        <v>24089.465400000001</v>
      </c>
      <c r="BY135" s="40">
        <v>7024578.5469640642</v>
      </c>
    </row>
    <row r="136" spans="1:77">
      <c r="A136">
        <f>_xlfn.XLOOKUP(B136,'Summary June 2026'!B:B,'Summary June 2026'!A:A,0,0)</f>
        <v>4177</v>
      </c>
      <c r="B136" s="54">
        <v>103498</v>
      </c>
      <c r="C136" s="54">
        <v>3304177</v>
      </c>
      <c r="D136" s="55" t="s">
        <v>286</v>
      </c>
      <c r="E136" s="46">
        <v>802</v>
      </c>
      <c r="F136" s="46">
        <v>0</v>
      </c>
      <c r="G136" s="46">
        <v>802</v>
      </c>
      <c r="H136" s="40">
        <v>0</v>
      </c>
      <c r="I136" s="40">
        <v>2850509.139</v>
      </c>
      <c r="J136" s="40">
        <v>1936739.0490000001</v>
      </c>
      <c r="K136" s="40">
        <v>0</v>
      </c>
      <c r="L136" s="40">
        <v>223831.82999999973</v>
      </c>
      <c r="M136" s="40">
        <v>0</v>
      </c>
      <c r="N136" s="40">
        <v>801704.99999999895</v>
      </c>
      <c r="O136" s="40">
        <v>0</v>
      </c>
      <c r="P136" s="40">
        <v>0</v>
      </c>
      <c r="Q136" s="40">
        <v>0</v>
      </c>
      <c r="R136" s="40">
        <v>0</v>
      </c>
      <c r="S136" s="40">
        <v>0</v>
      </c>
      <c r="T136" s="40">
        <v>0</v>
      </c>
      <c r="U136" s="40">
        <v>10198.180343500799</v>
      </c>
      <c r="V136" s="40">
        <v>59110.142660352001</v>
      </c>
      <c r="W136" s="40">
        <v>55169.466482995194</v>
      </c>
      <c r="X136" s="40">
        <v>89854.656931200007</v>
      </c>
      <c r="Y136" s="40">
        <v>147175.46368949758</v>
      </c>
      <c r="Z136" s="40">
        <v>101206.07977804802</v>
      </c>
      <c r="AA136" s="40">
        <v>0</v>
      </c>
      <c r="AB136" s="40">
        <v>111638.79999999993</v>
      </c>
      <c r="AC136" s="40">
        <v>0</v>
      </c>
      <c r="AD136" s="40">
        <v>311703.8211022421</v>
      </c>
      <c r="AE136" s="40">
        <v>0</v>
      </c>
      <c r="AF136" s="40">
        <v>0</v>
      </c>
      <c r="AG136" s="40">
        <v>149406.57</v>
      </c>
      <c r="AH136" s="40">
        <v>0</v>
      </c>
      <c r="AI136" s="40">
        <v>0</v>
      </c>
      <c r="AJ136" s="40">
        <v>0</v>
      </c>
      <c r="AK136" s="40">
        <v>99700.418999999994</v>
      </c>
      <c r="AL136" s="40">
        <v>0</v>
      </c>
      <c r="AM136" s="40">
        <v>0</v>
      </c>
      <c r="AN136" s="40">
        <v>0</v>
      </c>
      <c r="AO136" s="40">
        <v>0</v>
      </c>
      <c r="AP136" s="40">
        <v>0</v>
      </c>
      <c r="AQ136" s="40">
        <v>0</v>
      </c>
      <c r="AR136" s="40">
        <v>0</v>
      </c>
      <c r="AS136" s="40">
        <v>0</v>
      </c>
      <c r="AT136" s="40">
        <v>4787248.1880000001</v>
      </c>
      <c r="AU136" s="40">
        <v>1911593.4409878342</v>
      </c>
      <c r="AV136" s="40">
        <v>249106.989</v>
      </c>
      <c r="AW136" s="40">
        <v>1086836.5256610555</v>
      </c>
      <c r="AX136" s="56">
        <v>6947948.6179878339</v>
      </c>
      <c r="AY136" s="56">
        <v>6848248.1989878342</v>
      </c>
      <c r="AZ136" s="56">
        <v>6640</v>
      </c>
      <c r="BA136" s="56">
        <v>5325280</v>
      </c>
      <c r="BB136" s="56">
        <v>0</v>
      </c>
      <c r="BC136" s="56">
        <v>0</v>
      </c>
      <c r="BD136" s="56">
        <v>6947948.6179878339</v>
      </c>
      <c r="BE136" s="40">
        <v>0</v>
      </c>
      <c r="BF136" s="40">
        <v>6947948.6179878348</v>
      </c>
      <c r="BG136" s="56">
        <v>5424980.4189999998</v>
      </c>
      <c r="BH136" s="56">
        <v>5175873.43</v>
      </c>
      <c r="BI136" s="40">
        <v>6698841.6289878339</v>
      </c>
      <c r="BJ136" s="40">
        <v>8352.6703603339574</v>
      </c>
      <c r="BK136" s="40">
        <v>8042.7961541818186</v>
      </c>
      <c r="BL136" s="41">
        <v>3.8528168588609704E-2</v>
      </c>
      <c r="BM136" s="41">
        <v>0</v>
      </c>
      <c r="BN136" s="40">
        <v>0</v>
      </c>
      <c r="BO136" s="56">
        <v>6947948.6179878339</v>
      </c>
      <c r="BP136" s="56">
        <v>8538.962841630715</v>
      </c>
      <c r="BQ136" s="56" t="s">
        <v>1091</v>
      </c>
      <c r="BR136" s="56">
        <v>8663.2775785384456</v>
      </c>
      <c r="BS136" s="47">
        <v>3.633420984607505E-2</v>
      </c>
      <c r="BT136" s="40">
        <v>-15639</v>
      </c>
      <c r="BU136" s="40">
        <v>6932309.6179878339</v>
      </c>
      <c r="BV136" s="40">
        <v>0</v>
      </c>
      <c r="BW136" s="40">
        <v>6932309.6179878339</v>
      </c>
      <c r="BX136" s="40">
        <v>99700.418999999994</v>
      </c>
      <c r="BY136" s="40">
        <v>6832609.1989878342</v>
      </c>
    </row>
    <row r="137" spans="1:77">
      <c r="A137">
        <f>_xlfn.XLOOKUP(B137,'Summary June 2026'!B:B,'Summary June 2026'!A:A,0,0)</f>
        <v>4193</v>
      </c>
      <c r="B137" s="54">
        <v>103501</v>
      </c>
      <c r="C137" s="54">
        <v>3304193</v>
      </c>
      <c r="D137" s="55" t="s">
        <v>390</v>
      </c>
      <c r="E137" s="46">
        <v>674</v>
      </c>
      <c r="F137" s="46">
        <v>0</v>
      </c>
      <c r="G137" s="46">
        <v>674</v>
      </c>
      <c r="H137" s="40">
        <v>0</v>
      </c>
      <c r="I137" s="40">
        <v>2304303.7949999999</v>
      </c>
      <c r="J137" s="40">
        <v>1730839.8810000001</v>
      </c>
      <c r="K137" s="40">
        <v>0</v>
      </c>
      <c r="L137" s="40">
        <v>131433.25999999972</v>
      </c>
      <c r="M137" s="40">
        <v>0</v>
      </c>
      <c r="N137" s="40">
        <v>464144.99999999913</v>
      </c>
      <c r="O137" s="40">
        <v>0</v>
      </c>
      <c r="P137" s="40">
        <v>0</v>
      </c>
      <c r="Q137" s="40">
        <v>0</v>
      </c>
      <c r="R137" s="40">
        <v>0</v>
      </c>
      <c r="S137" s="40">
        <v>0</v>
      </c>
      <c r="T137" s="40">
        <v>0</v>
      </c>
      <c r="U137" s="40">
        <v>5963.3353113599796</v>
      </c>
      <c r="V137" s="40">
        <v>74283.761663999918</v>
      </c>
      <c r="W137" s="40">
        <v>16378.537727999956</v>
      </c>
      <c r="X137" s="40">
        <v>15057.937520639958</v>
      </c>
      <c r="Y137" s="40">
        <v>99153.346037759897</v>
      </c>
      <c r="Z137" s="40">
        <v>53907.313151999973</v>
      </c>
      <c r="AA137" s="40">
        <v>0</v>
      </c>
      <c r="AB137" s="40">
        <v>30301.959999999901</v>
      </c>
      <c r="AC137" s="40">
        <v>0</v>
      </c>
      <c r="AD137" s="40">
        <v>286360.72731396958</v>
      </c>
      <c r="AE137" s="40">
        <v>0</v>
      </c>
      <c r="AF137" s="40">
        <v>0</v>
      </c>
      <c r="AG137" s="40">
        <v>149406.57</v>
      </c>
      <c r="AH137" s="40">
        <v>0</v>
      </c>
      <c r="AI137" s="40">
        <v>0</v>
      </c>
      <c r="AJ137" s="40">
        <v>0</v>
      </c>
      <c r="AK137" s="40">
        <v>137736.41699999999</v>
      </c>
      <c r="AL137" s="40">
        <v>0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4035143.676</v>
      </c>
      <c r="AU137" s="40">
        <v>1176985.1787277278</v>
      </c>
      <c r="AV137" s="40">
        <v>287142.98699999996</v>
      </c>
      <c r="AW137" s="40">
        <v>797834.00802292267</v>
      </c>
      <c r="AX137" s="56">
        <v>5499271.841727728</v>
      </c>
      <c r="AY137" s="56">
        <v>5361535.4247277277</v>
      </c>
      <c r="AZ137" s="56">
        <v>6640</v>
      </c>
      <c r="BA137" s="56">
        <v>4475360</v>
      </c>
      <c r="BB137" s="56">
        <v>0</v>
      </c>
      <c r="BC137" s="56">
        <v>0</v>
      </c>
      <c r="BD137" s="56">
        <v>5499271.841727728</v>
      </c>
      <c r="BE137" s="40">
        <v>0</v>
      </c>
      <c r="BF137" s="40">
        <v>5499271.8417277271</v>
      </c>
      <c r="BG137" s="56">
        <v>4613096.4170000004</v>
      </c>
      <c r="BH137" s="56">
        <v>4325953.43</v>
      </c>
      <c r="BI137" s="40">
        <v>5212128.8547277274</v>
      </c>
      <c r="BJ137" s="40">
        <v>7733.1288645811983</v>
      </c>
      <c r="BK137" s="40">
        <v>7521.2766973333337</v>
      </c>
      <c r="BL137" s="41">
        <v>2.8167048730300896E-2</v>
      </c>
      <c r="BM137" s="41">
        <v>0</v>
      </c>
      <c r="BN137" s="40">
        <v>0</v>
      </c>
      <c r="BO137" s="56">
        <v>5499271.841727728</v>
      </c>
      <c r="BP137" s="56">
        <v>7954.8003334239284</v>
      </c>
      <c r="BQ137" s="56" t="s">
        <v>1091</v>
      </c>
      <c r="BR137" s="56">
        <v>8159.1570352043445</v>
      </c>
      <c r="BS137" s="47">
        <v>2.8982949672984759E-2</v>
      </c>
      <c r="BT137" s="40">
        <v>-13143</v>
      </c>
      <c r="BU137" s="40">
        <v>5486128.841727728</v>
      </c>
      <c r="BV137" s="40">
        <v>0</v>
      </c>
      <c r="BW137" s="40">
        <v>5486128.841727728</v>
      </c>
      <c r="BX137" s="40">
        <v>137736.41699999999</v>
      </c>
      <c r="BY137" s="40">
        <v>5348392.4247277277</v>
      </c>
    </row>
    <row r="138" spans="1:77">
      <c r="A138">
        <f>_xlfn.XLOOKUP(B138,'Summary June 2026'!B:B,'Summary June 2026'!A:A,0,0)</f>
        <v>4201</v>
      </c>
      <c r="B138" s="54">
        <v>103503</v>
      </c>
      <c r="C138" s="54">
        <v>3304201</v>
      </c>
      <c r="D138" s="55" t="s">
        <v>182</v>
      </c>
      <c r="E138" s="46">
        <v>1186</v>
      </c>
      <c r="F138" s="46">
        <v>0</v>
      </c>
      <c r="G138" s="46">
        <v>1186</v>
      </c>
      <c r="H138" s="40">
        <v>0</v>
      </c>
      <c r="I138" s="40">
        <v>4045333.3289999999</v>
      </c>
      <c r="J138" s="40">
        <v>3056315.7749999999</v>
      </c>
      <c r="K138" s="40">
        <v>0</v>
      </c>
      <c r="L138" s="40">
        <v>271266.3899999999</v>
      </c>
      <c r="M138" s="40">
        <v>0</v>
      </c>
      <c r="N138" s="40">
        <v>1152767.3999999999</v>
      </c>
      <c r="O138" s="40">
        <v>0</v>
      </c>
      <c r="P138" s="40">
        <v>0</v>
      </c>
      <c r="Q138" s="40">
        <v>0</v>
      </c>
      <c r="R138" s="40">
        <v>0</v>
      </c>
      <c r="S138" s="40">
        <v>0</v>
      </c>
      <c r="T138" s="40">
        <v>0</v>
      </c>
      <c r="U138" s="40">
        <v>31570.598707199973</v>
      </c>
      <c r="V138" s="40">
        <v>107711.45441279977</v>
      </c>
      <c r="W138" s="40">
        <v>37343.066019839971</v>
      </c>
      <c r="X138" s="40">
        <v>103254.42871295921</v>
      </c>
      <c r="Y138" s="40">
        <v>219828.3485798396</v>
      </c>
      <c r="Z138" s="40">
        <v>92132.498841599954</v>
      </c>
      <c r="AA138" s="40">
        <v>0</v>
      </c>
      <c r="AB138" s="40">
        <v>54408.061049069351</v>
      </c>
      <c r="AC138" s="40">
        <v>0</v>
      </c>
      <c r="AD138" s="40">
        <v>563257.56770707341</v>
      </c>
      <c r="AE138" s="40">
        <v>0</v>
      </c>
      <c r="AF138" s="40">
        <v>0</v>
      </c>
      <c r="AG138" s="40">
        <v>149406.57</v>
      </c>
      <c r="AH138" s="40">
        <v>0</v>
      </c>
      <c r="AI138" s="40">
        <v>0</v>
      </c>
      <c r="AJ138" s="40">
        <v>0</v>
      </c>
      <c r="AK138" s="40">
        <v>148398.02249999999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7101649.1040000003</v>
      </c>
      <c r="AU138" s="40">
        <v>2633539.8140303809</v>
      </c>
      <c r="AV138" s="40">
        <v>297804.59250000003</v>
      </c>
      <c r="AW138" s="40">
        <v>1644054.7296057993</v>
      </c>
      <c r="AX138" s="56">
        <v>10032993.510530381</v>
      </c>
      <c r="AY138" s="56">
        <v>9884595.4880303796</v>
      </c>
      <c r="AZ138" s="56">
        <v>6640</v>
      </c>
      <c r="BA138" s="56">
        <v>7875040</v>
      </c>
      <c r="BB138" s="56">
        <v>0</v>
      </c>
      <c r="BC138" s="56">
        <v>0</v>
      </c>
      <c r="BD138" s="56">
        <v>10032993.510530381</v>
      </c>
      <c r="BE138" s="40">
        <v>0</v>
      </c>
      <c r="BF138" s="40">
        <v>10032993.510530379</v>
      </c>
      <c r="BG138" s="56">
        <v>8023438.0225</v>
      </c>
      <c r="BH138" s="56">
        <v>7725633.4299999997</v>
      </c>
      <c r="BI138" s="40">
        <v>9735188.9180303793</v>
      </c>
      <c r="BJ138" s="40">
        <v>8208.4223592161707</v>
      </c>
      <c r="BK138" s="40">
        <v>7973.7969826411954</v>
      </c>
      <c r="BL138" s="41">
        <v>2.9424548566479712E-2</v>
      </c>
      <c r="BM138" s="41">
        <v>0</v>
      </c>
      <c r="BN138" s="40">
        <v>0</v>
      </c>
      <c r="BO138" s="56">
        <v>10032993.510530381</v>
      </c>
      <c r="BP138" s="56">
        <v>8334.3975447136418</v>
      </c>
      <c r="BQ138" s="56" t="s">
        <v>1091</v>
      </c>
      <c r="BR138" s="56">
        <v>8459.5223528923943</v>
      </c>
      <c r="BS138" s="47">
        <v>2.4891386864001053E-2</v>
      </c>
      <c r="BT138" s="40">
        <v>-23127</v>
      </c>
      <c r="BU138" s="40">
        <v>10009866.510530381</v>
      </c>
      <c r="BV138" s="40">
        <v>0</v>
      </c>
      <c r="BW138" s="40">
        <v>10009866.510530381</v>
      </c>
      <c r="BX138" s="40">
        <v>148398.02249999999</v>
      </c>
      <c r="BY138" s="40">
        <v>9861468.4880303796</v>
      </c>
    </row>
    <row r="139" spans="1:77">
      <c r="A139">
        <f>_xlfn.XLOOKUP(B139,'Summary June 2026'!B:B,'Summary June 2026'!A:A,0,0)</f>
        <v>4223</v>
      </c>
      <c r="B139" s="54">
        <v>103509</v>
      </c>
      <c r="C139" s="54">
        <v>3304223</v>
      </c>
      <c r="D139" s="55" t="s">
        <v>190</v>
      </c>
      <c r="E139" s="46">
        <v>956</v>
      </c>
      <c r="F139" s="46">
        <v>0</v>
      </c>
      <c r="G139" s="46">
        <v>956</v>
      </c>
      <c r="H139" s="40">
        <v>0</v>
      </c>
      <c r="I139" s="40">
        <v>3254473.5079999999</v>
      </c>
      <c r="J139" s="40">
        <v>2470790.0159999998</v>
      </c>
      <c r="K139" s="40">
        <v>0</v>
      </c>
      <c r="L139" s="40">
        <v>318700.9499999999</v>
      </c>
      <c r="M139" s="40">
        <v>0</v>
      </c>
      <c r="N139" s="40">
        <v>1129138.1999999993</v>
      </c>
      <c r="O139" s="40">
        <v>0</v>
      </c>
      <c r="P139" s="40">
        <v>0</v>
      </c>
      <c r="Q139" s="40">
        <v>0</v>
      </c>
      <c r="R139" s="40">
        <v>0</v>
      </c>
      <c r="S139" s="40">
        <v>0</v>
      </c>
      <c r="T139" s="40">
        <v>0</v>
      </c>
      <c r="U139" s="40">
        <v>5261.766451199981</v>
      </c>
      <c r="V139" s="40">
        <v>12999.658291199959</v>
      </c>
      <c r="W139" s="40">
        <v>44549.622620159993</v>
      </c>
      <c r="X139" s="40">
        <v>173524.80380927963</v>
      </c>
      <c r="Y139" s="40">
        <v>414291.88770815992</v>
      </c>
      <c r="Z139" s="40">
        <v>52927.180185599944</v>
      </c>
      <c r="AA139" s="40">
        <v>0</v>
      </c>
      <c r="AB139" s="40">
        <v>36681.319999999934</v>
      </c>
      <c r="AC139" s="40">
        <v>0</v>
      </c>
      <c r="AD139" s="40">
        <v>471693.35838937137</v>
      </c>
      <c r="AE139" s="40">
        <v>0</v>
      </c>
      <c r="AF139" s="40">
        <v>0</v>
      </c>
      <c r="AG139" s="40">
        <v>149406.57</v>
      </c>
      <c r="AH139" s="40">
        <v>0</v>
      </c>
      <c r="AI139" s="40">
        <v>0</v>
      </c>
      <c r="AJ139" s="40">
        <v>0</v>
      </c>
      <c r="AK139" s="40">
        <v>196863.6588</v>
      </c>
      <c r="AL139" s="40">
        <v>0</v>
      </c>
      <c r="AM139" s="40">
        <v>0</v>
      </c>
      <c r="AN139" s="40">
        <v>0</v>
      </c>
      <c r="AO139" s="40">
        <v>0</v>
      </c>
      <c r="AP139" s="40">
        <v>0</v>
      </c>
      <c r="AQ139" s="40">
        <v>0</v>
      </c>
      <c r="AR139" s="40">
        <v>0</v>
      </c>
      <c r="AS139" s="40">
        <v>0</v>
      </c>
      <c r="AT139" s="40">
        <v>5725263.5240000002</v>
      </c>
      <c r="AU139" s="40">
        <v>2659768.7474549697</v>
      </c>
      <c r="AV139" s="40">
        <v>346270.22880000004</v>
      </c>
      <c r="AW139" s="40">
        <v>1532458.3994529869</v>
      </c>
      <c r="AX139" s="56">
        <v>8731302.50025497</v>
      </c>
      <c r="AY139" s="56">
        <v>8534438.8414549697</v>
      </c>
      <c r="AZ139" s="56">
        <v>6640</v>
      </c>
      <c r="BA139" s="56">
        <v>6347840</v>
      </c>
      <c r="BB139" s="56">
        <v>0</v>
      </c>
      <c r="BC139" s="56">
        <v>0</v>
      </c>
      <c r="BD139" s="56">
        <v>8731302.50025497</v>
      </c>
      <c r="BE139" s="40">
        <v>0</v>
      </c>
      <c r="BF139" s="40">
        <v>8731302.50025497</v>
      </c>
      <c r="BG139" s="56">
        <v>6544703.6588000003</v>
      </c>
      <c r="BH139" s="56">
        <v>6198433.4299999997</v>
      </c>
      <c r="BI139" s="40">
        <v>8385032.2714549694</v>
      </c>
      <c r="BJ139" s="40">
        <v>8770.9542588441109</v>
      </c>
      <c r="BK139" s="40">
        <v>8387.7328479438311</v>
      </c>
      <c r="BL139" s="41">
        <v>4.5688318625243612E-2</v>
      </c>
      <c r="BM139" s="41">
        <v>0</v>
      </c>
      <c r="BN139" s="40">
        <v>0</v>
      </c>
      <c r="BO139" s="56">
        <v>8731302.50025497</v>
      </c>
      <c r="BP139" s="56">
        <v>8927.2372818566637</v>
      </c>
      <c r="BQ139" s="56" t="s">
        <v>1091</v>
      </c>
      <c r="BR139" s="56">
        <v>9133.1616111453659</v>
      </c>
      <c r="BS139" s="47">
        <v>4.6821201095004428E-2</v>
      </c>
      <c r="BT139" s="40">
        <v>-18642</v>
      </c>
      <c r="BU139" s="40">
        <v>8712660.50025497</v>
      </c>
      <c r="BV139" s="40">
        <v>0</v>
      </c>
      <c r="BW139" s="40">
        <v>8712660.50025497</v>
      </c>
      <c r="BX139" s="40">
        <v>196863.6588</v>
      </c>
      <c r="BY139" s="40">
        <v>8515796.8414549697</v>
      </c>
    </row>
    <row r="140" spans="1:77">
      <c r="A140">
        <f>_xlfn.XLOOKUP(B140,'Summary June 2026'!B:B,'Summary June 2026'!A:A,0,0)</f>
        <v>4245</v>
      </c>
      <c r="B140" s="54">
        <v>103519</v>
      </c>
      <c r="C140" s="54">
        <v>3304245</v>
      </c>
      <c r="D140" s="55" t="s">
        <v>244</v>
      </c>
      <c r="E140" s="46">
        <v>1223</v>
      </c>
      <c r="F140" s="46">
        <v>0</v>
      </c>
      <c r="G140" s="46">
        <v>1223</v>
      </c>
      <c r="H140" s="40">
        <v>0</v>
      </c>
      <c r="I140" s="40">
        <v>4193263.943</v>
      </c>
      <c r="J140" s="40">
        <v>3127093.6140000001</v>
      </c>
      <c r="K140" s="40">
        <v>0</v>
      </c>
      <c r="L140" s="40">
        <v>377005.92999999993</v>
      </c>
      <c r="M140" s="40">
        <v>0</v>
      </c>
      <c r="N140" s="40">
        <v>1380620.3999999997</v>
      </c>
      <c r="O140" s="40">
        <v>0</v>
      </c>
      <c r="P140" s="40">
        <v>0</v>
      </c>
      <c r="Q140" s="40">
        <v>0</v>
      </c>
      <c r="R140" s="40">
        <v>0</v>
      </c>
      <c r="S140" s="40">
        <v>0</v>
      </c>
      <c r="T140" s="40">
        <v>0</v>
      </c>
      <c r="U140" s="40">
        <v>25958.047825919988</v>
      </c>
      <c r="V140" s="40">
        <v>158317.26704639959</v>
      </c>
      <c r="W140" s="40">
        <v>117925.47164159959</v>
      </c>
      <c r="X140" s="40">
        <v>205074.76813823928</v>
      </c>
      <c r="Y140" s="40">
        <v>140659.39786751976</v>
      </c>
      <c r="Z140" s="40">
        <v>73509.972479999968</v>
      </c>
      <c r="AA140" s="40">
        <v>0</v>
      </c>
      <c r="AB140" s="40">
        <v>162401.25668669507</v>
      </c>
      <c r="AC140" s="40">
        <v>0</v>
      </c>
      <c r="AD140" s="40">
        <v>619416.92046551337</v>
      </c>
      <c r="AE140" s="40">
        <v>0</v>
      </c>
      <c r="AF140" s="40">
        <v>0</v>
      </c>
      <c r="AG140" s="40">
        <v>149406.57</v>
      </c>
      <c r="AH140" s="40">
        <v>0</v>
      </c>
      <c r="AI140" s="40">
        <v>0</v>
      </c>
      <c r="AJ140" s="40">
        <v>0</v>
      </c>
      <c r="AK140" s="40">
        <v>57630.3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7320357.557</v>
      </c>
      <c r="AU140" s="40">
        <v>3260889.4321518866</v>
      </c>
      <c r="AV140" s="40">
        <v>207036.87</v>
      </c>
      <c r="AW140" s="40">
        <v>1877900.4501153976</v>
      </c>
      <c r="AX140" s="56">
        <v>10788283.859151887</v>
      </c>
      <c r="AY140" s="56">
        <v>10730653.559151886</v>
      </c>
      <c r="AZ140" s="56">
        <v>6640</v>
      </c>
      <c r="BA140" s="56">
        <v>8120720</v>
      </c>
      <c r="BB140" s="56">
        <v>0</v>
      </c>
      <c r="BC140" s="56">
        <v>0</v>
      </c>
      <c r="BD140" s="56">
        <v>10788283.859151887</v>
      </c>
      <c r="BE140" s="40">
        <v>0</v>
      </c>
      <c r="BF140" s="40">
        <v>10788283.859151885</v>
      </c>
      <c r="BG140" s="56">
        <v>8178350.2999999998</v>
      </c>
      <c r="BH140" s="56">
        <v>7971313.4299999997</v>
      </c>
      <c r="BI140" s="40">
        <v>10581246.989151886</v>
      </c>
      <c r="BJ140" s="40">
        <v>8651.8781595681812</v>
      </c>
      <c r="BK140" s="40">
        <v>8334.7053539130447</v>
      </c>
      <c r="BL140" s="41">
        <v>3.8054471296484121E-2</v>
      </c>
      <c r="BM140" s="41">
        <v>0</v>
      </c>
      <c r="BN140" s="40">
        <v>0</v>
      </c>
      <c r="BO140" s="56">
        <v>10788283.859151887</v>
      </c>
      <c r="BP140" s="56">
        <v>8774.0421579328577</v>
      </c>
      <c r="BQ140" s="56" t="s">
        <v>1091</v>
      </c>
      <c r="BR140" s="56">
        <v>8821.1642347930392</v>
      </c>
      <c r="BS140" s="47">
        <v>4.1347542378762592E-2</v>
      </c>
      <c r="BT140" s="40">
        <v>-23848.5</v>
      </c>
      <c r="BU140" s="40">
        <v>10764435.359151887</v>
      </c>
      <c r="BV140" s="40">
        <v>0</v>
      </c>
      <c r="BW140" s="40">
        <v>10764435.359151887</v>
      </c>
      <c r="BX140" s="40">
        <v>57630.3</v>
      </c>
      <c r="BY140" s="40">
        <v>10706805.059151886</v>
      </c>
    </row>
    <row r="141" spans="1:77">
      <c r="A141">
        <f>_xlfn.XLOOKUP(B141,'Summary June 2026'!B:B,'Summary June 2026'!A:A,0,0)</f>
        <v>4606</v>
      </c>
      <c r="B141" s="54">
        <v>103531</v>
      </c>
      <c r="C141" s="54">
        <v>3304606</v>
      </c>
      <c r="D141" s="55" t="s">
        <v>344</v>
      </c>
      <c r="E141" s="46">
        <v>841</v>
      </c>
      <c r="F141" s="46">
        <v>0</v>
      </c>
      <c r="G141" s="46">
        <v>841</v>
      </c>
      <c r="H141" s="40">
        <v>0</v>
      </c>
      <c r="I141" s="40">
        <v>2896026.2510000002</v>
      </c>
      <c r="J141" s="40">
        <v>2136203.8680000002</v>
      </c>
      <c r="K141" s="40">
        <v>0</v>
      </c>
      <c r="L141" s="40">
        <v>127480.37999999973</v>
      </c>
      <c r="M141" s="40">
        <v>0</v>
      </c>
      <c r="N141" s="40">
        <v>447266.99999999872</v>
      </c>
      <c r="O141" s="40">
        <v>0</v>
      </c>
      <c r="P141" s="40">
        <v>0</v>
      </c>
      <c r="Q141" s="40">
        <v>0</v>
      </c>
      <c r="R141" s="40">
        <v>0</v>
      </c>
      <c r="S141" s="40">
        <v>0</v>
      </c>
      <c r="T141" s="40">
        <v>0</v>
      </c>
      <c r="U141" s="40">
        <v>27393.758386175985</v>
      </c>
      <c r="V141" s="40">
        <v>34861.966271999969</v>
      </c>
      <c r="W141" s="40">
        <v>47882.265082623999</v>
      </c>
      <c r="X141" s="40">
        <v>72507.725110015861</v>
      </c>
      <c r="Y141" s="40">
        <v>116970.93513011139</v>
      </c>
      <c r="Z141" s="40">
        <v>68690.985395199968</v>
      </c>
      <c r="AA141" s="40">
        <v>0</v>
      </c>
      <c r="AB141" s="40">
        <v>41614.285727923547</v>
      </c>
      <c r="AC141" s="40">
        <v>0</v>
      </c>
      <c r="AD141" s="40">
        <v>201375.10100387083</v>
      </c>
      <c r="AE141" s="40">
        <v>0</v>
      </c>
      <c r="AF141" s="40">
        <v>0</v>
      </c>
      <c r="AG141" s="40">
        <v>149406.57</v>
      </c>
      <c r="AH141" s="40">
        <v>0</v>
      </c>
      <c r="AI141" s="40">
        <v>0</v>
      </c>
      <c r="AJ141" s="40">
        <v>0</v>
      </c>
      <c r="AK141" s="40">
        <v>31984.816500000001</v>
      </c>
      <c r="AL141" s="40">
        <v>0</v>
      </c>
      <c r="AM141" s="40">
        <v>0</v>
      </c>
      <c r="AN141" s="40">
        <v>0</v>
      </c>
      <c r="AO141" s="40">
        <v>0</v>
      </c>
      <c r="AP141" s="40">
        <v>0</v>
      </c>
      <c r="AQ141" s="40">
        <v>0</v>
      </c>
      <c r="AR141" s="40">
        <v>0</v>
      </c>
      <c r="AS141" s="40">
        <v>0</v>
      </c>
      <c r="AT141" s="40">
        <v>5032230.1190000009</v>
      </c>
      <c r="AU141" s="40">
        <v>1186044.40210792</v>
      </c>
      <c r="AV141" s="40">
        <v>181391.38650000002</v>
      </c>
      <c r="AW141" s="40">
        <v>792486.41248927603</v>
      </c>
      <c r="AX141" s="56">
        <v>6399665.9076079214</v>
      </c>
      <c r="AY141" s="56">
        <v>6367681.0911079217</v>
      </c>
      <c r="AZ141" s="56">
        <v>6640</v>
      </c>
      <c r="BA141" s="56">
        <v>5584240</v>
      </c>
      <c r="BB141" s="56">
        <v>0</v>
      </c>
      <c r="BC141" s="56">
        <v>0</v>
      </c>
      <c r="BD141" s="56">
        <v>6399665.9076079214</v>
      </c>
      <c r="BE141" s="40">
        <v>0</v>
      </c>
      <c r="BF141" s="40">
        <v>6399665.9076079214</v>
      </c>
      <c r="BG141" s="56">
        <v>5616224.8164999997</v>
      </c>
      <c r="BH141" s="56">
        <v>5434833.4299999997</v>
      </c>
      <c r="BI141" s="40">
        <v>6218274.5211079214</v>
      </c>
      <c r="BJ141" s="40">
        <v>7393.9054947775521</v>
      </c>
      <c r="BK141" s="40">
        <v>7203.0596554373515</v>
      </c>
      <c r="BL141" s="41">
        <v>2.6495107422321213E-2</v>
      </c>
      <c r="BM141" s="41">
        <v>0</v>
      </c>
      <c r="BN141" s="40">
        <v>0</v>
      </c>
      <c r="BO141" s="56">
        <v>6399665.9076079214</v>
      </c>
      <c r="BP141" s="56">
        <v>7571.5589668346274</v>
      </c>
      <c r="BQ141" s="56" t="s">
        <v>1091</v>
      </c>
      <c r="BR141" s="56">
        <v>7609.5908532793355</v>
      </c>
      <c r="BS141" s="47">
        <v>2.8694290341504614E-2</v>
      </c>
      <c r="BT141" s="40">
        <v>-16399.5</v>
      </c>
      <c r="BU141" s="40">
        <v>6383266.4076079214</v>
      </c>
      <c r="BV141" s="40">
        <v>0</v>
      </c>
      <c r="BW141" s="40">
        <v>6383266.4076079214</v>
      </c>
      <c r="BX141" s="40">
        <v>31984.816500000001</v>
      </c>
      <c r="BY141" s="40">
        <v>6351281.5911079217</v>
      </c>
    </row>
    <row r="142" spans="1:77">
      <c r="A142">
        <f>_xlfn.XLOOKUP(B142,'Summary June 2026'!B:B,'Summary June 2026'!A:A,0,0)</f>
        <v>4625</v>
      </c>
      <c r="B142" s="54">
        <v>103534</v>
      </c>
      <c r="C142" s="54">
        <v>3304625</v>
      </c>
      <c r="D142" s="55" t="s">
        <v>324</v>
      </c>
      <c r="E142" s="46">
        <v>595</v>
      </c>
      <c r="F142" s="46">
        <v>0</v>
      </c>
      <c r="G142" s="46">
        <v>595</v>
      </c>
      <c r="H142" s="40">
        <v>0</v>
      </c>
      <c r="I142" s="40">
        <v>1997063.2890000001</v>
      </c>
      <c r="J142" s="40">
        <v>1569981.156</v>
      </c>
      <c r="K142" s="40">
        <v>0</v>
      </c>
      <c r="L142" s="40">
        <v>188750.02</v>
      </c>
      <c r="M142" s="40">
        <v>0</v>
      </c>
      <c r="N142" s="40">
        <v>659929.79999999993</v>
      </c>
      <c r="O142" s="40">
        <v>0</v>
      </c>
      <c r="P142" s="40">
        <v>0</v>
      </c>
      <c r="Q142" s="40">
        <v>0</v>
      </c>
      <c r="R142" s="40">
        <v>0</v>
      </c>
      <c r="S142" s="40">
        <v>0</v>
      </c>
      <c r="T142" s="40">
        <v>0</v>
      </c>
      <c r="U142" s="40">
        <v>24905.694535679795</v>
      </c>
      <c r="V142" s="40">
        <v>25999.316582399995</v>
      </c>
      <c r="W142" s="40">
        <v>92374.952785919857</v>
      </c>
      <c r="X142" s="40">
        <v>80309.000110079985</v>
      </c>
      <c r="Y142" s="40">
        <v>103765.12957439999</v>
      </c>
      <c r="Z142" s="40">
        <v>30384.12195839997</v>
      </c>
      <c r="AA142" s="40">
        <v>0</v>
      </c>
      <c r="AB142" s="40">
        <v>87716.199999999939</v>
      </c>
      <c r="AC142" s="40">
        <v>0</v>
      </c>
      <c r="AD142" s="40">
        <v>285882.65921859368</v>
      </c>
      <c r="AE142" s="40">
        <v>0</v>
      </c>
      <c r="AF142" s="40">
        <v>0</v>
      </c>
      <c r="AG142" s="40">
        <v>149406.57</v>
      </c>
      <c r="AH142" s="40">
        <v>0</v>
      </c>
      <c r="AI142" s="40">
        <v>0</v>
      </c>
      <c r="AJ142" s="40">
        <v>0</v>
      </c>
      <c r="AK142" s="40">
        <v>17289.09</v>
      </c>
      <c r="AL142" s="40">
        <v>0</v>
      </c>
      <c r="AM142" s="40">
        <v>0</v>
      </c>
      <c r="AN142" s="40">
        <v>0</v>
      </c>
      <c r="AO142" s="40">
        <v>0</v>
      </c>
      <c r="AP142" s="40">
        <v>0</v>
      </c>
      <c r="AQ142" s="40">
        <v>0</v>
      </c>
      <c r="AR142" s="40">
        <v>0</v>
      </c>
      <c r="AS142" s="40">
        <v>0</v>
      </c>
      <c r="AT142" s="40">
        <v>3567044.4450000003</v>
      </c>
      <c r="AU142" s="40">
        <v>1580016.894765473</v>
      </c>
      <c r="AV142" s="40">
        <v>166695.66</v>
      </c>
      <c r="AW142" s="40">
        <v>898545.37426547031</v>
      </c>
      <c r="AX142" s="56">
        <v>5313756.9997654734</v>
      </c>
      <c r="AY142" s="56">
        <v>5296467.9097654736</v>
      </c>
      <c r="AZ142" s="56">
        <v>6640</v>
      </c>
      <c r="BA142" s="56">
        <v>3950800</v>
      </c>
      <c r="BB142" s="56">
        <v>0</v>
      </c>
      <c r="BC142" s="56">
        <v>0</v>
      </c>
      <c r="BD142" s="56">
        <v>5313756.9997654734</v>
      </c>
      <c r="BE142" s="40">
        <v>0</v>
      </c>
      <c r="BF142" s="40">
        <v>5313756.9997654743</v>
      </c>
      <c r="BG142" s="56">
        <v>3968089.09</v>
      </c>
      <c r="BH142" s="56">
        <v>3801393.43</v>
      </c>
      <c r="BI142" s="40">
        <v>5147061.3397654733</v>
      </c>
      <c r="BJ142" s="40">
        <v>8650.5232601100397</v>
      </c>
      <c r="BK142" s="40">
        <v>8307.3972876996795</v>
      </c>
      <c r="BL142" s="41">
        <v>4.1303667144751643E-2</v>
      </c>
      <c r="BM142" s="41">
        <v>0</v>
      </c>
      <c r="BN142" s="40">
        <v>0</v>
      </c>
      <c r="BO142" s="56">
        <v>5313756.9997654734</v>
      </c>
      <c r="BP142" s="56">
        <v>8901.6267391016354</v>
      </c>
      <c r="BQ142" s="56" t="s">
        <v>1091</v>
      </c>
      <c r="BR142" s="56">
        <v>8930.6840332192824</v>
      </c>
      <c r="BS142" s="47">
        <v>4.2299912764409475E-2</v>
      </c>
      <c r="BT142" s="40">
        <v>-11602.5</v>
      </c>
      <c r="BU142" s="40">
        <v>5302154.4997654734</v>
      </c>
      <c r="BV142" s="40">
        <v>0</v>
      </c>
      <c r="BW142" s="40">
        <v>5302154.4997654734</v>
      </c>
      <c r="BX142" s="40">
        <v>17289.09</v>
      </c>
      <c r="BY142" s="40">
        <v>5284865.4097654736</v>
      </c>
    </row>
    <row r="143" spans="1:77">
      <c r="A143">
        <f>_xlfn.XLOOKUP(B143,'Summary June 2026'!B:B,'Summary June 2026'!A:A,0,0)</f>
        <v>4801</v>
      </c>
      <c r="B143" s="54">
        <v>103539</v>
      </c>
      <c r="C143" s="54">
        <v>3304801</v>
      </c>
      <c r="D143" s="55" t="s">
        <v>95</v>
      </c>
      <c r="E143" s="46">
        <v>795</v>
      </c>
      <c r="F143" s="46">
        <v>0</v>
      </c>
      <c r="G143" s="46">
        <v>795</v>
      </c>
      <c r="H143" s="40">
        <v>0</v>
      </c>
      <c r="I143" s="40">
        <v>2839129.861</v>
      </c>
      <c r="J143" s="40">
        <v>1904567.304</v>
      </c>
      <c r="K143" s="40">
        <v>0</v>
      </c>
      <c r="L143" s="40">
        <v>177879.59999999989</v>
      </c>
      <c r="M143" s="40">
        <v>0</v>
      </c>
      <c r="N143" s="40">
        <v>734192.99999999907</v>
      </c>
      <c r="O143" s="40">
        <v>0</v>
      </c>
      <c r="P143" s="40">
        <v>0</v>
      </c>
      <c r="Q143" s="40">
        <v>0</v>
      </c>
      <c r="R143" s="40">
        <v>0</v>
      </c>
      <c r="S143" s="40">
        <v>0</v>
      </c>
      <c r="T143" s="40">
        <v>0</v>
      </c>
      <c r="U143" s="40">
        <v>25607.263395839978</v>
      </c>
      <c r="V143" s="40">
        <v>32963.419238399991</v>
      </c>
      <c r="W143" s="40">
        <v>18999.103764479976</v>
      </c>
      <c r="X143" s="40">
        <v>48041.991137279983</v>
      </c>
      <c r="Y143" s="40">
        <v>244424.52744191998</v>
      </c>
      <c r="Z143" s="40">
        <v>77430.504345599984</v>
      </c>
      <c r="AA143" s="40">
        <v>0</v>
      </c>
      <c r="AB143" s="40">
        <v>73362.639999999883</v>
      </c>
      <c r="AC143" s="40">
        <v>0</v>
      </c>
      <c r="AD143" s="40">
        <v>338944.99703455193</v>
      </c>
      <c r="AE143" s="40">
        <v>0</v>
      </c>
      <c r="AF143" s="40">
        <v>5953.2639999999556</v>
      </c>
      <c r="AG143" s="40">
        <v>149406.57</v>
      </c>
      <c r="AH143" s="40">
        <v>0</v>
      </c>
      <c r="AI143" s="40">
        <v>0</v>
      </c>
      <c r="AJ143" s="40">
        <v>0</v>
      </c>
      <c r="AK143" s="40">
        <v>20862.168600000001</v>
      </c>
      <c r="AL143" s="40">
        <v>0</v>
      </c>
      <c r="AM143" s="40">
        <v>0</v>
      </c>
      <c r="AN143" s="40">
        <v>0</v>
      </c>
      <c r="AO143" s="40">
        <v>0</v>
      </c>
      <c r="AP143" s="40">
        <v>0</v>
      </c>
      <c r="AQ143" s="40">
        <v>0</v>
      </c>
      <c r="AR143" s="40">
        <v>0</v>
      </c>
      <c r="AS143" s="40">
        <v>0</v>
      </c>
      <c r="AT143" s="40">
        <v>4743697.165</v>
      </c>
      <c r="AU143" s="40">
        <v>1777800.3103580708</v>
      </c>
      <c r="AV143" s="40">
        <v>170268.73860000001</v>
      </c>
      <c r="AW143" s="40">
        <v>1065564.0426410185</v>
      </c>
      <c r="AX143" s="56">
        <v>6691766.2139580706</v>
      </c>
      <c r="AY143" s="56">
        <v>6670904.0453580702</v>
      </c>
      <c r="AZ143" s="56">
        <v>6640</v>
      </c>
      <c r="BA143" s="56">
        <v>5278800</v>
      </c>
      <c r="BB143" s="56">
        <v>0</v>
      </c>
      <c r="BC143" s="56">
        <v>0</v>
      </c>
      <c r="BD143" s="56">
        <v>6691766.2139580706</v>
      </c>
      <c r="BE143" s="40">
        <v>0</v>
      </c>
      <c r="BF143" s="40">
        <v>6691766.2139580688</v>
      </c>
      <c r="BG143" s="56">
        <v>5299662.1686000004</v>
      </c>
      <c r="BH143" s="56">
        <v>5129393.43</v>
      </c>
      <c r="BI143" s="40">
        <v>6521497.4753580699</v>
      </c>
      <c r="BJ143" s="40">
        <v>8203.141478437823</v>
      </c>
      <c r="BK143" s="40">
        <v>7943.79863044586</v>
      </c>
      <c r="BL143" s="41">
        <v>3.2647208225796497E-2</v>
      </c>
      <c r="BM143" s="41">
        <v>0</v>
      </c>
      <c r="BN143" s="40">
        <v>0</v>
      </c>
      <c r="BO143" s="56">
        <v>6691766.2139580706</v>
      </c>
      <c r="BP143" s="56">
        <v>8391.0742708906546</v>
      </c>
      <c r="BQ143" s="56" t="s">
        <v>1091</v>
      </c>
      <c r="BR143" s="56">
        <v>8417.3159924000884</v>
      </c>
      <c r="BS143" s="47">
        <v>3.0827943804125457E-2</v>
      </c>
      <c r="BT143" s="40">
        <v>-15502.5</v>
      </c>
      <c r="BU143" s="40">
        <v>6676263.7139580706</v>
      </c>
      <c r="BV143" s="40">
        <v>0</v>
      </c>
      <c r="BW143" s="40">
        <v>6676263.7139580706</v>
      </c>
      <c r="BX143" s="40">
        <v>20862.168600000001</v>
      </c>
      <c r="BY143" s="40">
        <v>6655401.5453580702</v>
      </c>
    </row>
    <row r="144" spans="1:77">
      <c r="A144">
        <f>_xlfn.XLOOKUP(B144,'Summary June 2026'!B:B,'Summary June 2026'!A:A,0,0)</f>
        <v>5413</v>
      </c>
      <c r="B144" s="54">
        <v>103560</v>
      </c>
      <c r="C144" s="54">
        <v>3305413</v>
      </c>
      <c r="D144" s="55" t="s">
        <v>70</v>
      </c>
      <c r="E144" s="46">
        <v>997</v>
      </c>
      <c r="F144" s="46">
        <v>0</v>
      </c>
      <c r="G144" s="46">
        <v>997</v>
      </c>
      <c r="H144" s="40">
        <v>0</v>
      </c>
      <c r="I144" s="40">
        <v>3476369.429</v>
      </c>
      <c r="J144" s="40">
        <v>2483658.7140000002</v>
      </c>
      <c r="K144" s="40">
        <v>0</v>
      </c>
      <c r="L144" s="40">
        <v>185785.35999999967</v>
      </c>
      <c r="M144" s="40">
        <v>0</v>
      </c>
      <c r="N144" s="40">
        <v>668368.79999999912</v>
      </c>
      <c r="O144" s="40">
        <v>0</v>
      </c>
      <c r="P144" s="40">
        <v>0</v>
      </c>
      <c r="Q144" s="40">
        <v>0</v>
      </c>
      <c r="R144" s="40">
        <v>0</v>
      </c>
      <c r="S144" s="40">
        <v>0</v>
      </c>
      <c r="T144" s="40">
        <v>0</v>
      </c>
      <c r="U144" s="40">
        <v>22099.419095039982</v>
      </c>
      <c r="V144" s="40">
        <v>76605.129215999914</v>
      </c>
      <c r="W144" s="40">
        <v>47170.188656639963</v>
      </c>
      <c r="X144" s="40">
        <v>71704.464383999744</v>
      </c>
      <c r="Y144" s="40">
        <v>123749.5248998398</v>
      </c>
      <c r="Z144" s="40">
        <v>85271.568076800002</v>
      </c>
      <c r="AA144" s="40">
        <v>0</v>
      </c>
      <c r="AB144" s="40">
        <v>36718.148634538076</v>
      </c>
      <c r="AC144" s="40">
        <v>0</v>
      </c>
      <c r="AD144" s="40">
        <v>302839.85679822275</v>
      </c>
      <c r="AE144" s="40">
        <v>0</v>
      </c>
      <c r="AF144" s="40">
        <v>0</v>
      </c>
      <c r="AG144" s="40">
        <v>149406.57</v>
      </c>
      <c r="AH144" s="40">
        <v>0</v>
      </c>
      <c r="AI144" s="40">
        <v>0</v>
      </c>
      <c r="AJ144" s="40">
        <v>0</v>
      </c>
      <c r="AK144" s="40">
        <v>35730.786</v>
      </c>
      <c r="AL144" s="40">
        <v>0</v>
      </c>
      <c r="AM144" s="40">
        <v>0</v>
      </c>
      <c r="AN144" s="40">
        <v>0</v>
      </c>
      <c r="AO144" s="40">
        <v>0</v>
      </c>
      <c r="AP144" s="40">
        <v>0</v>
      </c>
      <c r="AQ144" s="40">
        <v>0</v>
      </c>
      <c r="AR144" s="40">
        <v>0</v>
      </c>
      <c r="AS144" s="40">
        <v>0</v>
      </c>
      <c r="AT144" s="40">
        <v>5960028.1430000002</v>
      </c>
      <c r="AU144" s="40">
        <v>1620312.4597610792</v>
      </c>
      <c r="AV144" s="40">
        <v>185137.356</v>
      </c>
      <c r="AW144" s="40">
        <v>1061912.8675064174</v>
      </c>
      <c r="AX144" s="56">
        <v>7765477.9587610792</v>
      </c>
      <c r="AY144" s="56">
        <v>7729747.1727610789</v>
      </c>
      <c r="AZ144" s="56">
        <v>6640</v>
      </c>
      <c r="BA144" s="56">
        <v>6620080</v>
      </c>
      <c r="BB144" s="56">
        <v>0</v>
      </c>
      <c r="BC144" s="56">
        <v>0</v>
      </c>
      <c r="BD144" s="56">
        <v>7765477.9587610792</v>
      </c>
      <c r="BE144" s="40">
        <v>0</v>
      </c>
      <c r="BF144" s="40">
        <v>7765477.9587610783</v>
      </c>
      <c r="BG144" s="56">
        <v>6655810.7860000003</v>
      </c>
      <c r="BH144" s="56">
        <v>6470673.4299999997</v>
      </c>
      <c r="BI144" s="40">
        <v>7580340.6027610786</v>
      </c>
      <c r="BJ144" s="40">
        <v>7603.1500529198383</v>
      </c>
      <c r="BK144" s="40">
        <v>7399.810800402819</v>
      </c>
      <c r="BL144" s="41">
        <v>2.7478979936345162E-2</v>
      </c>
      <c r="BM144" s="41">
        <v>0</v>
      </c>
      <c r="BN144" s="40">
        <v>0</v>
      </c>
      <c r="BO144" s="56">
        <v>7765477.9587610792</v>
      </c>
      <c r="BP144" s="56">
        <v>7753.0061913350846</v>
      </c>
      <c r="BQ144" s="56" t="s">
        <v>1091</v>
      </c>
      <c r="BR144" s="56">
        <v>7788.844492237793</v>
      </c>
      <c r="BS144" s="47">
        <v>1.96834811802582E-2</v>
      </c>
      <c r="BT144" s="40">
        <v>-19441.5</v>
      </c>
      <c r="BU144" s="40">
        <v>7746036.4587610792</v>
      </c>
      <c r="BV144" s="40">
        <v>0</v>
      </c>
      <c r="BW144" s="40">
        <v>7746036.4587610792</v>
      </c>
      <c r="BX144" s="40">
        <v>35730.786</v>
      </c>
      <c r="BY144" s="40">
        <v>7710305.6727610789</v>
      </c>
    </row>
    <row r="145" spans="1:77">
      <c r="A145">
        <f>_xlfn.XLOOKUP(B145,'Summary June 2026'!B:B,'Summary June 2026'!A:A,0,0)</f>
        <v>5416</v>
      </c>
      <c r="B145" s="54">
        <v>103563</v>
      </c>
      <c r="C145" s="54">
        <v>3305416</v>
      </c>
      <c r="D145" s="55" t="s">
        <v>120</v>
      </c>
      <c r="E145" s="46">
        <v>1079</v>
      </c>
      <c r="F145" s="46">
        <v>0</v>
      </c>
      <c r="G145" s="46">
        <v>1079</v>
      </c>
      <c r="H145" s="40">
        <v>0</v>
      </c>
      <c r="I145" s="40">
        <v>3647058.5989999999</v>
      </c>
      <c r="J145" s="40">
        <v>2818244.8620000002</v>
      </c>
      <c r="K145" s="40">
        <v>0</v>
      </c>
      <c r="L145" s="40">
        <v>292019.00999999989</v>
      </c>
      <c r="M145" s="40">
        <v>0</v>
      </c>
      <c r="N145" s="40">
        <v>1063313.9999999995</v>
      </c>
      <c r="O145" s="40">
        <v>0</v>
      </c>
      <c r="P145" s="40">
        <v>0</v>
      </c>
      <c r="Q145" s="40">
        <v>0</v>
      </c>
      <c r="R145" s="40">
        <v>0</v>
      </c>
      <c r="S145" s="40">
        <v>0</v>
      </c>
      <c r="T145" s="40">
        <v>0</v>
      </c>
      <c r="U145" s="40">
        <v>41743.347179519849</v>
      </c>
      <c r="V145" s="40">
        <v>32499.145727999956</v>
      </c>
      <c r="W145" s="40">
        <v>22929.952819199934</v>
      </c>
      <c r="X145" s="40">
        <v>175675.9377408</v>
      </c>
      <c r="Y145" s="40">
        <v>246730.41921023943</v>
      </c>
      <c r="Z145" s="40">
        <v>92132.498841600012</v>
      </c>
      <c r="AA145" s="40">
        <v>0</v>
      </c>
      <c r="AB145" s="40">
        <v>57467.499962894239</v>
      </c>
      <c r="AC145" s="40">
        <v>0</v>
      </c>
      <c r="AD145" s="40">
        <v>525482.01619805617</v>
      </c>
      <c r="AE145" s="40">
        <v>0</v>
      </c>
      <c r="AF145" s="40">
        <v>0</v>
      </c>
      <c r="AG145" s="40">
        <v>149406.57</v>
      </c>
      <c r="AH145" s="40">
        <v>0</v>
      </c>
      <c r="AI145" s="40">
        <v>0</v>
      </c>
      <c r="AJ145" s="40">
        <v>0</v>
      </c>
      <c r="AK145" s="40">
        <v>39764.906999999999</v>
      </c>
      <c r="AL145" s="40">
        <v>0</v>
      </c>
      <c r="AM145" s="40">
        <v>0</v>
      </c>
      <c r="AN145" s="40">
        <v>0</v>
      </c>
      <c r="AO145" s="40">
        <v>0</v>
      </c>
      <c r="AP145" s="40">
        <v>0</v>
      </c>
      <c r="AQ145" s="40">
        <v>0</v>
      </c>
      <c r="AR145" s="40">
        <v>0</v>
      </c>
      <c r="AS145" s="40">
        <v>0</v>
      </c>
      <c r="AT145" s="40">
        <v>6465303.4610000001</v>
      </c>
      <c r="AU145" s="40">
        <v>2549993.8276803093</v>
      </c>
      <c r="AV145" s="40">
        <v>189171.47700000001</v>
      </c>
      <c r="AW145" s="40">
        <v>1556883.1413950254</v>
      </c>
      <c r="AX145" s="56">
        <v>9204468.7656803094</v>
      </c>
      <c r="AY145" s="56">
        <v>9164703.8586803097</v>
      </c>
      <c r="AZ145" s="56">
        <v>6640</v>
      </c>
      <c r="BA145" s="56">
        <v>7164560</v>
      </c>
      <c r="BB145" s="56">
        <v>0</v>
      </c>
      <c r="BC145" s="56">
        <v>0</v>
      </c>
      <c r="BD145" s="56">
        <v>9204468.7656803094</v>
      </c>
      <c r="BE145" s="40">
        <v>0</v>
      </c>
      <c r="BF145" s="40">
        <v>9204468.7656803075</v>
      </c>
      <c r="BG145" s="56">
        <v>7204324.9069999997</v>
      </c>
      <c r="BH145" s="56">
        <v>7015153.4299999997</v>
      </c>
      <c r="BI145" s="40">
        <v>9015297.2886803094</v>
      </c>
      <c r="BJ145" s="40">
        <v>8355.2338171272568</v>
      </c>
      <c r="BK145" s="40">
        <v>8085.3950691240234</v>
      </c>
      <c r="BL145" s="41">
        <v>3.3373600881133919E-2</v>
      </c>
      <c r="BM145" s="41">
        <v>0</v>
      </c>
      <c r="BN145" s="40">
        <v>0</v>
      </c>
      <c r="BO145" s="56">
        <v>9204468.7656803094</v>
      </c>
      <c r="BP145" s="56">
        <v>8493.7014445600653</v>
      </c>
      <c r="BQ145" s="56" t="s">
        <v>1091</v>
      </c>
      <c r="BR145" s="56">
        <v>8530.5549264877754</v>
      </c>
      <c r="BS145" s="47">
        <v>3.7463065692125097E-2</v>
      </c>
      <c r="BT145" s="40">
        <v>-21040.5</v>
      </c>
      <c r="BU145" s="40">
        <v>9183428.2656803094</v>
      </c>
      <c r="BV145" s="40">
        <v>0</v>
      </c>
      <c r="BW145" s="40">
        <v>9183428.2656803094</v>
      </c>
      <c r="BX145" s="40">
        <v>39764.906999999999</v>
      </c>
      <c r="BY145" s="40">
        <v>9143663.3586803097</v>
      </c>
    </row>
    <row r="147" spans="1:77">
      <c r="BO147" s="778">
        <f>SUM(BO4:BO146)</f>
        <v>384561265.68282169</v>
      </c>
      <c r="BU147" s="778">
        <f>SUM(BU4:BU146)</f>
        <v>383187244.38282156</v>
      </c>
      <c r="BX147" s="778">
        <f>SUM(BX4:BX146)</f>
        <v>4442091.1822999995</v>
      </c>
      <c r="BY147" s="778">
        <f>SUM(BY4:BY146)</f>
        <v>378745153.20052159</v>
      </c>
    </row>
  </sheetData>
  <sheetProtection algorithmName="SHA-512" hashValue="4H0Go1vsH62JhoBq5vVA3c1B5sNrIs8UaKJl9InQitWUS5H7CY5PcEbcPl65amVvKpdGByekgAZWvTBxzhTA5Q==" saltValue="q2+iEZkJGFU+2nc6nmL1sQ==" spinCount="100000" sheet="1" objects="1" scenarios="1"/>
  <autoFilter ref="A3:BY145" xr:uid="{C43747EC-2E6A-4F1A-A963-A49EFE7252B8}">
    <filterColumn colId="1" showButton="0"/>
    <filterColumn colId="2" showButton="0"/>
  </autoFilter>
  <mergeCells count="1">
    <mergeCell ref="B3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B1EA9-B1FA-4AF5-B891-C7453F611430}">
  <sheetPr codeName="Sheet5"/>
  <dimension ref="A2:AS193"/>
  <sheetViews>
    <sheetView zoomScale="80" zoomScaleNormal="80" workbookViewId="0">
      <selection activeCell="AI94" sqref="AI94"/>
    </sheetView>
  </sheetViews>
  <sheetFormatPr defaultRowHeight="15"/>
  <cols>
    <col min="1" max="1" width="5.42578125" bestFit="1" customWidth="1"/>
    <col min="2" max="2" width="10" bestFit="1" customWidth="1"/>
    <col min="3" max="3" width="7.5703125" bestFit="1" customWidth="1"/>
    <col min="4" max="4" width="67" bestFit="1" customWidth="1"/>
    <col min="5" max="6" width="17.42578125" bestFit="1" customWidth="1"/>
    <col min="7" max="7" width="4.85546875" style="272" bestFit="1" customWidth="1"/>
    <col min="8" max="8" width="18.5703125" bestFit="1" customWidth="1"/>
    <col min="9" max="9" width="15.5703125" bestFit="1" customWidth="1"/>
    <col min="10" max="10" width="14.5703125" bestFit="1" customWidth="1"/>
    <col min="11" max="11" width="3" bestFit="1" customWidth="1"/>
    <col min="12" max="12" width="3.28515625" bestFit="1" customWidth="1"/>
    <col min="13" max="13" width="15.28515625" customWidth="1"/>
    <col min="14" max="14" width="13.7109375" customWidth="1"/>
    <col min="15" max="15" width="12.85546875" customWidth="1"/>
    <col min="16" max="16" width="13.85546875" customWidth="1"/>
    <col min="17" max="21" width="11.5703125" customWidth="1"/>
    <col min="22" max="22" width="2.42578125" customWidth="1"/>
    <col min="23" max="23" width="13.7109375" bestFit="1" customWidth="1"/>
    <col min="24" max="24" width="4.28515625" style="272" customWidth="1"/>
    <col min="25" max="25" width="18.5703125" customWidth="1"/>
    <col min="26" max="26" width="14.5703125" customWidth="1"/>
    <col min="27" max="31" width="13.140625" customWidth="1"/>
    <col min="32" max="32" width="3.28515625" style="272" customWidth="1"/>
    <col min="33" max="33" width="3.140625" style="272" customWidth="1"/>
    <col min="34" max="34" width="16" customWidth="1"/>
    <col min="35" max="35" width="16.140625" customWidth="1"/>
    <col min="36" max="36" width="14.85546875" customWidth="1"/>
    <col min="37" max="38" width="16" customWidth="1"/>
    <col min="39" max="39" width="3" customWidth="1"/>
    <col min="40" max="40" width="12.140625" bestFit="1" customWidth="1"/>
  </cols>
  <sheetData>
    <row r="2" spans="1:4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</row>
    <row r="3" spans="1:45">
      <c r="G3" s="277" t="s">
        <v>1098</v>
      </c>
      <c r="H3" s="2"/>
      <c r="I3" s="2"/>
      <c r="J3" s="2" t="s">
        <v>27</v>
      </c>
      <c r="M3" s="2" t="s">
        <v>27</v>
      </c>
      <c r="N3" s="2" t="s">
        <v>27</v>
      </c>
      <c r="O3" s="2" t="s">
        <v>27</v>
      </c>
      <c r="P3" s="2" t="s">
        <v>27</v>
      </c>
      <c r="Q3" s="2" t="s">
        <v>27</v>
      </c>
      <c r="R3" s="2"/>
      <c r="S3" s="2"/>
      <c r="T3" s="2"/>
      <c r="U3" s="2"/>
      <c r="AH3" s="2" t="s">
        <v>22</v>
      </c>
      <c r="AI3" s="2"/>
      <c r="AJ3" s="2"/>
      <c r="AK3" s="2"/>
      <c r="AL3" s="2"/>
    </row>
    <row r="4" spans="1:45" ht="15" customHeight="1" thickBot="1">
      <c r="A4" s="739" t="s">
        <v>1099</v>
      </c>
      <c r="B4" s="739"/>
      <c r="C4" s="739"/>
      <c r="D4" s="739"/>
      <c r="E4" s="739"/>
      <c r="F4" s="739"/>
    </row>
    <row r="5" spans="1:45" ht="15" customHeight="1" thickBot="1">
      <c r="H5" s="761" t="s">
        <v>14</v>
      </c>
      <c r="I5" s="762"/>
      <c r="J5" s="762"/>
      <c r="K5" s="769"/>
      <c r="L5" s="769"/>
      <c r="M5" s="763"/>
      <c r="N5" s="763"/>
      <c r="O5" s="763"/>
      <c r="P5" s="763"/>
      <c r="Q5" s="763"/>
      <c r="R5" s="763"/>
      <c r="S5" s="763"/>
      <c r="T5" s="763"/>
      <c r="U5" s="763"/>
      <c r="V5" s="767"/>
      <c r="W5" s="768"/>
      <c r="Y5" s="755" t="s">
        <v>1100</v>
      </c>
      <c r="Z5" s="756"/>
      <c r="AA5" s="756"/>
      <c r="AB5" s="756"/>
      <c r="AC5" s="756"/>
      <c r="AD5" s="756"/>
      <c r="AE5" s="757"/>
      <c r="AH5" s="747" t="s">
        <v>1101</v>
      </c>
      <c r="AI5" s="748"/>
      <c r="AJ5" s="748"/>
      <c r="AK5" s="748"/>
      <c r="AL5" s="749"/>
      <c r="AM5" s="748"/>
      <c r="AN5" s="749"/>
    </row>
    <row r="6" spans="1:45" ht="30.75" thickBot="1">
      <c r="A6" s="177" t="s">
        <v>16</v>
      </c>
      <c r="B6" s="178" t="s">
        <v>17</v>
      </c>
      <c r="C6" s="179" t="s">
        <v>18</v>
      </c>
      <c r="D6" s="180" t="s">
        <v>19</v>
      </c>
      <c r="E6" s="179" t="s">
        <v>20</v>
      </c>
      <c r="F6" s="180" t="s">
        <v>21</v>
      </c>
      <c r="H6" s="764" t="s">
        <v>1102</v>
      </c>
      <c r="I6" s="760" t="s">
        <v>1103</v>
      </c>
      <c r="J6" s="760" t="s">
        <v>1104</v>
      </c>
      <c r="M6" s="760"/>
      <c r="N6" s="760"/>
      <c r="O6" s="760"/>
      <c r="P6" s="760"/>
      <c r="Q6" s="760"/>
      <c r="R6" s="760"/>
      <c r="S6" s="760"/>
      <c r="T6" s="760"/>
      <c r="U6" s="760"/>
      <c r="W6" s="765" t="s">
        <v>27</v>
      </c>
      <c r="Y6" s="758" t="s">
        <v>1105</v>
      </c>
      <c r="Z6" s="754" t="s">
        <v>1106</v>
      </c>
      <c r="AA6" s="754" t="s">
        <v>1107</v>
      </c>
      <c r="AB6" s="754" t="s">
        <v>1108</v>
      </c>
      <c r="AC6" s="754" t="s">
        <v>1109</v>
      </c>
      <c r="AD6" s="754" t="s">
        <v>1110</v>
      </c>
      <c r="AE6" s="759" t="s">
        <v>1111</v>
      </c>
      <c r="AH6" s="750" t="s">
        <v>1130</v>
      </c>
      <c r="AI6" s="746"/>
      <c r="AJ6" s="746"/>
      <c r="AK6" s="746"/>
      <c r="AL6" s="751"/>
      <c r="AN6" s="765" t="s">
        <v>22</v>
      </c>
    </row>
    <row r="7" spans="1:45" ht="15" customHeight="1">
      <c r="A7" s="197">
        <v>1027</v>
      </c>
      <c r="B7" s="185">
        <v>103140</v>
      </c>
      <c r="C7" s="185" t="s">
        <v>34</v>
      </c>
      <c r="D7" s="185" t="s">
        <v>35</v>
      </c>
      <c r="E7" s="190" t="s">
        <v>36</v>
      </c>
      <c r="F7" s="211" t="str">
        <f>VLOOKUP(A7,'Summary June 2026'!A:F,6,FALSE)</f>
        <v>Chq Bk</v>
      </c>
      <c r="H7" s="224"/>
      <c r="I7" s="67"/>
      <c r="J7" s="67"/>
      <c r="M7" s="67"/>
      <c r="N7" s="67"/>
      <c r="O7" s="67"/>
      <c r="P7" s="67"/>
      <c r="Q7" s="67"/>
      <c r="R7" s="67"/>
      <c r="S7" s="67"/>
      <c r="T7" s="67"/>
      <c r="U7" s="67"/>
      <c r="W7" s="274">
        <f>-SUMIFS($H7:$P7,$H$3:$P$3,W$6)</f>
        <v>0</v>
      </c>
      <c r="Y7" s="224"/>
      <c r="Z7" s="67"/>
      <c r="AA7" s="67"/>
      <c r="AB7" s="67"/>
      <c r="AC7" s="67"/>
      <c r="AD7" s="67"/>
      <c r="AE7" s="225"/>
      <c r="AH7" s="337">
        <v>0</v>
      </c>
      <c r="AI7" s="67"/>
      <c r="AJ7" s="67"/>
      <c r="AK7" s="67"/>
      <c r="AL7" s="225"/>
      <c r="AN7" s="274">
        <f>SUMIFS($AH7:$AL7,$AH$3:$AL$3,$AN$6)</f>
        <v>0</v>
      </c>
    </row>
    <row r="8" spans="1:45" ht="15" customHeight="1">
      <c r="A8" s="198">
        <v>2010</v>
      </c>
      <c r="B8" s="2">
        <v>103159</v>
      </c>
      <c r="C8" s="2" t="s">
        <v>37</v>
      </c>
      <c r="D8" s="2" t="s">
        <v>38</v>
      </c>
      <c r="E8" s="190" t="s">
        <v>39</v>
      </c>
      <c r="F8" s="211" t="str">
        <f>VLOOKUP(A8,'Summary June 2026'!A:F,6,FALSE)</f>
        <v>Chq Bk</v>
      </c>
      <c r="H8" s="224"/>
      <c r="I8" s="67"/>
      <c r="J8" s="67"/>
      <c r="M8" s="67"/>
      <c r="N8" s="67"/>
      <c r="O8" s="67"/>
      <c r="P8" s="67"/>
      <c r="Q8" s="67"/>
      <c r="R8" s="67"/>
      <c r="S8" s="67"/>
      <c r="T8" s="67"/>
      <c r="U8" s="67"/>
      <c r="W8" s="274">
        <f t="shared" ref="W8:W66" si="0">-SUMIFS($H8:$P8,$H$3:$P$3,W$6)</f>
        <v>0</v>
      </c>
      <c r="Y8" s="224"/>
      <c r="Z8" s="67"/>
      <c r="AA8" s="67"/>
      <c r="AB8" s="67"/>
      <c r="AC8" s="67"/>
      <c r="AD8" s="67"/>
      <c r="AE8" s="225"/>
      <c r="AH8" s="337">
        <v>0</v>
      </c>
      <c r="AI8" s="67"/>
      <c r="AJ8" s="67"/>
      <c r="AK8" s="67"/>
      <c r="AL8" s="225"/>
      <c r="AN8" s="274">
        <f t="shared" ref="AN8:AN66" si="1">SUMIFS($AH8:$AL8,$AH$3:$AL$3,$AN$6)</f>
        <v>0</v>
      </c>
    </row>
    <row r="9" spans="1:45" ht="15" customHeight="1">
      <c r="A9" s="198">
        <v>5949</v>
      </c>
      <c r="B9" s="2">
        <v>131465</v>
      </c>
      <c r="C9" s="2" t="s">
        <v>40</v>
      </c>
      <c r="D9" s="2" t="s">
        <v>41</v>
      </c>
      <c r="E9" s="190" t="s">
        <v>39</v>
      </c>
      <c r="F9" s="211" t="str">
        <f>VLOOKUP(A9,'Summary June 2026'!A:F,6,FALSE)</f>
        <v>Chq Bk</v>
      </c>
      <c r="H9" s="224"/>
      <c r="I9" s="67"/>
      <c r="J9" s="67"/>
      <c r="M9" s="67"/>
      <c r="N9" s="67"/>
      <c r="O9" s="67"/>
      <c r="P9" s="67"/>
      <c r="Q9" s="67"/>
      <c r="R9" s="67"/>
      <c r="S9" s="67"/>
      <c r="T9" s="67"/>
      <c r="U9" s="67"/>
      <c r="W9" s="274">
        <f t="shared" si="0"/>
        <v>0</v>
      </c>
      <c r="Y9" s="224"/>
      <c r="Z9" s="67"/>
      <c r="AA9" s="67"/>
      <c r="AB9" s="67"/>
      <c r="AC9" s="67"/>
      <c r="AD9" s="67"/>
      <c r="AE9" s="225"/>
      <c r="AH9" s="337">
        <v>0</v>
      </c>
      <c r="AI9" s="67"/>
      <c r="AJ9" s="67"/>
      <c r="AK9" s="67"/>
      <c r="AL9" s="225"/>
      <c r="AN9" s="274">
        <f t="shared" si="1"/>
        <v>0</v>
      </c>
    </row>
    <row r="10" spans="1:45" ht="15" customHeight="1">
      <c r="A10" s="198">
        <v>1017</v>
      </c>
      <c r="B10" s="2">
        <v>103130</v>
      </c>
      <c r="C10" s="2" t="s">
        <v>42</v>
      </c>
      <c r="D10" s="2" t="s">
        <v>43</v>
      </c>
      <c r="E10" s="190" t="s">
        <v>36</v>
      </c>
      <c r="F10" s="211" t="str">
        <f>VLOOKUP(A10,'Summary June 2026'!A:F,6,FALSE)</f>
        <v>Chq Bk</v>
      </c>
      <c r="H10" s="224"/>
      <c r="I10" s="67"/>
      <c r="J10" s="67"/>
      <c r="M10" s="67"/>
      <c r="N10" s="67"/>
      <c r="O10" s="67"/>
      <c r="P10" s="67"/>
      <c r="Q10" s="67"/>
      <c r="R10" s="67"/>
      <c r="S10" s="67"/>
      <c r="T10" s="67"/>
      <c r="U10" s="67"/>
      <c r="W10" s="274">
        <f t="shared" si="0"/>
        <v>0</v>
      </c>
      <c r="Y10" s="224"/>
      <c r="Z10" s="67"/>
      <c r="AA10" s="67"/>
      <c r="AB10" s="67"/>
      <c r="AC10" s="67"/>
      <c r="AD10" s="67"/>
      <c r="AE10" s="225"/>
      <c r="AH10" s="337">
        <v>0</v>
      </c>
      <c r="AI10" s="67"/>
      <c r="AJ10" s="67"/>
      <c r="AK10" s="67"/>
      <c r="AL10" s="225"/>
      <c r="AN10" s="274">
        <f t="shared" si="1"/>
        <v>0</v>
      </c>
    </row>
    <row r="11" spans="1:45" ht="15" customHeight="1">
      <c r="A11" s="198">
        <v>2153</v>
      </c>
      <c r="B11" s="2">
        <v>103243</v>
      </c>
      <c r="C11" s="2" t="s">
        <v>44</v>
      </c>
      <c r="D11" s="2" t="s">
        <v>45</v>
      </c>
      <c r="E11" s="190" t="s">
        <v>39</v>
      </c>
      <c r="F11" s="211" t="str">
        <f>VLOOKUP(A11,'Summary June 2026'!A:F,6,FALSE)</f>
        <v>Chq Bk</v>
      </c>
      <c r="H11" s="224"/>
      <c r="I11" s="67"/>
      <c r="J11" s="67"/>
      <c r="M11" s="67"/>
      <c r="N11" s="67"/>
      <c r="O11" s="67"/>
      <c r="P11" s="67"/>
      <c r="Q11" s="67"/>
      <c r="R11" s="67"/>
      <c r="S11" s="67"/>
      <c r="T11" s="67"/>
      <c r="U11" s="67"/>
      <c r="W11" s="274">
        <f t="shared" si="0"/>
        <v>0</v>
      </c>
      <c r="Y11" s="224"/>
      <c r="Z11" s="67"/>
      <c r="AA11" s="67"/>
      <c r="AB11" s="67"/>
      <c r="AC11" s="67"/>
      <c r="AD11" s="67"/>
      <c r="AE11" s="225"/>
      <c r="AH11" s="337">
        <v>0</v>
      </c>
      <c r="AI11" s="67"/>
      <c r="AJ11" s="67"/>
      <c r="AK11" s="67"/>
      <c r="AL11" s="225"/>
      <c r="AN11" s="274">
        <f t="shared" si="1"/>
        <v>0</v>
      </c>
    </row>
    <row r="12" spans="1:45" ht="15" customHeight="1">
      <c r="A12" s="198">
        <v>2062</v>
      </c>
      <c r="B12" s="2">
        <v>103192</v>
      </c>
      <c r="C12" s="2" t="s">
        <v>46</v>
      </c>
      <c r="D12" s="2" t="s">
        <v>47</v>
      </c>
      <c r="E12" s="190" t="s">
        <v>39</v>
      </c>
      <c r="F12" s="211" t="str">
        <f>VLOOKUP(A12,'Summary June 2026'!A:F,6,FALSE)</f>
        <v>Chq Bk</v>
      </c>
      <c r="H12" s="224"/>
      <c r="I12" s="67"/>
      <c r="J12" s="67"/>
      <c r="M12" s="67"/>
      <c r="N12" s="67"/>
      <c r="O12" s="67"/>
      <c r="P12" s="67"/>
      <c r="Q12" s="67"/>
      <c r="R12" s="67"/>
      <c r="S12" s="67"/>
      <c r="T12" s="67"/>
      <c r="U12" s="67"/>
      <c r="W12" s="274">
        <f t="shared" si="0"/>
        <v>0</v>
      </c>
      <c r="Y12" s="224"/>
      <c r="Z12" s="67"/>
      <c r="AA12" s="67"/>
      <c r="AB12" s="67"/>
      <c r="AC12" s="67"/>
      <c r="AD12" s="67"/>
      <c r="AE12" s="225"/>
      <c r="AH12" s="337">
        <v>0</v>
      </c>
      <c r="AI12" s="67"/>
      <c r="AJ12" s="67"/>
      <c r="AK12" s="67"/>
      <c r="AL12" s="225"/>
      <c r="AN12" s="274">
        <f t="shared" si="1"/>
        <v>0</v>
      </c>
    </row>
    <row r="13" spans="1:45" ht="15" customHeight="1">
      <c r="A13" s="198">
        <v>2479</v>
      </c>
      <c r="B13" s="2">
        <v>132074</v>
      </c>
      <c r="C13" s="2" t="s">
        <v>48</v>
      </c>
      <c r="D13" s="2" t="s">
        <v>49</v>
      </c>
      <c r="E13" s="190" t="s">
        <v>39</v>
      </c>
      <c r="F13" s="211" t="str">
        <f>VLOOKUP(A13,'Summary June 2026'!A:F,6,FALSE)</f>
        <v>Chq Bk</v>
      </c>
      <c r="H13" s="224"/>
      <c r="I13" s="67"/>
      <c r="J13" s="67"/>
      <c r="M13" s="67"/>
      <c r="N13" s="67"/>
      <c r="O13" s="67"/>
      <c r="P13" s="67"/>
      <c r="Q13" s="67"/>
      <c r="R13" s="67"/>
      <c r="S13" s="67"/>
      <c r="T13" s="67"/>
      <c r="U13" s="67"/>
      <c r="W13" s="274">
        <f t="shared" si="0"/>
        <v>0</v>
      </c>
      <c r="Y13" s="224"/>
      <c r="Z13" s="67"/>
      <c r="AA13" s="67"/>
      <c r="AB13" s="67"/>
      <c r="AC13" s="67"/>
      <c r="AD13" s="67"/>
      <c r="AE13" s="225"/>
      <c r="AH13" s="337">
        <v>0</v>
      </c>
      <c r="AI13" s="67"/>
      <c r="AJ13" s="67"/>
      <c r="AK13" s="67"/>
      <c r="AL13" s="225"/>
      <c r="AN13" s="274">
        <f t="shared" si="1"/>
        <v>0</v>
      </c>
    </row>
    <row r="14" spans="1:45" ht="15" customHeight="1">
      <c r="A14" s="198">
        <v>2300</v>
      </c>
      <c r="B14" s="2">
        <v>103324</v>
      </c>
      <c r="C14" s="2" t="s">
        <v>50</v>
      </c>
      <c r="D14" s="2" t="s">
        <v>51</v>
      </c>
      <c r="E14" s="190" t="s">
        <v>39</v>
      </c>
      <c r="F14" s="211" t="str">
        <f>VLOOKUP(A14,'Summary June 2026'!A:F,6,FALSE)</f>
        <v>Chq Bk</v>
      </c>
      <c r="H14" s="740"/>
      <c r="I14" s="67"/>
      <c r="J14" s="67"/>
      <c r="M14" s="67"/>
      <c r="N14" s="67"/>
      <c r="O14" s="67"/>
      <c r="P14" s="67"/>
      <c r="Q14" s="67"/>
      <c r="R14" s="67"/>
      <c r="S14" s="67"/>
      <c r="T14" s="67"/>
      <c r="U14" s="67"/>
      <c r="W14" s="274">
        <f t="shared" si="0"/>
        <v>0</v>
      </c>
      <c r="Y14" s="224"/>
      <c r="Z14" s="67"/>
      <c r="AA14" s="67"/>
      <c r="AB14" s="67"/>
      <c r="AC14" s="67"/>
      <c r="AD14" s="67"/>
      <c r="AE14" s="225"/>
      <c r="AH14" s="337">
        <v>0</v>
      </c>
      <c r="AI14" s="67"/>
      <c r="AJ14" s="67"/>
      <c r="AK14" s="67"/>
      <c r="AL14" s="225"/>
      <c r="AN14" s="274">
        <f t="shared" si="1"/>
        <v>0</v>
      </c>
    </row>
    <row r="15" spans="1:45" ht="15" customHeight="1">
      <c r="A15" s="198">
        <v>2014</v>
      </c>
      <c r="B15" s="2">
        <v>103162</v>
      </c>
      <c r="C15" s="2" t="s">
        <v>52</v>
      </c>
      <c r="D15" s="2" t="s">
        <v>53</v>
      </c>
      <c r="E15" s="190" t="s">
        <v>39</v>
      </c>
      <c r="F15" s="211" t="str">
        <f>VLOOKUP(A15,'Summary June 2026'!A:F,6,FALSE)</f>
        <v>Chq Bk</v>
      </c>
      <c r="H15" s="224"/>
      <c r="I15" s="67"/>
      <c r="J15" s="67"/>
      <c r="M15" s="67"/>
      <c r="N15" s="67"/>
      <c r="O15" s="67"/>
      <c r="P15" s="67"/>
      <c r="Q15" s="67"/>
      <c r="R15" s="67"/>
      <c r="S15" s="67"/>
      <c r="T15" s="67"/>
      <c r="U15" s="67"/>
      <c r="W15" s="274">
        <f t="shared" si="0"/>
        <v>0</v>
      </c>
      <c r="Y15" s="224"/>
      <c r="Z15" s="67"/>
      <c r="AA15" s="67"/>
      <c r="AB15" s="67"/>
      <c r="AC15" s="67"/>
      <c r="AD15" s="67"/>
      <c r="AE15" s="225"/>
      <c r="AH15" s="337">
        <v>0</v>
      </c>
      <c r="AI15" s="67"/>
      <c r="AJ15" s="67"/>
      <c r="AK15" s="67"/>
      <c r="AL15" s="225"/>
      <c r="AN15" s="274">
        <f t="shared" si="1"/>
        <v>0</v>
      </c>
    </row>
    <row r="16" spans="1:45" ht="15" customHeight="1">
      <c r="A16" s="198">
        <v>7016</v>
      </c>
      <c r="B16" s="2">
        <v>103606</v>
      </c>
      <c r="C16" s="2" t="s">
        <v>54</v>
      </c>
      <c r="D16" s="2" t="s">
        <v>55</v>
      </c>
      <c r="E16" s="190" t="s">
        <v>56</v>
      </c>
      <c r="F16" s="211" t="str">
        <f>VLOOKUP(A16,'Summary June 2026'!A:F,6,FALSE)</f>
        <v>Chq Bk</v>
      </c>
      <c r="H16" s="224"/>
      <c r="I16" s="67"/>
      <c r="J16" s="67"/>
      <c r="M16" s="67"/>
      <c r="N16" s="67"/>
      <c r="O16" s="67"/>
      <c r="P16" s="67"/>
      <c r="Q16" s="67"/>
      <c r="R16" s="67"/>
      <c r="S16" s="67"/>
      <c r="T16" s="67"/>
      <c r="U16" s="67"/>
      <c r="W16" s="274">
        <f t="shared" si="0"/>
        <v>0</v>
      </c>
      <c r="Y16" s="224"/>
      <c r="Z16" s="67"/>
      <c r="AA16" s="67"/>
      <c r="AB16" s="67"/>
      <c r="AC16" s="67"/>
      <c r="AD16" s="67"/>
      <c r="AE16" s="225"/>
      <c r="AH16" s="337">
        <v>0</v>
      </c>
      <c r="AI16" s="67"/>
      <c r="AJ16" s="67"/>
      <c r="AK16" s="67"/>
      <c r="AL16" s="225"/>
      <c r="AN16" s="274">
        <f t="shared" si="1"/>
        <v>0</v>
      </c>
    </row>
    <row r="17" spans="1:40" ht="15" customHeight="1">
      <c r="A17" s="198">
        <v>7052</v>
      </c>
      <c r="B17" s="2">
        <v>103627</v>
      </c>
      <c r="C17" s="2" t="s">
        <v>57</v>
      </c>
      <c r="D17" s="2" t="s">
        <v>58</v>
      </c>
      <c r="E17" s="190" t="s">
        <v>56</v>
      </c>
      <c r="F17" s="211" t="str">
        <f>VLOOKUP(A17,'Summary June 2026'!A:F,6,FALSE)</f>
        <v>Chq Bk</v>
      </c>
      <c r="H17" s="224"/>
      <c r="I17" s="67"/>
      <c r="J17" s="67"/>
      <c r="M17" s="67"/>
      <c r="N17" s="67"/>
      <c r="O17" s="67"/>
      <c r="P17" s="67"/>
      <c r="Q17" s="67"/>
      <c r="R17" s="67"/>
      <c r="S17" s="67"/>
      <c r="T17" s="67"/>
      <c r="U17" s="67"/>
      <c r="W17" s="274">
        <f t="shared" si="0"/>
        <v>0</v>
      </c>
      <c r="Y17" s="224"/>
      <c r="Z17" s="67"/>
      <c r="AA17" s="67"/>
      <c r="AB17" s="67"/>
      <c r="AC17" s="67"/>
      <c r="AD17" s="67"/>
      <c r="AE17" s="225"/>
      <c r="AH17" s="337">
        <v>0</v>
      </c>
      <c r="AI17" s="67"/>
      <c r="AJ17" s="67"/>
      <c r="AK17" s="67"/>
      <c r="AL17" s="225"/>
      <c r="AN17" s="274">
        <f t="shared" si="1"/>
        <v>0</v>
      </c>
    </row>
    <row r="18" spans="1:40" ht="15" customHeight="1">
      <c r="A18" s="198">
        <v>2017</v>
      </c>
      <c r="B18" s="2">
        <v>103164</v>
      </c>
      <c r="C18" s="2" t="s">
        <v>59</v>
      </c>
      <c r="D18" s="2" t="s">
        <v>60</v>
      </c>
      <c r="E18" s="190" t="s">
        <v>39</v>
      </c>
      <c r="F18" s="211" t="str">
        <f>VLOOKUP(A18,'Summary June 2026'!A:F,6,FALSE)</f>
        <v>Chq Bk</v>
      </c>
      <c r="H18" s="224"/>
      <c r="I18" s="67"/>
      <c r="J18" s="67"/>
      <c r="M18" s="67"/>
      <c r="N18" s="67"/>
      <c r="O18" s="67"/>
      <c r="P18" s="67"/>
      <c r="Q18" s="67"/>
      <c r="R18" s="67"/>
      <c r="S18" s="67"/>
      <c r="T18" s="67"/>
      <c r="U18" s="67"/>
      <c r="W18" s="274">
        <f t="shared" si="0"/>
        <v>0</v>
      </c>
      <c r="Y18" s="224"/>
      <c r="Z18" s="67"/>
      <c r="AA18" s="67"/>
      <c r="AB18" s="67"/>
      <c r="AC18" s="67"/>
      <c r="AD18" s="67"/>
      <c r="AE18" s="225"/>
      <c r="AH18" s="337">
        <v>0</v>
      </c>
      <c r="AI18" s="67"/>
      <c r="AJ18" s="67"/>
      <c r="AK18" s="67"/>
      <c r="AL18" s="225"/>
      <c r="AN18" s="274">
        <f t="shared" si="1"/>
        <v>0</v>
      </c>
    </row>
    <row r="19" spans="1:40" ht="15" customHeight="1">
      <c r="A19" s="198">
        <v>2016</v>
      </c>
      <c r="B19" s="2">
        <v>103163</v>
      </c>
      <c r="C19" s="2" t="s">
        <v>61</v>
      </c>
      <c r="D19" s="2" t="s">
        <v>62</v>
      </c>
      <c r="E19" s="190" t="s">
        <v>39</v>
      </c>
      <c r="F19" s="211" t="str">
        <f>VLOOKUP(A19,'Summary June 2026'!A:F,6,FALSE)</f>
        <v>Chq Bk</v>
      </c>
      <c r="H19" s="224"/>
      <c r="I19" s="67"/>
      <c r="J19" s="67"/>
      <c r="M19" s="67"/>
      <c r="N19" s="67"/>
      <c r="O19" s="67"/>
      <c r="P19" s="67"/>
      <c r="Q19" s="67"/>
      <c r="R19" s="67"/>
      <c r="S19" s="67"/>
      <c r="T19" s="67"/>
      <c r="U19" s="67"/>
      <c r="W19" s="274">
        <f t="shared" si="0"/>
        <v>0</v>
      </c>
      <c r="Y19" s="224"/>
      <c r="Z19" s="67"/>
      <c r="AA19" s="67"/>
      <c r="AB19" s="67"/>
      <c r="AC19" s="67"/>
      <c r="AD19" s="67"/>
      <c r="AE19" s="225"/>
      <c r="AH19" s="337">
        <v>0</v>
      </c>
      <c r="AI19" s="67"/>
      <c r="AJ19" s="67"/>
      <c r="AK19" s="67"/>
      <c r="AL19" s="225"/>
      <c r="AN19" s="274">
        <f t="shared" si="1"/>
        <v>0</v>
      </c>
    </row>
    <row r="20" spans="1:40" ht="15" customHeight="1">
      <c r="A20" s="198">
        <v>2239</v>
      </c>
      <c r="B20" s="2">
        <v>103289</v>
      </c>
      <c r="C20" s="2" t="s">
        <v>63</v>
      </c>
      <c r="D20" s="2" t="s">
        <v>64</v>
      </c>
      <c r="E20" s="190" t="s">
        <v>39</v>
      </c>
      <c r="F20" s="211" t="str">
        <f>VLOOKUP(A20,'Summary June 2026'!A:F,6,FALSE)</f>
        <v>Chq Bk</v>
      </c>
      <c r="H20" s="224"/>
      <c r="I20" s="67"/>
      <c r="J20" s="67"/>
      <c r="M20" s="67"/>
      <c r="N20" s="67"/>
      <c r="O20" s="67"/>
      <c r="P20" s="67"/>
      <c r="Q20" s="67"/>
      <c r="R20" s="67"/>
      <c r="S20" s="67"/>
      <c r="T20" s="67"/>
      <c r="U20" s="67"/>
      <c r="W20" s="274">
        <f t="shared" si="0"/>
        <v>0</v>
      </c>
      <c r="Y20" s="224"/>
      <c r="Z20" s="67"/>
      <c r="AA20" s="67"/>
      <c r="AB20" s="67"/>
      <c r="AC20" s="67"/>
      <c r="AD20" s="67"/>
      <c r="AE20" s="225"/>
      <c r="AH20" s="337">
        <v>0</v>
      </c>
      <c r="AI20" s="67"/>
      <c r="AJ20" s="67"/>
      <c r="AK20" s="67"/>
      <c r="AL20" s="225"/>
      <c r="AN20" s="274">
        <f t="shared" si="1"/>
        <v>0</v>
      </c>
    </row>
    <row r="21" spans="1:40" ht="15" customHeight="1">
      <c r="A21" s="198">
        <v>2241</v>
      </c>
      <c r="B21" s="2">
        <v>103291</v>
      </c>
      <c r="C21" s="2" t="s">
        <v>65</v>
      </c>
      <c r="D21" s="2" t="s">
        <v>66</v>
      </c>
      <c r="E21" s="190" t="s">
        <v>39</v>
      </c>
      <c r="F21" s="211" t="str">
        <f>VLOOKUP(A21,'Summary June 2026'!A:F,6,FALSE)</f>
        <v>Chq Bk</v>
      </c>
      <c r="H21" s="224"/>
      <c r="I21" s="67"/>
      <c r="J21" s="67"/>
      <c r="M21" s="67"/>
      <c r="N21" s="67"/>
      <c r="O21" s="67"/>
      <c r="P21" s="67"/>
      <c r="Q21" s="67"/>
      <c r="R21" s="67"/>
      <c r="S21" s="67"/>
      <c r="T21" s="67"/>
      <c r="U21" s="67"/>
      <c r="W21" s="274">
        <f t="shared" si="0"/>
        <v>0</v>
      </c>
      <c r="Y21" s="224"/>
      <c r="Z21" s="67"/>
      <c r="AA21" s="67"/>
      <c r="AB21" s="67"/>
      <c r="AC21" s="67"/>
      <c r="AD21" s="67"/>
      <c r="AE21" s="225"/>
      <c r="AH21" s="337">
        <v>0</v>
      </c>
      <c r="AI21" s="67"/>
      <c r="AJ21" s="67"/>
      <c r="AK21" s="67"/>
      <c r="AL21" s="225"/>
      <c r="AN21" s="274">
        <f t="shared" si="1"/>
        <v>0</v>
      </c>
    </row>
    <row r="22" spans="1:40" ht="15" customHeight="1">
      <c r="A22" s="198">
        <v>2456</v>
      </c>
      <c r="B22" s="2">
        <v>103383</v>
      </c>
      <c r="C22" s="2" t="s">
        <v>67</v>
      </c>
      <c r="D22" s="2" t="s">
        <v>68</v>
      </c>
      <c r="E22" s="190" t="s">
        <v>39</v>
      </c>
      <c r="F22" s="211" t="str">
        <f>VLOOKUP(A22,'Summary June 2026'!A:F,6,FALSE)</f>
        <v>Chq Bk</v>
      </c>
      <c r="H22" s="224"/>
      <c r="I22" s="67"/>
      <c r="J22" s="67"/>
      <c r="M22" s="67"/>
      <c r="N22" s="67"/>
      <c r="O22" s="67"/>
      <c r="P22" s="67"/>
      <c r="Q22" s="67"/>
      <c r="R22" s="67"/>
      <c r="S22" s="67"/>
      <c r="T22" s="67"/>
      <c r="U22" s="67"/>
      <c r="W22" s="274">
        <f t="shared" si="0"/>
        <v>0</v>
      </c>
      <c r="Y22" s="224"/>
      <c r="Z22" s="67"/>
      <c r="AA22" s="67"/>
      <c r="AB22" s="67"/>
      <c r="AC22" s="67"/>
      <c r="AD22" s="67"/>
      <c r="AE22" s="225"/>
      <c r="AH22" s="337">
        <v>0</v>
      </c>
      <c r="AI22" s="67"/>
      <c r="AJ22" s="67"/>
      <c r="AK22" s="67"/>
      <c r="AL22" s="225"/>
      <c r="AN22" s="274">
        <f t="shared" si="1"/>
        <v>0</v>
      </c>
    </row>
    <row r="23" spans="1:40" ht="15" customHeight="1">
      <c r="A23" s="198">
        <v>5413</v>
      </c>
      <c r="B23" s="2">
        <v>103560</v>
      </c>
      <c r="C23" s="2" t="s">
        <v>69</v>
      </c>
      <c r="D23" s="2" t="s">
        <v>70</v>
      </c>
      <c r="E23" s="190" t="s">
        <v>71</v>
      </c>
      <c r="F23" s="211" t="str">
        <f>VLOOKUP(A23,'Summary June 2026'!A:F,6,FALSE)</f>
        <v>Chq Bk</v>
      </c>
      <c r="H23" s="224"/>
      <c r="I23" s="67"/>
      <c r="J23" s="67"/>
      <c r="M23" s="67"/>
      <c r="N23" s="67"/>
      <c r="O23" s="67"/>
      <c r="P23" s="67"/>
      <c r="Q23" s="67"/>
      <c r="R23" s="67"/>
      <c r="S23" s="67"/>
      <c r="T23" s="67"/>
      <c r="U23" s="67"/>
      <c r="W23" s="274">
        <f t="shared" si="0"/>
        <v>0</v>
      </c>
      <c r="Y23" s="224"/>
      <c r="Z23" s="67"/>
      <c r="AA23" s="67"/>
      <c r="AB23" s="67"/>
      <c r="AC23" s="67"/>
      <c r="AD23" s="67"/>
      <c r="AE23" s="225"/>
      <c r="AH23" s="337">
        <v>0</v>
      </c>
      <c r="AI23" s="67"/>
      <c r="AJ23" s="67"/>
      <c r="AK23" s="67"/>
      <c r="AL23" s="225"/>
      <c r="AN23" s="274">
        <f t="shared" si="1"/>
        <v>0</v>
      </c>
    </row>
    <row r="24" spans="1:40" ht="15" customHeight="1">
      <c r="A24" s="198">
        <v>2254</v>
      </c>
      <c r="B24" s="2">
        <v>103300</v>
      </c>
      <c r="C24" s="2" t="s">
        <v>72</v>
      </c>
      <c r="D24" s="2" t="s">
        <v>73</v>
      </c>
      <c r="E24" s="190" t="s">
        <v>39</v>
      </c>
      <c r="F24" s="211" t="str">
        <f>VLOOKUP(A24,'Summary June 2026'!A:F,6,FALSE)</f>
        <v>Chq Bk</v>
      </c>
      <c r="H24" s="224"/>
      <c r="I24" s="67"/>
      <c r="J24" s="67"/>
      <c r="M24" s="67"/>
      <c r="N24" s="67"/>
      <c r="O24" s="67"/>
      <c r="P24" s="67"/>
      <c r="Q24" s="67"/>
      <c r="R24" s="67"/>
      <c r="S24" s="67"/>
      <c r="T24" s="67"/>
      <c r="U24" s="67"/>
      <c r="W24" s="274">
        <f t="shared" si="0"/>
        <v>0</v>
      </c>
      <c r="Y24" s="224"/>
      <c r="Z24" s="67"/>
      <c r="AA24" s="67"/>
      <c r="AB24" s="67"/>
      <c r="AC24" s="67"/>
      <c r="AD24" s="67"/>
      <c r="AE24" s="225"/>
      <c r="AH24" s="337">
        <v>0</v>
      </c>
      <c r="AI24" s="67"/>
      <c r="AJ24" s="67"/>
      <c r="AK24" s="67"/>
      <c r="AL24" s="225"/>
      <c r="AN24" s="274">
        <f t="shared" si="1"/>
        <v>0</v>
      </c>
    </row>
    <row r="25" spans="1:40" ht="15" customHeight="1">
      <c r="A25" s="198">
        <v>1025</v>
      </c>
      <c r="B25" s="2">
        <v>103138</v>
      </c>
      <c r="C25" s="2" t="s">
        <v>74</v>
      </c>
      <c r="D25" s="2" t="s">
        <v>75</v>
      </c>
      <c r="E25" s="190" t="s">
        <v>36</v>
      </c>
      <c r="F25" s="211" t="str">
        <f>VLOOKUP(A25,'Summary June 2026'!A:F,6,FALSE)</f>
        <v>Chq Bk</v>
      </c>
      <c r="H25" s="224"/>
      <c r="I25" s="67"/>
      <c r="J25" s="67"/>
      <c r="M25" s="67"/>
      <c r="N25" s="67"/>
      <c r="O25" s="67"/>
      <c r="P25" s="67"/>
      <c r="Q25" s="67"/>
      <c r="R25" s="67"/>
      <c r="S25" s="67"/>
      <c r="T25" s="67"/>
      <c r="U25" s="67"/>
      <c r="W25" s="274">
        <f t="shared" si="0"/>
        <v>0</v>
      </c>
      <c r="Y25" s="224"/>
      <c r="Z25" s="67"/>
      <c r="AA25" s="67"/>
      <c r="AB25" s="67"/>
      <c r="AC25" s="67"/>
      <c r="AD25" s="67"/>
      <c r="AE25" s="225"/>
      <c r="AH25" s="337">
        <v>0</v>
      </c>
      <c r="AI25" s="67"/>
      <c r="AJ25" s="67"/>
      <c r="AK25" s="67"/>
      <c r="AL25" s="225"/>
      <c r="AN25" s="274">
        <f t="shared" si="1"/>
        <v>0</v>
      </c>
    </row>
    <row r="26" spans="1:40" ht="15" customHeight="1">
      <c r="A26" s="198">
        <v>2402</v>
      </c>
      <c r="B26" s="2">
        <v>103342</v>
      </c>
      <c r="C26" s="2" t="s">
        <v>76</v>
      </c>
      <c r="D26" s="2" t="s">
        <v>77</v>
      </c>
      <c r="E26" s="190" t="s">
        <v>39</v>
      </c>
      <c r="F26" s="211" t="str">
        <f>VLOOKUP(A26,'Summary June 2026'!A:F,6,FALSE)</f>
        <v>Chq Bk</v>
      </c>
      <c r="H26" s="224"/>
      <c r="I26" s="67"/>
      <c r="J26" s="67"/>
      <c r="M26" s="67"/>
      <c r="N26" s="67"/>
      <c r="O26" s="67"/>
      <c r="P26" s="67"/>
      <c r="Q26" s="67"/>
      <c r="R26" s="67"/>
      <c r="S26" s="67"/>
      <c r="T26" s="67"/>
      <c r="U26" s="67"/>
      <c r="W26" s="274">
        <f t="shared" si="0"/>
        <v>0</v>
      </c>
      <c r="Y26" s="224"/>
      <c r="Z26" s="67"/>
      <c r="AA26" s="67"/>
      <c r="AB26" s="67"/>
      <c r="AC26" s="67"/>
      <c r="AD26" s="67"/>
      <c r="AE26" s="225"/>
      <c r="AH26" s="337">
        <v>0</v>
      </c>
      <c r="AI26" s="67"/>
      <c r="AJ26" s="67"/>
      <c r="AK26" s="67"/>
      <c r="AL26" s="225"/>
      <c r="AN26" s="274">
        <f t="shared" si="1"/>
        <v>0</v>
      </c>
    </row>
    <row r="27" spans="1:40" ht="15" customHeight="1">
      <c r="A27" s="198">
        <v>2401</v>
      </c>
      <c r="B27" s="2">
        <v>103341</v>
      </c>
      <c r="C27" s="2" t="s">
        <v>78</v>
      </c>
      <c r="D27" s="2" t="s">
        <v>79</v>
      </c>
      <c r="E27" s="190" t="s">
        <v>39</v>
      </c>
      <c r="F27" s="211" t="str">
        <f>VLOOKUP(A27,'Summary June 2026'!A:F,6,FALSE)</f>
        <v>Chq Bk</v>
      </c>
      <c r="H27" s="224"/>
      <c r="I27" s="67"/>
      <c r="J27" s="67"/>
      <c r="M27" s="67"/>
      <c r="N27" s="67"/>
      <c r="O27" s="67"/>
      <c r="P27" s="67"/>
      <c r="Q27" s="67"/>
      <c r="R27" s="67"/>
      <c r="S27" s="67"/>
      <c r="T27" s="67"/>
      <c r="U27" s="67"/>
      <c r="W27" s="274">
        <f t="shared" si="0"/>
        <v>0</v>
      </c>
      <c r="Y27" s="224"/>
      <c r="Z27" s="67"/>
      <c r="AA27" s="67"/>
      <c r="AB27" s="67"/>
      <c r="AC27" s="67"/>
      <c r="AD27" s="67"/>
      <c r="AE27" s="225"/>
      <c r="AH27" s="337">
        <v>0</v>
      </c>
      <c r="AI27" s="67"/>
      <c r="AJ27" s="67"/>
      <c r="AK27" s="67"/>
      <c r="AL27" s="225"/>
      <c r="AN27" s="274">
        <f t="shared" si="1"/>
        <v>0</v>
      </c>
    </row>
    <row r="28" spans="1:40" ht="15" customHeight="1">
      <c r="A28" s="198">
        <v>1001</v>
      </c>
      <c r="B28" s="2">
        <v>103120</v>
      </c>
      <c r="C28" s="2" t="s">
        <v>80</v>
      </c>
      <c r="D28" s="2" t="s">
        <v>81</v>
      </c>
      <c r="E28" s="190" t="s">
        <v>36</v>
      </c>
      <c r="F28" s="211" t="str">
        <f>VLOOKUP(A28,'Summary June 2026'!A:F,6,FALSE)</f>
        <v>Chq Bk</v>
      </c>
      <c r="H28" s="224"/>
      <c r="I28" s="67"/>
      <c r="J28" s="67"/>
      <c r="M28" s="67"/>
      <c r="N28" s="67"/>
      <c r="O28" s="67"/>
      <c r="P28" s="67"/>
      <c r="Q28" s="67"/>
      <c r="R28" s="67"/>
      <c r="S28" s="67"/>
      <c r="T28" s="67"/>
      <c r="U28" s="67"/>
      <c r="W28" s="274">
        <f t="shared" si="0"/>
        <v>0</v>
      </c>
      <c r="Y28" s="224"/>
      <c r="Z28" s="67"/>
      <c r="AA28" s="67"/>
      <c r="AB28" s="67"/>
      <c r="AC28" s="67"/>
      <c r="AD28" s="67"/>
      <c r="AE28" s="225"/>
      <c r="AH28" s="337">
        <v>0</v>
      </c>
      <c r="AI28" s="67"/>
      <c r="AJ28" s="67"/>
      <c r="AK28" s="67"/>
      <c r="AL28" s="225"/>
      <c r="AN28" s="274">
        <f t="shared" si="1"/>
        <v>0</v>
      </c>
    </row>
    <row r="29" spans="1:40" ht="15" customHeight="1">
      <c r="A29" s="198">
        <v>4115</v>
      </c>
      <c r="B29" s="2">
        <v>103493</v>
      </c>
      <c r="C29" s="2" t="s">
        <v>82</v>
      </c>
      <c r="D29" s="2" t="s">
        <v>83</v>
      </c>
      <c r="E29" s="190" t="s">
        <v>71</v>
      </c>
      <c r="F29" s="211" t="str">
        <f>VLOOKUP(A29,'Summary June 2026'!A:F,6,FALSE)</f>
        <v>Chq Bk</v>
      </c>
      <c r="H29" s="224"/>
      <c r="I29" s="67"/>
      <c r="J29" s="67"/>
      <c r="M29" s="67"/>
      <c r="N29" s="67"/>
      <c r="O29" s="67"/>
      <c r="P29" s="67"/>
      <c r="Q29" s="67"/>
      <c r="R29" s="67"/>
      <c r="S29" s="67"/>
      <c r="T29" s="67"/>
      <c r="U29" s="67"/>
      <c r="W29" s="274">
        <f t="shared" si="0"/>
        <v>0</v>
      </c>
      <c r="Y29" s="224"/>
      <c r="Z29" s="67"/>
      <c r="AA29" s="67"/>
      <c r="AB29" s="67"/>
      <c r="AC29" s="67"/>
      <c r="AD29" s="67"/>
      <c r="AE29" s="225"/>
      <c r="AH29" s="337">
        <v>0</v>
      </c>
      <c r="AI29" s="67"/>
      <c r="AJ29" s="67"/>
      <c r="AK29" s="67"/>
      <c r="AL29" s="225"/>
      <c r="AN29" s="274">
        <f t="shared" si="1"/>
        <v>0</v>
      </c>
    </row>
    <row r="30" spans="1:40" ht="15" customHeight="1">
      <c r="A30" s="198">
        <v>2030</v>
      </c>
      <c r="B30" s="2">
        <v>103172</v>
      </c>
      <c r="C30" s="2" t="s">
        <v>84</v>
      </c>
      <c r="D30" s="2" t="s">
        <v>85</v>
      </c>
      <c r="E30" s="190" t="s">
        <v>39</v>
      </c>
      <c r="F30" s="211" t="str">
        <f>VLOOKUP(A30,'Summary June 2026'!A:F,6,FALSE)</f>
        <v>Chq Bk</v>
      </c>
      <c r="H30" s="224"/>
      <c r="I30" s="67"/>
      <c r="J30" s="67"/>
      <c r="M30" s="67"/>
      <c r="N30" s="67"/>
      <c r="O30" s="67"/>
      <c r="P30" s="67"/>
      <c r="Q30" s="67"/>
      <c r="R30" s="67"/>
      <c r="S30" s="67"/>
      <c r="T30" s="67"/>
      <c r="U30" s="67"/>
      <c r="W30" s="274">
        <f t="shared" si="0"/>
        <v>0</v>
      </c>
      <c r="Y30" s="224"/>
      <c r="Z30" s="67"/>
      <c r="AA30" s="67"/>
      <c r="AB30" s="67"/>
      <c r="AC30" s="67"/>
      <c r="AD30" s="67"/>
      <c r="AE30" s="225"/>
      <c r="AH30" s="337">
        <v>0</v>
      </c>
      <c r="AI30" s="67"/>
      <c r="AJ30" s="67"/>
      <c r="AK30" s="67"/>
      <c r="AL30" s="225"/>
      <c r="AN30" s="274">
        <f t="shared" si="1"/>
        <v>0</v>
      </c>
    </row>
    <row r="31" spans="1:40" ht="15" customHeight="1">
      <c r="A31" s="198">
        <v>3353</v>
      </c>
      <c r="B31" s="2">
        <v>103445</v>
      </c>
      <c r="C31" s="2" t="s">
        <v>86</v>
      </c>
      <c r="D31" s="2" t="s">
        <v>87</v>
      </c>
      <c r="E31" s="190" t="s">
        <v>39</v>
      </c>
      <c r="F31" s="211" t="str">
        <f>VLOOKUP(A31,'Summary June 2026'!A:F,6,FALSE)</f>
        <v>Chq Bk</v>
      </c>
      <c r="H31" s="224"/>
      <c r="I31" s="67"/>
      <c r="J31" s="67"/>
      <c r="M31" s="67"/>
      <c r="N31" s="67"/>
      <c r="O31" s="67"/>
      <c r="P31" s="67"/>
      <c r="Q31" s="67"/>
      <c r="R31" s="67"/>
      <c r="S31" s="67"/>
      <c r="T31" s="67"/>
      <c r="U31" s="67"/>
      <c r="W31" s="274">
        <f t="shared" si="0"/>
        <v>0</v>
      </c>
      <c r="Y31" s="224"/>
      <c r="Z31" s="67"/>
      <c r="AA31" s="67"/>
      <c r="AB31" s="67"/>
      <c r="AC31" s="67"/>
      <c r="AD31" s="67"/>
      <c r="AE31" s="225"/>
      <c r="AH31" s="337">
        <v>0</v>
      </c>
      <c r="AI31" s="67"/>
      <c r="AJ31" s="67"/>
      <c r="AK31" s="67"/>
      <c r="AL31" s="225"/>
      <c r="AN31" s="274">
        <f t="shared" si="1"/>
        <v>0</v>
      </c>
    </row>
    <row r="32" spans="1:40" ht="15" customHeight="1">
      <c r="A32" s="198">
        <v>7030</v>
      </c>
      <c r="B32" s="2">
        <v>103611</v>
      </c>
      <c r="C32" s="2" t="s">
        <v>88</v>
      </c>
      <c r="D32" s="2" t="s">
        <v>89</v>
      </c>
      <c r="E32" s="190" t="s">
        <v>56</v>
      </c>
      <c r="F32" s="211" t="str">
        <f>VLOOKUP(A32,'Summary June 2026'!A:F,6,FALSE)</f>
        <v>Chq Bk</v>
      </c>
      <c r="H32" s="740"/>
      <c r="I32" s="67"/>
      <c r="J32" s="67"/>
      <c r="M32" s="67"/>
      <c r="N32" s="67"/>
      <c r="O32" s="67"/>
      <c r="P32" s="67"/>
      <c r="Q32" s="67"/>
      <c r="R32" s="67"/>
      <c r="S32" s="67"/>
      <c r="T32" s="67"/>
      <c r="U32" s="67"/>
      <c r="W32" s="274">
        <f t="shared" si="0"/>
        <v>0</v>
      </c>
      <c r="Y32" s="224"/>
      <c r="Z32" s="67"/>
      <c r="AA32" s="67"/>
      <c r="AB32" s="67"/>
      <c r="AC32" s="67"/>
      <c r="AD32" s="67"/>
      <c r="AE32" s="225"/>
      <c r="AH32" s="337">
        <v>0</v>
      </c>
      <c r="AI32" s="67"/>
      <c r="AJ32" s="67"/>
      <c r="AK32" s="67"/>
      <c r="AL32" s="225"/>
      <c r="AN32" s="274">
        <f t="shared" si="1"/>
        <v>0</v>
      </c>
    </row>
    <row r="33" spans="1:40" ht="15" customHeight="1">
      <c r="A33" s="198">
        <v>1002</v>
      </c>
      <c r="B33" s="2">
        <v>103121</v>
      </c>
      <c r="C33" s="2" t="s">
        <v>90</v>
      </c>
      <c r="D33" s="2" t="s">
        <v>91</v>
      </c>
      <c r="E33" s="190" t="s">
        <v>36</v>
      </c>
      <c r="F33" s="211" t="str">
        <f>VLOOKUP(A33,'Summary June 2026'!A:F,6,FALSE)</f>
        <v>Chq Bk</v>
      </c>
      <c r="H33" s="224"/>
      <c r="I33" s="67"/>
      <c r="J33" s="67"/>
      <c r="M33" s="67"/>
      <c r="N33" s="67"/>
      <c r="O33" s="67"/>
      <c r="P33" s="67"/>
      <c r="Q33" s="67"/>
      <c r="R33" s="67"/>
      <c r="S33" s="67"/>
      <c r="T33" s="67"/>
      <c r="U33" s="67"/>
      <c r="W33" s="274">
        <f t="shared" si="0"/>
        <v>0</v>
      </c>
      <c r="Y33" s="224"/>
      <c r="Z33" s="67"/>
      <c r="AA33" s="67"/>
      <c r="AB33" s="67"/>
      <c r="AC33" s="67"/>
      <c r="AD33" s="67"/>
      <c r="AE33" s="225"/>
      <c r="AH33" s="337">
        <v>0</v>
      </c>
      <c r="AI33" s="67"/>
      <c r="AJ33" s="67"/>
      <c r="AK33" s="67"/>
      <c r="AL33" s="225"/>
      <c r="AN33" s="274">
        <f t="shared" si="1"/>
        <v>0</v>
      </c>
    </row>
    <row r="34" spans="1:40" ht="15" customHeight="1">
      <c r="A34" s="198">
        <v>2465</v>
      </c>
      <c r="B34" s="2">
        <v>103391</v>
      </c>
      <c r="C34" s="2" t="s">
        <v>92</v>
      </c>
      <c r="D34" s="2" t="s">
        <v>93</v>
      </c>
      <c r="E34" s="190" t="s">
        <v>39</v>
      </c>
      <c r="F34" s="211" t="str">
        <f>VLOOKUP(A34,'Summary June 2026'!A:F,6,FALSE)</f>
        <v>Chq Bk</v>
      </c>
      <c r="H34" s="224"/>
      <c r="I34" s="67"/>
      <c r="J34" s="67"/>
      <c r="M34" s="67"/>
      <c r="N34" s="67"/>
      <c r="O34" s="67"/>
      <c r="P34" s="67"/>
      <c r="Q34" s="67"/>
      <c r="R34" s="67"/>
      <c r="S34" s="67"/>
      <c r="T34" s="67"/>
      <c r="U34" s="67"/>
      <c r="W34" s="274">
        <f t="shared" si="0"/>
        <v>0</v>
      </c>
      <c r="Y34" s="224"/>
      <c r="Z34" s="67"/>
      <c r="AA34" s="67"/>
      <c r="AB34" s="67"/>
      <c r="AC34" s="67"/>
      <c r="AD34" s="67"/>
      <c r="AE34" s="225"/>
      <c r="AH34" s="337">
        <v>0</v>
      </c>
      <c r="AI34" s="67"/>
      <c r="AJ34" s="67"/>
      <c r="AK34" s="67"/>
      <c r="AL34" s="225"/>
      <c r="AN34" s="274">
        <f t="shared" si="1"/>
        <v>0</v>
      </c>
    </row>
    <row r="35" spans="1:40" ht="15" customHeight="1">
      <c r="A35" s="198">
        <v>4801</v>
      </c>
      <c r="B35" s="2">
        <v>103539</v>
      </c>
      <c r="C35" s="2" t="s">
        <v>94</v>
      </c>
      <c r="D35" s="2" t="s">
        <v>95</v>
      </c>
      <c r="E35" s="190" t="s">
        <v>71</v>
      </c>
      <c r="F35" s="211" t="str">
        <f>VLOOKUP(A35,'Summary June 2026'!A:F,6,FALSE)</f>
        <v>Chq Bk</v>
      </c>
      <c r="H35" s="224"/>
      <c r="I35" s="67"/>
      <c r="J35" s="67"/>
      <c r="M35" s="67"/>
      <c r="N35" s="67"/>
      <c r="O35" s="67"/>
      <c r="P35" s="67"/>
      <c r="Q35" s="67"/>
      <c r="R35" s="67"/>
      <c r="S35" s="67"/>
      <c r="T35" s="67"/>
      <c r="U35" s="67"/>
      <c r="W35" s="274">
        <f t="shared" si="0"/>
        <v>0</v>
      </c>
      <c r="Y35" s="224"/>
      <c r="Z35" s="67"/>
      <c r="AA35" s="67"/>
      <c r="AB35" s="67"/>
      <c r="AC35" s="67"/>
      <c r="AD35" s="67"/>
      <c r="AE35" s="225"/>
      <c r="AH35" s="337">
        <v>0</v>
      </c>
      <c r="AI35" s="67"/>
      <c r="AJ35" s="67"/>
      <c r="AK35" s="67"/>
      <c r="AL35" s="225"/>
      <c r="AN35" s="274">
        <f t="shared" si="1"/>
        <v>0</v>
      </c>
    </row>
    <row r="36" spans="1:40" ht="15" customHeight="1">
      <c r="A36" s="198">
        <v>1048</v>
      </c>
      <c r="B36" s="2">
        <v>103144</v>
      </c>
      <c r="C36" s="2" t="s">
        <v>96</v>
      </c>
      <c r="D36" s="2" t="s">
        <v>97</v>
      </c>
      <c r="E36" s="190" t="s">
        <v>36</v>
      </c>
      <c r="F36" s="211" t="str">
        <f>VLOOKUP(A36,'Summary June 2026'!A:F,6,FALSE)</f>
        <v>Chq Bk</v>
      </c>
      <c r="H36" s="224"/>
      <c r="I36" s="67"/>
      <c r="J36" s="67"/>
      <c r="M36" s="67"/>
      <c r="N36" s="67"/>
      <c r="O36" s="67"/>
      <c r="P36" s="67"/>
      <c r="Q36" s="67"/>
      <c r="R36" s="67"/>
      <c r="S36" s="67"/>
      <c r="T36" s="67"/>
      <c r="U36" s="67"/>
      <c r="W36" s="274">
        <f t="shared" si="0"/>
        <v>0</v>
      </c>
      <c r="Y36" s="224"/>
      <c r="Z36" s="67"/>
      <c r="AA36" s="67"/>
      <c r="AB36" s="67"/>
      <c r="AC36" s="67"/>
      <c r="AD36" s="67"/>
      <c r="AE36" s="225"/>
      <c r="AH36" s="337">
        <v>0</v>
      </c>
      <c r="AI36" s="67"/>
      <c r="AJ36" s="67"/>
      <c r="AK36" s="67"/>
      <c r="AL36" s="225"/>
      <c r="AN36" s="274">
        <f t="shared" si="1"/>
        <v>0</v>
      </c>
    </row>
    <row r="37" spans="1:40" ht="15" customHeight="1">
      <c r="A37" s="198">
        <v>2312</v>
      </c>
      <c r="B37" s="2">
        <v>103332</v>
      </c>
      <c r="C37" s="2" t="s">
        <v>98</v>
      </c>
      <c r="D37" s="2" t="s">
        <v>99</v>
      </c>
      <c r="E37" s="190" t="s">
        <v>39</v>
      </c>
      <c r="F37" s="211" t="str">
        <f>VLOOKUP(A37,'Summary June 2026'!A:F,6,FALSE)</f>
        <v>Chq Bk</v>
      </c>
      <c r="H37" s="224"/>
      <c r="I37" s="67"/>
      <c r="J37" s="67"/>
      <c r="M37" s="67"/>
      <c r="N37" s="67"/>
      <c r="O37" s="67"/>
      <c r="P37" s="67"/>
      <c r="Q37" s="67"/>
      <c r="R37" s="67"/>
      <c r="S37" s="67"/>
      <c r="T37" s="67"/>
      <c r="U37" s="67"/>
      <c r="W37" s="274">
        <f t="shared" si="0"/>
        <v>0</v>
      </c>
      <c r="Y37" s="224"/>
      <c r="Z37" s="67"/>
      <c r="AA37" s="67"/>
      <c r="AB37" s="67"/>
      <c r="AC37" s="67"/>
      <c r="AD37" s="67"/>
      <c r="AE37" s="225"/>
      <c r="AH37" s="337">
        <v>0</v>
      </c>
      <c r="AI37" s="67"/>
      <c r="AJ37" s="67"/>
      <c r="AK37" s="67"/>
      <c r="AL37" s="225"/>
      <c r="AN37" s="274">
        <f t="shared" si="1"/>
        <v>0</v>
      </c>
    </row>
    <row r="38" spans="1:40" ht="15" customHeight="1">
      <c r="A38" s="198">
        <v>7051</v>
      </c>
      <c r="B38" s="2">
        <v>103626</v>
      </c>
      <c r="C38" s="2" t="s">
        <v>100</v>
      </c>
      <c r="D38" s="2" t="s">
        <v>101</v>
      </c>
      <c r="E38" s="190" t="s">
        <v>56</v>
      </c>
      <c r="F38" s="211" t="str">
        <f>VLOOKUP(A38,'Summary June 2026'!A:F,6,FALSE)</f>
        <v>Chq Bk</v>
      </c>
      <c r="H38" s="224"/>
      <c r="I38" s="67"/>
      <c r="J38" s="67"/>
      <c r="M38" s="67"/>
      <c r="N38" s="67"/>
      <c r="O38" s="67"/>
      <c r="P38" s="67"/>
      <c r="Q38" s="67"/>
      <c r="R38" s="67"/>
      <c r="S38" s="67"/>
      <c r="T38" s="67"/>
      <c r="U38" s="67"/>
      <c r="W38" s="274">
        <f t="shared" si="0"/>
        <v>0</v>
      </c>
      <c r="Y38" s="224"/>
      <c r="Z38" s="67"/>
      <c r="AA38" s="67"/>
      <c r="AB38" s="67"/>
      <c r="AC38" s="67"/>
      <c r="AD38" s="67"/>
      <c r="AE38" s="225"/>
      <c r="AH38" s="337">
        <v>0</v>
      </c>
      <c r="AI38" s="67"/>
      <c r="AJ38" s="67"/>
      <c r="AK38" s="67"/>
      <c r="AL38" s="225"/>
      <c r="AN38" s="274">
        <f t="shared" si="1"/>
        <v>0</v>
      </c>
    </row>
    <row r="39" spans="1:40" ht="15" customHeight="1">
      <c r="A39" s="198">
        <v>2040</v>
      </c>
      <c r="B39" s="2">
        <v>103178</v>
      </c>
      <c r="C39" s="2" t="s">
        <v>102</v>
      </c>
      <c r="D39" s="2" t="s">
        <v>103</v>
      </c>
      <c r="E39" s="190" t="s">
        <v>39</v>
      </c>
      <c r="F39" s="211" t="str">
        <f>VLOOKUP(A39,'Summary June 2026'!A:F,6,FALSE)</f>
        <v>Chq Bk</v>
      </c>
      <c r="H39" s="224"/>
      <c r="I39" s="67"/>
      <c r="J39" s="67"/>
      <c r="M39" s="67"/>
      <c r="N39" s="67"/>
      <c r="O39" s="67"/>
      <c r="P39" s="67"/>
      <c r="Q39" s="67"/>
      <c r="R39" s="67"/>
      <c r="S39" s="67"/>
      <c r="T39" s="67"/>
      <c r="U39" s="67"/>
      <c r="W39" s="274">
        <f t="shared" si="0"/>
        <v>0</v>
      </c>
      <c r="Y39" s="224"/>
      <c r="Z39" s="67"/>
      <c r="AA39" s="67"/>
      <c r="AB39" s="67"/>
      <c r="AC39" s="67"/>
      <c r="AD39" s="67"/>
      <c r="AE39" s="225"/>
      <c r="AH39" s="337">
        <v>0</v>
      </c>
      <c r="AI39" s="67"/>
      <c r="AJ39" s="67"/>
      <c r="AK39" s="67"/>
      <c r="AL39" s="225"/>
      <c r="AN39" s="274">
        <f t="shared" si="1"/>
        <v>0</v>
      </c>
    </row>
    <row r="40" spans="1:40" ht="15" customHeight="1">
      <c r="A40" s="198">
        <v>2251</v>
      </c>
      <c r="B40" s="2">
        <v>103298</v>
      </c>
      <c r="C40" s="2" t="s">
        <v>104</v>
      </c>
      <c r="D40" s="2" t="s">
        <v>105</v>
      </c>
      <c r="E40" s="190" t="s">
        <v>39</v>
      </c>
      <c r="F40" s="211" t="str">
        <f>VLOOKUP(A40,'Summary June 2026'!A:F,6,FALSE)</f>
        <v>Chq Bk</v>
      </c>
      <c r="H40" s="224"/>
      <c r="I40" s="67"/>
      <c r="J40" s="67"/>
      <c r="M40" s="67"/>
      <c r="N40" s="67"/>
      <c r="O40" s="67"/>
      <c r="P40" s="67"/>
      <c r="Q40" s="67"/>
      <c r="R40" s="67"/>
      <c r="S40" s="67"/>
      <c r="T40" s="67"/>
      <c r="U40" s="67"/>
      <c r="W40" s="274">
        <f t="shared" si="0"/>
        <v>0</v>
      </c>
      <c r="Y40" s="224"/>
      <c r="Z40" s="67"/>
      <c r="AA40" s="67"/>
      <c r="AB40" s="67"/>
      <c r="AC40" s="67"/>
      <c r="AD40" s="67"/>
      <c r="AE40" s="225"/>
      <c r="AH40" s="337">
        <v>0</v>
      </c>
      <c r="AI40" s="67"/>
      <c r="AJ40" s="67"/>
      <c r="AK40" s="67"/>
      <c r="AL40" s="225"/>
      <c r="AN40" s="274">
        <f t="shared" si="1"/>
        <v>0</v>
      </c>
    </row>
    <row r="41" spans="1:40" ht="15" customHeight="1">
      <c r="A41" s="198">
        <v>3002</v>
      </c>
      <c r="B41" s="2">
        <v>103397</v>
      </c>
      <c r="C41" s="2" t="s">
        <v>106</v>
      </c>
      <c r="D41" s="2" t="s">
        <v>107</v>
      </c>
      <c r="E41" s="190" t="s">
        <v>39</v>
      </c>
      <c r="F41" s="211" t="str">
        <f>VLOOKUP(A41,'Summary June 2026'!A:F,6,FALSE)</f>
        <v>Chq Bk</v>
      </c>
      <c r="H41" s="224"/>
      <c r="I41" s="67"/>
      <c r="J41" s="67"/>
      <c r="M41" s="67"/>
      <c r="N41" s="67"/>
      <c r="O41" s="67"/>
      <c r="P41" s="67"/>
      <c r="Q41" s="67"/>
      <c r="R41" s="67"/>
      <c r="S41" s="67"/>
      <c r="T41" s="67"/>
      <c r="U41" s="67"/>
      <c r="W41" s="274">
        <f t="shared" si="0"/>
        <v>0</v>
      </c>
      <c r="Y41" s="224"/>
      <c r="Z41" s="67"/>
      <c r="AA41" s="67"/>
      <c r="AB41" s="67"/>
      <c r="AC41" s="67"/>
      <c r="AD41" s="67"/>
      <c r="AE41" s="225"/>
      <c r="AH41" s="337">
        <v>0</v>
      </c>
      <c r="AI41" s="67"/>
      <c r="AJ41" s="67"/>
      <c r="AK41" s="67"/>
      <c r="AL41" s="225"/>
      <c r="AN41" s="274">
        <f t="shared" si="1"/>
        <v>0</v>
      </c>
    </row>
    <row r="42" spans="1:40" ht="15" customHeight="1">
      <c r="A42" s="198">
        <v>3319</v>
      </c>
      <c r="B42" s="2">
        <v>103423</v>
      </c>
      <c r="C42" s="2" t="s">
        <v>108</v>
      </c>
      <c r="D42" s="2" t="s">
        <v>109</v>
      </c>
      <c r="E42" s="190" t="s">
        <v>39</v>
      </c>
      <c r="F42" s="211" t="str">
        <f>VLOOKUP(A42,'Summary June 2026'!A:F,6,FALSE)</f>
        <v>Chq Bk</v>
      </c>
      <c r="H42" s="224"/>
      <c r="I42" s="67"/>
      <c r="J42" s="67"/>
      <c r="M42" s="67"/>
      <c r="N42" s="67"/>
      <c r="O42" s="67"/>
      <c r="P42" s="67"/>
      <c r="Q42" s="67"/>
      <c r="R42" s="67"/>
      <c r="S42" s="67"/>
      <c r="T42" s="67"/>
      <c r="U42" s="67"/>
      <c r="W42" s="274">
        <f t="shared" si="0"/>
        <v>0</v>
      </c>
      <c r="Y42" s="224"/>
      <c r="Z42" s="67"/>
      <c r="AA42" s="67"/>
      <c r="AB42" s="67"/>
      <c r="AC42" s="67"/>
      <c r="AD42" s="67"/>
      <c r="AE42" s="225"/>
      <c r="AH42" s="337">
        <v>0</v>
      </c>
      <c r="AI42" s="67"/>
      <c r="AJ42" s="67"/>
      <c r="AK42" s="67"/>
      <c r="AL42" s="225"/>
      <c r="AN42" s="274">
        <f t="shared" si="1"/>
        <v>0</v>
      </c>
    </row>
    <row r="43" spans="1:40" ht="15" customHeight="1">
      <c r="A43" s="198">
        <v>1100</v>
      </c>
      <c r="B43" s="2">
        <v>103146</v>
      </c>
      <c r="C43" s="2" t="s">
        <v>110</v>
      </c>
      <c r="D43" s="2" t="s">
        <v>111</v>
      </c>
      <c r="E43" s="190" t="s">
        <v>112</v>
      </c>
      <c r="F43" s="211" t="str">
        <f>VLOOKUP(A43,'Summary June 2026'!A:F,6,FALSE)</f>
        <v>Chq Bk</v>
      </c>
      <c r="H43" s="224"/>
      <c r="I43" s="67"/>
      <c r="J43" s="67"/>
      <c r="M43" s="67"/>
      <c r="N43" s="67"/>
      <c r="O43" s="67"/>
      <c r="P43" s="67"/>
      <c r="Q43" s="67"/>
      <c r="R43" s="67"/>
      <c r="S43" s="67"/>
      <c r="T43" s="67"/>
      <c r="U43" s="67"/>
      <c r="W43" s="274">
        <f t="shared" si="0"/>
        <v>0</v>
      </c>
      <c r="Y43" s="224"/>
      <c r="Z43" s="67"/>
      <c r="AA43" s="67"/>
      <c r="AB43" s="67"/>
      <c r="AC43" s="67"/>
      <c r="AD43" s="67"/>
      <c r="AE43" s="225"/>
      <c r="AH43" s="337">
        <v>0</v>
      </c>
      <c r="AI43" s="67"/>
      <c r="AJ43" s="67"/>
      <c r="AK43" s="67"/>
      <c r="AL43" s="225"/>
      <c r="AN43" s="274">
        <f t="shared" si="1"/>
        <v>0</v>
      </c>
    </row>
    <row r="44" spans="1:40" ht="15" customHeight="1">
      <c r="A44" s="198">
        <v>3432</v>
      </c>
      <c r="B44" s="2">
        <v>134840</v>
      </c>
      <c r="C44" s="2" t="s">
        <v>113</v>
      </c>
      <c r="D44" s="2" t="s">
        <v>114</v>
      </c>
      <c r="E44" s="190" t="s">
        <v>39</v>
      </c>
      <c r="F44" s="211" t="str">
        <f>VLOOKUP(A44,'Summary June 2026'!A:F,6,FALSE)</f>
        <v>Chq Bk</v>
      </c>
      <c r="H44" s="224"/>
      <c r="I44" s="67"/>
      <c r="J44" s="67"/>
      <c r="M44" s="67"/>
      <c r="N44" s="67"/>
      <c r="O44" s="67"/>
      <c r="P44" s="67"/>
      <c r="Q44" s="67"/>
      <c r="R44" s="67"/>
      <c r="S44" s="67"/>
      <c r="T44" s="67"/>
      <c r="U44" s="67"/>
      <c r="W44" s="274">
        <f t="shared" si="0"/>
        <v>0</v>
      </c>
      <c r="Y44" s="224"/>
      <c r="Z44" s="67"/>
      <c r="AA44" s="67"/>
      <c r="AB44" s="67"/>
      <c r="AC44" s="67"/>
      <c r="AD44" s="67"/>
      <c r="AE44" s="225"/>
      <c r="AH44" s="337">
        <v>0</v>
      </c>
      <c r="AI44" s="67"/>
      <c r="AJ44" s="67"/>
      <c r="AK44" s="67"/>
      <c r="AL44" s="225"/>
      <c r="AN44" s="274">
        <f t="shared" si="1"/>
        <v>0</v>
      </c>
    </row>
    <row r="45" spans="1:40" ht="15" customHeight="1">
      <c r="A45" s="198">
        <v>2289</v>
      </c>
      <c r="B45" s="2">
        <v>103315</v>
      </c>
      <c r="C45" s="2" t="s">
        <v>115</v>
      </c>
      <c r="D45" s="2" t="s">
        <v>116</v>
      </c>
      <c r="E45" s="190" t="s">
        <v>39</v>
      </c>
      <c r="F45" s="211" t="str">
        <f>VLOOKUP(A45,'Summary June 2026'!A:F,6,FALSE)</f>
        <v>Chq Bk</v>
      </c>
      <c r="H45" s="224"/>
      <c r="I45" s="67"/>
      <c r="J45" s="67"/>
      <c r="M45" s="67"/>
      <c r="N45" s="67"/>
      <c r="O45" s="67"/>
      <c r="P45" s="67"/>
      <c r="Q45" s="67"/>
      <c r="R45" s="67"/>
      <c r="S45" s="67"/>
      <c r="T45" s="67"/>
      <c r="U45" s="67"/>
      <c r="W45" s="274">
        <f t="shared" si="0"/>
        <v>0</v>
      </c>
      <c r="Y45" s="224"/>
      <c r="Z45" s="67"/>
      <c r="AA45" s="67"/>
      <c r="AB45" s="67"/>
      <c r="AC45" s="67"/>
      <c r="AD45" s="67"/>
      <c r="AE45" s="225"/>
      <c r="AH45" s="337">
        <v>0</v>
      </c>
      <c r="AI45" s="67"/>
      <c r="AJ45" s="67"/>
      <c r="AK45" s="67"/>
      <c r="AL45" s="225"/>
      <c r="AN45" s="274">
        <f t="shared" si="1"/>
        <v>0</v>
      </c>
    </row>
    <row r="46" spans="1:40" ht="15" customHeight="1">
      <c r="A46" s="198">
        <v>2185</v>
      </c>
      <c r="B46" s="2">
        <v>103263</v>
      </c>
      <c r="C46" s="2" t="s">
        <v>117</v>
      </c>
      <c r="D46" s="2" t="s">
        <v>118</v>
      </c>
      <c r="E46" s="190" t="s">
        <v>39</v>
      </c>
      <c r="F46" s="211" t="str">
        <f>VLOOKUP(A46,'Summary June 2026'!A:F,6,FALSE)</f>
        <v>Chq Bk</v>
      </c>
      <c r="H46" s="224"/>
      <c r="I46" s="67"/>
      <c r="J46" s="67"/>
      <c r="M46" s="67"/>
      <c r="N46" s="67"/>
      <c r="O46" s="67"/>
      <c r="P46" s="67"/>
      <c r="Q46" s="67"/>
      <c r="R46" s="67"/>
      <c r="S46" s="67"/>
      <c r="T46" s="67"/>
      <c r="U46" s="67"/>
      <c r="W46" s="274">
        <f t="shared" si="0"/>
        <v>0</v>
      </c>
      <c r="Y46" s="224"/>
      <c r="Z46" s="67"/>
      <c r="AA46" s="67"/>
      <c r="AB46" s="67"/>
      <c r="AC46" s="67"/>
      <c r="AD46" s="67"/>
      <c r="AE46" s="225"/>
      <c r="AH46" s="337">
        <v>0</v>
      </c>
      <c r="AI46" s="67"/>
      <c r="AJ46" s="67"/>
      <c r="AK46" s="67"/>
      <c r="AL46" s="225"/>
      <c r="AN46" s="274">
        <f t="shared" si="1"/>
        <v>0</v>
      </c>
    </row>
    <row r="47" spans="1:40" ht="15" customHeight="1">
      <c r="A47" s="198">
        <v>5416</v>
      </c>
      <c r="B47" s="2">
        <v>103563</v>
      </c>
      <c r="C47" s="2" t="s">
        <v>119</v>
      </c>
      <c r="D47" s="2" t="s">
        <v>120</v>
      </c>
      <c r="E47" s="190" t="s">
        <v>71</v>
      </c>
      <c r="F47" s="211" t="str">
        <f>VLOOKUP(A47,'Summary June 2026'!A:F,6,FALSE)</f>
        <v>Chq Bk</v>
      </c>
      <c r="H47" s="224"/>
      <c r="I47" s="67"/>
      <c r="J47" s="67"/>
      <c r="M47" s="67"/>
      <c r="N47" s="67"/>
      <c r="O47" s="67"/>
      <c r="P47" s="67"/>
      <c r="Q47" s="67"/>
      <c r="R47" s="67"/>
      <c r="S47" s="67"/>
      <c r="T47" s="67"/>
      <c r="U47" s="67"/>
      <c r="W47" s="274">
        <f t="shared" si="0"/>
        <v>0</v>
      </c>
      <c r="Y47" s="224"/>
      <c r="Z47" s="67"/>
      <c r="AA47" s="67"/>
      <c r="AB47" s="67"/>
      <c r="AC47" s="67"/>
      <c r="AD47" s="67"/>
      <c r="AE47" s="225"/>
      <c r="AH47" s="337">
        <v>-5490</v>
      </c>
      <c r="AI47" s="67"/>
      <c r="AJ47" s="67"/>
      <c r="AK47" s="67"/>
      <c r="AL47" s="225"/>
      <c r="AN47" s="274">
        <f t="shared" si="1"/>
        <v>-5490</v>
      </c>
    </row>
    <row r="48" spans="1:40" ht="15" customHeight="1">
      <c r="A48" s="198">
        <v>2054</v>
      </c>
      <c r="B48" s="2">
        <v>103189</v>
      </c>
      <c r="C48" s="2" t="s">
        <v>121</v>
      </c>
      <c r="D48" s="2" t="s">
        <v>122</v>
      </c>
      <c r="E48" s="190" t="s">
        <v>39</v>
      </c>
      <c r="F48" s="211" t="str">
        <f>VLOOKUP(A48,'Summary June 2026'!A:F,6,FALSE)</f>
        <v>Chq Bk</v>
      </c>
      <c r="H48" s="224"/>
      <c r="I48" s="67"/>
      <c r="J48" s="67"/>
      <c r="M48" s="67"/>
      <c r="N48" s="67"/>
      <c r="O48" s="67"/>
      <c r="P48" s="67"/>
      <c r="Q48" s="67"/>
      <c r="R48" s="67"/>
      <c r="S48" s="67"/>
      <c r="T48" s="67"/>
      <c r="U48" s="67"/>
      <c r="W48" s="274">
        <f t="shared" si="0"/>
        <v>0</v>
      </c>
      <c r="Y48" s="224"/>
      <c r="Z48" s="67"/>
      <c r="AA48" s="67"/>
      <c r="AB48" s="67"/>
      <c r="AC48" s="67"/>
      <c r="AD48" s="67"/>
      <c r="AE48" s="225"/>
      <c r="AH48" s="337">
        <v>0</v>
      </c>
      <c r="AI48" s="67"/>
      <c r="AJ48" s="67"/>
      <c r="AK48" s="67"/>
      <c r="AL48" s="225"/>
      <c r="AN48" s="274">
        <f t="shared" si="1"/>
        <v>0</v>
      </c>
    </row>
    <row r="49" spans="1:40" ht="15" customHeight="1">
      <c r="A49" s="198">
        <v>2053</v>
      </c>
      <c r="B49" s="2">
        <v>103188</v>
      </c>
      <c r="C49" s="2" t="s">
        <v>123</v>
      </c>
      <c r="D49" s="2" t="s">
        <v>124</v>
      </c>
      <c r="E49" s="190" t="s">
        <v>39</v>
      </c>
      <c r="F49" s="211" t="str">
        <f>VLOOKUP(A49,'Summary June 2026'!A:F,6,FALSE)</f>
        <v>Chq Bk</v>
      </c>
      <c r="H49" s="224"/>
      <c r="I49" s="67"/>
      <c r="J49" s="67"/>
      <c r="M49" s="67"/>
      <c r="N49" s="67"/>
      <c r="O49" s="67"/>
      <c r="P49" s="67"/>
      <c r="Q49" s="67"/>
      <c r="R49" s="67"/>
      <c r="S49" s="67"/>
      <c r="T49" s="67"/>
      <c r="U49" s="67"/>
      <c r="W49" s="274">
        <f t="shared" si="0"/>
        <v>0</v>
      </c>
      <c r="Y49" s="224"/>
      <c r="Z49" s="67"/>
      <c r="AA49" s="67"/>
      <c r="AB49" s="67"/>
      <c r="AC49" s="67"/>
      <c r="AD49" s="67"/>
      <c r="AE49" s="225"/>
      <c r="AH49" s="337">
        <v>0</v>
      </c>
      <c r="AI49" s="67"/>
      <c r="AJ49" s="67"/>
      <c r="AK49" s="67"/>
      <c r="AL49" s="225"/>
      <c r="AN49" s="274">
        <f t="shared" si="1"/>
        <v>0</v>
      </c>
    </row>
    <row r="50" spans="1:40" ht="15" customHeight="1">
      <c r="A50" s="198">
        <v>2464</v>
      </c>
      <c r="B50" s="2">
        <v>103390</v>
      </c>
      <c r="C50" s="2" t="s">
        <v>125</v>
      </c>
      <c r="D50" s="2" t="s">
        <v>126</v>
      </c>
      <c r="E50" s="190" t="s">
        <v>39</v>
      </c>
      <c r="F50" s="211" t="str">
        <f>VLOOKUP(A50,'Summary June 2026'!A:F,6,FALSE)</f>
        <v>Chq Bk</v>
      </c>
      <c r="H50" s="224"/>
      <c r="I50" s="67"/>
      <c r="J50" s="67"/>
      <c r="M50" s="67"/>
      <c r="N50" s="67"/>
      <c r="O50" s="67"/>
      <c r="P50" s="67"/>
      <c r="Q50" s="67"/>
      <c r="R50" s="67"/>
      <c r="S50" s="67"/>
      <c r="T50" s="67"/>
      <c r="U50" s="67"/>
      <c r="W50" s="274">
        <f t="shared" si="0"/>
        <v>0</v>
      </c>
      <c r="Y50" s="224"/>
      <c r="Z50" s="67"/>
      <c r="AA50" s="67"/>
      <c r="AB50" s="67"/>
      <c r="AC50" s="67"/>
      <c r="AD50" s="67"/>
      <c r="AE50" s="225"/>
      <c r="AH50" s="337">
        <v>0</v>
      </c>
      <c r="AI50" s="67"/>
      <c r="AJ50" s="67"/>
      <c r="AK50" s="67"/>
      <c r="AL50" s="225"/>
      <c r="AN50" s="274">
        <f t="shared" si="1"/>
        <v>0</v>
      </c>
    </row>
    <row r="51" spans="1:40" ht="15" customHeight="1">
      <c r="A51" s="198">
        <v>3320</v>
      </c>
      <c r="B51" s="2">
        <v>103424</v>
      </c>
      <c r="C51" s="2" t="s">
        <v>127</v>
      </c>
      <c r="D51" s="2" t="s">
        <v>128</v>
      </c>
      <c r="E51" s="190" t="s">
        <v>39</v>
      </c>
      <c r="F51" s="211" t="str">
        <f>VLOOKUP(A51,'Summary June 2026'!A:F,6,FALSE)</f>
        <v>Chq Bk</v>
      </c>
      <c r="H51" s="224"/>
      <c r="I51" s="67"/>
      <c r="J51" s="67"/>
      <c r="M51" s="67"/>
      <c r="N51" s="67"/>
      <c r="O51" s="67"/>
      <c r="P51" s="67"/>
      <c r="Q51" s="67"/>
      <c r="R51" s="67"/>
      <c r="S51" s="67"/>
      <c r="T51" s="67"/>
      <c r="U51" s="67"/>
      <c r="W51" s="274">
        <f t="shared" si="0"/>
        <v>0</v>
      </c>
      <c r="Y51" s="224"/>
      <c r="Z51" s="67"/>
      <c r="AA51" s="67"/>
      <c r="AB51" s="67"/>
      <c r="AC51" s="67"/>
      <c r="AD51" s="67"/>
      <c r="AE51" s="225"/>
      <c r="AH51" s="337">
        <v>-4530</v>
      </c>
      <c r="AI51" s="67"/>
      <c r="AJ51" s="67"/>
      <c r="AK51" s="67"/>
      <c r="AL51" s="225"/>
      <c r="AN51" s="274">
        <f t="shared" si="1"/>
        <v>-4530</v>
      </c>
    </row>
    <row r="52" spans="1:40" ht="15" customHeight="1">
      <c r="A52" s="198">
        <v>2055</v>
      </c>
      <c r="B52" s="2">
        <v>103190</v>
      </c>
      <c r="C52" s="2" t="s">
        <v>129</v>
      </c>
      <c r="D52" s="2" t="s">
        <v>130</v>
      </c>
      <c r="E52" s="190" t="s">
        <v>39</v>
      </c>
      <c r="F52" s="211" t="str">
        <f>VLOOKUP(A52,'Summary June 2026'!A:F,6,FALSE)</f>
        <v>Chq Bk</v>
      </c>
      <c r="H52" s="224"/>
      <c r="I52" s="67"/>
      <c r="J52" s="67"/>
      <c r="M52" s="67"/>
      <c r="N52" s="67"/>
      <c r="O52" s="67"/>
      <c r="P52" s="67"/>
      <c r="Q52" s="67"/>
      <c r="R52" s="67"/>
      <c r="S52" s="67"/>
      <c r="T52" s="67"/>
      <c r="U52" s="67"/>
      <c r="W52" s="274">
        <f t="shared" si="0"/>
        <v>0</v>
      </c>
      <c r="Y52" s="224"/>
      <c r="Z52" s="67"/>
      <c r="AA52" s="67"/>
      <c r="AB52" s="67"/>
      <c r="AC52" s="67"/>
      <c r="AD52" s="67"/>
      <c r="AE52" s="225"/>
      <c r="AH52" s="337">
        <v>0</v>
      </c>
      <c r="AI52" s="67"/>
      <c r="AJ52" s="67"/>
      <c r="AK52" s="67"/>
      <c r="AL52" s="225"/>
      <c r="AN52" s="274">
        <f t="shared" si="1"/>
        <v>0</v>
      </c>
    </row>
    <row r="53" spans="1:40" ht="15" customHeight="1">
      <c r="A53" s="198">
        <v>1802</v>
      </c>
      <c r="B53" s="2">
        <v>103150</v>
      </c>
      <c r="C53" s="2" t="s">
        <v>131</v>
      </c>
      <c r="D53" s="2" t="s">
        <v>132</v>
      </c>
      <c r="E53" s="190" t="s">
        <v>36</v>
      </c>
      <c r="F53" s="211" t="str">
        <f>VLOOKUP(A53,'Summary June 2026'!A:F,6,FALSE)</f>
        <v>Chq Bk</v>
      </c>
      <c r="H53" s="224"/>
      <c r="I53" s="67"/>
      <c r="J53" s="67"/>
      <c r="M53" s="67"/>
      <c r="N53" s="67"/>
      <c r="O53" s="67"/>
      <c r="P53" s="67"/>
      <c r="Q53" s="67"/>
      <c r="R53" s="67"/>
      <c r="S53" s="67"/>
      <c r="T53" s="67"/>
      <c r="U53" s="67"/>
      <c r="W53" s="274">
        <f t="shared" si="0"/>
        <v>0</v>
      </c>
      <c r="Y53" s="224"/>
      <c r="Z53" s="67"/>
      <c r="AA53" s="67"/>
      <c r="AB53" s="67"/>
      <c r="AC53" s="67"/>
      <c r="AD53" s="67"/>
      <c r="AE53" s="225"/>
      <c r="AH53" s="337">
        <v>0</v>
      </c>
      <c r="AI53" s="67"/>
      <c r="AJ53" s="67"/>
      <c r="AK53" s="67"/>
      <c r="AL53" s="225"/>
      <c r="AN53" s="274">
        <f t="shared" si="1"/>
        <v>0</v>
      </c>
    </row>
    <row r="54" spans="1:40" ht="15" customHeight="1">
      <c r="A54" s="198">
        <v>2454</v>
      </c>
      <c r="B54" s="2">
        <v>103381</v>
      </c>
      <c r="C54" s="2" t="s">
        <v>133</v>
      </c>
      <c r="D54" s="2" t="s">
        <v>134</v>
      </c>
      <c r="E54" s="190" t="s">
        <v>39</v>
      </c>
      <c r="F54" s="211" t="str">
        <f>VLOOKUP(A54,'Summary June 2026'!A:F,6,FALSE)</f>
        <v>Chq Bk</v>
      </c>
      <c r="H54" s="224"/>
      <c r="I54" s="67"/>
      <c r="J54" s="67"/>
      <c r="M54" s="67"/>
      <c r="N54" s="67"/>
      <c r="O54" s="67"/>
      <c r="P54" s="67"/>
      <c r="Q54" s="67"/>
      <c r="R54" s="67"/>
      <c r="S54" s="67"/>
      <c r="T54" s="67"/>
      <c r="U54" s="67"/>
      <c r="W54" s="274">
        <f t="shared" si="0"/>
        <v>0</v>
      </c>
      <c r="Y54" s="224"/>
      <c r="Z54" s="67"/>
      <c r="AA54" s="67"/>
      <c r="AB54" s="67"/>
      <c r="AC54" s="67"/>
      <c r="AD54" s="67"/>
      <c r="AE54" s="225"/>
      <c r="AH54" s="337">
        <v>0</v>
      </c>
      <c r="AI54" s="67"/>
      <c r="AJ54" s="67"/>
      <c r="AK54" s="67"/>
      <c r="AL54" s="225"/>
      <c r="AN54" s="274">
        <f t="shared" si="1"/>
        <v>0</v>
      </c>
    </row>
    <row r="55" spans="1:40" ht="15" customHeight="1">
      <c r="A55" s="198">
        <v>3321</v>
      </c>
      <c r="B55" s="2">
        <v>103425</v>
      </c>
      <c r="C55" s="2" t="s">
        <v>135</v>
      </c>
      <c r="D55" s="2" t="s">
        <v>136</v>
      </c>
      <c r="E55" s="190" t="s">
        <v>39</v>
      </c>
      <c r="F55" s="211" t="str">
        <f>VLOOKUP(A55,'Summary June 2026'!A:F,6,FALSE)</f>
        <v>Chq Bk</v>
      </c>
      <c r="H55" s="224"/>
      <c r="I55" s="67"/>
      <c r="J55" s="67"/>
      <c r="M55" s="67"/>
      <c r="N55" s="67"/>
      <c r="O55" s="67"/>
      <c r="P55" s="67"/>
      <c r="Q55" s="67"/>
      <c r="R55" s="67"/>
      <c r="S55" s="67"/>
      <c r="T55" s="67"/>
      <c r="U55" s="67"/>
      <c r="W55" s="274">
        <f t="shared" si="0"/>
        <v>0</v>
      </c>
      <c r="Y55" s="224"/>
      <c r="Z55" s="67"/>
      <c r="AA55" s="67"/>
      <c r="AB55" s="67"/>
      <c r="AC55" s="67"/>
      <c r="AD55" s="67"/>
      <c r="AE55" s="225"/>
      <c r="AH55" s="337">
        <v>0</v>
      </c>
      <c r="AI55" s="67"/>
      <c r="AJ55" s="67"/>
      <c r="AK55" s="67"/>
      <c r="AL55" s="225"/>
      <c r="AN55" s="274">
        <f t="shared" si="1"/>
        <v>0</v>
      </c>
    </row>
    <row r="56" spans="1:40" ht="15" customHeight="1">
      <c r="A56" s="198">
        <v>1026</v>
      </c>
      <c r="B56" s="2">
        <v>103139</v>
      </c>
      <c r="C56" s="2" t="s">
        <v>137</v>
      </c>
      <c r="D56" s="2" t="s">
        <v>138</v>
      </c>
      <c r="E56" s="190" t="s">
        <v>36</v>
      </c>
      <c r="F56" s="211" t="str">
        <f>VLOOKUP(A56,'Summary June 2026'!A:F,6,FALSE)</f>
        <v>Chq Bk</v>
      </c>
      <c r="H56" s="224"/>
      <c r="I56" s="67"/>
      <c r="J56" s="67"/>
      <c r="M56" s="67"/>
      <c r="N56" s="67"/>
      <c r="O56" s="67"/>
      <c r="P56" s="67"/>
      <c r="Q56" s="67"/>
      <c r="R56" s="67"/>
      <c r="S56" s="67"/>
      <c r="T56" s="67"/>
      <c r="U56" s="67"/>
      <c r="W56" s="274">
        <f t="shared" si="0"/>
        <v>0</v>
      </c>
      <c r="Y56" s="224"/>
      <c r="Z56" s="67"/>
      <c r="AA56" s="67"/>
      <c r="AB56" s="67"/>
      <c r="AC56" s="67"/>
      <c r="AD56" s="67"/>
      <c r="AE56" s="225"/>
      <c r="AH56" s="337">
        <v>0</v>
      </c>
      <c r="AI56" s="67"/>
      <c r="AJ56" s="67"/>
      <c r="AK56" s="67"/>
      <c r="AL56" s="225"/>
      <c r="AN56" s="274">
        <f t="shared" si="1"/>
        <v>0</v>
      </c>
    </row>
    <row r="57" spans="1:40" ht="15" customHeight="1">
      <c r="A57" s="198">
        <v>2294</v>
      </c>
      <c r="B57" s="2">
        <v>103318</v>
      </c>
      <c r="C57" s="2" t="s">
        <v>139</v>
      </c>
      <c r="D57" s="2" t="s">
        <v>140</v>
      </c>
      <c r="E57" s="190" t="s">
        <v>39</v>
      </c>
      <c r="F57" s="211" t="str">
        <f>VLOOKUP(A57,'Summary June 2026'!A:F,6,FALSE)</f>
        <v>Chq Bk</v>
      </c>
      <c r="H57" s="224"/>
      <c r="I57" s="67"/>
      <c r="J57" s="67"/>
      <c r="M57" s="67"/>
      <c r="N57" s="67"/>
      <c r="O57" s="67"/>
      <c r="P57" s="67"/>
      <c r="Q57" s="67"/>
      <c r="R57" s="67"/>
      <c r="S57" s="67"/>
      <c r="T57" s="67"/>
      <c r="U57" s="67"/>
      <c r="W57" s="274">
        <f t="shared" si="0"/>
        <v>0</v>
      </c>
      <c r="Y57" s="224"/>
      <c r="Z57" s="67"/>
      <c r="AA57" s="67"/>
      <c r="AB57" s="67"/>
      <c r="AC57" s="67"/>
      <c r="AD57" s="67"/>
      <c r="AE57" s="225"/>
      <c r="AH57" s="337">
        <v>0</v>
      </c>
      <c r="AI57" s="67"/>
      <c r="AJ57" s="67"/>
      <c r="AK57" s="67"/>
      <c r="AL57" s="225"/>
      <c r="AN57" s="274">
        <f t="shared" si="1"/>
        <v>0</v>
      </c>
    </row>
    <row r="58" spans="1:40" ht="15" customHeight="1">
      <c r="A58" s="198">
        <v>2486</v>
      </c>
      <c r="B58" s="2">
        <v>133759</v>
      </c>
      <c r="C58" s="2" t="s">
        <v>141</v>
      </c>
      <c r="D58" s="2" t="s">
        <v>142</v>
      </c>
      <c r="E58" s="190" t="s">
        <v>39</v>
      </c>
      <c r="F58" s="211" t="str">
        <f>VLOOKUP(A58,'Summary June 2026'!A:F,6,FALSE)</f>
        <v>Chq Bk</v>
      </c>
      <c r="H58" s="224"/>
      <c r="I58" s="67"/>
      <c r="J58" s="67"/>
      <c r="M58" s="67"/>
      <c r="N58" s="67"/>
      <c r="O58" s="67"/>
      <c r="P58" s="67"/>
      <c r="Q58" s="67"/>
      <c r="R58" s="67"/>
      <c r="S58" s="67"/>
      <c r="T58" s="67"/>
      <c r="U58" s="67"/>
      <c r="W58" s="274">
        <f t="shared" si="0"/>
        <v>0</v>
      </c>
      <c r="Y58" s="224"/>
      <c r="Z58" s="67"/>
      <c r="AA58" s="67"/>
      <c r="AB58" s="67"/>
      <c r="AC58" s="67"/>
      <c r="AD58" s="67"/>
      <c r="AE58" s="225"/>
      <c r="AH58" s="337">
        <v>0</v>
      </c>
      <c r="AI58" s="67"/>
      <c r="AJ58" s="67"/>
      <c r="AK58" s="67"/>
      <c r="AL58" s="225"/>
      <c r="AN58" s="274">
        <f t="shared" si="1"/>
        <v>0</v>
      </c>
    </row>
    <row r="59" spans="1:40" ht="15" customHeight="1">
      <c r="A59" s="198">
        <v>3435</v>
      </c>
      <c r="B59" s="2">
        <v>131920</v>
      </c>
      <c r="C59" s="2" t="s">
        <v>143</v>
      </c>
      <c r="D59" s="2" t="s">
        <v>144</v>
      </c>
      <c r="E59" s="190" t="s">
        <v>39</v>
      </c>
      <c r="F59" s="211" t="str">
        <f>VLOOKUP(A59,'Summary June 2026'!A:F,6,FALSE)</f>
        <v>Chq Bk</v>
      </c>
      <c r="H59" s="224"/>
      <c r="I59" s="67"/>
      <c r="J59" s="67"/>
      <c r="M59" s="67"/>
      <c r="N59" s="67"/>
      <c r="O59" s="67"/>
      <c r="P59" s="67"/>
      <c r="Q59" s="67"/>
      <c r="R59" s="67"/>
      <c r="S59" s="67"/>
      <c r="T59" s="67"/>
      <c r="U59" s="67"/>
      <c r="W59" s="274">
        <f t="shared" si="0"/>
        <v>0</v>
      </c>
      <c r="Y59" s="224"/>
      <c r="Z59" s="67"/>
      <c r="AA59" s="67"/>
      <c r="AB59" s="67"/>
      <c r="AC59" s="67"/>
      <c r="AD59" s="67"/>
      <c r="AE59" s="225"/>
      <c r="AH59" s="337">
        <v>0</v>
      </c>
      <c r="AI59" s="67"/>
      <c r="AJ59" s="67"/>
      <c r="AK59" s="67"/>
      <c r="AL59" s="225"/>
      <c r="AN59" s="274">
        <f t="shared" si="1"/>
        <v>0</v>
      </c>
    </row>
    <row r="60" spans="1:40" ht="15" customHeight="1">
      <c r="A60" s="198">
        <v>7050</v>
      </c>
      <c r="B60" s="2">
        <v>103625</v>
      </c>
      <c r="C60" s="2" t="s">
        <v>145</v>
      </c>
      <c r="D60" s="2" t="s">
        <v>146</v>
      </c>
      <c r="E60" s="190" t="s">
        <v>56</v>
      </c>
      <c r="F60" s="211" t="str">
        <f>VLOOKUP(A60,'Summary June 2026'!A:F,6,FALSE)</f>
        <v>Chq Bk</v>
      </c>
      <c r="H60" s="224"/>
      <c r="I60" s="67"/>
      <c r="J60" s="67"/>
      <c r="M60" s="67"/>
      <c r="N60" s="67"/>
      <c r="O60" s="67"/>
      <c r="P60" s="67"/>
      <c r="Q60" s="67"/>
      <c r="R60" s="67"/>
      <c r="S60" s="67"/>
      <c r="T60" s="67"/>
      <c r="U60" s="67"/>
      <c r="W60" s="274">
        <f t="shared" si="0"/>
        <v>0</v>
      </c>
      <c r="Y60" s="224"/>
      <c r="Z60" s="67"/>
      <c r="AA60" s="67"/>
      <c r="AB60" s="67"/>
      <c r="AC60" s="67"/>
      <c r="AD60" s="67"/>
      <c r="AE60" s="225"/>
      <c r="AH60" s="337">
        <v>0</v>
      </c>
      <c r="AI60" s="67"/>
      <c r="AJ60" s="67"/>
      <c r="AK60" s="67"/>
      <c r="AL60" s="225"/>
      <c r="AN60" s="274">
        <f t="shared" si="1"/>
        <v>0</v>
      </c>
    </row>
    <row r="61" spans="1:40" ht="15" customHeight="1">
      <c r="A61" s="198">
        <v>1006</v>
      </c>
      <c r="B61" s="2">
        <v>103122</v>
      </c>
      <c r="C61" s="2" t="s">
        <v>147</v>
      </c>
      <c r="D61" s="2" t="s">
        <v>148</v>
      </c>
      <c r="E61" s="190" t="s">
        <v>36</v>
      </c>
      <c r="F61" s="211" t="str">
        <f>VLOOKUP(A61,'Summary June 2026'!A:F,6,FALSE)</f>
        <v>Chq Bk</v>
      </c>
      <c r="H61" s="224"/>
      <c r="I61" s="67"/>
      <c r="J61" s="67"/>
      <c r="M61" s="67"/>
      <c r="N61" s="67"/>
      <c r="O61" s="67"/>
      <c r="P61" s="67"/>
      <c r="Q61" s="67"/>
      <c r="R61" s="67"/>
      <c r="S61" s="67"/>
      <c r="T61" s="67"/>
      <c r="U61" s="67"/>
      <c r="W61" s="274">
        <f t="shared" si="0"/>
        <v>0</v>
      </c>
      <c r="Y61" s="224"/>
      <c r="Z61" s="67"/>
      <c r="AA61" s="67"/>
      <c r="AB61" s="67"/>
      <c r="AC61" s="67"/>
      <c r="AD61" s="67"/>
      <c r="AE61" s="225"/>
      <c r="AH61" s="337">
        <v>0</v>
      </c>
      <c r="AI61" s="67"/>
      <c r="AJ61" s="67"/>
      <c r="AK61" s="67"/>
      <c r="AL61" s="225"/>
      <c r="AN61" s="274">
        <f t="shared" si="1"/>
        <v>0</v>
      </c>
    </row>
    <row r="62" spans="1:40" ht="15" customHeight="1">
      <c r="A62" s="198">
        <v>2079</v>
      </c>
      <c r="B62" s="2">
        <v>103200</v>
      </c>
      <c r="C62" s="2" t="s">
        <v>149</v>
      </c>
      <c r="D62" s="2" t="s">
        <v>150</v>
      </c>
      <c r="E62" s="190" t="s">
        <v>39</v>
      </c>
      <c r="F62" s="211" t="str">
        <f>VLOOKUP(A62,'Summary June 2026'!A:F,6,FALSE)</f>
        <v>Chq Bk</v>
      </c>
      <c r="H62" s="224"/>
      <c r="I62" s="67"/>
      <c r="J62" s="67"/>
      <c r="M62" s="67"/>
      <c r="N62" s="67"/>
      <c r="O62" s="67"/>
      <c r="P62" s="67"/>
      <c r="Q62" s="67"/>
      <c r="R62" s="67"/>
      <c r="S62" s="67"/>
      <c r="T62" s="67"/>
      <c r="U62" s="67"/>
      <c r="W62" s="274">
        <f t="shared" si="0"/>
        <v>0</v>
      </c>
      <c r="Y62" s="224"/>
      <c r="Z62" s="67"/>
      <c r="AA62" s="67"/>
      <c r="AB62" s="67"/>
      <c r="AC62" s="67"/>
      <c r="AD62" s="67"/>
      <c r="AE62" s="225"/>
      <c r="AH62" s="337">
        <v>0</v>
      </c>
      <c r="AI62" s="67"/>
      <c r="AJ62" s="67"/>
      <c r="AK62" s="67"/>
      <c r="AL62" s="225"/>
      <c r="AN62" s="274">
        <f t="shared" si="1"/>
        <v>0</v>
      </c>
    </row>
    <row r="63" spans="1:40" ht="15" customHeight="1">
      <c r="A63" s="198">
        <v>2081</v>
      </c>
      <c r="B63" s="2">
        <v>103201</v>
      </c>
      <c r="C63" s="2" t="s">
        <v>151</v>
      </c>
      <c r="D63" s="2" t="s">
        <v>152</v>
      </c>
      <c r="E63" s="190" t="s">
        <v>39</v>
      </c>
      <c r="F63" s="211" t="str">
        <f>VLOOKUP(A63,'Summary June 2026'!A:F,6,FALSE)</f>
        <v>Chq Bk</v>
      </c>
      <c r="H63" s="224"/>
      <c r="I63" s="67"/>
      <c r="J63" s="67"/>
      <c r="M63" s="67"/>
      <c r="N63" s="67"/>
      <c r="O63" s="67"/>
      <c r="P63" s="67"/>
      <c r="Q63" s="67"/>
      <c r="R63" s="67"/>
      <c r="S63" s="67"/>
      <c r="T63" s="67"/>
      <c r="U63" s="67"/>
      <c r="W63" s="274">
        <f t="shared" si="0"/>
        <v>0</v>
      </c>
      <c r="Y63" s="224"/>
      <c r="Z63" s="67"/>
      <c r="AA63" s="67"/>
      <c r="AB63" s="67"/>
      <c r="AC63" s="67"/>
      <c r="AD63" s="67"/>
      <c r="AE63" s="225"/>
      <c r="AH63" s="337">
        <v>0</v>
      </c>
      <c r="AI63" s="67"/>
      <c r="AJ63" s="67"/>
      <c r="AK63" s="67"/>
      <c r="AL63" s="225"/>
      <c r="AN63" s="274">
        <f t="shared" si="1"/>
        <v>0</v>
      </c>
    </row>
    <row r="64" spans="1:40" ht="15" customHeight="1">
      <c r="A64" s="198">
        <v>2296</v>
      </c>
      <c r="B64" s="2">
        <v>103320</v>
      </c>
      <c r="C64" s="2" t="s">
        <v>153</v>
      </c>
      <c r="D64" s="2" t="s">
        <v>154</v>
      </c>
      <c r="E64" s="190" t="s">
        <v>39</v>
      </c>
      <c r="F64" s="211" t="str">
        <f>VLOOKUP(A64,'Summary June 2026'!A:F,6,FALSE)</f>
        <v>Chq bk</v>
      </c>
      <c r="H64" s="224"/>
      <c r="I64" s="67"/>
      <c r="J64" s="67"/>
      <c r="M64" s="67"/>
      <c r="N64" s="67"/>
      <c r="O64" s="67"/>
      <c r="P64" s="67"/>
      <c r="Q64" s="67"/>
      <c r="R64" s="67"/>
      <c r="S64" s="67"/>
      <c r="T64" s="67"/>
      <c r="U64" s="67"/>
      <c r="W64" s="274">
        <f t="shared" si="0"/>
        <v>0</v>
      </c>
      <c r="Y64" s="224"/>
      <c r="Z64" s="67"/>
      <c r="AA64" s="67"/>
      <c r="AB64" s="67"/>
      <c r="AC64" s="67"/>
      <c r="AD64" s="67"/>
      <c r="AE64" s="225"/>
      <c r="AH64" s="337">
        <v>0</v>
      </c>
      <c r="AI64" s="67"/>
      <c r="AJ64" s="67"/>
      <c r="AK64" s="67"/>
      <c r="AL64" s="225"/>
      <c r="AN64" s="274">
        <f t="shared" si="1"/>
        <v>0</v>
      </c>
    </row>
    <row r="65" spans="1:40" ht="15" customHeight="1">
      <c r="A65" s="198">
        <v>1015</v>
      </c>
      <c r="B65" s="2">
        <v>103128</v>
      </c>
      <c r="C65" s="2" t="s">
        <v>155</v>
      </c>
      <c r="D65" s="2" t="s">
        <v>156</v>
      </c>
      <c r="E65" s="190" t="s">
        <v>36</v>
      </c>
      <c r="F65" s="211" t="str">
        <f>VLOOKUP(A65,'Summary June 2026'!A:F,6,FALSE)</f>
        <v>Chq Bk</v>
      </c>
      <c r="H65" s="224"/>
      <c r="I65" s="67"/>
      <c r="J65" s="67"/>
      <c r="M65" s="67"/>
      <c r="N65" s="67"/>
      <c r="O65" s="67"/>
      <c r="P65" s="67"/>
      <c r="Q65" s="67"/>
      <c r="R65" s="67"/>
      <c r="S65" s="67"/>
      <c r="T65" s="67"/>
      <c r="U65" s="67"/>
      <c r="W65" s="274">
        <f t="shared" si="0"/>
        <v>0</v>
      </c>
      <c r="Y65" s="224"/>
      <c r="Z65" s="67"/>
      <c r="AA65" s="67"/>
      <c r="AB65" s="67"/>
      <c r="AC65" s="67"/>
      <c r="AD65" s="67"/>
      <c r="AE65" s="225"/>
      <c r="AH65" s="337">
        <v>0</v>
      </c>
      <c r="AI65" s="67"/>
      <c r="AJ65" s="67"/>
      <c r="AK65" s="67"/>
      <c r="AL65" s="225"/>
      <c r="AN65" s="274">
        <f t="shared" si="1"/>
        <v>0</v>
      </c>
    </row>
    <row r="66" spans="1:40" ht="15" customHeight="1">
      <c r="A66" s="198">
        <v>1022</v>
      </c>
      <c r="B66" s="2">
        <v>103135</v>
      </c>
      <c r="C66" s="2" t="s">
        <v>157</v>
      </c>
      <c r="D66" s="2" t="s">
        <v>158</v>
      </c>
      <c r="E66" s="190" t="s">
        <v>36</v>
      </c>
      <c r="F66" s="211" t="str">
        <f>VLOOKUP(A66,'Summary June 2026'!A:F,6,FALSE)</f>
        <v>Chq Bk</v>
      </c>
      <c r="H66" s="224"/>
      <c r="I66" s="67"/>
      <c r="J66" s="67"/>
      <c r="M66" s="67"/>
      <c r="N66" s="67"/>
      <c r="O66" s="67"/>
      <c r="P66" s="67"/>
      <c r="Q66" s="67"/>
      <c r="R66" s="67"/>
      <c r="S66" s="67"/>
      <c r="T66" s="67"/>
      <c r="U66" s="67"/>
      <c r="W66" s="274">
        <f t="shared" si="0"/>
        <v>0</v>
      </c>
      <c r="Y66" s="224"/>
      <c r="Z66" s="67"/>
      <c r="AA66" s="67"/>
      <c r="AB66" s="67"/>
      <c r="AC66" s="67"/>
      <c r="AD66" s="67"/>
      <c r="AE66" s="225"/>
      <c r="AH66" s="337">
        <v>0</v>
      </c>
      <c r="AI66" s="67"/>
      <c r="AJ66" s="67"/>
      <c r="AK66" s="67"/>
      <c r="AL66" s="225"/>
      <c r="AN66" s="274">
        <f t="shared" si="1"/>
        <v>0</v>
      </c>
    </row>
    <row r="67" spans="1:40" ht="15" customHeight="1">
      <c r="A67" s="198">
        <v>2087</v>
      </c>
      <c r="B67" s="2">
        <v>103205</v>
      </c>
      <c r="C67" s="2" t="s">
        <v>159</v>
      </c>
      <c r="D67" s="2" t="s">
        <v>160</v>
      </c>
      <c r="E67" s="190" t="s">
        <v>39</v>
      </c>
      <c r="F67" s="211" t="str">
        <f>VLOOKUP(A67,'Summary June 2026'!A:F,6,FALSE)</f>
        <v>Chq Bk</v>
      </c>
      <c r="H67" s="224"/>
      <c r="I67" s="67"/>
      <c r="J67" s="67"/>
      <c r="M67" s="67"/>
      <c r="N67" s="67"/>
      <c r="O67" s="67"/>
      <c r="P67" s="67"/>
      <c r="Q67" s="67"/>
      <c r="R67" s="67"/>
      <c r="S67" s="67"/>
      <c r="T67" s="67"/>
      <c r="U67" s="67"/>
      <c r="W67" s="274">
        <f t="shared" ref="W67:W128" si="2">-SUMIFS($H67:$P67,$H$3:$P$3,W$6)</f>
        <v>0</v>
      </c>
      <c r="Y67" s="224"/>
      <c r="Z67" s="67"/>
      <c r="AA67" s="67"/>
      <c r="AB67" s="67"/>
      <c r="AC67" s="67"/>
      <c r="AD67" s="67"/>
      <c r="AE67" s="225"/>
      <c r="AH67" s="337">
        <v>0</v>
      </c>
      <c r="AI67" s="67"/>
      <c r="AJ67" s="67"/>
      <c r="AK67" s="67"/>
      <c r="AL67" s="225"/>
      <c r="AN67" s="274">
        <f t="shared" ref="AN67:AN128" si="3">SUMIFS($AH67:$AL67,$AH$3:$AL$3,$AN$6)</f>
        <v>0</v>
      </c>
    </row>
    <row r="68" spans="1:40" ht="15" customHeight="1">
      <c r="A68" s="198">
        <v>2466</v>
      </c>
      <c r="B68" s="2">
        <v>103392</v>
      </c>
      <c r="C68" s="2" t="s">
        <v>161</v>
      </c>
      <c r="D68" s="2" t="s">
        <v>162</v>
      </c>
      <c r="E68" s="190" t="s">
        <v>39</v>
      </c>
      <c r="F68" s="211" t="str">
        <f>VLOOKUP(A68,'Summary June 2026'!A:F,6,FALSE)</f>
        <v>Chq Bk</v>
      </c>
      <c r="H68" s="224"/>
      <c r="I68" s="67"/>
      <c r="J68" s="67"/>
      <c r="M68" s="67"/>
      <c r="N68" s="67"/>
      <c r="O68" s="67"/>
      <c r="P68" s="67"/>
      <c r="Q68" s="67"/>
      <c r="R68" s="67"/>
      <c r="S68" s="67"/>
      <c r="T68" s="67"/>
      <c r="U68" s="67"/>
      <c r="W68" s="274">
        <f t="shared" si="2"/>
        <v>0</v>
      </c>
      <c r="Y68" s="224"/>
      <c r="Z68" s="67"/>
      <c r="AA68" s="67"/>
      <c r="AB68" s="67"/>
      <c r="AC68" s="67"/>
      <c r="AD68" s="67"/>
      <c r="AE68" s="225"/>
      <c r="AH68" s="337">
        <v>0</v>
      </c>
      <c r="AI68" s="67"/>
      <c r="AJ68" s="67"/>
      <c r="AK68" s="67"/>
      <c r="AL68" s="225"/>
      <c r="AN68" s="274">
        <f t="shared" si="3"/>
        <v>0</v>
      </c>
    </row>
    <row r="69" spans="1:40" ht="15" customHeight="1">
      <c r="A69" s="198">
        <v>2091</v>
      </c>
      <c r="B69" s="2">
        <v>103208</v>
      </c>
      <c r="C69" s="2" t="s">
        <v>163</v>
      </c>
      <c r="D69" s="2" t="s">
        <v>164</v>
      </c>
      <c r="E69" s="190" t="s">
        <v>39</v>
      </c>
      <c r="F69" s="211" t="str">
        <f>VLOOKUP(A69,'Summary June 2026'!A:F,6,FALSE)</f>
        <v>Chq Bk</v>
      </c>
      <c r="H69" s="224"/>
      <c r="I69" s="67"/>
      <c r="J69" s="67"/>
      <c r="M69" s="67"/>
      <c r="N69" s="67"/>
      <c r="O69" s="67"/>
      <c r="P69" s="67"/>
      <c r="Q69" s="67"/>
      <c r="R69" s="67"/>
      <c r="S69" s="67"/>
      <c r="T69" s="67"/>
      <c r="U69" s="67"/>
      <c r="W69" s="274">
        <f t="shared" si="2"/>
        <v>0</v>
      </c>
      <c r="Y69" s="224"/>
      <c r="Z69" s="67"/>
      <c r="AA69" s="67"/>
      <c r="AB69" s="67"/>
      <c r="AC69" s="67"/>
      <c r="AD69" s="67"/>
      <c r="AE69" s="225"/>
      <c r="AH69" s="337">
        <v>0</v>
      </c>
      <c r="AI69" s="67"/>
      <c r="AJ69" s="67"/>
      <c r="AK69" s="67"/>
      <c r="AL69" s="225"/>
      <c r="AN69" s="274">
        <f t="shared" si="3"/>
        <v>0</v>
      </c>
    </row>
    <row r="70" spans="1:40" ht="15" customHeight="1">
      <c r="A70" s="198">
        <v>2093</v>
      </c>
      <c r="B70" s="2">
        <v>103210</v>
      </c>
      <c r="C70" s="2" t="s">
        <v>165</v>
      </c>
      <c r="D70" s="2" t="s">
        <v>166</v>
      </c>
      <c r="E70" s="190" t="s">
        <v>39</v>
      </c>
      <c r="F70" s="211" t="str">
        <f>VLOOKUP(A70,'Summary June 2026'!A:F,6,FALSE)</f>
        <v>Chq Bk</v>
      </c>
      <c r="H70" s="740"/>
      <c r="I70" s="67"/>
      <c r="J70" s="67"/>
      <c r="M70" s="67"/>
      <c r="N70" s="67"/>
      <c r="O70" s="67"/>
      <c r="P70" s="67"/>
      <c r="Q70" s="67"/>
      <c r="R70" s="67"/>
      <c r="S70" s="67"/>
      <c r="T70" s="67"/>
      <c r="U70" s="67"/>
      <c r="W70" s="274">
        <f t="shared" si="2"/>
        <v>0</v>
      </c>
      <c r="Y70" s="224"/>
      <c r="Z70" s="67"/>
      <c r="AA70" s="67"/>
      <c r="AB70" s="67"/>
      <c r="AC70" s="67"/>
      <c r="AD70" s="67"/>
      <c r="AE70" s="225"/>
      <c r="AH70" s="337">
        <v>0</v>
      </c>
      <c r="AI70" s="67"/>
      <c r="AJ70" s="67"/>
      <c r="AK70" s="67"/>
      <c r="AL70" s="225"/>
      <c r="AN70" s="274">
        <f t="shared" si="3"/>
        <v>0</v>
      </c>
    </row>
    <row r="71" spans="1:40" ht="15" customHeight="1">
      <c r="A71" s="198">
        <v>2092</v>
      </c>
      <c r="B71" s="2">
        <v>103209</v>
      </c>
      <c r="C71" s="2" t="s">
        <v>167</v>
      </c>
      <c r="D71" s="2" t="s">
        <v>168</v>
      </c>
      <c r="E71" s="190" t="s">
        <v>39</v>
      </c>
      <c r="F71" s="211" t="str">
        <f>VLOOKUP(A71,'Summary June 2026'!A:F,6,FALSE)</f>
        <v>Chq Bk</v>
      </c>
      <c r="H71" s="224"/>
      <c r="I71" s="67"/>
      <c r="J71" s="67"/>
      <c r="M71" s="67"/>
      <c r="N71" s="67"/>
      <c r="O71" s="67"/>
      <c r="P71" s="67"/>
      <c r="Q71" s="67"/>
      <c r="R71" s="67"/>
      <c r="S71" s="67"/>
      <c r="T71" s="67"/>
      <c r="U71" s="67"/>
      <c r="W71" s="274">
        <f t="shared" si="2"/>
        <v>0</v>
      </c>
      <c r="Y71" s="224"/>
      <c r="Z71" s="67"/>
      <c r="AA71" s="67"/>
      <c r="AB71" s="67"/>
      <c r="AC71" s="67"/>
      <c r="AD71" s="67"/>
      <c r="AE71" s="225"/>
      <c r="AH71" s="337">
        <v>0</v>
      </c>
      <c r="AI71" s="67"/>
      <c r="AJ71" s="67"/>
      <c r="AK71" s="67"/>
      <c r="AL71" s="225"/>
      <c r="AN71" s="274">
        <f t="shared" si="3"/>
        <v>0</v>
      </c>
    </row>
    <row r="72" spans="1:40" ht="15" customHeight="1">
      <c r="A72" s="198">
        <v>7006</v>
      </c>
      <c r="B72" s="2">
        <v>103600</v>
      </c>
      <c r="C72" s="2" t="s">
        <v>169</v>
      </c>
      <c r="D72" s="2" t="s">
        <v>170</v>
      </c>
      <c r="E72" s="190" t="s">
        <v>56</v>
      </c>
      <c r="F72" s="211" t="str">
        <f>VLOOKUP(A72,'Summary June 2026'!A:F,6,FALSE)</f>
        <v>Chq Bk</v>
      </c>
      <c r="H72" s="224"/>
      <c r="I72" s="67"/>
      <c r="J72" s="67"/>
      <c r="M72" s="67"/>
      <c r="N72" s="67"/>
      <c r="O72" s="67"/>
      <c r="P72" s="67"/>
      <c r="Q72" s="67"/>
      <c r="R72" s="67"/>
      <c r="S72" s="67"/>
      <c r="T72" s="67"/>
      <c r="U72" s="67"/>
      <c r="W72" s="274">
        <f t="shared" si="2"/>
        <v>0</v>
      </c>
      <c r="Y72" s="224"/>
      <c r="Z72" s="67"/>
      <c r="AA72" s="67"/>
      <c r="AB72" s="67"/>
      <c r="AC72" s="67"/>
      <c r="AD72" s="67"/>
      <c r="AE72" s="225"/>
      <c r="AH72" s="337">
        <v>0</v>
      </c>
      <c r="AI72" s="67"/>
      <c r="AJ72" s="67"/>
      <c r="AK72" s="67"/>
      <c r="AL72" s="225"/>
      <c r="AN72" s="274">
        <f t="shared" si="3"/>
        <v>0</v>
      </c>
    </row>
    <row r="73" spans="1:40" ht="15" customHeight="1">
      <c r="A73" s="198">
        <v>2477</v>
      </c>
      <c r="B73" s="2">
        <v>132261</v>
      </c>
      <c r="C73" s="2" t="s">
        <v>171</v>
      </c>
      <c r="D73" s="2" t="s">
        <v>172</v>
      </c>
      <c r="E73" s="190" t="s">
        <v>39</v>
      </c>
      <c r="F73" s="211" t="str">
        <f>VLOOKUP(A73,'Summary June 2026'!A:F,6,FALSE)</f>
        <v>Chq Bk</v>
      </c>
      <c r="H73" s="224"/>
      <c r="I73" s="67"/>
      <c r="J73" s="67"/>
      <c r="M73" s="67"/>
      <c r="N73" s="67"/>
      <c r="O73" s="67"/>
      <c r="P73" s="67"/>
      <c r="Q73" s="67"/>
      <c r="R73" s="67"/>
      <c r="S73" s="67"/>
      <c r="T73" s="67"/>
      <c r="U73" s="67"/>
      <c r="W73" s="274">
        <f t="shared" si="2"/>
        <v>0</v>
      </c>
      <c r="Y73" s="224"/>
      <c r="Z73" s="67"/>
      <c r="AA73" s="67"/>
      <c r="AB73" s="67"/>
      <c r="AC73" s="67"/>
      <c r="AD73" s="67"/>
      <c r="AE73" s="225"/>
      <c r="AH73" s="337">
        <v>0</v>
      </c>
      <c r="AI73" s="67"/>
      <c r="AJ73" s="67"/>
      <c r="AK73" s="67"/>
      <c r="AL73" s="225"/>
      <c r="AN73" s="274">
        <f t="shared" si="3"/>
        <v>0</v>
      </c>
    </row>
    <row r="74" spans="1:40" ht="15" customHeight="1">
      <c r="A74" s="198">
        <v>3436</v>
      </c>
      <c r="B74" s="2">
        <v>136440</v>
      </c>
      <c r="C74" s="2" t="s">
        <v>173</v>
      </c>
      <c r="D74" s="2" t="s">
        <v>174</v>
      </c>
      <c r="E74" s="190" t="s">
        <v>39</v>
      </c>
      <c r="F74" s="211" t="str">
        <f>VLOOKUP(A74,'Summary June 2026'!A:F,6,FALSE)</f>
        <v>Chq Bk</v>
      </c>
      <c r="H74" s="224"/>
      <c r="I74" s="67"/>
      <c r="J74" s="67"/>
      <c r="M74" s="67"/>
      <c r="N74" s="67"/>
      <c r="O74" s="67"/>
      <c r="P74" s="67"/>
      <c r="Q74" s="67"/>
      <c r="R74" s="67"/>
      <c r="S74" s="67"/>
      <c r="T74" s="67"/>
      <c r="U74" s="67"/>
      <c r="W74" s="274">
        <f t="shared" si="2"/>
        <v>0</v>
      </c>
      <c r="Y74" s="224"/>
      <c r="Z74" s="67"/>
      <c r="AA74" s="67"/>
      <c r="AB74" s="67"/>
      <c r="AC74" s="67"/>
      <c r="AD74" s="67"/>
      <c r="AE74" s="225"/>
      <c r="AH74" s="337">
        <v>0</v>
      </c>
      <c r="AI74" s="67"/>
      <c r="AJ74" s="67"/>
      <c r="AK74" s="67"/>
      <c r="AL74" s="225"/>
      <c r="AN74" s="274">
        <f t="shared" si="3"/>
        <v>0</v>
      </c>
    </row>
    <row r="75" spans="1:40" ht="15" customHeight="1">
      <c r="A75" s="198">
        <v>2099</v>
      </c>
      <c r="B75" s="2">
        <v>103214</v>
      </c>
      <c r="C75" s="2" t="s">
        <v>175</v>
      </c>
      <c r="D75" s="2" t="s">
        <v>176</v>
      </c>
      <c r="E75" s="190" t="s">
        <v>39</v>
      </c>
      <c r="F75" s="211" t="str">
        <f>VLOOKUP(A75,'Summary June 2026'!A:F,6,FALSE)</f>
        <v>Chq Bk</v>
      </c>
      <c r="H75" s="740"/>
      <c r="I75" s="67"/>
      <c r="J75" s="67"/>
      <c r="M75" s="67"/>
      <c r="N75" s="67"/>
      <c r="O75" s="67"/>
      <c r="P75" s="67"/>
      <c r="Q75" s="67"/>
      <c r="R75" s="67"/>
      <c r="S75" s="67"/>
      <c r="T75" s="67"/>
      <c r="U75" s="67"/>
      <c r="W75" s="274">
        <f t="shared" si="2"/>
        <v>0</v>
      </c>
      <c r="Y75" s="224"/>
      <c r="Z75" s="67"/>
      <c r="AA75" s="67"/>
      <c r="AB75" s="67"/>
      <c r="AC75" s="67"/>
      <c r="AD75" s="67"/>
      <c r="AE75" s="225"/>
      <c r="AH75" s="337">
        <v>-2800</v>
      </c>
      <c r="AI75" s="67"/>
      <c r="AJ75" s="67"/>
      <c r="AK75" s="67"/>
      <c r="AL75" s="225"/>
      <c r="AN75" s="274">
        <f t="shared" si="3"/>
        <v>-2800</v>
      </c>
    </row>
    <row r="76" spans="1:40" ht="15" customHeight="1">
      <c r="A76" s="198">
        <v>1010</v>
      </c>
      <c r="B76" s="2">
        <v>103125</v>
      </c>
      <c r="C76" s="2" t="s">
        <v>177</v>
      </c>
      <c r="D76" s="2" t="s">
        <v>178</v>
      </c>
      <c r="E76" s="190" t="s">
        <v>36</v>
      </c>
      <c r="F76" s="211" t="str">
        <f>VLOOKUP(A76,'Summary June 2026'!A:F,6,FALSE)</f>
        <v>Chq Bk</v>
      </c>
      <c r="H76" s="224"/>
      <c r="I76" s="67"/>
      <c r="J76" s="67"/>
      <c r="M76" s="67"/>
      <c r="N76" s="67"/>
      <c r="O76" s="67"/>
      <c r="P76" s="67"/>
      <c r="Q76" s="67"/>
      <c r="R76" s="67"/>
      <c r="S76" s="67"/>
      <c r="T76" s="67"/>
      <c r="U76" s="67"/>
      <c r="W76" s="274">
        <f t="shared" si="2"/>
        <v>0</v>
      </c>
      <c r="Y76" s="224"/>
      <c r="Z76" s="67"/>
      <c r="AA76" s="67"/>
      <c r="AB76" s="67"/>
      <c r="AC76" s="67"/>
      <c r="AD76" s="67"/>
      <c r="AE76" s="225"/>
      <c r="AH76" s="337">
        <v>0</v>
      </c>
      <c r="AI76" s="67"/>
      <c r="AJ76" s="67"/>
      <c r="AK76" s="67"/>
      <c r="AL76" s="225"/>
      <c r="AN76" s="274">
        <f t="shared" si="3"/>
        <v>0</v>
      </c>
    </row>
    <row r="77" spans="1:40" ht="15" customHeight="1">
      <c r="A77" s="198">
        <v>1021</v>
      </c>
      <c r="B77" s="2">
        <v>103134</v>
      </c>
      <c r="C77" s="2" t="s">
        <v>179</v>
      </c>
      <c r="D77" s="2" t="s">
        <v>180</v>
      </c>
      <c r="E77" s="190" t="s">
        <v>36</v>
      </c>
      <c r="F77" s="211" t="str">
        <f>VLOOKUP(A77,'Summary June 2026'!A:F,6,FALSE)</f>
        <v>Chq Bk</v>
      </c>
      <c r="H77" s="224"/>
      <c r="I77" s="67"/>
      <c r="J77" s="67"/>
      <c r="M77" s="67"/>
      <c r="N77" s="67"/>
      <c r="O77" s="67"/>
      <c r="P77" s="67"/>
      <c r="Q77" s="67"/>
      <c r="R77" s="67"/>
      <c r="S77" s="67"/>
      <c r="T77" s="67"/>
      <c r="U77" s="67"/>
      <c r="W77" s="274">
        <f t="shared" si="2"/>
        <v>0</v>
      </c>
      <c r="Y77" s="224"/>
      <c r="Z77" s="67"/>
      <c r="AA77" s="67"/>
      <c r="AB77" s="67"/>
      <c r="AC77" s="67"/>
      <c r="AD77" s="67"/>
      <c r="AE77" s="225"/>
      <c r="AH77" s="337">
        <v>0</v>
      </c>
      <c r="AI77" s="67"/>
      <c r="AJ77" s="67"/>
      <c r="AK77" s="67"/>
      <c r="AL77" s="225"/>
      <c r="AN77" s="274">
        <f t="shared" si="3"/>
        <v>0</v>
      </c>
    </row>
    <row r="78" spans="1:40" ht="15" customHeight="1">
      <c r="A78" s="198">
        <v>4201</v>
      </c>
      <c r="B78" s="2">
        <v>103503</v>
      </c>
      <c r="C78" s="2" t="s">
        <v>181</v>
      </c>
      <c r="D78" s="2" t="s">
        <v>182</v>
      </c>
      <c r="E78" s="190" t="s">
        <v>71</v>
      </c>
      <c r="F78" s="211" t="str">
        <f>VLOOKUP(A78,'Summary June 2026'!A:F,6,FALSE)</f>
        <v>Chq Bk</v>
      </c>
      <c r="H78" s="224"/>
      <c r="I78" s="67"/>
      <c r="J78" s="67"/>
      <c r="M78" s="67"/>
      <c r="N78" s="67"/>
      <c r="O78" s="67"/>
      <c r="P78" s="67"/>
      <c r="Q78" s="67"/>
      <c r="R78" s="67"/>
      <c r="S78" s="67"/>
      <c r="T78" s="67"/>
      <c r="U78" s="67"/>
      <c r="W78" s="274">
        <f t="shared" si="2"/>
        <v>0</v>
      </c>
      <c r="Y78" s="224"/>
      <c r="Z78" s="67"/>
      <c r="AA78" s="67"/>
      <c r="AB78" s="67"/>
      <c r="AC78" s="67"/>
      <c r="AD78" s="67"/>
      <c r="AE78" s="225"/>
      <c r="AH78" s="337">
        <v>-5370</v>
      </c>
      <c r="AI78" s="67"/>
      <c r="AJ78" s="67"/>
      <c r="AK78" s="67"/>
      <c r="AL78" s="225"/>
      <c r="AN78" s="274">
        <f t="shared" si="3"/>
        <v>-5370</v>
      </c>
    </row>
    <row r="79" spans="1:40" ht="15" customHeight="1">
      <c r="A79" s="198">
        <v>4015</v>
      </c>
      <c r="B79" s="2">
        <v>103483</v>
      </c>
      <c r="C79" s="2" t="s">
        <v>183</v>
      </c>
      <c r="D79" s="2" t="s">
        <v>184</v>
      </c>
      <c r="E79" s="190" t="s">
        <v>71</v>
      </c>
      <c r="F79" s="211" t="str">
        <f>VLOOKUP(A79,'Summary June 2026'!A:F,6,FALSE)</f>
        <v>Chq Bk</v>
      </c>
      <c r="H79" s="224"/>
      <c r="I79" s="67"/>
      <c r="J79" s="67"/>
      <c r="M79" s="67"/>
      <c r="N79" s="67"/>
      <c r="O79" s="67"/>
      <c r="P79" s="67"/>
      <c r="Q79" s="67"/>
      <c r="R79" s="67"/>
      <c r="S79" s="67"/>
      <c r="T79" s="67"/>
      <c r="U79" s="67"/>
      <c r="W79" s="274">
        <f t="shared" si="2"/>
        <v>0</v>
      </c>
      <c r="Y79" s="224"/>
      <c r="Z79" s="67"/>
      <c r="AA79" s="67"/>
      <c r="AB79" s="67"/>
      <c r="AC79" s="67"/>
      <c r="AD79" s="67"/>
      <c r="AE79" s="225"/>
      <c r="AH79" s="337">
        <v>0</v>
      </c>
      <c r="AI79" s="67"/>
      <c r="AJ79" s="67"/>
      <c r="AK79" s="67"/>
      <c r="AL79" s="225"/>
      <c r="AN79" s="274">
        <f t="shared" si="3"/>
        <v>0</v>
      </c>
    </row>
    <row r="80" spans="1:40" ht="15" customHeight="1">
      <c r="A80" s="198">
        <v>3411</v>
      </c>
      <c r="B80" s="2">
        <v>103479</v>
      </c>
      <c r="C80" s="2" t="s">
        <v>185</v>
      </c>
      <c r="D80" s="2" t="s">
        <v>186</v>
      </c>
      <c r="E80" s="190" t="s">
        <v>39</v>
      </c>
      <c r="F80" s="211" t="str">
        <f>VLOOKUP(A80,'Summary June 2026'!A:F,6,FALSE)</f>
        <v>Chq Bk</v>
      </c>
      <c r="H80" s="224"/>
      <c r="I80" s="67"/>
      <c r="J80" s="67"/>
      <c r="M80" s="67"/>
      <c r="N80" s="67"/>
      <c r="O80" s="67"/>
      <c r="P80" s="67"/>
      <c r="Q80" s="67"/>
      <c r="R80" s="67"/>
      <c r="S80" s="67"/>
      <c r="T80" s="67"/>
      <c r="U80" s="67"/>
      <c r="W80" s="274">
        <f t="shared" si="2"/>
        <v>0</v>
      </c>
      <c r="Y80" s="224"/>
      <c r="Z80" s="67"/>
      <c r="AA80" s="67"/>
      <c r="AB80" s="67"/>
      <c r="AC80" s="67"/>
      <c r="AD80" s="67"/>
      <c r="AE80" s="225"/>
      <c r="AH80" s="337">
        <v>0</v>
      </c>
      <c r="AI80" s="67"/>
      <c r="AJ80" s="67"/>
      <c r="AK80" s="67"/>
      <c r="AL80" s="225"/>
      <c r="AN80" s="274">
        <f t="shared" si="3"/>
        <v>0</v>
      </c>
    </row>
    <row r="81" spans="1:40" ht="15" customHeight="1">
      <c r="A81" s="198">
        <v>2474</v>
      </c>
      <c r="B81" s="2">
        <v>131672</v>
      </c>
      <c r="C81" s="2" t="s">
        <v>187</v>
      </c>
      <c r="D81" s="2" t="s">
        <v>188</v>
      </c>
      <c r="E81" s="190" t="s">
        <v>39</v>
      </c>
      <c r="F81" s="211" t="str">
        <f>VLOOKUP(A81,'Summary June 2026'!A:F,6,FALSE)</f>
        <v>Chq Bk</v>
      </c>
      <c r="H81" s="224"/>
      <c r="I81" s="67"/>
      <c r="J81" s="67"/>
      <c r="M81" s="67"/>
      <c r="N81" s="67"/>
      <c r="O81" s="67"/>
      <c r="P81" s="67"/>
      <c r="Q81" s="67"/>
      <c r="R81" s="67"/>
      <c r="S81" s="67"/>
      <c r="T81" s="67"/>
      <c r="U81" s="67"/>
      <c r="W81" s="274">
        <f t="shared" si="2"/>
        <v>0</v>
      </c>
      <c r="Y81" s="224"/>
      <c r="Z81" s="67"/>
      <c r="AA81" s="67"/>
      <c r="AB81" s="67"/>
      <c r="AC81" s="67"/>
      <c r="AD81" s="67"/>
      <c r="AE81" s="225"/>
      <c r="AH81" s="337">
        <v>0</v>
      </c>
      <c r="AI81" s="67"/>
      <c r="AJ81" s="67"/>
      <c r="AK81" s="67"/>
      <c r="AL81" s="225"/>
      <c r="AN81" s="274">
        <f t="shared" si="3"/>
        <v>0</v>
      </c>
    </row>
    <row r="82" spans="1:40" ht="15" customHeight="1">
      <c r="A82" s="198">
        <v>4223</v>
      </c>
      <c r="B82" s="2">
        <v>103509</v>
      </c>
      <c r="C82" s="2" t="s">
        <v>189</v>
      </c>
      <c r="D82" s="2" t="s">
        <v>190</v>
      </c>
      <c r="E82" s="190" t="s">
        <v>71</v>
      </c>
      <c r="F82" s="211" t="str">
        <f>VLOOKUP(A82,'Summary June 2026'!A:F,6,FALSE)</f>
        <v>Chq Bk</v>
      </c>
      <c r="H82" s="224"/>
      <c r="I82" s="67"/>
      <c r="J82" s="67"/>
      <c r="M82" s="67"/>
      <c r="N82" s="67"/>
      <c r="O82" s="67"/>
      <c r="P82" s="67"/>
      <c r="Q82" s="67"/>
      <c r="R82" s="67"/>
      <c r="S82" s="67"/>
      <c r="T82" s="67"/>
      <c r="U82" s="67"/>
      <c r="W82" s="274">
        <f t="shared" si="2"/>
        <v>0</v>
      </c>
      <c r="Y82" s="224"/>
      <c r="Z82" s="67"/>
      <c r="AA82" s="67"/>
      <c r="AB82" s="67"/>
      <c r="AC82" s="67"/>
      <c r="AD82" s="67"/>
      <c r="AE82" s="225"/>
      <c r="AH82" s="337">
        <v>-5220</v>
      </c>
      <c r="AI82" s="67"/>
      <c r="AJ82" s="67"/>
      <c r="AK82" s="67"/>
      <c r="AL82" s="225"/>
      <c r="AN82" s="274">
        <f t="shared" si="3"/>
        <v>-5220</v>
      </c>
    </row>
    <row r="83" spans="1:40" ht="15" customHeight="1">
      <c r="A83" s="198">
        <v>3317</v>
      </c>
      <c r="B83" s="2">
        <v>103421</v>
      </c>
      <c r="C83" s="2" t="s">
        <v>191</v>
      </c>
      <c r="D83" s="2" t="s">
        <v>192</v>
      </c>
      <c r="E83" s="190" t="s">
        <v>39</v>
      </c>
      <c r="F83" s="211" t="str">
        <f>VLOOKUP(A83,'Summary June 2026'!A:F,6,FALSE)</f>
        <v>Chq Bk</v>
      </c>
      <c r="H83" s="224"/>
      <c r="I83" s="67"/>
      <c r="J83" s="67"/>
      <c r="M83" s="67"/>
      <c r="N83" s="67"/>
      <c r="O83" s="67"/>
      <c r="P83" s="67"/>
      <c r="Q83" s="67"/>
      <c r="R83" s="67"/>
      <c r="S83" s="67"/>
      <c r="T83" s="67"/>
      <c r="U83" s="67"/>
      <c r="W83" s="274">
        <f t="shared" si="2"/>
        <v>0</v>
      </c>
      <c r="Y83" s="224"/>
      <c r="Z83" s="67"/>
      <c r="AA83" s="67"/>
      <c r="AB83" s="67"/>
      <c r="AC83" s="67"/>
      <c r="AD83" s="67"/>
      <c r="AE83" s="225"/>
      <c r="AH83" s="337">
        <v>0</v>
      </c>
      <c r="AI83" s="67"/>
      <c r="AJ83" s="67"/>
      <c r="AK83" s="67"/>
      <c r="AL83" s="225"/>
      <c r="AN83" s="274">
        <f t="shared" si="3"/>
        <v>0</v>
      </c>
    </row>
    <row r="84" spans="1:40" ht="15" customHeight="1">
      <c r="A84" s="198">
        <v>1023</v>
      </c>
      <c r="B84" s="2">
        <v>103136</v>
      </c>
      <c r="C84" s="2" t="s">
        <v>193</v>
      </c>
      <c r="D84" s="2" t="s">
        <v>194</v>
      </c>
      <c r="E84" s="190" t="s">
        <v>36</v>
      </c>
      <c r="F84" s="211" t="str">
        <f>VLOOKUP(A84,'Summary June 2026'!A:F,6,FALSE)</f>
        <v>Chq Bk</v>
      </c>
      <c r="H84" s="224"/>
      <c r="I84" s="67"/>
      <c r="J84" s="67"/>
      <c r="M84" s="67"/>
      <c r="N84" s="67"/>
      <c r="O84" s="67"/>
      <c r="P84" s="67"/>
      <c r="Q84" s="67"/>
      <c r="R84" s="67"/>
      <c r="S84" s="67"/>
      <c r="T84" s="67"/>
      <c r="U84" s="67"/>
      <c r="W84" s="274">
        <f t="shared" si="2"/>
        <v>0</v>
      </c>
      <c r="Y84" s="224"/>
      <c r="Z84" s="67"/>
      <c r="AA84" s="67"/>
      <c r="AB84" s="67"/>
      <c r="AC84" s="67"/>
      <c r="AD84" s="67"/>
      <c r="AE84" s="225"/>
      <c r="AH84" s="337">
        <v>0</v>
      </c>
      <c r="AI84" s="67"/>
      <c r="AJ84" s="67"/>
      <c r="AK84" s="67"/>
      <c r="AL84" s="225"/>
      <c r="AN84" s="274">
        <f t="shared" si="3"/>
        <v>0</v>
      </c>
    </row>
    <row r="85" spans="1:40" ht="15" customHeight="1">
      <c r="A85" s="198">
        <v>2015</v>
      </c>
      <c r="B85" s="2">
        <v>134102</v>
      </c>
      <c r="C85" s="2" t="s">
        <v>195</v>
      </c>
      <c r="D85" s="2" t="s">
        <v>196</v>
      </c>
      <c r="E85" s="190" t="s">
        <v>39</v>
      </c>
      <c r="F85" s="211" t="str">
        <f>VLOOKUP(A85,'Summary June 2026'!A:F,6,FALSE)</f>
        <v>Chq Bk</v>
      </c>
      <c r="H85" s="224"/>
      <c r="I85" s="67"/>
      <c r="J85" s="67"/>
      <c r="M85" s="67"/>
      <c r="N85" s="67"/>
      <c r="O85" s="67"/>
      <c r="P85" s="67"/>
      <c r="Q85" s="67"/>
      <c r="R85" s="67"/>
      <c r="S85" s="67"/>
      <c r="T85" s="67"/>
      <c r="U85" s="67"/>
      <c r="W85" s="274">
        <f t="shared" si="2"/>
        <v>0</v>
      </c>
      <c r="Y85" s="224"/>
      <c r="Z85" s="67"/>
      <c r="AA85" s="67"/>
      <c r="AB85" s="67"/>
      <c r="AC85" s="67"/>
      <c r="AD85" s="67"/>
      <c r="AE85" s="225"/>
      <c r="AH85" s="337">
        <v>0</v>
      </c>
      <c r="AI85" s="67"/>
      <c r="AJ85" s="67"/>
      <c r="AK85" s="67"/>
      <c r="AL85" s="225"/>
      <c r="AN85" s="274">
        <f t="shared" si="3"/>
        <v>0</v>
      </c>
    </row>
    <row r="86" spans="1:40" ht="15" customHeight="1">
      <c r="A86" s="198">
        <v>3352</v>
      </c>
      <c r="B86" s="2">
        <v>103444</v>
      </c>
      <c r="C86" s="2" t="s">
        <v>197</v>
      </c>
      <c r="D86" s="2" t="s">
        <v>198</v>
      </c>
      <c r="E86" s="190" t="s">
        <v>39</v>
      </c>
      <c r="F86" s="211" t="str">
        <f>VLOOKUP(A86,'Summary June 2026'!A:F,6,FALSE)</f>
        <v>Chq Bk</v>
      </c>
      <c r="H86" s="224"/>
      <c r="I86" s="67"/>
      <c r="J86" s="67"/>
      <c r="M86" s="67"/>
      <c r="N86" s="67"/>
      <c r="O86" s="67"/>
      <c r="P86" s="67"/>
      <c r="Q86" s="67"/>
      <c r="R86" s="67"/>
      <c r="S86" s="67"/>
      <c r="T86" s="67"/>
      <c r="U86" s="67"/>
      <c r="W86" s="274">
        <f t="shared" si="2"/>
        <v>0</v>
      </c>
      <c r="Y86" s="224"/>
      <c r="Z86" s="67"/>
      <c r="AA86" s="67"/>
      <c r="AB86" s="67"/>
      <c r="AC86" s="67"/>
      <c r="AD86" s="67"/>
      <c r="AE86" s="225"/>
      <c r="AH86" s="337">
        <v>0</v>
      </c>
      <c r="AI86" s="67"/>
      <c r="AJ86" s="67"/>
      <c r="AK86" s="67"/>
      <c r="AL86" s="225"/>
      <c r="AN86" s="274">
        <f t="shared" si="3"/>
        <v>0</v>
      </c>
    </row>
    <row r="87" spans="1:40" ht="15" customHeight="1">
      <c r="A87" s="198">
        <v>2005</v>
      </c>
      <c r="B87" s="2">
        <v>134098</v>
      </c>
      <c r="C87" s="2" t="s">
        <v>199</v>
      </c>
      <c r="D87" s="2" t="s">
        <v>200</v>
      </c>
      <c r="E87" s="190" t="s">
        <v>39</v>
      </c>
      <c r="F87" s="211" t="str">
        <f>VLOOKUP(A87,'Summary June 2026'!A:F,6,FALSE)</f>
        <v>Chq Bk</v>
      </c>
      <c r="H87" s="224"/>
      <c r="I87" s="67"/>
      <c r="J87" s="67"/>
      <c r="M87" s="67"/>
      <c r="N87" s="67"/>
      <c r="O87" s="67"/>
      <c r="P87" s="67"/>
      <c r="Q87" s="67"/>
      <c r="R87" s="67"/>
      <c r="S87" s="67"/>
      <c r="T87" s="67"/>
      <c r="U87" s="67"/>
      <c r="W87" s="274">
        <f t="shared" si="2"/>
        <v>0</v>
      </c>
      <c r="Y87" s="224"/>
      <c r="Z87" s="67"/>
      <c r="AA87" s="67"/>
      <c r="AB87" s="67"/>
      <c r="AC87" s="67"/>
      <c r="AD87" s="67"/>
      <c r="AE87" s="225"/>
      <c r="AH87" s="337">
        <v>0</v>
      </c>
      <c r="AI87" s="67"/>
      <c r="AJ87" s="67"/>
      <c r="AK87" s="67"/>
      <c r="AL87" s="225"/>
      <c r="AN87" s="274">
        <f t="shared" si="3"/>
        <v>0</v>
      </c>
    </row>
    <row r="88" spans="1:40" ht="15" customHeight="1">
      <c r="A88" s="198">
        <v>4063</v>
      </c>
      <c r="B88" s="2">
        <v>103486</v>
      </c>
      <c r="C88" s="2" t="s">
        <v>201</v>
      </c>
      <c r="D88" s="2" t="s">
        <v>202</v>
      </c>
      <c r="E88" s="190" t="s">
        <v>71</v>
      </c>
      <c r="F88" s="211" t="str">
        <f>VLOOKUP(A88,'Summary June 2026'!A:F,6,FALSE)</f>
        <v>Chq Bk</v>
      </c>
      <c r="H88" s="224"/>
      <c r="I88" s="67"/>
      <c r="J88" s="67"/>
      <c r="M88" s="67"/>
      <c r="N88" s="67"/>
      <c r="O88" s="67"/>
      <c r="P88" s="67"/>
      <c r="Q88" s="67"/>
      <c r="R88" s="67"/>
      <c r="S88" s="67"/>
      <c r="T88" s="67"/>
      <c r="U88" s="67"/>
      <c r="W88" s="274">
        <f t="shared" si="2"/>
        <v>0</v>
      </c>
      <c r="Y88" s="224"/>
      <c r="Z88" s="67"/>
      <c r="AA88" s="67"/>
      <c r="AB88" s="67"/>
      <c r="AC88" s="67"/>
      <c r="AD88" s="67"/>
      <c r="AE88" s="225"/>
      <c r="AH88" s="337">
        <v>0</v>
      </c>
      <c r="AI88" s="67"/>
      <c r="AJ88" s="67"/>
      <c r="AK88" s="67"/>
      <c r="AL88" s="225"/>
      <c r="AN88" s="274">
        <f t="shared" si="3"/>
        <v>0</v>
      </c>
    </row>
    <row r="89" spans="1:40" ht="15" customHeight="1">
      <c r="A89" s="198">
        <v>1016</v>
      </c>
      <c r="B89" s="2">
        <v>103129</v>
      </c>
      <c r="C89" s="2" t="s">
        <v>203</v>
      </c>
      <c r="D89" s="2" t="s">
        <v>204</v>
      </c>
      <c r="E89" s="190" t="s">
        <v>36</v>
      </c>
      <c r="F89" s="211" t="str">
        <f>VLOOKUP(A89,'Summary June 2026'!A:F,6,FALSE)</f>
        <v>Chq Bk</v>
      </c>
      <c r="H89" s="224"/>
      <c r="I89" s="67"/>
      <c r="J89" s="67"/>
      <c r="M89" s="67"/>
      <c r="N89" s="67"/>
      <c r="O89" s="67"/>
      <c r="P89" s="67"/>
      <c r="Q89" s="67"/>
      <c r="R89" s="67"/>
      <c r="S89" s="67"/>
      <c r="T89" s="67"/>
      <c r="U89" s="67"/>
      <c r="W89" s="274">
        <f t="shared" si="2"/>
        <v>0</v>
      </c>
      <c r="Y89" s="224"/>
      <c r="Z89" s="67"/>
      <c r="AA89" s="67"/>
      <c r="AB89" s="67"/>
      <c r="AC89" s="67"/>
      <c r="AD89" s="67"/>
      <c r="AE89" s="225"/>
      <c r="AH89" s="337">
        <v>0</v>
      </c>
      <c r="AI89" s="67"/>
      <c r="AJ89" s="67"/>
      <c r="AK89" s="67"/>
      <c r="AL89" s="225"/>
      <c r="AN89" s="274">
        <f t="shared" si="3"/>
        <v>0</v>
      </c>
    </row>
    <row r="90" spans="1:40" ht="15" customHeight="1">
      <c r="A90" s="198">
        <v>2115</v>
      </c>
      <c r="B90" s="2">
        <v>103221</v>
      </c>
      <c r="C90" s="2" t="s">
        <v>205</v>
      </c>
      <c r="D90" s="2" t="s">
        <v>206</v>
      </c>
      <c r="E90" s="190" t="s">
        <v>39</v>
      </c>
      <c r="F90" s="211" t="str">
        <f>VLOOKUP(A90,'Summary June 2026'!A:F,6,FALSE)</f>
        <v>Chq Bk</v>
      </c>
      <c r="H90" s="224"/>
      <c r="I90" s="67"/>
      <c r="J90" s="67"/>
      <c r="M90" s="67"/>
      <c r="N90" s="67"/>
      <c r="O90" s="67"/>
      <c r="P90" s="67"/>
      <c r="Q90" s="67"/>
      <c r="R90" s="67"/>
      <c r="S90" s="67"/>
      <c r="T90" s="67"/>
      <c r="U90" s="67"/>
      <c r="W90" s="274">
        <f t="shared" si="2"/>
        <v>0</v>
      </c>
      <c r="Y90" s="224"/>
      <c r="Z90" s="67"/>
      <c r="AA90" s="67"/>
      <c r="AB90" s="67"/>
      <c r="AC90" s="67"/>
      <c r="AD90" s="67"/>
      <c r="AE90" s="225"/>
      <c r="AH90" s="337">
        <v>0</v>
      </c>
      <c r="AI90" s="67"/>
      <c r="AJ90" s="67"/>
      <c r="AK90" s="67"/>
      <c r="AL90" s="225"/>
      <c r="AN90" s="274">
        <f t="shared" si="3"/>
        <v>0</v>
      </c>
    </row>
    <row r="91" spans="1:40" ht="15" customHeight="1">
      <c r="A91" s="198">
        <v>2441</v>
      </c>
      <c r="B91" s="2">
        <v>103368</v>
      </c>
      <c r="C91" s="2" t="s">
        <v>207</v>
      </c>
      <c r="D91" s="2" t="s">
        <v>208</v>
      </c>
      <c r="E91" s="190" t="s">
        <v>39</v>
      </c>
      <c r="F91" s="211" t="str">
        <f>VLOOKUP(A91,'Summary June 2026'!A:F,6,FALSE)</f>
        <v>Chq Bk</v>
      </c>
      <c r="H91" s="224"/>
      <c r="I91" s="67"/>
      <c r="J91" s="67"/>
      <c r="M91" s="67"/>
      <c r="N91" s="67"/>
      <c r="O91" s="67"/>
      <c r="P91" s="67"/>
      <c r="Q91" s="67"/>
      <c r="R91" s="67"/>
      <c r="S91" s="67"/>
      <c r="T91" s="67"/>
      <c r="U91" s="67"/>
      <c r="W91" s="274">
        <f t="shared" si="2"/>
        <v>0</v>
      </c>
      <c r="Y91" s="224"/>
      <c r="Z91" s="67"/>
      <c r="AA91" s="67"/>
      <c r="AB91" s="67"/>
      <c r="AC91" s="67"/>
      <c r="AD91" s="67"/>
      <c r="AE91" s="225"/>
      <c r="AH91" s="337">
        <v>0</v>
      </c>
      <c r="AI91" s="67"/>
      <c r="AJ91" s="67"/>
      <c r="AK91" s="67"/>
      <c r="AL91" s="225"/>
      <c r="AN91" s="274">
        <f t="shared" si="3"/>
        <v>0</v>
      </c>
    </row>
    <row r="92" spans="1:40" ht="15" customHeight="1">
      <c r="A92" s="198">
        <v>2321</v>
      </c>
      <c r="B92" s="2">
        <v>103339</v>
      </c>
      <c r="C92" s="2" t="s">
        <v>209</v>
      </c>
      <c r="D92" s="2" t="s">
        <v>210</v>
      </c>
      <c r="E92" s="190" t="s">
        <v>39</v>
      </c>
      <c r="F92" s="211" t="str">
        <f>VLOOKUP(A92,'Summary June 2026'!A:F,6,FALSE)</f>
        <v>Chq Bk</v>
      </c>
      <c r="H92" s="224"/>
      <c r="I92" s="67"/>
      <c r="J92" s="67"/>
      <c r="M92" s="67"/>
      <c r="N92" s="67"/>
      <c r="O92" s="67"/>
      <c r="P92" s="67"/>
      <c r="Q92" s="67"/>
      <c r="R92" s="67"/>
      <c r="S92" s="67"/>
      <c r="T92" s="67"/>
      <c r="U92" s="67"/>
      <c r="W92" s="274">
        <f t="shared" si="2"/>
        <v>0</v>
      </c>
      <c r="Y92" s="224"/>
      <c r="Z92" s="67"/>
      <c r="AA92" s="67"/>
      <c r="AB92" s="67"/>
      <c r="AC92" s="67"/>
      <c r="AD92" s="67"/>
      <c r="AE92" s="225"/>
      <c r="AH92" s="337">
        <v>0</v>
      </c>
      <c r="AI92" s="67"/>
      <c r="AJ92" s="67"/>
      <c r="AK92" s="67"/>
      <c r="AL92" s="225"/>
      <c r="AN92" s="274">
        <f t="shared" si="3"/>
        <v>0</v>
      </c>
    </row>
    <row r="93" spans="1:40" ht="15" customHeight="1">
      <c r="A93" s="198">
        <v>2189</v>
      </c>
      <c r="B93" s="2">
        <v>103265</v>
      </c>
      <c r="C93" s="2" t="s">
        <v>211</v>
      </c>
      <c r="D93" s="2" t="s">
        <v>212</v>
      </c>
      <c r="E93" s="190" t="s">
        <v>39</v>
      </c>
      <c r="F93" s="211" t="str">
        <f>VLOOKUP(A93,'Summary June 2026'!A:F,6,FALSE)</f>
        <v>Chq Bk</v>
      </c>
      <c r="H93" s="224"/>
      <c r="I93" s="67"/>
      <c r="J93" s="67"/>
      <c r="M93" s="67"/>
      <c r="N93" s="67"/>
      <c r="O93" s="67"/>
      <c r="P93" s="67"/>
      <c r="Q93" s="67"/>
      <c r="R93" s="67"/>
      <c r="S93" s="67"/>
      <c r="T93" s="67"/>
      <c r="U93" s="67"/>
      <c r="W93" s="274">
        <f t="shared" si="2"/>
        <v>0</v>
      </c>
      <c r="Y93" s="224"/>
      <c r="Z93" s="67"/>
      <c r="AA93" s="67"/>
      <c r="AB93" s="67"/>
      <c r="AC93" s="67"/>
      <c r="AD93" s="67"/>
      <c r="AE93" s="225"/>
      <c r="AH93" s="337">
        <v>0</v>
      </c>
      <c r="AI93" s="67"/>
      <c r="AJ93" s="67"/>
      <c r="AK93" s="67"/>
      <c r="AL93" s="225"/>
      <c r="AN93" s="274">
        <f t="shared" si="3"/>
        <v>0</v>
      </c>
    </row>
    <row r="94" spans="1:40" ht="15" customHeight="1">
      <c r="A94" s="198">
        <v>7060</v>
      </c>
      <c r="B94" s="2">
        <v>103630</v>
      </c>
      <c r="C94" s="2" t="s">
        <v>213</v>
      </c>
      <c r="D94" s="2" t="s">
        <v>214</v>
      </c>
      <c r="E94" s="190" t="s">
        <v>56</v>
      </c>
      <c r="F94" s="211" t="str">
        <f>VLOOKUP(A94,'Summary June 2026'!A:F,6,FALSE)</f>
        <v>Chq Bk</v>
      </c>
      <c r="H94" s="224"/>
      <c r="I94" s="67"/>
      <c r="J94" s="67"/>
      <c r="M94" s="67"/>
      <c r="N94" s="67"/>
      <c r="O94" s="67"/>
      <c r="P94" s="67"/>
      <c r="Q94" s="67"/>
      <c r="R94" s="67"/>
      <c r="S94" s="67"/>
      <c r="T94" s="67"/>
      <c r="U94" s="67"/>
      <c r="W94" s="274">
        <f>-SUMIFS($H94:$P94,$H$3:$P$3,W$6)-Q94</f>
        <v>0</v>
      </c>
      <c r="Y94" s="224"/>
      <c r="Z94" s="67"/>
      <c r="AA94" s="67"/>
      <c r="AB94" s="67"/>
      <c r="AC94" s="67"/>
      <c r="AD94" s="67"/>
      <c r="AE94" s="225"/>
      <c r="AH94" s="337">
        <v>0</v>
      </c>
      <c r="AI94" s="67"/>
      <c r="AJ94" s="67"/>
      <c r="AK94" s="67"/>
      <c r="AL94" s="225"/>
      <c r="AN94" s="274">
        <f t="shared" si="3"/>
        <v>0</v>
      </c>
    </row>
    <row r="95" spans="1:40" ht="15" customHeight="1">
      <c r="A95" s="198">
        <v>1024</v>
      </c>
      <c r="B95" s="2">
        <v>103137</v>
      </c>
      <c r="C95" s="2" t="s">
        <v>215</v>
      </c>
      <c r="D95" s="2" t="s">
        <v>216</v>
      </c>
      <c r="E95" s="190" t="s">
        <v>36</v>
      </c>
      <c r="F95" s="211" t="str">
        <f>VLOOKUP(A95,'Summary June 2026'!A:F,6,FALSE)</f>
        <v>Chq Bk</v>
      </c>
      <c r="H95" s="224"/>
      <c r="I95" s="67"/>
      <c r="J95" s="67"/>
      <c r="M95" s="67"/>
      <c r="N95" s="67"/>
      <c r="O95" s="67"/>
      <c r="P95" s="67"/>
      <c r="Q95" s="67"/>
      <c r="R95" s="67"/>
      <c r="S95" s="67"/>
      <c r="T95" s="67"/>
      <c r="U95" s="67"/>
      <c r="W95" s="274">
        <f t="shared" si="2"/>
        <v>0</v>
      </c>
      <c r="Y95" s="224"/>
      <c r="Z95" s="67"/>
      <c r="AA95" s="67"/>
      <c r="AB95" s="67"/>
      <c r="AC95" s="67"/>
      <c r="AD95" s="67"/>
      <c r="AE95" s="225"/>
      <c r="AH95" s="337">
        <v>0</v>
      </c>
      <c r="AI95" s="67"/>
      <c r="AJ95" s="67"/>
      <c r="AK95" s="67"/>
      <c r="AL95" s="225"/>
      <c r="AN95" s="274">
        <f t="shared" si="3"/>
        <v>0</v>
      </c>
    </row>
    <row r="96" spans="1:40" ht="15" customHeight="1">
      <c r="A96" s="198">
        <v>7062</v>
      </c>
      <c r="B96" s="2">
        <v>103632</v>
      </c>
      <c r="C96" s="2" t="s">
        <v>217</v>
      </c>
      <c r="D96" s="2" t="s">
        <v>218</v>
      </c>
      <c r="E96" s="190" t="s">
        <v>56</v>
      </c>
      <c r="F96" s="211" t="str">
        <f>VLOOKUP(A96,'Summary June 2026'!A:F,6,FALSE)</f>
        <v>Chq Bk</v>
      </c>
      <c r="H96" s="224"/>
      <c r="I96" s="67"/>
      <c r="J96" s="67"/>
      <c r="M96" s="67"/>
      <c r="N96" s="67"/>
      <c r="O96" s="67"/>
      <c r="P96" s="67"/>
      <c r="Q96" s="67"/>
      <c r="R96" s="67"/>
      <c r="S96" s="67"/>
      <c r="T96" s="67"/>
      <c r="U96" s="67"/>
      <c r="W96" s="274">
        <f t="shared" si="2"/>
        <v>0</v>
      </c>
      <c r="Y96" s="224"/>
      <c r="Z96" s="67"/>
      <c r="AA96" s="67"/>
      <c r="AB96" s="67"/>
      <c r="AC96" s="67"/>
      <c r="AD96" s="67"/>
      <c r="AE96" s="225"/>
      <c r="AH96" s="337">
        <v>0</v>
      </c>
      <c r="AI96" s="67"/>
      <c r="AJ96" s="67"/>
      <c r="AK96" s="67"/>
      <c r="AL96" s="225"/>
      <c r="AN96" s="274">
        <f t="shared" si="3"/>
        <v>0</v>
      </c>
    </row>
    <row r="97" spans="1:40" ht="15" customHeight="1">
      <c r="A97" s="198">
        <v>2462</v>
      </c>
      <c r="B97" s="2">
        <v>103388</v>
      </c>
      <c r="C97" s="2" t="s">
        <v>219</v>
      </c>
      <c r="D97" s="2" t="s">
        <v>220</v>
      </c>
      <c r="E97" s="190" t="s">
        <v>39</v>
      </c>
      <c r="F97" s="211" t="str">
        <f>VLOOKUP(A97,'Summary June 2026'!A:F,6,FALSE)</f>
        <v>Chq Bk</v>
      </c>
      <c r="H97" s="740"/>
      <c r="I97" s="67"/>
      <c r="J97" s="67"/>
      <c r="M97" s="67"/>
      <c r="N97" s="67"/>
      <c r="O97" s="67"/>
      <c r="P97" s="67"/>
      <c r="Q97" s="67"/>
      <c r="R97" s="67"/>
      <c r="S97" s="67"/>
      <c r="T97" s="67"/>
      <c r="U97" s="67"/>
      <c r="W97" s="274">
        <f t="shared" si="2"/>
        <v>0</v>
      </c>
      <c r="Y97" s="224"/>
      <c r="Z97" s="67"/>
      <c r="AA97" s="67"/>
      <c r="AB97" s="67"/>
      <c r="AC97" s="67"/>
      <c r="AD97" s="67"/>
      <c r="AE97" s="225"/>
      <c r="AH97" s="337">
        <v>0</v>
      </c>
      <c r="AI97" s="67"/>
      <c r="AJ97" s="67"/>
      <c r="AK97" s="67"/>
      <c r="AL97" s="225"/>
      <c r="AN97" s="274">
        <f t="shared" si="3"/>
        <v>0</v>
      </c>
    </row>
    <row r="98" spans="1:40" ht="15" customHeight="1">
      <c r="A98" s="198">
        <v>7012</v>
      </c>
      <c r="B98" s="2">
        <v>103603</v>
      </c>
      <c r="C98" s="2" t="s">
        <v>221</v>
      </c>
      <c r="D98" s="2" t="s">
        <v>222</v>
      </c>
      <c r="E98" s="190" t="s">
        <v>56</v>
      </c>
      <c r="F98" s="211" t="str">
        <f>VLOOKUP(A98,'Summary June 2026'!A:F,6,FALSE)</f>
        <v>Chq Bk</v>
      </c>
      <c r="H98" s="224"/>
      <c r="I98" s="67"/>
      <c r="J98" s="67"/>
      <c r="M98" s="67"/>
      <c r="N98" s="67"/>
      <c r="O98" s="67"/>
      <c r="P98" s="67"/>
      <c r="Q98" s="67"/>
      <c r="R98" s="67"/>
      <c r="S98" s="67"/>
      <c r="T98" s="67"/>
      <c r="U98" s="67"/>
      <c r="W98" s="274">
        <f t="shared" si="2"/>
        <v>0</v>
      </c>
      <c r="Y98" s="224"/>
      <c r="Z98" s="67"/>
      <c r="AA98" s="67"/>
      <c r="AB98" s="67"/>
      <c r="AC98" s="67"/>
      <c r="AD98" s="67"/>
      <c r="AE98" s="225"/>
      <c r="AH98" s="337">
        <v>0</v>
      </c>
      <c r="AI98" s="67"/>
      <c r="AJ98" s="67"/>
      <c r="AK98" s="67"/>
      <c r="AL98" s="225"/>
      <c r="AN98" s="274">
        <f t="shared" si="3"/>
        <v>0</v>
      </c>
    </row>
    <row r="99" spans="1:40" ht="15" customHeight="1">
      <c r="A99" s="198">
        <v>2127</v>
      </c>
      <c r="B99" s="2">
        <v>103227</v>
      </c>
      <c r="C99" s="2" t="s">
        <v>223</v>
      </c>
      <c r="D99" s="2" t="s">
        <v>224</v>
      </c>
      <c r="E99" s="190" t="s">
        <v>39</v>
      </c>
      <c r="F99" s="211" t="str">
        <f>VLOOKUP(A99,'Summary June 2026'!A:F,6,FALSE)</f>
        <v>Chq Bk</v>
      </c>
      <c r="H99" s="224"/>
      <c r="I99" s="67"/>
      <c r="J99" s="67"/>
      <c r="M99" s="67"/>
      <c r="N99" s="67"/>
      <c r="O99" s="67"/>
      <c r="P99" s="67"/>
      <c r="Q99" s="67"/>
      <c r="R99" s="67"/>
      <c r="S99" s="67"/>
      <c r="T99" s="67"/>
      <c r="U99" s="67"/>
      <c r="W99" s="274">
        <f t="shared" si="2"/>
        <v>0</v>
      </c>
      <c r="Y99" s="224"/>
      <c r="Z99" s="67"/>
      <c r="AA99" s="67"/>
      <c r="AB99" s="67"/>
      <c r="AC99" s="67"/>
      <c r="AD99" s="67"/>
      <c r="AE99" s="225"/>
      <c r="AH99" s="337">
        <v>0</v>
      </c>
      <c r="AI99" s="67"/>
      <c r="AJ99" s="67"/>
      <c r="AK99" s="67"/>
      <c r="AL99" s="225"/>
      <c r="AN99" s="274">
        <f t="shared" si="3"/>
        <v>0</v>
      </c>
    </row>
    <row r="100" spans="1:40" ht="15" customHeight="1">
      <c r="A100" s="198">
        <v>2129</v>
      </c>
      <c r="B100" s="2">
        <v>103229</v>
      </c>
      <c r="C100" s="2" t="s">
        <v>225</v>
      </c>
      <c r="D100" s="2" t="s">
        <v>226</v>
      </c>
      <c r="E100" s="190" t="s">
        <v>39</v>
      </c>
      <c r="F100" s="211" t="str">
        <f>VLOOKUP(A100,'Summary June 2026'!A:F,6,FALSE)</f>
        <v>Chq Bk</v>
      </c>
      <c r="H100" s="224"/>
      <c r="I100" s="67"/>
      <c r="J100" s="67"/>
      <c r="M100" s="67"/>
      <c r="N100" s="67"/>
      <c r="O100" s="67"/>
      <c r="P100" s="67"/>
      <c r="Q100" s="67"/>
      <c r="R100" s="67"/>
      <c r="S100" s="67"/>
      <c r="T100" s="67"/>
      <c r="U100" s="67"/>
      <c r="W100" s="274">
        <f t="shared" si="2"/>
        <v>0</v>
      </c>
      <c r="Y100" s="224"/>
      <c r="Z100" s="67"/>
      <c r="AA100" s="67"/>
      <c r="AB100" s="67"/>
      <c r="AC100" s="67"/>
      <c r="AD100" s="67"/>
      <c r="AE100" s="225"/>
      <c r="AH100" s="337">
        <v>0</v>
      </c>
      <c r="AI100" s="67"/>
      <c r="AJ100" s="67"/>
      <c r="AK100" s="67"/>
      <c r="AL100" s="225"/>
      <c r="AN100" s="274">
        <f t="shared" si="3"/>
        <v>0</v>
      </c>
    </row>
    <row r="101" spans="1:40" ht="15" customHeight="1">
      <c r="A101" s="198">
        <v>2128</v>
      </c>
      <c r="B101" s="2">
        <v>103228</v>
      </c>
      <c r="C101" s="2" t="s">
        <v>227</v>
      </c>
      <c r="D101" s="2" t="s">
        <v>228</v>
      </c>
      <c r="E101" s="190" t="s">
        <v>39</v>
      </c>
      <c r="F101" s="211" t="str">
        <f>VLOOKUP(A101,'Summary June 2026'!A:F,6,FALSE)</f>
        <v>Chq Bk</v>
      </c>
      <c r="H101" s="224"/>
      <c r="I101" s="67"/>
      <c r="J101" s="67"/>
      <c r="M101" s="67"/>
      <c r="N101" s="67"/>
      <c r="O101" s="67"/>
      <c r="P101" s="67"/>
      <c r="Q101" s="67"/>
      <c r="R101" s="67"/>
      <c r="S101" s="67"/>
      <c r="T101" s="67"/>
      <c r="U101" s="67"/>
      <c r="W101" s="274">
        <f t="shared" si="2"/>
        <v>0</v>
      </c>
      <c r="Y101" s="224"/>
      <c r="Z101" s="67"/>
      <c r="AA101" s="67"/>
      <c r="AB101" s="67"/>
      <c r="AC101" s="67"/>
      <c r="AD101" s="67"/>
      <c r="AE101" s="225"/>
      <c r="AH101" s="337">
        <v>0</v>
      </c>
      <c r="AI101" s="67"/>
      <c r="AJ101" s="67"/>
      <c r="AK101" s="67"/>
      <c r="AL101" s="225"/>
      <c r="AN101" s="274">
        <f t="shared" si="3"/>
        <v>0</v>
      </c>
    </row>
    <row r="102" spans="1:40" ht="15" customHeight="1">
      <c r="A102" s="198">
        <v>2420</v>
      </c>
      <c r="B102" s="2">
        <v>103353</v>
      </c>
      <c r="C102" s="2" t="s">
        <v>229</v>
      </c>
      <c r="D102" s="2" t="s">
        <v>230</v>
      </c>
      <c r="E102" s="190" t="s">
        <v>39</v>
      </c>
      <c r="F102" s="211" t="str">
        <f>VLOOKUP(A102,'Summary June 2026'!A:F,6,FALSE)</f>
        <v>Chq Bk</v>
      </c>
      <c r="H102" s="224"/>
      <c r="I102" s="67"/>
      <c r="J102" s="67"/>
      <c r="M102" s="67"/>
      <c r="N102" s="67"/>
      <c r="O102" s="67"/>
      <c r="P102" s="67"/>
      <c r="Q102" s="67"/>
      <c r="R102" s="67"/>
      <c r="S102" s="67"/>
      <c r="T102" s="67"/>
      <c r="U102" s="67"/>
      <c r="W102" s="274">
        <f t="shared" si="2"/>
        <v>0</v>
      </c>
      <c r="Y102" s="224"/>
      <c r="Z102" s="67"/>
      <c r="AA102" s="67"/>
      <c r="AB102" s="67"/>
      <c r="AC102" s="67"/>
      <c r="AD102" s="67"/>
      <c r="AE102" s="225"/>
      <c r="AH102" s="337">
        <v>0</v>
      </c>
      <c r="AI102" s="67"/>
      <c r="AJ102" s="67"/>
      <c r="AK102" s="67"/>
      <c r="AL102" s="225"/>
      <c r="AN102" s="274">
        <f t="shared" si="3"/>
        <v>0</v>
      </c>
    </row>
    <row r="103" spans="1:40" ht="15" customHeight="1">
      <c r="A103" s="198">
        <v>2004</v>
      </c>
      <c r="B103" s="2">
        <v>134094</v>
      </c>
      <c r="C103" s="2" t="s">
        <v>231</v>
      </c>
      <c r="D103" s="2" t="s">
        <v>232</v>
      </c>
      <c r="E103" s="190" t="s">
        <v>39</v>
      </c>
      <c r="F103" s="211" t="str">
        <f>VLOOKUP(A103,'Summary June 2026'!A:F,6,FALSE)</f>
        <v>Chq Bk</v>
      </c>
      <c r="H103" s="224"/>
      <c r="I103" s="67"/>
      <c r="J103" s="67"/>
      <c r="M103" s="67"/>
      <c r="N103" s="67"/>
      <c r="O103" s="67"/>
      <c r="P103" s="67"/>
      <c r="Q103" s="67"/>
      <c r="R103" s="67"/>
      <c r="S103" s="67"/>
      <c r="T103" s="67"/>
      <c r="U103" s="67"/>
      <c r="W103" s="274">
        <f t="shared" si="2"/>
        <v>0</v>
      </c>
      <c r="Y103" s="224"/>
      <c r="Z103" s="67"/>
      <c r="AA103" s="67"/>
      <c r="AB103" s="67"/>
      <c r="AC103" s="67"/>
      <c r="AD103" s="67"/>
      <c r="AE103" s="225"/>
      <c r="AH103" s="337">
        <v>0</v>
      </c>
      <c r="AI103" s="67"/>
      <c r="AJ103" s="67"/>
      <c r="AK103" s="67"/>
      <c r="AL103" s="225"/>
      <c r="AN103" s="274">
        <f t="shared" si="3"/>
        <v>0</v>
      </c>
    </row>
    <row r="104" spans="1:40" ht="15" customHeight="1">
      <c r="A104" s="198">
        <v>1012</v>
      </c>
      <c r="B104" s="2">
        <v>103126</v>
      </c>
      <c r="C104" s="2" t="s">
        <v>233</v>
      </c>
      <c r="D104" s="2" t="s">
        <v>234</v>
      </c>
      <c r="E104" s="190" t="s">
        <v>36</v>
      </c>
      <c r="F104" s="211" t="str">
        <f>VLOOKUP(A104,'Summary June 2026'!A:F,6,FALSE)</f>
        <v>Chq Bk</v>
      </c>
      <c r="H104" s="224"/>
      <c r="I104" s="67"/>
      <c r="J104" s="67"/>
      <c r="M104" s="67"/>
      <c r="N104" s="67"/>
      <c r="O104" s="67"/>
      <c r="P104" s="67"/>
      <c r="Q104" s="67"/>
      <c r="R104" s="67"/>
      <c r="S104" s="67"/>
      <c r="T104" s="67"/>
      <c r="U104" s="67"/>
      <c r="W104" s="274">
        <f t="shared" si="2"/>
        <v>0</v>
      </c>
      <c r="Y104" s="224"/>
      <c r="Z104" s="67"/>
      <c r="AA104" s="67"/>
      <c r="AB104" s="67"/>
      <c r="AC104" s="67"/>
      <c r="AD104" s="67"/>
      <c r="AE104" s="225"/>
      <c r="AH104" s="337">
        <v>0</v>
      </c>
      <c r="AI104" s="67"/>
      <c r="AJ104" s="67"/>
      <c r="AK104" s="67"/>
      <c r="AL104" s="225"/>
      <c r="AN104" s="274">
        <f t="shared" si="3"/>
        <v>0</v>
      </c>
    </row>
    <row r="105" spans="1:40" ht="15" customHeight="1">
      <c r="A105" s="198">
        <v>2133</v>
      </c>
      <c r="B105" s="2">
        <v>103233</v>
      </c>
      <c r="C105" s="2" t="s">
        <v>235</v>
      </c>
      <c r="D105" s="2" t="s">
        <v>236</v>
      </c>
      <c r="E105" s="190" t="s">
        <v>39</v>
      </c>
      <c r="F105" s="211" t="str">
        <f>VLOOKUP(A105,'Summary June 2026'!A:F,6,FALSE)</f>
        <v>Chq Bk</v>
      </c>
      <c r="H105" s="224"/>
      <c r="I105" s="67"/>
      <c r="J105" s="67"/>
      <c r="M105" s="67"/>
      <c r="N105" s="67"/>
      <c r="O105" s="67"/>
      <c r="P105" s="67"/>
      <c r="Q105" s="67"/>
      <c r="R105" s="67"/>
      <c r="S105" s="67"/>
      <c r="T105" s="67"/>
      <c r="U105" s="67"/>
      <c r="W105" s="274">
        <f t="shared" si="2"/>
        <v>0</v>
      </c>
      <c r="Y105" s="224"/>
      <c r="Z105" s="67"/>
      <c r="AA105" s="67"/>
      <c r="AB105" s="67"/>
      <c r="AC105" s="67"/>
      <c r="AD105" s="67"/>
      <c r="AE105" s="225"/>
      <c r="AH105" s="337">
        <v>0</v>
      </c>
      <c r="AI105" s="67"/>
      <c r="AJ105" s="67"/>
      <c r="AK105" s="67"/>
      <c r="AL105" s="225"/>
      <c r="AN105" s="274">
        <f t="shared" si="3"/>
        <v>0</v>
      </c>
    </row>
    <row r="106" spans="1:40" ht="15" customHeight="1">
      <c r="A106" s="198">
        <v>2406</v>
      </c>
      <c r="B106" s="2">
        <v>103345</v>
      </c>
      <c r="C106" s="2" t="s">
        <v>237</v>
      </c>
      <c r="D106" s="2" t="s">
        <v>238</v>
      </c>
      <c r="E106" s="190" t="s">
        <v>39</v>
      </c>
      <c r="F106" s="211" t="str">
        <f>VLOOKUP(A106,'Summary June 2026'!A:F,6,FALSE)</f>
        <v>Chq Bk</v>
      </c>
      <c r="H106" s="224"/>
      <c r="I106" s="67"/>
      <c r="J106" s="67"/>
      <c r="M106" s="67"/>
      <c r="N106" s="67"/>
      <c r="O106" s="67"/>
      <c r="P106" s="67"/>
      <c r="Q106" s="67"/>
      <c r="R106" s="67"/>
      <c r="S106" s="67"/>
      <c r="T106" s="67"/>
      <c r="U106" s="67"/>
      <c r="W106" s="274">
        <f t="shared" si="2"/>
        <v>0</v>
      </c>
      <c r="Y106" s="224"/>
      <c r="Z106" s="67"/>
      <c r="AA106" s="67"/>
      <c r="AB106" s="67"/>
      <c r="AC106" s="67"/>
      <c r="AD106" s="67"/>
      <c r="AE106" s="225"/>
      <c r="AH106" s="337">
        <v>0</v>
      </c>
      <c r="AI106" s="67"/>
      <c r="AJ106" s="67"/>
      <c r="AK106" s="67"/>
      <c r="AL106" s="225"/>
      <c r="AN106" s="274">
        <f t="shared" si="3"/>
        <v>0</v>
      </c>
    </row>
    <row r="107" spans="1:40" ht="15" customHeight="1">
      <c r="A107" s="198">
        <v>2416</v>
      </c>
      <c r="B107" s="2">
        <v>103351</v>
      </c>
      <c r="C107" s="2" t="s">
        <v>239</v>
      </c>
      <c r="D107" s="2" t="s">
        <v>240</v>
      </c>
      <c r="E107" s="190" t="s">
        <v>39</v>
      </c>
      <c r="F107" s="211" t="str">
        <f>VLOOKUP(A107,'Summary June 2026'!A:F,6,FALSE)</f>
        <v>Chq Bk</v>
      </c>
      <c r="H107" s="224"/>
      <c r="I107" s="67"/>
      <c r="J107" s="67"/>
      <c r="M107" s="67"/>
      <c r="N107" s="67"/>
      <c r="O107" s="67"/>
      <c r="P107" s="67"/>
      <c r="Q107" s="67"/>
      <c r="R107" s="67"/>
      <c r="S107" s="67"/>
      <c r="T107" s="67"/>
      <c r="U107" s="67"/>
      <c r="W107" s="274">
        <f t="shared" si="2"/>
        <v>0</v>
      </c>
      <c r="Y107" s="224"/>
      <c r="Z107" s="67"/>
      <c r="AA107" s="67"/>
      <c r="AB107" s="67"/>
      <c r="AC107" s="67"/>
      <c r="AD107" s="67"/>
      <c r="AE107" s="225"/>
      <c r="AH107" s="337">
        <v>0</v>
      </c>
      <c r="AI107" s="67"/>
      <c r="AJ107" s="67"/>
      <c r="AK107" s="67"/>
      <c r="AL107" s="225"/>
      <c r="AN107" s="274">
        <f t="shared" si="3"/>
        <v>0</v>
      </c>
    </row>
    <row r="108" spans="1:40" ht="15" customHeight="1">
      <c r="A108" s="198">
        <v>3003</v>
      </c>
      <c r="B108" s="2">
        <v>103398</v>
      </c>
      <c r="C108" s="2" t="s">
        <v>241</v>
      </c>
      <c r="D108" s="2" t="s">
        <v>242</v>
      </c>
      <c r="E108" s="190" t="s">
        <v>39</v>
      </c>
      <c r="F108" s="211" t="str">
        <f>VLOOKUP(A108,'Summary June 2026'!A:F,6,FALSE)</f>
        <v>Chq Bk</v>
      </c>
      <c r="H108" s="224"/>
      <c r="I108" s="67"/>
      <c r="J108" s="67"/>
      <c r="M108" s="67"/>
      <c r="N108" s="67"/>
      <c r="O108" s="67"/>
      <c r="P108" s="67"/>
      <c r="Q108" s="67"/>
      <c r="R108" s="67"/>
      <c r="S108" s="67"/>
      <c r="T108" s="67"/>
      <c r="U108" s="67"/>
      <c r="W108" s="274">
        <f t="shared" si="2"/>
        <v>0</v>
      </c>
      <c r="Y108" s="224"/>
      <c r="Z108" s="67"/>
      <c r="AA108" s="67"/>
      <c r="AB108" s="67"/>
      <c r="AC108" s="67"/>
      <c r="AD108" s="67"/>
      <c r="AE108" s="225"/>
      <c r="AH108" s="337">
        <v>0</v>
      </c>
      <c r="AI108" s="67"/>
      <c r="AJ108" s="67"/>
      <c r="AK108" s="67"/>
      <c r="AL108" s="225"/>
      <c r="AN108" s="274">
        <f t="shared" si="3"/>
        <v>0</v>
      </c>
    </row>
    <row r="109" spans="1:40" ht="15" customHeight="1">
      <c r="A109" s="198">
        <v>4245</v>
      </c>
      <c r="B109" s="2">
        <v>103519</v>
      </c>
      <c r="C109" s="2" t="s">
        <v>243</v>
      </c>
      <c r="D109" s="2" t="s">
        <v>244</v>
      </c>
      <c r="E109" s="190" t="s">
        <v>71</v>
      </c>
      <c r="F109" s="211" t="str">
        <f>VLOOKUP(A109,'Summary June 2026'!A:F,6,FALSE)</f>
        <v>Chq Bk</v>
      </c>
      <c r="H109" s="224"/>
      <c r="I109" s="67"/>
      <c r="J109" s="67"/>
      <c r="M109" s="67"/>
      <c r="N109" s="67"/>
      <c r="O109" s="67"/>
      <c r="P109" s="67"/>
      <c r="Q109" s="67"/>
      <c r="R109" s="67"/>
      <c r="S109" s="67"/>
      <c r="T109" s="67"/>
      <c r="U109" s="67"/>
      <c r="W109" s="274">
        <f t="shared" si="2"/>
        <v>0</v>
      </c>
      <c r="Y109" s="224"/>
      <c r="Z109" s="67"/>
      <c r="AA109" s="67"/>
      <c r="AB109" s="67"/>
      <c r="AC109" s="67"/>
      <c r="AD109" s="67"/>
      <c r="AE109" s="225"/>
      <c r="AH109" s="337">
        <v>-22750</v>
      </c>
      <c r="AI109" s="67"/>
      <c r="AJ109" s="67"/>
      <c r="AK109" s="67"/>
      <c r="AL109" s="225"/>
      <c r="AN109" s="274">
        <f t="shared" si="3"/>
        <v>-22750</v>
      </c>
    </row>
    <row r="110" spans="1:40" ht="15" customHeight="1">
      <c r="A110" s="198">
        <v>2457</v>
      </c>
      <c r="B110" s="2">
        <v>103384</v>
      </c>
      <c r="C110" s="2" t="s">
        <v>245</v>
      </c>
      <c r="D110" s="2" t="s">
        <v>246</v>
      </c>
      <c r="E110" s="190" t="s">
        <v>39</v>
      </c>
      <c r="F110" s="211" t="str">
        <f>VLOOKUP(A110,'Summary June 2026'!A:F,6,FALSE)</f>
        <v>Chq Bk</v>
      </c>
      <c r="H110" s="224"/>
      <c r="I110" s="67"/>
      <c r="J110" s="67"/>
      <c r="M110" s="67"/>
      <c r="N110" s="67"/>
      <c r="O110" s="67"/>
      <c r="P110" s="67"/>
      <c r="Q110" s="67"/>
      <c r="R110" s="67"/>
      <c r="S110" s="67"/>
      <c r="T110" s="67"/>
      <c r="U110" s="67"/>
      <c r="W110" s="274">
        <f t="shared" si="2"/>
        <v>0</v>
      </c>
      <c r="Y110" s="224"/>
      <c r="Z110" s="67"/>
      <c r="AA110" s="67"/>
      <c r="AB110" s="67"/>
      <c r="AC110" s="67"/>
      <c r="AD110" s="67"/>
      <c r="AE110" s="225"/>
      <c r="AH110" s="337">
        <v>0</v>
      </c>
      <c r="AI110" s="67"/>
      <c r="AJ110" s="67"/>
      <c r="AK110" s="67"/>
      <c r="AL110" s="225"/>
      <c r="AN110" s="274">
        <f t="shared" si="3"/>
        <v>0</v>
      </c>
    </row>
    <row r="111" spans="1:40" ht="15" customHeight="1">
      <c r="A111" s="198">
        <v>2142</v>
      </c>
      <c r="B111" s="2">
        <v>103237</v>
      </c>
      <c r="C111" s="2" t="s">
        <v>247</v>
      </c>
      <c r="D111" s="2" t="s">
        <v>248</v>
      </c>
      <c r="E111" s="190" t="s">
        <v>39</v>
      </c>
      <c r="F111" s="211" t="str">
        <f>VLOOKUP(A111,'Summary June 2026'!A:F,6,FALSE)</f>
        <v>Chq Bk</v>
      </c>
      <c r="H111" s="224"/>
      <c r="I111" s="67"/>
      <c r="J111" s="67"/>
      <c r="M111" s="67"/>
      <c r="N111" s="67"/>
      <c r="O111" s="67"/>
      <c r="P111" s="67"/>
      <c r="Q111" s="67"/>
      <c r="R111" s="67"/>
      <c r="S111" s="67"/>
      <c r="T111" s="67"/>
      <c r="U111" s="67"/>
      <c r="W111" s="274">
        <f t="shared" si="2"/>
        <v>0</v>
      </c>
      <c r="Y111" s="224"/>
      <c r="Z111" s="67"/>
      <c r="AA111" s="67"/>
      <c r="AB111" s="67"/>
      <c r="AC111" s="67"/>
      <c r="AD111" s="67"/>
      <c r="AE111" s="225"/>
      <c r="AH111" s="337">
        <v>0</v>
      </c>
      <c r="AI111" s="67"/>
      <c r="AJ111" s="67"/>
      <c r="AK111" s="67"/>
      <c r="AL111" s="225"/>
      <c r="AN111" s="274">
        <f t="shared" si="3"/>
        <v>0</v>
      </c>
    </row>
    <row r="112" spans="1:40" ht="15" customHeight="1">
      <c r="A112" s="198">
        <v>2469</v>
      </c>
      <c r="B112" s="2">
        <v>103395</v>
      </c>
      <c r="C112" s="2" t="s">
        <v>249</v>
      </c>
      <c r="D112" s="2" t="s">
        <v>250</v>
      </c>
      <c r="E112" s="190" t="s">
        <v>39</v>
      </c>
      <c r="F112" s="211" t="str">
        <f>VLOOKUP(A112,'Summary June 2026'!A:F,6,FALSE)</f>
        <v>Chq Bk</v>
      </c>
      <c r="H112" s="224"/>
      <c r="I112" s="67"/>
      <c r="J112" s="67"/>
      <c r="M112" s="67"/>
      <c r="N112" s="67"/>
      <c r="O112" s="67"/>
      <c r="P112" s="67"/>
      <c r="Q112" s="67"/>
      <c r="R112" s="67"/>
      <c r="S112" s="67"/>
      <c r="T112" s="67"/>
      <c r="U112" s="67"/>
      <c r="W112" s="274">
        <f t="shared" si="2"/>
        <v>0</v>
      </c>
      <c r="Y112" s="224"/>
      <c r="Z112" s="67"/>
      <c r="AA112" s="67"/>
      <c r="AB112" s="67"/>
      <c r="AC112" s="67"/>
      <c r="AD112" s="67"/>
      <c r="AE112" s="225"/>
      <c r="AH112" s="337">
        <v>0</v>
      </c>
      <c r="AI112" s="67"/>
      <c r="AJ112" s="67"/>
      <c r="AK112" s="67"/>
      <c r="AL112" s="225"/>
      <c r="AN112" s="274">
        <f t="shared" si="3"/>
        <v>0</v>
      </c>
    </row>
    <row r="113" spans="1:40" ht="15" customHeight="1">
      <c r="A113" s="198">
        <v>1028</v>
      </c>
      <c r="B113" s="2">
        <v>103141</v>
      </c>
      <c r="C113" s="2" t="s">
        <v>251</v>
      </c>
      <c r="D113" s="2" t="s">
        <v>252</v>
      </c>
      <c r="E113" s="190" t="s">
        <v>36</v>
      </c>
      <c r="F113" s="211" t="str">
        <f>VLOOKUP(A113,'Summary June 2026'!A:F,6,FALSE)</f>
        <v>Chq Bk</v>
      </c>
      <c r="H113" s="740"/>
      <c r="I113" s="67"/>
      <c r="J113" s="67"/>
      <c r="M113" s="67"/>
      <c r="N113" s="67"/>
      <c r="O113" s="67"/>
      <c r="P113" s="67"/>
      <c r="Q113" s="67"/>
      <c r="R113" s="67"/>
      <c r="S113" s="67"/>
      <c r="T113" s="67"/>
      <c r="U113" s="67"/>
      <c r="W113" s="274">
        <f t="shared" si="2"/>
        <v>0</v>
      </c>
      <c r="Y113" s="224"/>
      <c r="Z113" s="67"/>
      <c r="AA113" s="67"/>
      <c r="AB113" s="67"/>
      <c r="AC113" s="67"/>
      <c r="AD113" s="67"/>
      <c r="AE113" s="225"/>
      <c r="AH113" s="337">
        <v>0</v>
      </c>
      <c r="AI113" s="67"/>
      <c r="AJ113" s="67"/>
      <c r="AK113" s="67"/>
      <c r="AL113" s="225"/>
      <c r="AN113" s="274">
        <f t="shared" si="3"/>
        <v>0</v>
      </c>
    </row>
    <row r="114" spans="1:40" ht="15" customHeight="1">
      <c r="A114" s="198">
        <v>1049</v>
      </c>
      <c r="B114" s="2">
        <v>103145</v>
      </c>
      <c r="C114" s="2" t="s">
        <v>253</v>
      </c>
      <c r="D114" s="2" t="s">
        <v>254</v>
      </c>
      <c r="E114" s="190" t="s">
        <v>36</v>
      </c>
      <c r="F114" s="211" t="str">
        <f>VLOOKUP(A114,'Summary June 2026'!A:F,6,FALSE)</f>
        <v>Chq Bk</v>
      </c>
      <c r="H114" s="224"/>
      <c r="I114" s="67"/>
      <c r="J114" s="67"/>
      <c r="M114" s="67"/>
      <c r="N114" s="67"/>
      <c r="O114" s="67"/>
      <c r="P114" s="67"/>
      <c r="Q114" s="67"/>
      <c r="R114" s="67"/>
      <c r="S114" s="67"/>
      <c r="T114" s="67"/>
      <c r="U114" s="67"/>
      <c r="W114" s="274">
        <f t="shared" si="2"/>
        <v>0</v>
      </c>
      <c r="Y114" s="224"/>
      <c r="Z114" s="67"/>
      <c r="AA114" s="67"/>
      <c r="AB114" s="67"/>
      <c r="AC114" s="67"/>
      <c r="AD114" s="67"/>
      <c r="AE114" s="225"/>
      <c r="AH114" s="337">
        <v>0</v>
      </c>
      <c r="AI114" s="67"/>
      <c r="AJ114" s="67"/>
      <c r="AK114" s="67"/>
      <c r="AL114" s="225"/>
      <c r="AN114" s="274">
        <f t="shared" si="3"/>
        <v>0</v>
      </c>
    </row>
    <row r="115" spans="1:40" ht="15" customHeight="1">
      <c r="A115" s="198">
        <v>3351</v>
      </c>
      <c r="B115" s="2">
        <v>103443</v>
      </c>
      <c r="C115" s="2" t="s">
        <v>255</v>
      </c>
      <c r="D115" s="2" t="s">
        <v>256</v>
      </c>
      <c r="E115" s="190" t="s">
        <v>39</v>
      </c>
      <c r="F115" s="211" t="str">
        <f>VLOOKUP(A115,'Summary June 2026'!A:F,6,FALSE)</f>
        <v>Chq Bk</v>
      </c>
      <c r="H115" s="224"/>
      <c r="I115" s="67"/>
      <c r="J115" s="67"/>
      <c r="M115" s="67"/>
      <c r="N115" s="67"/>
      <c r="O115" s="67"/>
      <c r="P115" s="67"/>
      <c r="Q115" s="67"/>
      <c r="R115" s="67"/>
      <c r="S115" s="67"/>
      <c r="T115" s="67"/>
      <c r="U115" s="67"/>
      <c r="W115" s="274">
        <f t="shared" si="2"/>
        <v>0</v>
      </c>
      <c r="Y115" s="224"/>
      <c r="Z115" s="67"/>
      <c r="AA115" s="67"/>
      <c r="AB115" s="67"/>
      <c r="AC115" s="67"/>
      <c r="AD115" s="67"/>
      <c r="AE115" s="225"/>
      <c r="AH115" s="337">
        <v>0</v>
      </c>
      <c r="AI115" s="67"/>
      <c r="AJ115" s="67"/>
      <c r="AK115" s="67"/>
      <c r="AL115" s="225"/>
      <c r="AN115" s="274">
        <f t="shared" si="3"/>
        <v>0</v>
      </c>
    </row>
    <row r="116" spans="1:40" ht="15" customHeight="1">
      <c r="A116" s="198">
        <v>3328</v>
      </c>
      <c r="B116" s="2">
        <v>103430</v>
      </c>
      <c r="C116" s="2" t="s">
        <v>257</v>
      </c>
      <c r="D116" s="2" t="s">
        <v>258</v>
      </c>
      <c r="E116" s="190" t="s">
        <v>39</v>
      </c>
      <c r="F116" s="211" t="str">
        <f>VLOOKUP(A116,'Summary June 2026'!A:F,6,FALSE)</f>
        <v>Chq Bk</v>
      </c>
      <c r="H116" s="224"/>
      <c r="I116" s="67"/>
      <c r="J116" s="67"/>
      <c r="M116" s="67"/>
      <c r="N116" s="67"/>
      <c r="O116" s="67"/>
      <c r="P116" s="67"/>
      <c r="Q116" s="67"/>
      <c r="R116" s="67"/>
      <c r="S116" s="67"/>
      <c r="T116" s="67"/>
      <c r="U116" s="67"/>
      <c r="W116" s="274">
        <f t="shared" si="2"/>
        <v>0</v>
      </c>
      <c r="Y116" s="224"/>
      <c r="Z116" s="67"/>
      <c r="AA116" s="67"/>
      <c r="AB116" s="67"/>
      <c r="AC116" s="67"/>
      <c r="AD116" s="67"/>
      <c r="AE116" s="225"/>
      <c r="AH116" s="337">
        <v>0</v>
      </c>
      <c r="AI116" s="67"/>
      <c r="AJ116" s="67"/>
      <c r="AK116" s="67"/>
      <c r="AL116" s="225"/>
      <c r="AN116" s="274">
        <f t="shared" si="3"/>
        <v>0</v>
      </c>
    </row>
    <row r="117" spans="1:40" ht="15" customHeight="1">
      <c r="A117" s="198">
        <v>2150</v>
      </c>
      <c r="B117" s="2">
        <v>103241</v>
      </c>
      <c r="C117" s="2" t="s">
        <v>259</v>
      </c>
      <c r="D117" s="2" t="s">
        <v>260</v>
      </c>
      <c r="E117" s="190" t="s">
        <v>39</v>
      </c>
      <c r="F117" s="211" t="str">
        <f>VLOOKUP(A117,'Summary June 2026'!A:F,6,FALSE)</f>
        <v>Chq Bk</v>
      </c>
      <c r="H117" s="224"/>
      <c r="I117" s="67"/>
      <c r="J117" s="67"/>
      <c r="M117" s="67"/>
      <c r="N117" s="67"/>
      <c r="O117" s="67"/>
      <c r="P117" s="67"/>
      <c r="Q117" s="67"/>
      <c r="R117" s="67"/>
      <c r="S117" s="67"/>
      <c r="T117" s="67"/>
      <c r="U117" s="67"/>
      <c r="W117" s="274">
        <f t="shared" si="2"/>
        <v>0</v>
      </c>
      <c r="Y117" s="224"/>
      <c r="Z117" s="67"/>
      <c r="AA117" s="67"/>
      <c r="AB117" s="67"/>
      <c r="AC117" s="67"/>
      <c r="AD117" s="67"/>
      <c r="AE117" s="225"/>
      <c r="AH117" s="337">
        <v>0</v>
      </c>
      <c r="AI117" s="67"/>
      <c r="AJ117" s="67"/>
      <c r="AK117" s="67"/>
      <c r="AL117" s="225"/>
      <c r="AN117" s="274">
        <f t="shared" si="3"/>
        <v>0</v>
      </c>
    </row>
    <row r="118" spans="1:40" ht="15" customHeight="1">
      <c r="A118" s="198">
        <v>2425</v>
      </c>
      <c r="B118" s="2">
        <v>103356</v>
      </c>
      <c r="C118" s="2" t="s">
        <v>261</v>
      </c>
      <c r="D118" s="2" t="s">
        <v>262</v>
      </c>
      <c r="E118" s="190" t="s">
        <v>39</v>
      </c>
      <c r="F118" s="211" t="str">
        <f>VLOOKUP(A118,'Summary June 2026'!A:F,6,FALSE)</f>
        <v>Chq Bk</v>
      </c>
      <c r="H118" s="224"/>
      <c r="I118" s="67"/>
      <c r="J118" s="67"/>
      <c r="M118" s="67"/>
      <c r="N118" s="67"/>
      <c r="O118" s="67"/>
      <c r="P118" s="67"/>
      <c r="Q118" s="67"/>
      <c r="R118" s="67"/>
      <c r="S118" s="67"/>
      <c r="T118" s="67"/>
      <c r="U118" s="67"/>
      <c r="W118" s="274">
        <f t="shared" si="2"/>
        <v>0</v>
      </c>
      <c r="Y118" s="224"/>
      <c r="Z118" s="67"/>
      <c r="AA118" s="67"/>
      <c r="AB118" s="67"/>
      <c r="AC118" s="67"/>
      <c r="AD118" s="67"/>
      <c r="AE118" s="225"/>
      <c r="AH118" s="337">
        <v>0</v>
      </c>
      <c r="AI118" s="67"/>
      <c r="AJ118" s="67"/>
      <c r="AK118" s="67"/>
      <c r="AL118" s="225"/>
      <c r="AN118" s="274">
        <f t="shared" si="3"/>
        <v>0</v>
      </c>
    </row>
    <row r="119" spans="1:40" ht="15" customHeight="1">
      <c r="A119" s="198">
        <v>1008</v>
      </c>
      <c r="B119" s="2">
        <v>103123</v>
      </c>
      <c r="C119" s="2" t="s">
        <v>263</v>
      </c>
      <c r="D119" s="2" t="s">
        <v>264</v>
      </c>
      <c r="E119" s="190" t="s">
        <v>36</v>
      </c>
      <c r="F119" s="211" t="str">
        <f>VLOOKUP(A119,'Summary June 2026'!A:F,6,FALSE)</f>
        <v>Chq Bk</v>
      </c>
      <c r="H119" s="224"/>
      <c r="I119" s="67"/>
      <c r="J119" s="67"/>
      <c r="M119" s="67"/>
      <c r="N119" s="67"/>
      <c r="O119" s="67"/>
      <c r="P119" s="67"/>
      <c r="Q119" s="67"/>
      <c r="R119" s="67"/>
      <c r="S119" s="67"/>
      <c r="T119" s="67"/>
      <c r="U119" s="67"/>
      <c r="W119" s="274">
        <f t="shared" si="2"/>
        <v>0</v>
      </c>
      <c r="Y119" s="224"/>
      <c r="Z119" s="67"/>
      <c r="AA119" s="67"/>
      <c r="AB119" s="67"/>
      <c r="AC119" s="67"/>
      <c r="AD119" s="67"/>
      <c r="AE119" s="225"/>
      <c r="AH119" s="337">
        <v>0</v>
      </c>
      <c r="AI119" s="67"/>
      <c r="AJ119" s="67"/>
      <c r="AK119" s="67"/>
      <c r="AL119" s="225"/>
      <c r="AN119" s="274">
        <f t="shared" si="3"/>
        <v>0</v>
      </c>
    </row>
    <row r="120" spans="1:40" ht="15" customHeight="1">
      <c r="A120" s="198">
        <v>7034</v>
      </c>
      <c r="B120" s="2">
        <v>103614</v>
      </c>
      <c r="C120" s="2" t="s">
        <v>265</v>
      </c>
      <c r="D120" s="2" t="s">
        <v>266</v>
      </c>
      <c r="E120" s="190" t="s">
        <v>56</v>
      </c>
      <c r="F120" s="211" t="str">
        <f>VLOOKUP(A120,'Summary June 2026'!A:F,6,FALSE)</f>
        <v>Chq Bk</v>
      </c>
      <c r="H120" s="224"/>
      <c r="I120" s="67"/>
      <c r="J120" s="67"/>
      <c r="M120" s="67"/>
      <c r="N120" s="67"/>
      <c r="O120" s="67"/>
      <c r="P120" s="67"/>
      <c r="Q120" s="67"/>
      <c r="R120" s="67"/>
      <c r="S120" s="67"/>
      <c r="T120" s="67"/>
      <c r="U120" s="67"/>
      <c r="W120" s="274">
        <f t="shared" si="2"/>
        <v>0</v>
      </c>
      <c r="Y120" s="224"/>
      <c r="Z120" s="67"/>
      <c r="AA120" s="67"/>
      <c r="AB120" s="67"/>
      <c r="AC120" s="67"/>
      <c r="AD120" s="67"/>
      <c r="AE120" s="225"/>
      <c r="AH120" s="337">
        <v>0</v>
      </c>
      <c r="AI120" s="67"/>
      <c r="AJ120" s="67"/>
      <c r="AK120" s="67"/>
      <c r="AL120" s="225"/>
      <c r="AN120" s="274">
        <f t="shared" si="3"/>
        <v>0</v>
      </c>
    </row>
    <row r="121" spans="1:40" ht="15" customHeight="1">
      <c r="A121" s="198">
        <v>4173</v>
      </c>
      <c r="B121" s="2">
        <v>103497</v>
      </c>
      <c r="C121" s="2" t="s">
        <v>267</v>
      </c>
      <c r="D121" s="2" t="s">
        <v>268</v>
      </c>
      <c r="E121" s="190" t="s">
        <v>71</v>
      </c>
      <c r="F121" s="211" t="str">
        <f>VLOOKUP(A121,'Summary June 2026'!A:F,6,FALSE)</f>
        <v>Chq Bk</v>
      </c>
      <c r="H121" s="224"/>
      <c r="I121" s="67"/>
      <c r="J121" s="67"/>
      <c r="M121" s="67"/>
      <c r="N121" s="67"/>
      <c r="O121" s="67"/>
      <c r="P121" s="67"/>
      <c r="Q121" s="67"/>
      <c r="R121" s="67"/>
      <c r="S121" s="67"/>
      <c r="T121" s="67"/>
      <c r="U121" s="67"/>
      <c r="W121" s="274">
        <f t="shared" si="2"/>
        <v>0</v>
      </c>
      <c r="Y121" s="224"/>
      <c r="Z121" s="67"/>
      <c r="AA121" s="67"/>
      <c r="AB121" s="67"/>
      <c r="AC121" s="67"/>
      <c r="AD121" s="67"/>
      <c r="AE121" s="225"/>
      <c r="AH121" s="337">
        <v>0</v>
      </c>
      <c r="AI121" s="67"/>
      <c r="AJ121" s="67"/>
      <c r="AK121" s="67"/>
      <c r="AL121" s="225"/>
      <c r="AN121" s="274">
        <f t="shared" si="3"/>
        <v>0</v>
      </c>
    </row>
    <row r="122" spans="1:40" ht="15" customHeight="1">
      <c r="A122" s="198">
        <v>2157</v>
      </c>
      <c r="B122" s="2">
        <v>103246</v>
      </c>
      <c r="C122" s="2" t="s">
        <v>269</v>
      </c>
      <c r="D122" s="2" t="s">
        <v>270</v>
      </c>
      <c r="E122" s="190" t="s">
        <v>39</v>
      </c>
      <c r="F122" s="211" t="str">
        <f>VLOOKUP(A122,'Summary June 2026'!A:F,6,FALSE)</f>
        <v>Chq Bk</v>
      </c>
      <c r="H122" s="224"/>
      <c r="I122" s="67"/>
      <c r="J122" s="67"/>
      <c r="M122" s="67"/>
      <c r="N122" s="67"/>
      <c r="O122" s="67"/>
      <c r="P122" s="67"/>
      <c r="Q122" s="67"/>
      <c r="R122" s="67"/>
      <c r="S122" s="67"/>
      <c r="T122" s="67"/>
      <c r="U122" s="67"/>
      <c r="W122" s="274">
        <f t="shared" si="2"/>
        <v>0</v>
      </c>
      <c r="Y122" s="224"/>
      <c r="Z122" s="67"/>
      <c r="AA122" s="67"/>
      <c r="AB122" s="67"/>
      <c r="AC122" s="67"/>
      <c r="AD122" s="67"/>
      <c r="AE122" s="225"/>
      <c r="AH122" s="337">
        <v>0</v>
      </c>
      <c r="AI122" s="67"/>
      <c r="AJ122" s="67"/>
      <c r="AK122" s="67"/>
      <c r="AL122" s="225"/>
      <c r="AN122" s="274">
        <f t="shared" si="3"/>
        <v>0</v>
      </c>
    </row>
    <row r="123" spans="1:40" ht="15" customHeight="1">
      <c r="A123" s="198">
        <v>2159</v>
      </c>
      <c r="B123" s="2">
        <v>103247</v>
      </c>
      <c r="C123" s="2" t="s">
        <v>271</v>
      </c>
      <c r="D123" s="2" t="s">
        <v>272</v>
      </c>
      <c r="E123" s="190" t="s">
        <v>39</v>
      </c>
      <c r="F123" s="211" t="str">
        <f>VLOOKUP(A123,'Summary June 2026'!A:F,6,FALSE)</f>
        <v>Chq Bk</v>
      </c>
      <c r="H123" s="224"/>
      <c r="I123" s="67"/>
      <c r="J123" s="67"/>
      <c r="M123" s="67"/>
      <c r="N123" s="67"/>
      <c r="O123" s="67"/>
      <c r="P123" s="67"/>
      <c r="Q123" s="67"/>
      <c r="R123" s="67"/>
      <c r="S123" s="67"/>
      <c r="T123" s="67"/>
      <c r="U123" s="67"/>
      <c r="W123" s="274">
        <f t="shared" si="2"/>
        <v>0</v>
      </c>
      <c r="Y123" s="224"/>
      <c r="Z123" s="67"/>
      <c r="AA123" s="67"/>
      <c r="AB123" s="67"/>
      <c r="AC123" s="67"/>
      <c r="AD123" s="67"/>
      <c r="AE123" s="225"/>
      <c r="AH123" s="337">
        <v>0</v>
      </c>
      <c r="AI123" s="67"/>
      <c r="AJ123" s="67"/>
      <c r="AK123" s="67"/>
      <c r="AL123" s="225"/>
      <c r="AN123" s="274">
        <f t="shared" si="3"/>
        <v>0</v>
      </c>
    </row>
    <row r="124" spans="1:40" ht="15" customHeight="1">
      <c r="A124" s="198">
        <v>2161</v>
      </c>
      <c r="B124" s="2">
        <v>103249</v>
      </c>
      <c r="C124" s="2" t="s">
        <v>273</v>
      </c>
      <c r="D124" s="2" t="s">
        <v>274</v>
      </c>
      <c r="E124" s="190" t="s">
        <v>39</v>
      </c>
      <c r="F124" s="211" t="str">
        <f>VLOOKUP(A124,'Summary June 2026'!A:F,6,FALSE)</f>
        <v>Chq Bk</v>
      </c>
      <c r="H124" s="740"/>
      <c r="I124" s="67"/>
      <c r="J124" s="67"/>
      <c r="M124" s="67"/>
      <c r="N124" s="67"/>
      <c r="O124" s="67"/>
      <c r="P124" s="67"/>
      <c r="Q124" s="67"/>
      <c r="R124" s="67"/>
      <c r="S124" s="67"/>
      <c r="T124" s="67"/>
      <c r="U124" s="67"/>
      <c r="W124" s="274">
        <f t="shared" si="2"/>
        <v>0</v>
      </c>
      <c r="Y124" s="224"/>
      <c r="Z124" s="67"/>
      <c r="AA124" s="67"/>
      <c r="AB124" s="67"/>
      <c r="AC124" s="67"/>
      <c r="AD124" s="67"/>
      <c r="AE124" s="225"/>
      <c r="AH124" s="337">
        <v>0</v>
      </c>
      <c r="AI124" s="67"/>
      <c r="AJ124" s="67"/>
      <c r="AK124" s="67"/>
      <c r="AL124" s="225"/>
      <c r="AN124" s="274">
        <f t="shared" si="3"/>
        <v>0</v>
      </c>
    </row>
    <row r="125" spans="1:40" ht="15" customHeight="1">
      <c r="A125" s="198">
        <v>2160</v>
      </c>
      <c r="B125" s="2">
        <v>103248</v>
      </c>
      <c r="C125" s="2" t="s">
        <v>275</v>
      </c>
      <c r="D125" s="2" t="s">
        <v>276</v>
      </c>
      <c r="E125" s="190" t="s">
        <v>39</v>
      </c>
      <c r="F125" s="211" t="str">
        <f>VLOOKUP(A125,'Summary June 2026'!A:F,6,FALSE)</f>
        <v>Chq Bk</v>
      </c>
      <c r="H125" s="224"/>
      <c r="I125" s="67"/>
      <c r="J125" s="67"/>
      <c r="M125" s="67"/>
      <c r="N125" s="67"/>
      <c r="O125" s="67"/>
      <c r="P125" s="67"/>
      <c r="Q125" s="67"/>
      <c r="R125" s="67"/>
      <c r="S125" s="67"/>
      <c r="T125" s="67"/>
      <c r="U125" s="67"/>
      <c r="W125" s="274">
        <f t="shared" si="2"/>
        <v>0</v>
      </c>
      <c r="Y125" s="224"/>
      <c r="Z125" s="67"/>
      <c r="AA125" s="67"/>
      <c r="AB125" s="67"/>
      <c r="AC125" s="67"/>
      <c r="AD125" s="67"/>
      <c r="AE125" s="225"/>
      <c r="AH125" s="337">
        <v>0</v>
      </c>
      <c r="AI125" s="67"/>
      <c r="AJ125" s="67"/>
      <c r="AK125" s="67"/>
      <c r="AL125" s="225"/>
      <c r="AN125" s="274">
        <f t="shared" si="3"/>
        <v>0</v>
      </c>
    </row>
    <row r="126" spans="1:40" ht="15" customHeight="1">
      <c r="A126" s="198">
        <v>2063</v>
      </c>
      <c r="B126" s="2">
        <v>103193</v>
      </c>
      <c r="C126" s="2" t="s">
        <v>277</v>
      </c>
      <c r="D126" s="2" t="s">
        <v>278</v>
      </c>
      <c r="E126" s="190" t="s">
        <v>39</v>
      </c>
      <c r="F126" s="211" t="str">
        <f>VLOOKUP(A126,'Summary June 2026'!A:F,6,FALSE)</f>
        <v>Chq Bk</v>
      </c>
      <c r="H126" s="224"/>
      <c r="I126" s="67"/>
      <c r="J126" s="67"/>
      <c r="M126" s="67"/>
      <c r="N126" s="67"/>
      <c r="O126" s="67"/>
      <c r="P126" s="67"/>
      <c r="Q126" s="67"/>
      <c r="R126" s="67"/>
      <c r="S126" s="67"/>
      <c r="T126" s="67"/>
      <c r="U126" s="67"/>
      <c r="W126" s="274">
        <f t="shared" si="2"/>
        <v>0</v>
      </c>
      <c r="Y126" s="224"/>
      <c r="Z126" s="67"/>
      <c r="AA126" s="67"/>
      <c r="AB126" s="67"/>
      <c r="AC126" s="67"/>
      <c r="AD126" s="67"/>
      <c r="AE126" s="225"/>
      <c r="AH126" s="337">
        <v>0</v>
      </c>
      <c r="AI126" s="67"/>
      <c r="AJ126" s="67"/>
      <c r="AK126" s="67"/>
      <c r="AL126" s="225"/>
      <c r="AN126" s="274">
        <f t="shared" si="3"/>
        <v>0</v>
      </c>
    </row>
    <row r="127" spans="1:40" ht="15" customHeight="1">
      <c r="A127" s="198">
        <v>1018</v>
      </c>
      <c r="B127" s="2">
        <v>103131</v>
      </c>
      <c r="C127" s="2" t="s">
        <v>279</v>
      </c>
      <c r="D127" s="2" t="s">
        <v>280</v>
      </c>
      <c r="E127" s="190" t="s">
        <v>36</v>
      </c>
      <c r="F127" s="211" t="str">
        <f>VLOOKUP(A127,'Summary June 2026'!A:F,6,FALSE)</f>
        <v>Chq Bk</v>
      </c>
      <c r="H127" s="224"/>
      <c r="I127" s="67"/>
      <c r="J127" s="67"/>
      <c r="M127" s="67"/>
      <c r="N127" s="67"/>
      <c r="O127" s="67"/>
      <c r="P127" s="67"/>
      <c r="Q127" s="67"/>
      <c r="R127" s="67"/>
      <c r="S127" s="67"/>
      <c r="T127" s="67"/>
      <c r="U127" s="67"/>
      <c r="W127" s="274">
        <f t="shared" si="2"/>
        <v>0</v>
      </c>
      <c r="Y127" s="224"/>
      <c r="Z127" s="67"/>
      <c r="AA127" s="67"/>
      <c r="AB127" s="67"/>
      <c r="AC127" s="67"/>
      <c r="AD127" s="67"/>
      <c r="AE127" s="225"/>
      <c r="AH127" s="337">
        <v>0</v>
      </c>
      <c r="AI127" s="67"/>
      <c r="AJ127" s="67"/>
      <c r="AK127" s="67"/>
      <c r="AL127" s="225"/>
      <c r="AN127" s="274">
        <f t="shared" si="3"/>
        <v>0</v>
      </c>
    </row>
    <row r="128" spans="1:40" ht="15" customHeight="1">
      <c r="A128" s="198">
        <v>1000</v>
      </c>
      <c r="B128" s="2">
        <v>137796</v>
      </c>
      <c r="C128" s="2" t="s">
        <v>281</v>
      </c>
      <c r="D128" s="2" t="s">
        <v>282</v>
      </c>
      <c r="E128" s="190" t="s">
        <v>36</v>
      </c>
      <c r="F128" s="211" t="str">
        <f>VLOOKUP(A128,'Summary June 2026'!A:F,6,FALSE)</f>
        <v>Chq Bk</v>
      </c>
      <c r="H128" s="224"/>
      <c r="I128" s="67"/>
      <c r="J128" s="67"/>
      <c r="M128" s="67"/>
      <c r="N128" s="67"/>
      <c r="O128" s="67"/>
      <c r="P128" s="67"/>
      <c r="Q128" s="67"/>
      <c r="R128" s="67"/>
      <c r="S128" s="67"/>
      <c r="T128" s="67"/>
      <c r="U128" s="67"/>
      <c r="W128" s="274">
        <f t="shared" si="2"/>
        <v>0</v>
      </c>
      <c r="Y128" s="224"/>
      <c r="Z128" s="67"/>
      <c r="AA128" s="67"/>
      <c r="AB128" s="67"/>
      <c r="AC128" s="67"/>
      <c r="AD128" s="67"/>
      <c r="AE128" s="225"/>
      <c r="AH128" s="337">
        <v>0</v>
      </c>
      <c r="AI128" s="67"/>
      <c r="AJ128" s="67"/>
      <c r="AK128" s="67"/>
      <c r="AL128" s="225"/>
      <c r="AN128" s="274">
        <f t="shared" si="3"/>
        <v>0</v>
      </c>
    </row>
    <row r="129" spans="1:40" ht="15" customHeight="1">
      <c r="A129" s="198">
        <v>7033</v>
      </c>
      <c r="B129" s="2">
        <v>103613</v>
      </c>
      <c r="C129" s="2" t="s">
        <v>283</v>
      </c>
      <c r="D129" s="2" t="s">
        <v>284</v>
      </c>
      <c r="E129" s="190" t="s">
        <v>56</v>
      </c>
      <c r="F129" s="211" t="str">
        <f>VLOOKUP(A129,'Summary June 2026'!A:F,6,FALSE)</f>
        <v>Chq Bk</v>
      </c>
      <c r="H129" s="224"/>
      <c r="I129" s="67"/>
      <c r="J129" s="67"/>
      <c r="M129" s="67"/>
      <c r="N129" s="67"/>
      <c r="O129" s="67"/>
      <c r="P129" s="67"/>
      <c r="Q129" s="67"/>
      <c r="R129" s="67"/>
      <c r="S129" s="67"/>
      <c r="T129" s="67"/>
      <c r="U129" s="67"/>
      <c r="W129" s="274">
        <f t="shared" ref="W129:W185" si="4">-SUMIFS($H129:$P129,$H$3:$P$3,W$6)</f>
        <v>0</v>
      </c>
      <c r="Y129" s="224"/>
      <c r="Z129" s="67"/>
      <c r="AA129" s="67"/>
      <c r="AB129" s="67"/>
      <c r="AC129" s="67"/>
      <c r="AD129" s="67"/>
      <c r="AE129" s="225"/>
      <c r="AH129" s="337">
        <v>0</v>
      </c>
      <c r="AI129" s="67"/>
      <c r="AJ129" s="67"/>
      <c r="AK129" s="67"/>
      <c r="AL129" s="225"/>
      <c r="AN129" s="274">
        <f t="shared" ref="AN129:AN185" si="5">SUMIFS($AH129:$AL129,$AH$3:$AL$3,$AN$6)</f>
        <v>0</v>
      </c>
    </row>
    <row r="130" spans="1:40" ht="15" customHeight="1">
      <c r="A130" s="198">
        <v>4177</v>
      </c>
      <c r="B130" s="2">
        <v>103498</v>
      </c>
      <c r="C130" s="2" t="s">
        <v>285</v>
      </c>
      <c r="D130" s="2" t="s">
        <v>286</v>
      </c>
      <c r="E130" s="190" t="s">
        <v>71</v>
      </c>
      <c r="F130" s="211" t="str">
        <f>VLOOKUP(A130,'Summary June 2026'!A:F,6,FALSE)</f>
        <v>Chq Bk</v>
      </c>
      <c r="H130" s="224"/>
      <c r="I130" s="67"/>
      <c r="J130" s="67"/>
      <c r="M130" s="67"/>
      <c r="N130" s="67"/>
      <c r="O130" s="67"/>
      <c r="P130" s="67"/>
      <c r="Q130" s="67"/>
      <c r="R130" s="67"/>
      <c r="S130" s="67"/>
      <c r="T130" s="67"/>
      <c r="U130" s="67"/>
      <c r="W130" s="274">
        <f t="shared" si="4"/>
        <v>0</v>
      </c>
      <c r="Y130" s="224"/>
      <c r="Z130" s="67"/>
      <c r="AA130" s="67"/>
      <c r="AB130" s="67"/>
      <c r="AC130" s="67"/>
      <c r="AD130" s="67"/>
      <c r="AE130" s="225"/>
      <c r="AH130" s="337">
        <v>0</v>
      </c>
      <c r="AI130" s="67"/>
      <c r="AJ130" s="67"/>
      <c r="AK130" s="67"/>
      <c r="AL130" s="225"/>
      <c r="AN130" s="274">
        <f t="shared" si="5"/>
        <v>0</v>
      </c>
    </row>
    <row r="131" spans="1:40" ht="15" customHeight="1">
      <c r="A131" s="198">
        <v>2169</v>
      </c>
      <c r="B131" s="2">
        <v>103252</v>
      </c>
      <c r="C131" s="2" t="s">
        <v>287</v>
      </c>
      <c r="D131" s="2" t="s">
        <v>288</v>
      </c>
      <c r="E131" s="190" t="s">
        <v>39</v>
      </c>
      <c r="F131" s="211" t="str">
        <f>VLOOKUP(A131,'Summary June 2026'!A:F,6,FALSE)</f>
        <v>Chq Bk</v>
      </c>
      <c r="H131" s="224"/>
      <c r="I131" s="67"/>
      <c r="J131" s="67"/>
      <c r="M131" s="67"/>
      <c r="N131" s="67"/>
      <c r="O131" s="67"/>
      <c r="P131" s="67"/>
      <c r="Q131" s="67"/>
      <c r="R131" s="67"/>
      <c r="S131" s="67"/>
      <c r="T131" s="67"/>
      <c r="U131" s="67"/>
      <c r="W131" s="274">
        <f t="shared" si="4"/>
        <v>0</v>
      </c>
      <c r="Y131" s="224"/>
      <c r="Z131" s="67"/>
      <c r="AA131" s="67"/>
      <c r="AB131" s="67"/>
      <c r="AC131" s="67"/>
      <c r="AD131" s="67"/>
      <c r="AE131" s="225"/>
      <c r="AH131" s="337">
        <v>0</v>
      </c>
      <c r="AI131" s="67"/>
      <c r="AJ131" s="67"/>
      <c r="AK131" s="67"/>
      <c r="AL131" s="225"/>
      <c r="AN131" s="274">
        <f t="shared" si="5"/>
        <v>0</v>
      </c>
    </row>
    <row r="132" spans="1:40" ht="15" customHeight="1">
      <c r="A132" s="198">
        <v>2008</v>
      </c>
      <c r="B132" s="2">
        <v>103157</v>
      </c>
      <c r="C132" s="2" t="s">
        <v>289</v>
      </c>
      <c r="D132" s="2" t="s">
        <v>290</v>
      </c>
      <c r="E132" s="190" t="s">
        <v>39</v>
      </c>
      <c r="F132" s="211" t="str">
        <f>VLOOKUP(A132,'Summary June 2026'!A:F,6,FALSE)</f>
        <v>Chq Bk</v>
      </c>
      <c r="H132" s="224"/>
      <c r="I132" s="67"/>
      <c r="J132" s="67"/>
      <c r="M132" s="67"/>
      <c r="N132" s="67"/>
      <c r="O132" s="67"/>
      <c r="P132" s="67"/>
      <c r="Q132" s="67"/>
      <c r="R132" s="67"/>
      <c r="S132" s="67"/>
      <c r="T132" s="67"/>
      <c r="U132" s="67"/>
      <c r="W132" s="274">
        <f t="shared" si="4"/>
        <v>0</v>
      </c>
      <c r="Y132" s="224"/>
      <c r="Z132" s="67"/>
      <c r="AA132" s="67"/>
      <c r="AB132" s="67"/>
      <c r="AC132" s="67"/>
      <c r="AD132" s="67"/>
      <c r="AE132" s="225"/>
      <c r="AH132" s="337">
        <v>0</v>
      </c>
      <c r="AI132" s="67"/>
      <c r="AJ132" s="67"/>
      <c r="AK132" s="67"/>
      <c r="AL132" s="225"/>
      <c r="AN132" s="274">
        <f t="shared" si="5"/>
        <v>0</v>
      </c>
    </row>
    <row r="133" spans="1:40" ht="15" customHeight="1">
      <c r="A133" s="198">
        <v>1038</v>
      </c>
      <c r="B133" s="2">
        <v>103142</v>
      </c>
      <c r="C133" s="2" t="s">
        <v>291</v>
      </c>
      <c r="D133" s="2" t="s">
        <v>292</v>
      </c>
      <c r="E133" s="190" t="s">
        <v>36</v>
      </c>
      <c r="F133" s="211" t="str">
        <f>VLOOKUP(A133,'Summary June 2026'!A:F,6,FALSE)</f>
        <v>Chq Bk</v>
      </c>
      <c r="H133" s="740"/>
      <c r="I133" s="67"/>
      <c r="J133" s="67"/>
      <c r="M133" s="67"/>
      <c r="N133" s="67"/>
      <c r="O133" s="67"/>
      <c r="P133" s="67"/>
      <c r="Q133" s="67"/>
      <c r="R133" s="67"/>
      <c r="S133" s="67"/>
      <c r="T133" s="67"/>
      <c r="U133" s="67"/>
      <c r="W133" s="274">
        <f t="shared" si="4"/>
        <v>0</v>
      </c>
      <c r="Y133" s="224"/>
      <c r="Z133" s="67"/>
      <c r="AA133" s="67"/>
      <c r="AB133" s="67"/>
      <c r="AC133" s="67"/>
      <c r="AD133" s="67"/>
      <c r="AE133" s="225"/>
      <c r="AH133" s="337">
        <v>0</v>
      </c>
      <c r="AI133" s="67"/>
      <c r="AJ133" s="67"/>
      <c r="AK133" s="67"/>
      <c r="AL133" s="225"/>
      <c r="AN133" s="274">
        <f t="shared" si="5"/>
        <v>0</v>
      </c>
    </row>
    <row r="134" spans="1:40" ht="15" customHeight="1">
      <c r="A134" s="198">
        <v>2174</v>
      </c>
      <c r="B134" s="2">
        <v>103255</v>
      </c>
      <c r="C134" s="2" t="s">
        <v>293</v>
      </c>
      <c r="D134" s="2" t="s">
        <v>294</v>
      </c>
      <c r="E134" s="190" t="s">
        <v>39</v>
      </c>
      <c r="F134" s="211" t="str">
        <f>VLOOKUP(A134,'Summary June 2026'!A:F,6,FALSE)</f>
        <v>Chq Bk</v>
      </c>
      <c r="H134" s="224"/>
      <c r="I134" s="67"/>
      <c r="J134" s="67"/>
      <c r="M134" s="67"/>
      <c r="N134" s="67"/>
      <c r="O134" s="67"/>
      <c r="P134" s="67"/>
      <c r="Q134" s="67"/>
      <c r="R134" s="67"/>
      <c r="S134" s="67"/>
      <c r="T134" s="67"/>
      <c r="U134" s="67"/>
      <c r="W134" s="274">
        <f t="shared" si="4"/>
        <v>0</v>
      </c>
      <c r="Y134" s="224"/>
      <c r="Z134" s="67"/>
      <c r="AA134" s="67"/>
      <c r="AB134" s="67"/>
      <c r="AC134" s="67"/>
      <c r="AD134" s="67"/>
      <c r="AE134" s="225"/>
      <c r="AH134" s="337">
        <v>0</v>
      </c>
      <c r="AI134" s="67"/>
      <c r="AJ134" s="67"/>
      <c r="AK134" s="67"/>
      <c r="AL134" s="225"/>
      <c r="AN134" s="274">
        <f t="shared" si="5"/>
        <v>0</v>
      </c>
    </row>
    <row r="135" spans="1:40" ht="15" customHeight="1">
      <c r="A135" s="198">
        <v>2176</v>
      </c>
      <c r="B135" s="2">
        <v>103256</v>
      </c>
      <c r="C135" s="2" t="s">
        <v>295</v>
      </c>
      <c r="D135" s="2" t="s">
        <v>296</v>
      </c>
      <c r="E135" s="190" t="s">
        <v>39</v>
      </c>
      <c r="F135" s="211" t="str">
        <f>VLOOKUP(A135,'Summary June 2026'!A:F,6,FALSE)</f>
        <v>Chq Bk</v>
      </c>
      <c r="H135" s="224"/>
      <c r="I135" s="67"/>
      <c r="J135" s="67"/>
      <c r="M135" s="67"/>
      <c r="N135" s="67"/>
      <c r="O135" s="67"/>
      <c r="P135" s="67"/>
      <c r="Q135" s="67"/>
      <c r="R135" s="67"/>
      <c r="S135" s="67"/>
      <c r="T135" s="67"/>
      <c r="U135" s="67"/>
      <c r="W135" s="274">
        <f t="shared" si="4"/>
        <v>0</v>
      </c>
      <c r="Y135" s="224"/>
      <c r="Z135" s="67"/>
      <c r="AA135" s="67"/>
      <c r="AB135" s="67"/>
      <c r="AC135" s="67"/>
      <c r="AD135" s="67"/>
      <c r="AE135" s="225"/>
      <c r="AH135" s="337">
        <v>0</v>
      </c>
      <c r="AI135" s="67"/>
      <c r="AJ135" s="67"/>
      <c r="AK135" s="67"/>
      <c r="AL135" s="225"/>
      <c r="AN135" s="274">
        <f t="shared" si="5"/>
        <v>0</v>
      </c>
    </row>
    <row r="136" spans="1:40" ht="15" customHeight="1">
      <c r="A136" s="198">
        <v>7047</v>
      </c>
      <c r="B136" s="2">
        <v>103623</v>
      </c>
      <c r="C136" s="2" t="s">
        <v>297</v>
      </c>
      <c r="D136" s="2" t="s">
        <v>298</v>
      </c>
      <c r="E136" s="190" t="s">
        <v>56</v>
      </c>
      <c r="F136" s="211" t="str">
        <f>VLOOKUP(A136,'Summary June 2026'!A:F,6,FALSE)</f>
        <v>Chq Bk</v>
      </c>
      <c r="H136" s="224"/>
      <c r="I136" s="67"/>
      <c r="J136" s="67"/>
      <c r="M136" s="67"/>
      <c r="N136" s="67"/>
      <c r="O136" s="67"/>
      <c r="P136" s="67"/>
      <c r="Q136" s="67"/>
      <c r="R136" s="67"/>
      <c r="S136" s="67"/>
      <c r="T136" s="67"/>
      <c r="U136" s="67"/>
      <c r="W136" s="274">
        <f t="shared" si="4"/>
        <v>0</v>
      </c>
      <c r="Y136" s="224"/>
      <c r="Z136" s="67"/>
      <c r="AA136" s="67"/>
      <c r="AB136" s="67"/>
      <c r="AC136" s="67"/>
      <c r="AD136" s="67"/>
      <c r="AE136" s="225"/>
      <c r="AH136" s="337">
        <v>0</v>
      </c>
      <c r="AI136" s="67"/>
      <c r="AJ136" s="67"/>
      <c r="AK136" s="67"/>
      <c r="AL136" s="225"/>
      <c r="AN136" s="274">
        <f t="shared" si="5"/>
        <v>0</v>
      </c>
    </row>
    <row r="137" spans="1:40" ht="15" customHeight="1">
      <c r="A137" s="198">
        <v>3410</v>
      </c>
      <c r="B137" s="2">
        <v>103478</v>
      </c>
      <c r="C137" s="2" t="s">
        <v>299</v>
      </c>
      <c r="D137" s="2" t="s">
        <v>300</v>
      </c>
      <c r="E137" s="190" t="s">
        <v>39</v>
      </c>
      <c r="F137" s="211" t="str">
        <f>VLOOKUP(A137,'Summary June 2026'!A:F,6,FALSE)</f>
        <v>Chq Bk</v>
      </c>
      <c r="H137" s="224"/>
      <c r="I137" s="67"/>
      <c r="J137" s="67"/>
      <c r="M137" s="67"/>
      <c r="N137" s="67"/>
      <c r="O137" s="67"/>
      <c r="P137" s="67"/>
      <c r="Q137" s="67"/>
      <c r="R137" s="67"/>
      <c r="S137" s="67"/>
      <c r="T137" s="67"/>
      <c r="U137" s="67"/>
      <c r="W137" s="274">
        <f t="shared" si="4"/>
        <v>0</v>
      </c>
      <c r="Y137" s="224"/>
      <c r="Z137" s="67"/>
      <c r="AA137" s="67"/>
      <c r="AB137" s="67"/>
      <c r="AC137" s="67"/>
      <c r="AD137" s="67"/>
      <c r="AE137" s="225"/>
      <c r="AH137" s="337">
        <v>0</v>
      </c>
      <c r="AI137" s="67"/>
      <c r="AJ137" s="67"/>
      <c r="AK137" s="67"/>
      <c r="AL137" s="225"/>
      <c r="AN137" s="274">
        <f t="shared" si="5"/>
        <v>0</v>
      </c>
    </row>
    <row r="138" spans="1:40" ht="15" customHeight="1">
      <c r="A138" s="198">
        <v>3381</v>
      </c>
      <c r="B138" s="2">
        <v>103466</v>
      </c>
      <c r="C138" s="2" t="s">
        <v>301</v>
      </c>
      <c r="D138" s="2" t="s">
        <v>302</v>
      </c>
      <c r="E138" s="190" t="s">
        <v>39</v>
      </c>
      <c r="F138" s="211" t="str">
        <f>VLOOKUP(A138,'Summary June 2026'!A:F,6,FALSE)</f>
        <v>Chq Bk</v>
      </c>
      <c r="H138" s="224"/>
      <c r="I138" s="67"/>
      <c r="J138" s="67"/>
      <c r="M138" s="67"/>
      <c r="N138" s="67"/>
      <c r="O138" s="67"/>
      <c r="P138" s="67"/>
      <c r="Q138" s="67"/>
      <c r="R138" s="67"/>
      <c r="S138" s="67"/>
      <c r="T138" s="67"/>
      <c r="U138" s="67"/>
      <c r="W138" s="274">
        <f t="shared" si="4"/>
        <v>0</v>
      </c>
      <c r="Y138" s="224"/>
      <c r="Z138" s="67"/>
      <c r="AA138" s="67"/>
      <c r="AB138" s="67"/>
      <c r="AC138" s="67"/>
      <c r="AD138" s="67"/>
      <c r="AE138" s="225"/>
      <c r="AH138" s="337">
        <v>0</v>
      </c>
      <c r="AI138" s="67"/>
      <c r="AJ138" s="67"/>
      <c r="AK138" s="67"/>
      <c r="AL138" s="225"/>
      <c r="AN138" s="274">
        <f t="shared" si="5"/>
        <v>0</v>
      </c>
    </row>
    <row r="139" spans="1:40" ht="15" customHeight="1">
      <c r="A139" s="198">
        <v>3335</v>
      </c>
      <c r="B139" s="2">
        <v>103434</v>
      </c>
      <c r="C139" s="2" t="s">
        <v>303</v>
      </c>
      <c r="D139" s="2" t="s">
        <v>304</v>
      </c>
      <c r="E139" s="190" t="s">
        <v>39</v>
      </c>
      <c r="F139" s="211" t="str">
        <f>VLOOKUP(A139,'Summary June 2026'!A:F,6,FALSE)</f>
        <v>Chq Bk</v>
      </c>
      <c r="H139" s="224"/>
      <c r="I139" s="67"/>
      <c r="J139" s="67"/>
      <c r="M139" s="67"/>
      <c r="N139" s="67"/>
      <c r="O139" s="67"/>
      <c r="P139" s="67"/>
      <c r="Q139" s="67"/>
      <c r="R139" s="67"/>
      <c r="S139" s="67"/>
      <c r="T139" s="67"/>
      <c r="U139" s="67"/>
      <c r="W139" s="274">
        <f t="shared" si="4"/>
        <v>0</v>
      </c>
      <c r="Y139" s="224"/>
      <c r="Z139" s="67"/>
      <c r="AA139" s="67"/>
      <c r="AB139" s="67"/>
      <c r="AC139" s="67"/>
      <c r="AD139" s="67"/>
      <c r="AE139" s="225"/>
      <c r="AH139" s="337">
        <v>0</v>
      </c>
      <c r="AI139" s="67"/>
      <c r="AJ139" s="67"/>
      <c r="AK139" s="67"/>
      <c r="AL139" s="225"/>
      <c r="AN139" s="274">
        <f t="shared" si="5"/>
        <v>0</v>
      </c>
    </row>
    <row r="140" spans="1:40" ht="15" customHeight="1">
      <c r="A140" s="198">
        <v>2183</v>
      </c>
      <c r="B140" s="2">
        <v>103261</v>
      </c>
      <c r="C140" s="2" t="s">
        <v>305</v>
      </c>
      <c r="D140" s="2" t="s">
        <v>306</v>
      </c>
      <c r="E140" s="190" t="s">
        <v>39</v>
      </c>
      <c r="F140" s="211" t="str">
        <f>VLOOKUP(A140,'Summary June 2026'!A:F,6,FALSE)</f>
        <v>Chq Bk</v>
      </c>
      <c r="H140" s="224"/>
      <c r="I140" s="67"/>
      <c r="J140" s="67"/>
      <c r="M140" s="67"/>
      <c r="N140" s="67"/>
      <c r="O140" s="67"/>
      <c r="P140" s="67"/>
      <c r="Q140" s="67"/>
      <c r="R140" s="67"/>
      <c r="S140" s="67"/>
      <c r="T140" s="67"/>
      <c r="U140" s="67"/>
      <c r="W140" s="274">
        <f t="shared" si="4"/>
        <v>0</v>
      </c>
      <c r="Y140" s="224"/>
      <c r="Z140" s="67"/>
      <c r="AA140" s="67"/>
      <c r="AB140" s="67"/>
      <c r="AC140" s="67"/>
      <c r="AD140" s="67"/>
      <c r="AE140" s="225"/>
      <c r="AH140" s="337">
        <v>0</v>
      </c>
      <c r="AI140" s="67"/>
      <c r="AJ140" s="67"/>
      <c r="AK140" s="67"/>
      <c r="AL140" s="225"/>
      <c r="AN140" s="274">
        <f t="shared" si="5"/>
        <v>0</v>
      </c>
    </row>
    <row r="141" spans="1:40" ht="15" customHeight="1">
      <c r="A141" s="198">
        <v>3372</v>
      </c>
      <c r="B141" s="2">
        <v>103460</v>
      </c>
      <c r="C141" s="2" t="s">
        <v>307</v>
      </c>
      <c r="D141" s="2" t="s">
        <v>308</v>
      </c>
      <c r="E141" s="190" t="s">
        <v>39</v>
      </c>
      <c r="F141" s="211" t="str">
        <f>VLOOKUP(A141,'Summary June 2026'!A:F,6,FALSE)</f>
        <v>Chq Bk</v>
      </c>
      <c r="H141" s="224"/>
      <c r="I141" s="67"/>
      <c r="J141" s="67"/>
      <c r="M141" s="67"/>
      <c r="N141" s="67"/>
      <c r="O141" s="67"/>
      <c r="P141" s="67"/>
      <c r="Q141" s="67"/>
      <c r="R141" s="67"/>
      <c r="S141" s="67"/>
      <c r="T141" s="67"/>
      <c r="U141" s="67"/>
      <c r="W141" s="274">
        <f t="shared" si="4"/>
        <v>0</v>
      </c>
      <c r="Y141" s="224"/>
      <c r="Z141" s="67"/>
      <c r="AA141" s="67"/>
      <c r="AB141" s="67"/>
      <c r="AC141" s="67"/>
      <c r="AD141" s="67"/>
      <c r="AE141" s="225"/>
      <c r="AH141" s="337">
        <v>0</v>
      </c>
      <c r="AI141" s="67"/>
      <c r="AJ141" s="67"/>
      <c r="AK141" s="67"/>
      <c r="AL141" s="225"/>
      <c r="AN141" s="274">
        <f t="shared" si="5"/>
        <v>0</v>
      </c>
    </row>
    <row r="142" spans="1:40" ht="15" customHeight="1">
      <c r="A142" s="198">
        <v>3375</v>
      </c>
      <c r="B142" s="2">
        <v>103462</v>
      </c>
      <c r="C142" s="2" t="s">
        <v>309</v>
      </c>
      <c r="D142" s="2" t="s">
        <v>310</v>
      </c>
      <c r="E142" s="190" t="s">
        <v>39</v>
      </c>
      <c r="F142" s="211" t="str">
        <f>VLOOKUP(A142,'Summary June 2026'!A:F,6,FALSE)</f>
        <v>Chq Bk</v>
      </c>
      <c r="H142" s="224"/>
      <c r="I142" s="67"/>
      <c r="J142" s="67"/>
      <c r="M142" s="67"/>
      <c r="N142" s="67"/>
      <c r="O142" s="67"/>
      <c r="P142" s="67"/>
      <c r="Q142" s="67"/>
      <c r="R142" s="67"/>
      <c r="S142" s="67"/>
      <c r="T142" s="67"/>
      <c r="U142" s="67"/>
      <c r="W142" s="274">
        <f t="shared" si="4"/>
        <v>0</v>
      </c>
      <c r="Y142" s="224"/>
      <c r="Z142" s="67"/>
      <c r="AA142" s="67"/>
      <c r="AB142" s="67"/>
      <c r="AC142" s="67"/>
      <c r="AD142" s="67"/>
      <c r="AE142" s="225"/>
      <c r="AH142" s="337">
        <v>0</v>
      </c>
      <c r="AI142" s="67"/>
      <c r="AJ142" s="67"/>
      <c r="AK142" s="67"/>
      <c r="AL142" s="225"/>
      <c r="AN142" s="274">
        <f t="shared" si="5"/>
        <v>0</v>
      </c>
    </row>
    <row r="143" spans="1:40" ht="15" customHeight="1">
      <c r="A143" s="198">
        <v>3331</v>
      </c>
      <c r="B143" s="2">
        <v>103433</v>
      </c>
      <c r="C143" s="2" t="s">
        <v>311</v>
      </c>
      <c r="D143" s="2" t="s">
        <v>312</v>
      </c>
      <c r="E143" s="190" t="s">
        <v>39</v>
      </c>
      <c r="F143" s="211" t="str">
        <f>VLOOKUP(A143,'Summary June 2026'!A:F,6,FALSE)</f>
        <v>Chq Bk</v>
      </c>
      <c r="H143" s="224"/>
      <c r="I143" s="67"/>
      <c r="J143" s="67"/>
      <c r="M143" s="67"/>
      <c r="N143" s="67"/>
      <c r="O143" s="67"/>
      <c r="P143" s="67"/>
      <c r="Q143" s="67"/>
      <c r="R143" s="67"/>
      <c r="S143" s="67"/>
      <c r="T143" s="67"/>
      <c r="U143" s="67"/>
      <c r="W143" s="274">
        <f t="shared" si="4"/>
        <v>0</v>
      </c>
      <c r="Y143" s="224"/>
      <c r="Z143" s="67"/>
      <c r="AA143" s="67"/>
      <c r="AB143" s="67"/>
      <c r="AC143" s="67"/>
      <c r="AD143" s="67"/>
      <c r="AE143" s="225"/>
      <c r="AH143" s="337">
        <v>0</v>
      </c>
      <c r="AI143" s="67"/>
      <c r="AJ143" s="67"/>
      <c r="AK143" s="67"/>
      <c r="AL143" s="225"/>
      <c r="AN143" s="274">
        <f t="shared" si="5"/>
        <v>0</v>
      </c>
    </row>
    <row r="144" spans="1:40" ht="15" customHeight="1">
      <c r="A144" s="198">
        <v>3386</v>
      </c>
      <c r="B144" s="2">
        <v>103470</v>
      </c>
      <c r="C144" s="2" t="s">
        <v>313</v>
      </c>
      <c r="D144" s="2" t="s">
        <v>314</v>
      </c>
      <c r="E144" s="190" t="s">
        <v>39</v>
      </c>
      <c r="F144" s="211" t="str">
        <f>VLOOKUP(A144,'Summary June 2026'!A:F,6,FALSE)</f>
        <v>Chq Bk</v>
      </c>
      <c r="H144" s="224"/>
      <c r="I144" s="67"/>
      <c r="J144" s="67"/>
      <c r="M144" s="67"/>
      <c r="N144" s="67"/>
      <c r="O144" s="67"/>
      <c r="P144" s="67"/>
      <c r="Q144" s="67"/>
      <c r="R144" s="67"/>
      <c r="S144" s="67"/>
      <c r="T144" s="67"/>
      <c r="U144" s="67"/>
      <c r="W144" s="274">
        <f t="shared" si="4"/>
        <v>0</v>
      </c>
      <c r="Y144" s="224"/>
      <c r="Z144" s="67"/>
      <c r="AA144" s="67"/>
      <c r="AB144" s="67"/>
      <c r="AC144" s="67"/>
      <c r="AD144" s="67"/>
      <c r="AE144" s="225"/>
      <c r="AH144" s="337">
        <v>0</v>
      </c>
      <c r="AI144" s="67"/>
      <c r="AJ144" s="67"/>
      <c r="AK144" s="67"/>
      <c r="AL144" s="225"/>
      <c r="AN144" s="274">
        <f t="shared" si="5"/>
        <v>0</v>
      </c>
    </row>
    <row r="145" spans="1:40" ht="15" customHeight="1">
      <c r="A145" s="198">
        <v>3363</v>
      </c>
      <c r="B145" s="2">
        <v>103455</v>
      </c>
      <c r="C145" s="2" t="s">
        <v>315</v>
      </c>
      <c r="D145" s="2" t="s">
        <v>316</v>
      </c>
      <c r="E145" s="190" t="s">
        <v>39</v>
      </c>
      <c r="F145" s="211" t="str">
        <f>VLOOKUP(A145,'Summary June 2026'!A:F,6,FALSE)</f>
        <v>Chq Bk</v>
      </c>
      <c r="H145" s="224"/>
      <c r="I145" s="67"/>
      <c r="J145" s="67"/>
      <c r="M145" s="67"/>
      <c r="N145" s="67"/>
      <c r="O145" s="67"/>
      <c r="P145" s="67"/>
      <c r="Q145" s="67"/>
      <c r="R145" s="67"/>
      <c r="S145" s="67"/>
      <c r="T145" s="67"/>
      <c r="U145" s="67"/>
      <c r="W145" s="274">
        <f t="shared" si="4"/>
        <v>0</v>
      </c>
      <c r="Y145" s="224"/>
      <c r="Z145" s="67"/>
      <c r="AA145" s="67"/>
      <c r="AB145" s="67"/>
      <c r="AC145" s="67"/>
      <c r="AD145" s="67"/>
      <c r="AE145" s="225"/>
      <c r="AH145" s="337">
        <v>0</v>
      </c>
      <c r="AI145" s="67"/>
      <c r="AJ145" s="67"/>
      <c r="AK145" s="67"/>
      <c r="AL145" s="225"/>
      <c r="AN145" s="274">
        <f t="shared" si="5"/>
        <v>0</v>
      </c>
    </row>
    <row r="146" spans="1:40" ht="15" customHeight="1">
      <c r="A146" s="198">
        <v>3355</v>
      </c>
      <c r="B146" s="2">
        <v>103447</v>
      </c>
      <c r="C146" s="2" t="s">
        <v>317</v>
      </c>
      <c r="D146" s="2" t="s">
        <v>318</v>
      </c>
      <c r="E146" s="190" t="s">
        <v>39</v>
      </c>
      <c r="F146" s="211" t="str">
        <f>VLOOKUP(A146,'Summary June 2026'!A:F,6,FALSE)</f>
        <v>Chq Bk</v>
      </c>
      <c r="H146" s="224"/>
      <c r="I146" s="67"/>
      <c r="J146" s="67"/>
      <c r="M146" s="67"/>
      <c r="N146" s="67"/>
      <c r="O146" s="67"/>
      <c r="P146" s="67"/>
      <c r="Q146" s="67"/>
      <c r="R146" s="67"/>
      <c r="S146" s="67"/>
      <c r="T146" s="67"/>
      <c r="U146" s="67"/>
      <c r="W146" s="274">
        <f t="shared" si="4"/>
        <v>0</v>
      </c>
      <c r="Y146" s="224"/>
      <c r="Z146" s="67"/>
      <c r="AA146" s="67"/>
      <c r="AB146" s="67"/>
      <c r="AC146" s="67"/>
      <c r="AD146" s="67"/>
      <c r="AE146" s="225"/>
      <c r="AH146" s="337">
        <v>-4530</v>
      </c>
      <c r="AI146" s="67"/>
      <c r="AJ146" s="67"/>
      <c r="AK146" s="67"/>
      <c r="AL146" s="225"/>
      <c r="AN146" s="274">
        <f t="shared" si="5"/>
        <v>-4530</v>
      </c>
    </row>
    <row r="147" spans="1:40" ht="15" customHeight="1">
      <c r="A147" s="198">
        <v>3367</v>
      </c>
      <c r="B147" s="2">
        <v>103458</v>
      </c>
      <c r="C147" s="2" t="s">
        <v>319</v>
      </c>
      <c r="D147" s="2" t="s">
        <v>320</v>
      </c>
      <c r="E147" s="190" t="s">
        <v>39</v>
      </c>
      <c r="F147" s="211" t="str">
        <f>VLOOKUP(A147,'Summary June 2026'!A:F,6,FALSE)</f>
        <v>Chq Bk</v>
      </c>
      <c r="H147" s="224"/>
      <c r="I147" s="67"/>
      <c r="J147" s="67"/>
      <c r="M147" s="67"/>
      <c r="N147" s="67"/>
      <c r="O147" s="67"/>
      <c r="P147" s="67"/>
      <c r="Q147" s="67"/>
      <c r="R147" s="67"/>
      <c r="S147" s="67"/>
      <c r="T147" s="67"/>
      <c r="U147" s="67"/>
      <c r="W147" s="274">
        <f t="shared" si="4"/>
        <v>0</v>
      </c>
      <c r="Y147" s="224"/>
      <c r="Z147" s="67"/>
      <c r="AA147" s="67"/>
      <c r="AB147" s="67"/>
      <c r="AC147" s="67"/>
      <c r="AD147" s="67"/>
      <c r="AE147" s="225"/>
      <c r="AH147" s="337">
        <v>0</v>
      </c>
      <c r="AI147" s="67"/>
      <c r="AJ147" s="67"/>
      <c r="AK147" s="67"/>
      <c r="AL147" s="225"/>
      <c r="AN147" s="274">
        <f t="shared" si="5"/>
        <v>0</v>
      </c>
    </row>
    <row r="148" spans="1:40" ht="15" customHeight="1">
      <c r="A148" s="198">
        <v>3010</v>
      </c>
      <c r="B148" s="2">
        <v>103401</v>
      </c>
      <c r="C148" s="2" t="s">
        <v>321</v>
      </c>
      <c r="D148" s="2" t="s">
        <v>322</v>
      </c>
      <c r="E148" s="190" t="s">
        <v>39</v>
      </c>
      <c r="F148" s="211" t="str">
        <f>VLOOKUP(A148,'Summary June 2026'!A:F,6,FALSE)</f>
        <v>Chq Bk</v>
      </c>
      <c r="H148" s="224"/>
      <c r="I148" s="67"/>
      <c r="J148" s="67"/>
      <c r="M148" s="67"/>
      <c r="N148" s="67"/>
      <c r="O148" s="67"/>
      <c r="P148" s="67"/>
      <c r="Q148" s="67"/>
      <c r="R148" s="67"/>
      <c r="S148" s="67"/>
      <c r="T148" s="67"/>
      <c r="U148" s="67"/>
      <c r="W148" s="274">
        <f t="shared" si="4"/>
        <v>0</v>
      </c>
      <c r="Y148" s="224"/>
      <c r="Z148" s="67"/>
      <c r="AA148" s="67"/>
      <c r="AB148" s="67"/>
      <c r="AC148" s="67"/>
      <c r="AD148" s="67"/>
      <c r="AE148" s="225"/>
      <c r="AH148" s="337">
        <v>0</v>
      </c>
      <c r="AI148" s="67"/>
      <c r="AJ148" s="67"/>
      <c r="AK148" s="67"/>
      <c r="AL148" s="225"/>
      <c r="AN148" s="274">
        <f t="shared" si="5"/>
        <v>0</v>
      </c>
    </row>
    <row r="149" spans="1:40" ht="15" customHeight="1">
      <c r="A149" s="198">
        <v>4625</v>
      </c>
      <c r="B149" s="2">
        <v>103534</v>
      </c>
      <c r="C149" s="2" t="s">
        <v>323</v>
      </c>
      <c r="D149" s="2" t="s">
        <v>324</v>
      </c>
      <c r="E149" s="190" t="s">
        <v>71</v>
      </c>
      <c r="F149" s="211" t="str">
        <f>VLOOKUP(A149,'Summary June 2026'!A:F,6,FALSE)</f>
        <v>Chq Bk</v>
      </c>
      <c r="H149" s="224"/>
      <c r="I149" s="67"/>
      <c r="J149" s="67"/>
      <c r="M149" s="67"/>
      <c r="N149" s="67"/>
      <c r="O149" s="67"/>
      <c r="P149" s="67"/>
      <c r="Q149" s="67"/>
      <c r="R149" s="67"/>
      <c r="S149" s="67"/>
      <c r="T149" s="67"/>
      <c r="U149" s="67"/>
      <c r="W149" s="274">
        <f t="shared" si="4"/>
        <v>0</v>
      </c>
      <c r="Y149" s="224"/>
      <c r="Z149" s="67"/>
      <c r="AA149" s="67"/>
      <c r="AB149" s="67"/>
      <c r="AC149" s="67"/>
      <c r="AD149" s="67"/>
      <c r="AE149" s="225"/>
      <c r="AH149" s="337">
        <v>0</v>
      </c>
      <c r="AI149" s="67"/>
      <c r="AJ149" s="67"/>
      <c r="AK149" s="67"/>
      <c r="AL149" s="225"/>
      <c r="AN149" s="274">
        <f t="shared" si="5"/>
        <v>0</v>
      </c>
    </row>
    <row r="150" spans="1:40" ht="15" customHeight="1">
      <c r="A150" s="198">
        <v>3377</v>
      </c>
      <c r="B150" s="2">
        <v>103463</v>
      </c>
      <c r="C150" s="2" t="s">
        <v>325</v>
      </c>
      <c r="D150" s="2" t="s">
        <v>326</v>
      </c>
      <c r="E150" s="190" t="s">
        <v>39</v>
      </c>
      <c r="F150" s="211" t="str">
        <f>VLOOKUP(A150,'Summary June 2026'!A:F,6,FALSE)</f>
        <v>Chq Bk</v>
      </c>
      <c r="H150" s="224"/>
      <c r="I150" s="67"/>
      <c r="J150" s="67"/>
      <c r="M150" s="67"/>
      <c r="N150" s="67"/>
      <c r="O150" s="67"/>
      <c r="P150" s="67"/>
      <c r="Q150" s="67"/>
      <c r="R150" s="67"/>
      <c r="S150" s="67"/>
      <c r="T150" s="67"/>
      <c r="U150" s="67"/>
      <c r="W150" s="274">
        <f t="shared" si="4"/>
        <v>0</v>
      </c>
      <c r="Y150" s="224"/>
      <c r="Z150" s="67"/>
      <c r="AA150" s="67"/>
      <c r="AB150" s="67"/>
      <c r="AC150" s="67"/>
      <c r="AD150" s="67"/>
      <c r="AE150" s="225"/>
      <c r="AH150" s="337">
        <v>0</v>
      </c>
      <c r="AI150" s="67"/>
      <c r="AJ150" s="67"/>
      <c r="AK150" s="67"/>
      <c r="AL150" s="225"/>
      <c r="AN150" s="274">
        <f t="shared" si="5"/>
        <v>0</v>
      </c>
    </row>
    <row r="151" spans="1:40" ht="15" customHeight="1">
      <c r="A151" s="198">
        <v>3361</v>
      </c>
      <c r="B151" s="2">
        <v>103453</v>
      </c>
      <c r="C151" s="2" t="s">
        <v>331</v>
      </c>
      <c r="D151" s="2" t="s">
        <v>332</v>
      </c>
      <c r="E151" s="190" t="s">
        <v>39</v>
      </c>
      <c r="F151" s="211" t="str">
        <f>VLOOKUP(A151,'Summary June 2026'!A:F,6,FALSE)</f>
        <v>Chq Bk</v>
      </c>
      <c r="H151" s="224"/>
      <c r="I151" s="67"/>
      <c r="J151" s="67"/>
      <c r="M151" s="67"/>
      <c r="N151" s="67"/>
      <c r="O151" s="67"/>
      <c r="P151" s="67"/>
      <c r="Q151" s="67"/>
      <c r="R151" s="67"/>
      <c r="S151" s="67"/>
      <c r="T151" s="67"/>
      <c r="U151" s="67"/>
      <c r="W151" s="274">
        <f t="shared" si="4"/>
        <v>0</v>
      </c>
      <c r="Y151" s="224"/>
      <c r="Z151" s="67"/>
      <c r="AA151" s="67"/>
      <c r="AB151" s="67"/>
      <c r="AC151" s="67"/>
      <c r="AD151" s="67"/>
      <c r="AE151" s="225"/>
      <c r="AH151" s="337">
        <v>0</v>
      </c>
      <c r="AI151" s="67"/>
      <c r="AJ151" s="67"/>
      <c r="AK151" s="67"/>
      <c r="AL151" s="225"/>
      <c r="AN151" s="274">
        <f t="shared" si="5"/>
        <v>0</v>
      </c>
    </row>
    <row r="152" spans="1:40" ht="15" customHeight="1">
      <c r="A152" s="198">
        <v>3382</v>
      </c>
      <c r="B152" s="2">
        <v>103467</v>
      </c>
      <c r="C152" s="2" t="s">
        <v>333</v>
      </c>
      <c r="D152" s="2" t="s">
        <v>334</v>
      </c>
      <c r="E152" s="190" t="s">
        <v>39</v>
      </c>
      <c r="F152" s="211" t="str">
        <f>VLOOKUP(A152,'Summary June 2026'!A:F,6,FALSE)</f>
        <v>Chq Bk</v>
      </c>
      <c r="H152" s="224"/>
      <c r="I152" s="67"/>
      <c r="J152" s="67"/>
      <c r="M152" s="67"/>
      <c r="N152" s="67"/>
      <c r="O152" s="67"/>
      <c r="P152" s="67"/>
      <c r="Q152" s="67"/>
      <c r="R152" s="67"/>
      <c r="S152" s="67"/>
      <c r="T152" s="67"/>
      <c r="U152" s="67"/>
      <c r="W152" s="274">
        <f t="shared" si="4"/>
        <v>0</v>
      </c>
      <c r="Y152" s="224"/>
      <c r="Z152" s="67"/>
      <c r="AA152" s="67"/>
      <c r="AB152" s="67"/>
      <c r="AC152" s="67"/>
      <c r="AD152" s="67"/>
      <c r="AE152" s="225"/>
      <c r="AH152" s="337">
        <v>0</v>
      </c>
      <c r="AI152" s="67"/>
      <c r="AJ152" s="67"/>
      <c r="AK152" s="67"/>
      <c r="AL152" s="225"/>
      <c r="AN152" s="274">
        <f t="shared" si="5"/>
        <v>0</v>
      </c>
    </row>
    <row r="153" spans="1:40" ht="15" customHeight="1">
      <c r="A153" s="198">
        <v>3344</v>
      </c>
      <c r="B153" s="2">
        <v>103438</v>
      </c>
      <c r="C153" s="2" t="s">
        <v>335</v>
      </c>
      <c r="D153" s="2" t="s">
        <v>336</v>
      </c>
      <c r="E153" s="190" t="s">
        <v>39</v>
      </c>
      <c r="F153" s="211" t="str">
        <f>VLOOKUP(A153,'Summary June 2026'!A:F,6,FALSE)</f>
        <v>Chq Bk</v>
      </c>
      <c r="H153" s="224"/>
      <c r="I153" s="67"/>
      <c r="J153" s="67"/>
      <c r="M153" s="67"/>
      <c r="N153" s="67"/>
      <c r="O153" s="67"/>
      <c r="P153" s="67"/>
      <c r="Q153" s="67"/>
      <c r="R153" s="67"/>
      <c r="S153" s="67"/>
      <c r="T153" s="67"/>
      <c r="U153" s="67"/>
      <c r="W153" s="274">
        <f t="shared" si="4"/>
        <v>0</v>
      </c>
      <c r="Y153" s="224"/>
      <c r="Z153" s="67"/>
      <c r="AA153" s="67"/>
      <c r="AB153" s="67"/>
      <c r="AC153" s="67"/>
      <c r="AD153" s="67"/>
      <c r="AE153" s="225"/>
      <c r="AH153" s="337">
        <v>0</v>
      </c>
      <c r="AI153" s="67"/>
      <c r="AJ153" s="67"/>
      <c r="AK153" s="67"/>
      <c r="AL153" s="225"/>
      <c r="AN153" s="274">
        <f t="shared" si="5"/>
        <v>0</v>
      </c>
    </row>
    <row r="154" spans="1:40" ht="15" customHeight="1">
      <c r="A154" s="198">
        <v>3025</v>
      </c>
      <c r="B154" s="2">
        <v>103410</v>
      </c>
      <c r="C154" s="2" t="s">
        <v>337</v>
      </c>
      <c r="D154" s="2" t="s">
        <v>338</v>
      </c>
      <c r="E154" s="190" t="s">
        <v>39</v>
      </c>
      <c r="F154" s="211" t="str">
        <f>VLOOKUP(A154,'Summary June 2026'!A:F,6,FALSE)</f>
        <v>Chq Bk</v>
      </c>
      <c r="H154" s="224"/>
      <c r="I154" s="67"/>
      <c r="J154" s="67"/>
      <c r="M154" s="67"/>
      <c r="N154" s="67"/>
      <c r="O154" s="67"/>
      <c r="P154" s="67"/>
      <c r="Q154" s="67"/>
      <c r="R154" s="67"/>
      <c r="S154" s="67"/>
      <c r="T154" s="67"/>
      <c r="U154" s="67"/>
      <c r="W154" s="274">
        <f t="shared" si="4"/>
        <v>0</v>
      </c>
      <c r="Y154" s="224"/>
      <c r="Z154" s="67"/>
      <c r="AA154" s="67"/>
      <c r="AB154" s="67"/>
      <c r="AC154" s="67"/>
      <c r="AD154" s="67"/>
      <c r="AE154" s="225"/>
      <c r="AH154" s="337">
        <v>0</v>
      </c>
      <c r="AI154" s="67"/>
      <c r="AJ154" s="67"/>
      <c r="AK154" s="67"/>
      <c r="AL154" s="225"/>
      <c r="AN154" s="274">
        <f t="shared" si="5"/>
        <v>0</v>
      </c>
    </row>
    <row r="155" spans="1:40" ht="15" customHeight="1">
      <c r="A155" s="198">
        <v>3016</v>
      </c>
      <c r="B155" s="2">
        <v>103404</v>
      </c>
      <c r="C155" s="2" t="s">
        <v>339</v>
      </c>
      <c r="D155" s="2" t="s">
        <v>340</v>
      </c>
      <c r="E155" s="190" t="s">
        <v>39</v>
      </c>
      <c r="F155" s="211" t="str">
        <f>VLOOKUP(A155,'Summary June 2026'!A:F,6,FALSE)</f>
        <v>Chq Bk</v>
      </c>
      <c r="H155" s="740"/>
      <c r="I155" s="67"/>
      <c r="J155" s="67"/>
      <c r="M155" s="67"/>
      <c r="N155" s="67"/>
      <c r="O155" s="67"/>
      <c r="P155" s="67"/>
      <c r="Q155" s="67"/>
      <c r="R155" s="67"/>
      <c r="S155" s="67"/>
      <c r="T155" s="67"/>
      <c r="U155" s="67"/>
      <c r="W155" s="274">
        <f t="shared" si="4"/>
        <v>0</v>
      </c>
      <c r="Y155" s="224"/>
      <c r="Z155" s="67"/>
      <c r="AA155" s="67"/>
      <c r="AB155" s="67"/>
      <c r="AC155" s="67"/>
      <c r="AD155" s="67"/>
      <c r="AE155" s="225"/>
      <c r="AH155" s="337">
        <v>0</v>
      </c>
      <c r="AI155" s="67"/>
      <c r="AJ155" s="67"/>
      <c r="AK155" s="67"/>
      <c r="AL155" s="225"/>
      <c r="AN155" s="274">
        <f t="shared" si="5"/>
        <v>0</v>
      </c>
    </row>
    <row r="156" spans="1:40" ht="15" customHeight="1">
      <c r="A156" s="198">
        <v>3346</v>
      </c>
      <c r="B156" s="2">
        <v>103439</v>
      </c>
      <c r="C156" s="2" t="s">
        <v>341</v>
      </c>
      <c r="D156" s="2" t="s">
        <v>342</v>
      </c>
      <c r="E156" s="190" t="s">
        <v>39</v>
      </c>
      <c r="F156" s="211" t="str">
        <f>VLOOKUP(A156,'Summary June 2026'!A:F,6,FALSE)</f>
        <v>Chq Bk</v>
      </c>
      <c r="H156" s="224"/>
      <c r="I156" s="67"/>
      <c r="J156" s="67"/>
      <c r="M156" s="67"/>
      <c r="N156" s="67"/>
      <c r="O156" s="67"/>
      <c r="P156" s="67"/>
      <c r="Q156" s="67"/>
      <c r="R156" s="67"/>
      <c r="S156" s="67"/>
      <c r="T156" s="67"/>
      <c r="U156" s="67"/>
      <c r="W156" s="274">
        <f t="shared" si="4"/>
        <v>0</v>
      </c>
      <c r="Y156" s="224"/>
      <c r="Z156" s="67"/>
      <c r="AA156" s="67"/>
      <c r="AB156" s="67"/>
      <c r="AC156" s="67"/>
      <c r="AD156" s="67"/>
      <c r="AE156" s="225"/>
      <c r="AH156" s="337">
        <v>0</v>
      </c>
      <c r="AI156" s="67"/>
      <c r="AJ156" s="67"/>
      <c r="AK156" s="67"/>
      <c r="AL156" s="225"/>
      <c r="AN156" s="274">
        <f t="shared" si="5"/>
        <v>0</v>
      </c>
    </row>
    <row r="157" spans="1:40" ht="15" customHeight="1">
      <c r="A157" s="198">
        <v>4606</v>
      </c>
      <c r="B157" s="2">
        <v>103531</v>
      </c>
      <c r="C157" s="2" t="s">
        <v>343</v>
      </c>
      <c r="D157" s="2" t="s">
        <v>344</v>
      </c>
      <c r="E157" s="190" t="s">
        <v>71</v>
      </c>
      <c r="F157" s="211" t="str">
        <f>VLOOKUP(A157,'Summary June 2026'!A:F,6,FALSE)</f>
        <v>Chq Bk</v>
      </c>
      <c r="H157" s="224"/>
      <c r="I157" s="67"/>
      <c r="J157" s="67"/>
      <c r="M157" s="67"/>
      <c r="N157" s="67"/>
      <c r="O157" s="67"/>
      <c r="P157" s="67"/>
      <c r="Q157" s="67"/>
      <c r="R157" s="67"/>
      <c r="S157" s="67"/>
      <c r="T157" s="67"/>
      <c r="U157" s="67"/>
      <c r="W157" s="274">
        <f t="shared" si="4"/>
        <v>0</v>
      </c>
      <c r="Y157" s="224"/>
      <c r="Z157" s="67"/>
      <c r="AA157" s="67"/>
      <c r="AB157" s="67"/>
      <c r="AC157" s="67"/>
      <c r="AD157" s="67"/>
      <c r="AE157" s="225"/>
      <c r="AH157" s="337">
        <v>0</v>
      </c>
      <c r="AI157" s="67"/>
      <c r="AJ157" s="67"/>
      <c r="AK157" s="67"/>
      <c r="AL157" s="225"/>
      <c r="AN157" s="274">
        <f t="shared" si="5"/>
        <v>0</v>
      </c>
    </row>
    <row r="158" spans="1:40" ht="15" customHeight="1">
      <c r="A158" s="198">
        <v>3428</v>
      </c>
      <c r="B158" s="2">
        <v>134476</v>
      </c>
      <c r="C158" s="2" t="s">
        <v>345</v>
      </c>
      <c r="D158" s="2" t="s">
        <v>346</v>
      </c>
      <c r="E158" s="190" t="s">
        <v>39</v>
      </c>
      <c r="F158" s="211" t="str">
        <f>VLOOKUP(A158,'Summary June 2026'!A:F,6,FALSE)</f>
        <v>Chq Bk</v>
      </c>
      <c r="H158" s="740"/>
      <c r="I158" s="67"/>
      <c r="J158" s="67"/>
      <c r="M158" s="67"/>
      <c r="N158" s="67"/>
      <c r="O158" s="67"/>
      <c r="P158" s="67"/>
      <c r="Q158" s="67"/>
      <c r="R158" s="67"/>
      <c r="S158" s="67"/>
      <c r="T158" s="67"/>
      <c r="U158" s="67"/>
      <c r="W158" s="274">
        <f t="shared" si="4"/>
        <v>0</v>
      </c>
      <c r="Y158" s="224"/>
      <c r="Z158" s="67"/>
      <c r="AA158" s="67"/>
      <c r="AB158" s="67"/>
      <c r="AC158" s="67"/>
      <c r="AD158" s="67"/>
      <c r="AE158" s="225"/>
      <c r="AH158" s="337">
        <v>0</v>
      </c>
      <c r="AI158" s="67"/>
      <c r="AJ158" s="67"/>
      <c r="AK158" s="67"/>
      <c r="AL158" s="225"/>
      <c r="AN158" s="274">
        <f t="shared" si="5"/>
        <v>0</v>
      </c>
    </row>
    <row r="159" spans="1:40" ht="15" customHeight="1">
      <c r="A159" s="198">
        <v>3019</v>
      </c>
      <c r="B159" s="2">
        <v>103406</v>
      </c>
      <c r="C159" s="2" t="s">
        <v>347</v>
      </c>
      <c r="D159" s="2" t="s">
        <v>348</v>
      </c>
      <c r="E159" s="190" t="s">
        <v>39</v>
      </c>
      <c r="F159" s="211" t="str">
        <f>VLOOKUP(A159,'Summary June 2026'!A:F,6,FALSE)</f>
        <v>Chq Bk</v>
      </c>
      <c r="H159" s="224"/>
      <c r="I159" s="67"/>
      <c r="J159" s="67"/>
      <c r="M159" s="67"/>
      <c r="N159" s="67"/>
      <c r="O159" s="67"/>
      <c r="P159" s="67"/>
      <c r="Q159" s="67"/>
      <c r="R159" s="67"/>
      <c r="S159" s="67"/>
      <c r="T159" s="67"/>
      <c r="U159" s="67"/>
      <c r="W159" s="274">
        <f t="shared" si="4"/>
        <v>0</v>
      </c>
      <c r="Y159" s="224"/>
      <c r="Z159" s="67"/>
      <c r="AA159" s="67"/>
      <c r="AB159" s="67"/>
      <c r="AC159" s="67"/>
      <c r="AD159" s="67"/>
      <c r="AE159" s="225"/>
      <c r="AH159" s="337">
        <v>0</v>
      </c>
      <c r="AI159" s="67"/>
      <c r="AJ159" s="67"/>
      <c r="AK159" s="67"/>
      <c r="AL159" s="225"/>
      <c r="AN159" s="274">
        <f t="shared" si="5"/>
        <v>0</v>
      </c>
    </row>
    <row r="160" spans="1:40" ht="15" customHeight="1">
      <c r="A160" s="198">
        <v>1009</v>
      </c>
      <c r="B160" s="2">
        <v>103124</v>
      </c>
      <c r="C160" s="2" t="s">
        <v>349</v>
      </c>
      <c r="D160" s="2" t="s">
        <v>350</v>
      </c>
      <c r="E160" s="190" t="s">
        <v>36</v>
      </c>
      <c r="F160" s="211" t="str">
        <f>VLOOKUP(A160,'Summary June 2026'!A:F,6,FALSE)</f>
        <v>Chq Bk</v>
      </c>
      <c r="H160" s="224"/>
      <c r="I160" s="67"/>
      <c r="J160" s="67"/>
      <c r="M160" s="67"/>
      <c r="N160" s="67"/>
      <c r="O160" s="67"/>
      <c r="P160" s="67"/>
      <c r="Q160" s="67"/>
      <c r="R160" s="67"/>
      <c r="S160" s="67"/>
      <c r="T160" s="67"/>
      <c r="U160" s="67"/>
      <c r="W160" s="274">
        <f t="shared" si="4"/>
        <v>0</v>
      </c>
      <c r="Y160" s="224"/>
      <c r="Z160" s="67"/>
      <c r="AA160" s="67"/>
      <c r="AB160" s="67"/>
      <c r="AC160" s="67"/>
      <c r="AD160" s="67"/>
      <c r="AE160" s="225"/>
      <c r="AH160" s="337">
        <v>0</v>
      </c>
      <c r="AI160" s="67"/>
      <c r="AJ160" s="67"/>
      <c r="AK160" s="67"/>
      <c r="AL160" s="225"/>
      <c r="AN160" s="274">
        <f t="shared" si="5"/>
        <v>0</v>
      </c>
    </row>
    <row r="161" spans="1:40" ht="15" customHeight="1">
      <c r="A161" s="198">
        <v>2178</v>
      </c>
      <c r="B161" s="2">
        <v>103257</v>
      </c>
      <c r="C161" s="2" t="s">
        <v>351</v>
      </c>
      <c r="D161" s="2" t="s">
        <v>352</v>
      </c>
      <c r="E161" s="190" t="s">
        <v>39</v>
      </c>
      <c r="F161" s="211" t="str">
        <f>VLOOKUP(A161,'Summary June 2026'!A:F,6,FALSE)</f>
        <v>Chq Bk</v>
      </c>
      <c r="H161" s="224"/>
      <c r="I161" s="67"/>
      <c r="J161" s="67"/>
      <c r="M161" s="67"/>
      <c r="N161" s="67"/>
      <c r="O161" s="67"/>
      <c r="P161" s="67"/>
      <c r="Q161" s="67"/>
      <c r="R161" s="67"/>
      <c r="S161" s="67"/>
      <c r="T161" s="67"/>
      <c r="U161" s="67"/>
      <c r="W161" s="274">
        <f t="shared" si="4"/>
        <v>0</v>
      </c>
      <c r="Y161" s="224"/>
      <c r="Z161" s="67"/>
      <c r="AA161" s="67"/>
      <c r="AB161" s="67"/>
      <c r="AC161" s="67"/>
      <c r="AD161" s="67"/>
      <c r="AE161" s="225"/>
      <c r="AH161" s="337">
        <v>0</v>
      </c>
      <c r="AI161" s="67"/>
      <c r="AJ161" s="67"/>
      <c r="AK161" s="67"/>
      <c r="AL161" s="225"/>
      <c r="AN161" s="274">
        <f t="shared" si="5"/>
        <v>0</v>
      </c>
    </row>
    <row r="162" spans="1:40" ht="15" customHeight="1">
      <c r="A162" s="198">
        <v>2184</v>
      </c>
      <c r="B162" s="2">
        <v>103262</v>
      </c>
      <c r="C162" s="2" t="s">
        <v>353</v>
      </c>
      <c r="D162" s="2" t="s">
        <v>354</v>
      </c>
      <c r="E162" s="190" t="s">
        <v>39</v>
      </c>
      <c r="F162" s="211" t="str">
        <f>VLOOKUP(A162,'Summary June 2026'!A:F,6,FALSE)</f>
        <v>Chq Bk</v>
      </c>
      <c r="H162" s="224"/>
      <c r="I162" s="67"/>
      <c r="J162" s="67"/>
      <c r="M162" s="67"/>
      <c r="N162" s="67"/>
      <c r="O162" s="67"/>
      <c r="P162" s="67"/>
      <c r="Q162" s="67"/>
      <c r="R162" s="67"/>
      <c r="S162" s="67"/>
      <c r="T162" s="67"/>
      <c r="U162" s="67"/>
      <c r="W162" s="274">
        <f t="shared" si="4"/>
        <v>0</v>
      </c>
      <c r="Y162" s="224"/>
      <c r="Z162" s="67"/>
      <c r="AA162" s="67"/>
      <c r="AB162" s="67"/>
      <c r="AC162" s="67"/>
      <c r="AD162" s="67"/>
      <c r="AE162" s="225"/>
      <c r="AH162" s="337">
        <v>0</v>
      </c>
      <c r="AI162" s="67"/>
      <c r="AJ162" s="67"/>
      <c r="AK162" s="67"/>
      <c r="AL162" s="225"/>
      <c r="AN162" s="274">
        <f t="shared" si="5"/>
        <v>0</v>
      </c>
    </row>
    <row r="163" spans="1:40" ht="15" customHeight="1">
      <c r="A163" s="198">
        <v>2190</v>
      </c>
      <c r="B163" s="2">
        <v>103266</v>
      </c>
      <c r="C163" s="2" t="s">
        <v>355</v>
      </c>
      <c r="D163" s="2" t="s">
        <v>356</v>
      </c>
      <c r="E163" s="190" t="s">
        <v>39</v>
      </c>
      <c r="F163" s="211" t="str">
        <f>VLOOKUP(A163,'Summary June 2026'!A:F,6,FALSE)</f>
        <v>Chq Bk</v>
      </c>
      <c r="H163" s="224"/>
      <c r="I163" s="67"/>
      <c r="J163" s="67"/>
      <c r="M163" s="67"/>
      <c r="N163" s="67"/>
      <c r="O163" s="67"/>
      <c r="P163" s="67"/>
      <c r="Q163" s="67"/>
      <c r="R163" s="67"/>
      <c r="S163" s="67"/>
      <c r="T163" s="67"/>
      <c r="U163" s="67"/>
      <c r="W163" s="274">
        <f t="shared" si="4"/>
        <v>0</v>
      </c>
      <c r="Y163" s="224"/>
      <c r="Z163" s="67"/>
      <c r="AA163" s="67"/>
      <c r="AB163" s="67"/>
      <c r="AC163" s="67"/>
      <c r="AD163" s="67"/>
      <c r="AE163" s="225"/>
      <c r="AH163" s="337">
        <v>0</v>
      </c>
      <c r="AI163" s="67"/>
      <c r="AJ163" s="67"/>
      <c r="AK163" s="67"/>
      <c r="AL163" s="225"/>
      <c r="AN163" s="274">
        <f t="shared" si="5"/>
        <v>0</v>
      </c>
    </row>
    <row r="164" spans="1:40" ht="15" customHeight="1">
      <c r="A164" s="198">
        <v>7035</v>
      </c>
      <c r="B164" s="2">
        <v>103615</v>
      </c>
      <c r="C164" s="2" t="s">
        <v>357</v>
      </c>
      <c r="D164" s="2" t="s">
        <v>358</v>
      </c>
      <c r="E164" s="190" t="s">
        <v>56</v>
      </c>
      <c r="F164" s="211" t="str">
        <f>VLOOKUP(A164,'Summary June 2026'!A:F,6,FALSE)</f>
        <v>Chq Bk</v>
      </c>
      <c r="H164" s="224"/>
      <c r="I164" s="67"/>
      <c r="J164" s="67"/>
      <c r="M164" s="67"/>
      <c r="N164" s="67"/>
      <c r="O164" s="67"/>
      <c r="P164" s="67"/>
      <c r="Q164" s="67"/>
      <c r="R164" s="67"/>
      <c r="S164" s="67"/>
      <c r="T164" s="67"/>
      <c r="U164" s="67"/>
      <c r="W164" s="274">
        <f t="shared" si="4"/>
        <v>0</v>
      </c>
      <c r="Y164" s="224"/>
      <c r="Z164" s="67"/>
      <c r="AA164" s="67"/>
      <c r="AB164" s="67"/>
      <c r="AC164" s="67"/>
      <c r="AD164" s="67"/>
      <c r="AE164" s="225"/>
      <c r="AH164" s="337">
        <v>0</v>
      </c>
      <c r="AI164" s="67"/>
      <c r="AJ164" s="67"/>
      <c r="AK164" s="67"/>
      <c r="AL164" s="225"/>
      <c r="AN164" s="274">
        <f t="shared" si="5"/>
        <v>0</v>
      </c>
    </row>
    <row r="165" spans="1:40" ht="15" customHeight="1">
      <c r="A165" s="198">
        <v>7045</v>
      </c>
      <c r="B165" s="2">
        <v>103622</v>
      </c>
      <c r="C165" s="2" t="s">
        <v>359</v>
      </c>
      <c r="D165" s="2" t="s">
        <v>360</v>
      </c>
      <c r="E165" s="190" t="s">
        <v>56</v>
      </c>
      <c r="F165" s="211" t="str">
        <f>VLOOKUP(A165,'Summary June 2026'!A:F,6,FALSE)</f>
        <v>Chq Bk</v>
      </c>
      <c r="H165" s="224"/>
      <c r="I165" s="67"/>
      <c r="J165" s="67"/>
      <c r="M165" s="67"/>
      <c r="N165" s="67"/>
      <c r="O165" s="67"/>
      <c r="P165" s="67"/>
      <c r="Q165" s="67"/>
      <c r="R165" s="67"/>
      <c r="S165" s="67"/>
      <c r="T165" s="67"/>
      <c r="U165" s="67"/>
      <c r="W165" s="274">
        <f t="shared" si="4"/>
        <v>0</v>
      </c>
      <c r="Y165" s="224"/>
      <c r="Z165" s="67"/>
      <c r="AA165" s="67"/>
      <c r="AB165" s="67"/>
      <c r="AC165" s="67"/>
      <c r="AD165" s="67"/>
      <c r="AE165" s="225"/>
      <c r="AH165" s="337">
        <v>0</v>
      </c>
      <c r="AI165" s="67"/>
      <c r="AJ165" s="67"/>
      <c r="AK165" s="67"/>
      <c r="AL165" s="225"/>
      <c r="AN165" s="274">
        <f t="shared" si="5"/>
        <v>0</v>
      </c>
    </row>
    <row r="166" spans="1:40" ht="15" customHeight="1">
      <c r="A166" s="198">
        <v>2192</v>
      </c>
      <c r="B166" s="2">
        <v>103268</v>
      </c>
      <c r="C166" s="2" t="s">
        <v>361</v>
      </c>
      <c r="D166" s="2" t="s">
        <v>362</v>
      </c>
      <c r="E166" s="190" t="s">
        <v>39</v>
      </c>
      <c r="F166" s="211" t="str">
        <f>VLOOKUP(A166,'Summary June 2026'!A:F,6,FALSE)</f>
        <v>Chq Bk</v>
      </c>
      <c r="H166" s="224"/>
      <c r="I166" s="67"/>
      <c r="J166" s="67"/>
      <c r="M166" s="67"/>
      <c r="N166" s="67"/>
      <c r="O166" s="67"/>
      <c r="P166" s="67"/>
      <c r="Q166" s="67"/>
      <c r="R166" s="67"/>
      <c r="S166" s="67"/>
      <c r="T166" s="67"/>
      <c r="U166" s="67"/>
      <c r="W166" s="274">
        <f t="shared" si="4"/>
        <v>0</v>
      </c>
      <c r="Y166" s="224"/>
      <c r="Z166" s="67"/>
      <c r="AA166" s="67"/>
      <c r="AB166" s="67"/>
      <c r="AC166" s="67"/>
      <c r="AD166" s="67"/>
      <c r="AE166" s="225"/>
      <c r="AH166" s="337">
        <v>0</v>
      </c>
      <c r="AI166" s="67"/>
      <c r="AJ166" s="67"/>
      <c r="AK166" s="67"/>
      <c r="AL166" s="225"/>
      <c r="AN166" s="274">
        <f t="shared" si="5"/>
        <v>0</v>
      </c>
    </row>
    <row r="167" spans="1:40" ht="15" customHeight="1">
      <c r="A167" s="198">
        <v>7014</v>
      </c>
      <c r="B167" s="2">
        <v>103605</v>
      </c>
      <c r="C167" s="2" t="s">
        <v>363</v>
      </c>
      <c r="D167" s="2" t="s">
        <v>364</v>
      </c>
      <c r="E167" s="190" t="s">
        <v>56</v>
      </c>
      <c r="F167" s="211" t="str">
        <f>VLOOKUP(A167,'Summary June 2026'!A:F,6,FALSE)</f>
        <v>Chq Bk</v>
      </c>
      <c r="H167" s="224"/>
      <c r="I167" s="67"/>
      <c r="J167" s="67"/>
      <c r="M167" s="67"/>
      <c r="N167" s="67"/>
      <c r="O167" s="67"/>
      <c r="P167" s="67"/>
      <c r="Q167" s="67"/>
      <c r="R167" s="67"/>
      <c r="S167" s="67"/>
      <c r="T167" s="67"/>
      <c r="U167" s="67"/>
      <c r="W167" s="274">
        <f t="shared" si="4"/>
        <v>0</v>
      </c>
      <c r="Y167" s="224"/>
      <c r="Z167" s="67"/>
      <c r="AA167" s="67"/>
      <c r="AB167" s="67"/>
      <c r="AC167" s="67"/>
      <c r="AD167" s="67"/>
      <c r="AE167" s="225"/>
      <c r="AH167" s="337">
        <v>0</v>
      </c>
      <c r="AI167" s="67"/>
      <c r="AJ167" s="67"/>
      <c r="AK167" s="67"/>
      <c r="AL167" s="225"/>
      <c r="AN167" s="274">
        <f t="shared" si="5"/>
        <v>0</v>
      </c>
    </row>
    <row r="168" spans="1:40" ht="15" customHeight="1">
      <c r="A168" s="198">
        <v>7009</v>
      </c>
      <c r="B168" s="2">
        <v>103601</v>
      </c>
      <c r="C168" s="2" t="s">
        <v>365</v>
      </c>
      <c r="D168" s="2" t="s">
        <v>366</v>
      </c>
      <c r="E168" s="190" t="s">
        <v>56</v>
      </c>
      <c r="F168" s="211" t="str">
        <f>VLOOKUP(A168,'Summary June 2026'!A:F,6,FALSE)</f>
        <v>Chq Bk</v>
      </c>
      <c r="H168" s="224"/>
      <c r="I168" s="67"/>
      <c r="J168" s="67"/>
      <c r="M168" s="67"/>
      <c r="N168" s="67"/>
      <c r="O168" s="67"/>
      <c r="P168" s="67"/>
      <c r="Q168" s="67"/>
      <c r="R168" s="67"/>
      <c r="S168" s="67"/>
      <c r="T168" s="67"/>
      <c r="U168" s="67"/>
      <c r="W168" s="274">
        <f t="shared" si="4"/>
        <v>0</v>
      </c>
      <c r="Y168" s="224"/>
      <c r="Z168" s="67"/>
      <c r="AA168" s="67"/>
      <c r="AB168" s="67"/>
      <c r="AC168" s="67"/>
      <c r="AD168" s="67"/>
      <c r="AE168" s="225"/>
      <c r="AH168" s="337">
        <v>0</v>
      </c>
      <c r="AI168" s="67"/>
      <c r="AJ168" s="67"/>
      <c r="AK168" s="67"/>
      <c r="AL168" s="225"/>
      <c r="AN168" s="274">
        <f t="shared" si="5"/>
        <v>0</v>
      </c>
    </row>
    <row r="169" spans="1:40" ht="15" customHeight="1">
      <c r="A169" s="198">
        <v>5203</v>
      </c>
      <c r="B169" s="2">
        <v>103544</v>
      </c>
      <c r="C169" s="2" t="s">
        <v>367</v>
      </c>
      <c r="D169" s="2" t="s">
        <v>368</v>
      </c>
      <c r="E169" s="190" t="s">
        <v>39</v>
      </c>
      <c r="F169" s="211" t="str">
        <f>VLOOKUP(A169,'Summary June 2026'!A:F,6,FALSE)</f>
        <v>Chq Bk</v>
      </c>
      <c r="H169" s="224"/>
      <c r="I169" s="67"/>
      <c r="J169" s="67"/>
      <c r="M169" s="67"/>
      <c r="N169" s="67"/>
      <c r="O169" s="67"/>
      <c r="P169" s="67"/>
      <c r="Q169" s="67"/>
      <c r="R169" s="67"/>
      <c r="S169" s="67"/>
      <c r="T169" s="67"/>
      <c r="U169" s="67"/>
      <c r="W169" s="274">
        <f t="shared" si="4"/>
        <v>0</v>
      </c>
      <c r="Y169" s="224"/>
      <c r="Z169" s="67"/>
      <c r="AA169" s="67"/>
      <c r="AB169" s="67"/>
      <c r="AC169" s="67"/>
      <c r="AD169" s="67"/>
      <c r="AE169" s="225"/>
      <c r="AH169" s="337">
        <v>0</v>
      </c>
      <c r="AI169" s="67"/>
      <c r="AJ169" s="67"/>
      <c r="AK169" s="67"/>
      <c r="AL169" s="225"/>
      <c r="AN169" s="274">
        <f t="shared" si="5"/>
        <v>0</v>
      </c>
    </row>
    <row r="170" spans="1:40" ht="15" customHeight="1">
      <c r="A170" s="198">
        <v>5202</v>
      </c>
      <c r="B170" s="2">
        <v>103543</v>
      </c>
      <c r="C170" s="2" t="s">
        <v>369</v>
      </c>
      <c r="D170" s="2" t="s">
        <v>370</v>
      </c>
      <c r="E170" s="190" t="s">
        <v>39</v>
      </c>
      <c r="F170" s="211" t="str">
        <f>VLOOKUP(A170,'Summary June 2026'!A:F,6,FALSE)</f>
        <v>Chq Bk</v>
      </c>
      <c r="H170" s="224"/>
      <c r="I170" s="67"/>
      <c r="J170" s="67"/>
      <c r="M170" s="67"/>
      <c r="N170" s="67"/>
      <c r="O170" s="67"/>
      <c r="P170" s="67"/>
      <c r="Q170" s="67"/>
      <c r="R170" s="67"/>
      <c r="S170" s="67"/>
      <c r="T170" s="67"/>
      <c r="U170" s="67"/>
      <c r="W170" s="274">
        <f t="shared" si="4"/>
        <v>0</v>
      </c>
      <c r="Y170" s="224"/>
      <c r="Z170" s="67"/>
      <c r="AA170" s="67"/>
      <c r="AB170" s="67"/>
      <c r="AC170" s="67"/>
      <c r="AD170" s="67"/>
      <c r="AE170" s="225"/>
      <c r="AH170" s="337">
        <v>0</v>
      </c>
      <c r="AI170" s="67"/>
      <c r="AJ170" s="67"/>
      <c r="AK170" s="67"/>
      <c r="AL170" s="225"/>
      <c r="AN170" s="274">
        <f t="shared" si="5"/>
        <v>0</v>
      </c>
    </row>
    <row r="171" spans="1:40" ht="15" customHeight="1">
      <c r="A171" s="198">
        <v>2108</v>
      </c>
      <c r="B171" s="2">
        <v>103217</v>
      </c>
      <c r="C171" s="2" t="s">
        <v>371</v>
      </c>
      <c r="D171" s="2" t="s">
        <v>372</v>
      </c>
      <c r="E171" s="190" t="s">
        <v>39</v>
      </c>
      <c r="F171" s="211" t="str">
        <f>VLOOKUP(A171,'Summary June 2026'!A:F,6,FALSE)</f>
        <v>Chq Bk</v>
      </c>
      <c r="H171" s="224"/>
      <c r="I171" s="67"/>
      <c r="J171" s="67"/>
      <c r="M171" s="67"/>
      <c r="N171" s="67"/>
      <c r="O171" s="67"/>
      <c r="P171" s="67"/>
      <c r="Q171" s="67"/>
      <c r="R171" s="67"/>
      <c r="S171" s="67"/>
      <c r="T171" s="67"/>
      <c r="U171" s="67"/>
      <c r="W171" s="274">
        <f t="shared" si="4"/>
        <v>0</v>
      </c>
      <c r="Y171" s="224"/>
      <c r="Z171" s="67"/>
      <c r="AA171" s="67"/>
      <c r="AB171" s="67"/>
      <c r="AC171" s="67"/>
      <c r="AD171" s="67"/>
      <c r="AE171" s="225"/>
      <c r="AH171" s="337">
        <v>0</v>
      </c>
      <c r="AI171" s="67"/>
      <c r="AJ171" s="67"/>
      <c r="AK171" s="67"/>
      <c r="AL171" s="225"/>
      <c r="AN171" s="274">
        <f t="shared" si="5"/>
        <v>0</v>
      </c>
    </row>
    <row r="172" spans="1:40" ht="15" customHeight="1">
      <c r="A172" s="198">
        <v>1019</v>
      </c>
      <c r="B172" s="2">
        <v>103132</v>
      </c>
      <c r="C172" s="2" t="s">
        <v>373</v>
      </c>
      <c r="D172" s="2" t="s">
        <v>374</v>
      </c>
      <c r="E172" s="190" t="s">
        <v>36</v>
      </c>
      <c r="F172" s="211" t="str">
        <f>VLOOKUP(A172,'Summary June 2026'!A:F,6,FALSE)</f>
        <v>Chq Bk</v>
      </c>
      <c r="H172" s="224"/>
      <c r="I172" s="67"/>
      <c r="J172" s="67"/>
      <c r="M172" s="67"/>
      <c r="N172" s="67"/>
      <c r="O172" s="67"/>
      <c r="P172" s="67"/>
      <c r="Q172" s="67"/>
      <c r="R172" s="67"/>
      <c r="S172" s="67"/>
      <c r="T172" s="67"/>
      <c r="U172" s="67"/>
      <c r="W172" s="274">
        <f t="shared" si="4"/>
        <v>0</v>
      </c>
      <c r="Y172" s="224"/>
      <c r="Z172" s="67"/>
      <c r="AA172" s="67"/>
      <c r="AB172" s="67"/>
      <c r="AC172" s="67"/>
      <c r="AD172" s="67"/>
      <c r="AE172" s="225"/>
      <c r="AH172" s="337">
        <v>0</v>
      </c>
      <c r="AI172" s="67"/>
      <c r="AJ172" s="67"/>
      <c r="AK172" s="67"/>
      <c r="AL172" s="225"/>
      <c r="AN172" s="274">
        <f t="shared" si="5"/>
        <v>0</v>
      </c>
    </row>
    <row r="173" spans="1:40" ht="15" customHeight="1">
      <c r="A173" s="198">
        <v>2306</v>
      </c>
      <c r="B173" s="2">
        <v>103326</v>
      </c>
      <c r="C173" s="2" t="s">
        <v>375</v>
      </c>
      <c r="D173" s="2" t="s">
        <v>376</v>
      </c>
      <c r="E173" s="190" t="s">
        <v>39</v>
      </c>
      <c r="F173" s="211" t="str">
        <f>VLOOKUP(A173,'Summary June 2026'!A:F,6,FALSE)</f>
        <v>Chq Bk</v>
      </c>
      <c r="H173" s="224"/>
      <c r="I173" s="67"/>
      <c r="J173" s="67"/>
      <c r="M173" s="67"/>
      <c r="N173" s="67"/>
      <c r="O173" s="67"/>
      <c r="P173" s="67"/>
      <c r="Q173" s="67"/>
      <c r="R173" s="67"/>
      <c r="S173" s="67"/>
      <c r="T173" s="67"/>
      <c r="U173" s="67"/>
      <c r="W173" s="274">
        <f t="shared" si="4"/>
        <v>0</v>
      </c>
      <c r="Y173" s="224"/>
      <c r="Z173" s="67"/>
      <c r="AA173" s="67"/>
      <c r="AB173" s="67"/>
      <c r="AC173" s="67"/>
      <c r="AD173" s="67"/>
      <c r="AE173" s="225"/>
      <c r="AH173" s="337">
        <v>0</v>
      </c>
      <c r="AI173" s="67"/>
      <c r="AJ173" s="67"/>
      <c r="AK173" s="67"/>
      <c r="AL173" s="225"/>
      <c r="AN173" s="274">
        <f t="shared" si="5"/>
        <v>0</v>
      </c>
    </row>
    <row r="174" spans="1:40" ht="15" customHeight="1">
      <c r="A174" s="198">
        <v>2308</v>
      </c>
      <c r="B174" s="2">
        <v>103328</v>
      </c>
      <c r="C174" s="2" t="s">
        <v>377</v>
      </c>
      <c r="D174" s="2" t="s">
        <v>378</v>
      </c>
      <c r="E174" s="190" t="s">
        <v>39</v>
      </c>
      <c r="F174" s="211" t="str">
        <f>VLOOKUP(A174,'Summary June 2026'!A:F,6,FALSE)</f>
        <v>Chq Bk</v>
      </c>
      <c r="H174" s="224"/>
      <c r="I174" s="67"/>
      <c r="J174" s="67"/>
      <c r="M174" s="67"/>
      <c r="N174" s="67"/>
      <c r="O174" s="67"/>
      <c r="P174" s="67"/>
      <c r="Q174" s="67"/>
      <c r="R174" s="67"/>
      <c r="S174" s="67"/>
      <c r="T174" s="67"/>
      <c r="U174" s="67"/>
      <c r="W174" s="274">
        <f t="shared" si="4"/>
        <v>0</v>
      </c>
      <c r="Y174" s="224"/>
      <c r="Z174" s="67"/>
      <c r="AA174" s="67"/>
      <c r="AB174" s="67"/>
      <c r="AC174" s="67"/>
      <c r="AD174" s="67"/>
      <c r="AE174" s="225"/>
      <c r="AH174" s="337">
        <v>0</v>
      </c>
      <c r="AI174" s="67"/>
      <c r="AJ174" s="67"/>
      <c r="AK174" s="67"/>
      <c r="AL174" s="225"/>
      <c r="AN174" s="274">
        <f t="shared" si="5"/>
        <v>0</v>
      </c>
    </row>
    <row r="175" spans="1:40" ht="15" customHeight="1">
      <c r="A175" s="198">
        <v>2245</v>
      </c>
      <c r="B175" s="2">
        <v>103295</v>
      </c>
      <c r="C175" s="2" t="s">
        <v>379</v>
      </c>
      <c r="D175" s="2" t="s">
        <v>380</v>
      </c>
      <c r="E175" s="190" t="s">
        <v>39</v>
      </c>
      <c r="F175" s="211" t="str">
        <f>VLOOKUP(A175,'Summary June 2026'!A:F,6,FALSE)</f>
        <v>Chq Bk</v>
      </c>
      <c r="H175" s="224"/>
      <c r="I175" s="67"/>
      <c r="J175" s="67"/>
      <c r="M175" s="67"/>
      <c r="N175" s="67"/>
      <c r="O175" s="67"/>
      <c r="P175" s="67"/>
      <c r="Q175" s="67"/>
      <c r="R175" s="67"/>
      <c r="S175" s="67"/>
      <c r="T175" s="67"/>
      <c r="U175" s="67"/>
      <c r="W175" s="274">
        <f t="shared" si="4"/>
        <v>0</v>
      </c>
      <c r="Y175" s="224"/>
      <c r="Z175" s="67"/>
      <c r="AA175" s="67"/>
      <c r="AB175" s="67"/>
      <c r="AC175" s="67"/>
      <c r="AD175" s="67"/>
      <c r="AE175" s="225"/>
      <c r="AH175" s="337">
        <v>-2800</v>
      </c>
      <c r="AI175" s="67"/>
      <c r="AJ175" s="67"/>
      <c r="AK175" s="67"/>
      <c r="AL175" s="225"/>
      <c r="AN175" s="274">
        <f t="shared" si="5"/>
        <v>-2800</v>
      </c>
    </row>
    <row r="176" spans="1:40" ht="15" customHeight="1">
      <c r="A176" s="198">
        <v>1020</v>
      </c>
      <c r="B176" s="2">
        <v>103133</v>
      </c>
      <c r="C176" s="2" t="s">
        <v>381</v>
      </c>
      <c r="D176" s="2" t="s">
        <v>382</v>
      </c>
      <c r="E176" s="190" t="s">
        <v>36</v>
      </c>
      <c r="F176" s="211" t="str">
        <f>VLOOKUP(A176,'Summary June 2026'!A:F,6,FALSE)</f>
        <v>Chq Bk</v>
      </c>
      <c r="H176" s="224"/>
      <c r="I176" s="67"/>
      <c r="J176" s="67"/>
      <c r="M176" s="67"/>
      <c r="N176" s="67"/>
      <c r="O176" s="67"/>
      <c r="P176" s="67"/>
      <c r="Q176" s="67"/>
      <c r="R176" s="67"/>
      <c r="S176" s="67"/>
      <c r="T176" s="67"/>
      <c r="U176" s="67"/>
      <c r="W176" s="274">
        <f t="shared" si="4"/>
        <v>0</v>
      </c>
      <c r="Y176" s="224"/>
      <c r="Z176" s="67"/>
      <c r="AA176" s="67"/>
      <c r="AB176" s="67"/>
      <c r="AC176" s="67"/>
      <c r="AD176" s="67"/>
      <c r="AE176" s="225"/>
      <c r="AH176" s="337">
        <v>0</v>
      </c>
      <c r="AI176" s="67"/>
      <c r="AJ176" s="67"/>
      <c r="AK176" s="67"/>
      <c r="AL176" s="225"/>
      <c r="AN176" s="274">
        <f t="shared" si="5"/>
        <v>0</v>
      </c>
    </row>
    <row r="177" spans="1:40" ht="15" customHeight="1">
      <c r="A177" s="198">
        <v>1014</v>
      </c>
      <c r="B177" s="2">
        <v>103127</v>
      </c>
      <c r="C177" s="2" t="s">
        <v>383</v>
      </c>
      <c r="D177" s="2" t="s">
        <v>384</v>
      </c>
      <c r="E177" s="190" t="s">
        <v>36</v>
      </c>
      <c r="F177" s="211" t="str">
        <f>VLOOKUP(A177,'Summary June 2026'!A:F,6,FALSE)</f>
        <v>Chq Bk</v>
      </c>
      <c r="H177" s="224"/>
      <c r="I177" s="67"/>
      <c r="J177" s="67"/>
      <c r="M177" s="67"/>
      <c r="N177" s="67"/>
      <c r="O177" s="67"/>
      <c r="P177" s="67"/>
      <c r="Q177" s="67"/>
      <c r="R177" s="67"/>
      <c r="S177" s="67"/>
      <c r="T177" s="67"/>
      <c r="U177" s="67"/>
      <c r="W177" s="274">
        <f t="shared" si="4"/>
        <v>0</v>
      </c>
      <c r="Y177" s="224"/>
      <c r="Z177" s="67"/>
      <c r="AA177" s="67"/>
      <c r="AB177" s="67"/>
      <c r="AC177" s="67"/>
      <c r="AD177" s="67"/>
      <c r="AE177" s="225"/>
      <c r="AH177" s="337">
        <v>0</v>
      </c>
      <c r="AI177" s="67"/>
      <c r="AJ177" s="67"/>
      <c r="AK177" s="67"/>
      <c r="AL177" s="225"/>
      <c r="AN177" s="274">
        <f t="shared" si="5"/>
        <v>0</v>
      </c>
    </row>
    <row r="178" spans="1:40" ht="15" customHeight="1">
      <c r="A178" s="198">
        <v>2019</v>
      </c>
      <c r="B178" s="2">
        <v>134279</v>
      </c>
      <c r="C178" s="2" t="s">
        <v>385</v>
      </c>
      <c r="D178" s="2" t="s">
        <v>386</v>
      </c>
      <c r="E178" s="190" t="s">
        <v>39</v>
      </c>
      <c r="F178" s="211" t="str">
        <f>VLOOKUP(A178,'Summary June 2026'!A:F,6,FALSE)</f>
        <v>Chq Bk</v>
      </c>
      <c r="H178" s="224"/>
      <c r="I178" s="67"/>
      <c r="J178" s="67"/>
      <c r="M178" s="67"/>
      <c r="N178" s="67"/>
      <c r="O178" s="67"/>
      <c r="P178" s="67"/>
      <c r="Q178" s="67"/>
      <c r="R178" s="67"/>
      <c r="S178" s="67"/>
      <c r="T178" s="67"/>
      <c r="U178" s="67"/>
      <c r="W178" s="274">
        <f t="shared" si="4"/>
        <v>0</v>
      </c>
      <c r="Y178" s="224"/>
      <c r="Z178" s="67"/>
      <c r="AA178" s="67"/>
      <c r="AB178" s="67"/>
      <c r="AC178" s="67"/>
      <c r="AD178" s="67"/>
      <c r="AE178" s="225"/>
      <c r="AH178" s="337">
        <v>0</v>
      </c>
      <c r="AI178" s="67"/>
      <c r="AJ178" s="67"/>
      <c r="AK178" s="67"/>
      <c r="AL178" s="225"/>
      <c r="AN178" s="274">
        <f t="shared" si="5"/>
        <v>0</v>
      </c>
    </row>
    <row r="179" spans="1:40" ht="15" customHeight="1">
      <c r="A179" s="198">
        <v>2011</v>
      </c>
      <c r="B179" s="2">
        <v>134099</v>
      </c>
      <c r="C179" s="2" t="s">
        <v>387</v>
      </c>
      <c r="D179" s="2" t="s">
        <v>388</v>
      </c>
      <c r="E179" s="190" t="s">
        <v>39</v>
      </c>
      <c r="F179" s="211" t="str">
        <f>VLOOKUP(A179,'Summary June 2026'!A:F,6,FALSE)</f>
        <v>Chq Bk</v>
      </c>
      <c r="H179" s="224"/>
      <c r="I179" s="67"/>
      <c r="J179" s="67"/>
      <c r="M179" s="67"/>
      <c r="N179" s="67"/>
      <c r="O179" s="67"/>
      <c r="P179" s="67"/>
      <c r="Q179" s="67"/>
      <c r="R179" s="67"/>
      <c r="S179" s="67"/>
      <c r="T179" s="67"/>
      <c r="U179" s="67"/>
      <c r="W179" s="274">
        <f t="shared" si="4"/>
        <v>0</v>
      </c>
      <c r="Y179" s="224"/>
      <c r="Z179" s="67"/>
      <c r="AA179" s="67"/>
      <c r="AB179" s="67"/>
      <c r="AC179" s="67"/>
      <c r="AD179" s="67"/>
      <c r="AE179" s="225"/>
      <c r="AH179" s="337">
        <v>0</v>
      </c>
      <c r="AI179" s="67"/>
      <c r="AJ179" s="67"/>
      <c r="AK179" s="67"/>
      <c r="AL179" s="225"/>
      <c r="AN179" s="274">
        <f t="shared" si="5"/>
        <v>0</v>
      </c>
    </row>
    <row r="180" spans="1:40" ht="15" customHeight="1">
      <c r="A180" s="198">
        <v>4193</v>
      </c>
      <c r="B180" s="2">
        <v>103501</v>
      </c>
      <c r="C180" s="2" t="s">
        <v>389</v>
      </c>
      <c r="D180" s="2" t="s">
        <v>390</v>
      </c>
      <c r="E180" s="190" t="s">
        <v>71</v>
      </c>
      <c r="F180" s="211" t="str">
        <f>VLOOKUP(A180,'Summary June 2026'!A:F,6,FALSE)</f>
        <v>Chq Bk</v>
      </c>
      <c r="H180" s="224"/>
      <c r="I180" s="67"/>
      <c r="J180" s="67"/>
      <c r="M180" s="67"/>
      <c r="N180" s="67"/>
      <c r="O180" s="67"/>
      <c r="P180" s="67"/>
      <c r="Q180" s="67"/>
      <c r="R180" s="67"/>
      <c r="S180" s="67"/>
      <c r="T180" s="67"/>
      <c r="U180" s="67"/>
      <c r="W180" s="274">
        <f t="shared" si="4"/>
        <v>0</v>
      </c>
      <c r="Y180" s="224"/>
      <c r="Z180" s="67"/>
      <c r="AA180" s="67"/>
      <c r="AB180" s="67"/>
      <c r="AC180" s="67"/>
      <c r="AD180" s="67"/>
      <c r="AE180" s="225"/>
      <c r="AH180" s="337">
        <v>0</v>
      </c>
      <c r="AI180" s="67"/>
      <c r="AJ180" s="67"/>
      <c r="AK180" s="67"/>
      <c r="AL180" s="225"/>
      <c r="AN180" s="274">
        <f t="shared" si="5"/>
        <v>0</v>
      </c>
    </row>
    <row r="181" spans="1:40" ht="15" customHeight="1">
      <c r="A181" s="198">
        <v>2478</v>
      </c>
      <c r="B181" s="2">
        <v>132007</v>
      </c>
      <c r="C181" s="2" t="s">
        <v>391</v>
      </c>
      <c r="D181" s="2" t="s">
        <v>392</v>
      </c>
      <c r="E181" s="190" t="s">
        <v>39</v>
      </c>
      <c r="F181" s="211" t="str">
        <f>VLOOKUP(A181,'Summary June 2026'!A:F,6,FALSE)</f>
        <v>Chq Bk</v>
      </c>
      <c r="H181" s="224"/>
      <c r="I181" s="67"/>
      <c r="J181" s="67"/>
      <c r="M181" s="67"/>
      <c r="N181" s="67"/>
      <c r="O181" s="67"/>
      <c r="P181" s="67"/>
      <c r="Q181" s="67"/>
      <c r="R181" s="67"/>
      <c r="S181" s="67"/>
      <c r="T181" s="67"/>
      <c r="U181" s="67"/>
      <c r="W181" s="274">
        <f t="shared" si="4"/>
        <v>0</v>
      </c>
      <c r="Y181" s="224"/>
      <c r="Z181" s="67"/>
      <c r="AA181" s="67"/>
      <c r="AB181" s="67"/>
      <c r="AC181" s="67"/>
      <c r="AD181" s="67"/>
      <c r="AE181" s="225"/>
      <c r="AH181" s="337">
        <v>-3780</v>
      </c>
      <c r="AI181" s="67"/>
      <c r="AJ181" s="67"/>
      <c r="AK181" s="67"/>
      <c r="AL181" s="225"/>
      <c r="AN181" s="274">
        <f t="shared" si="5"/>
        <v>-3780</v>
      </c>
    </row>
    <row r="182" spans="1:40" ht="15" customHeight="1">
      <c r="A182" s="198">
        <v>2293</v>
      </c>
      <c r="B182" s="2">
        <v>103317</v>
      </c>
      <c r="C182" s="2" t="s">
        <v>393</v>
      </c>
      <c r="D182" s="2" t="s">
        <v>394</v>
      </c>
      <c r="E182" s="190" t="s">
        <v>39</v>
      </c>
      <c r="F182" s="211" t="str">
        <f>VLOOKUP(A182,'Summary June 2026'!A:F,6,FALSE)</f>
        <v>Chq Bk</v>
      </c>
      <c r="H182" s="224"/>
      <c r="I182" s="67"/>
      <c r="J182" s="67"/>
      <c r="M182" s="67"/>
      <c r="N182" s="67"/>
      <c r="O182" s="67"/>
      <c r="P182" s="67"/>
      <c r="Q182" s="67"/>
      <c r="R182" s="67"/>
      <c r="S182" s="67"/>
      <c r="T182" s="67"/>
      <c r="U182" s="67"/>
      <c r="W182" s="274">
        <f t="shared" si="4"/>
        <v>0</v>
      </c>
      <c r="Y182" s="224"/>
      <c r="Z182" s="67"/>
      <c r="AA182" s="67"/>
      <c r="AB182" s="67"/>
      <c r="AC182" s="67"/>
      <c r="AD182" s="67"/>
      <c r="AE182" s="225"/>
      <c r="AH182" s="337">
        <v>0</v>
      </c>
      <c r="AI182" s="67"/>
      <c r="AJ182" s="67"/>
      <c r="AK182" s="67"/>
      <c r="AL182" s="225"/>
      <c r="AN182" s="274">
        <f t="shared" si="5"/>
        <v>0</v>
      </c>
    </row>
    <row r="183" spans="1:40" ht="15" customHeight="1">
      <c r="A183" s="198">
        <v>2445</v>
      </c>
      <c r="B183" s="2">
        <v>103372</v>
      </c>
      <c r="C183" s="2" t="s">
        <v>395</v>
      </c>
      <c r="D183" s="2" t="s">
        <v>396</v>
      </c>
      <c r="E183" s="190" t="s">
        <v>39</v>
      </c>
      <c r="F183" s="211" t="str">
        <f>VLOOKUP(A183,'Summary June 2026'!A:F,6,FALSE)</f>
        <v>Chq Bk</v>
      </c>
      <c r="H183" s="224"/>
      <c r="I183" s="67"/>
      <c r="J183" s="67"/>
      <c r="M183" s="67"/>
      <c r="N183" s="67"/>
      <c r="O183" s="67"/>
      <c r="P183" s="67"/>
      <c r="Q183" s="67"/>
      <c r="R183" s="67"/>
      <c r="S183" s="67"/>
      <c r="T183" s="67"/>
      <c r="U183" s="67"/>
      <c r="W183" s="274">
        <f t="shared" si="4"/>
        <v>0</v>
      </c>
      <c r="Y183" s="224"/>
      <c r="Z183" s="67"/>
      <c r="AA183" s="67"/>
      <c r="AB183" s="67"/>
      <c r="AC183" s="67"/>
      <c r="AD183" s="67"/>
      <c r="AE183" s="225"/>
      <c r="AH183" s="337">
        <v>0</v>
      </c>
      <c r="AI183" s="67"/>
      <c r="AJ183" s="67"/>
      <c r="AK183" s="67"/>
      <c r="AL183" s="225"/>
      <c r="AN183" s="274">
        <f t="shared" si="5"/>
        <v>0</v>
      </c>
    </row>
    <row r="184" spans="1:40" ht="15" customHeight="1">
      <c r="A184" s="198">
        <v>2278</v>
      </c>
      <c r="B184" s="2">
        <v>103310</v>
      </c>
      <c r="C184" s="2" t="s">
        <v>397</v>
      </c>
      <c r="D184" s="2" t="s">
        <v>398</v>
      </c>
      <c r="E184" s="190" t="s">
        <v>39</v>
      </c>
      <c r="F184" s="211" t="str">
        <f>VLOOKUP(A184,'Summary June 2026'!A:F,6,FALSE)</f>
        <v>Chq Bk</v>
      </c>
      <c r="H184" s="224"/>
      <c r="I184" s="67"/>
      <c r="J184" s="67"/>
      <c r="M184" s="67"/>
      <c r="N184" s="67"/>
      <c r="O184" s="67"/>
      <c r="P184" s="67"/>
      <c r="Q184" s="67"/>
      <c r="R184" s="67"/>
      <c r="S184" s="67"/>
      <c r="T184" s="67"/>
      <c r="U184" s="67"/>
      <c r="W184" s="274">
        <f t="shared" si="4"/>
        <v>0</v>
      </c>
      <c r="Y184" s="224"/>
      <c r="Z184" s="67"/>
      <c r="AA184" s="67"/>
      <c r="AB184" s="67"/>
      <c r="AC184" s="67"/>
      <c r="AD184" s="67"/>
      <c r="AE184" s="225"/>
      <c r="AH184" s="337">
        <v>0</v>
      </c>
      <c r="AI184" s="67"/>
      <c r="AJ184" s="67"/>
      <c r="AK184" s="67"/>
      <c r="AL184" s="225"/>
      <c r="AN184" s="274">
        <f t="shared" si="5"/>
        <v>0</v>
      </c>
    </row>
    <row r="185" spans="1:40" ht="15" customHeight="1">
      <c r="A185" s="198">
        <v>2317</v>
      </c>
      <c r="B185" s="2">
        <v>103337</v>
      </c>
      <c r="C185" s="2" t="s">
        <v>399</v>
      </c>
      <c r="D185" s="2" t="s">
        <v>400</v>
      </c>
      <c r="E185" s="190" t="s">
        <v>39</v>
      </c>
      <c r="F185" s="211" t="str">
        <f>VLOOKUP(A185,'Summary June 2026'!A:F,6,FALSE)</f>
        <v>Chq Bk</v>
      </c>
      <c r="H185" s="224"/>
      <c r="I185" s="67"/>
      <c r="J185" s="67"/>
      <c r="M185" s="67"/>
      <c r="N185" s="67"/>
      <c r="O185" s="67"/>
      <c r="P185" s="67"/>
      <c r="Q185" s="67"/>
      <c r="R185" s="67"/>
      <c r="S185" s="67"/>
      <c r="T185" s="67"/>
      <c r="U185" s="67"/>
      <c r="W185" s="274">
        <f t="shared" si="4"/>
        <v>0</v>
      </c>
      <c r="Y185" s="224"/>
      <c r="Z185" s="67"/>
      <c r="AA185" s="67"/>
      <c r="AB185" s="67"/>
      <c r="AC185" s="67"/>
      <c r="AD185" s="67"/>
      <c r="AE185" s="225"/>
      <c r="AH185" s="337">
        <v>0</v>
      </c>
      <c r="AI185" s="67"/>
      <c r="AJ185" s="67"/>
      <c r="AK185" s="67"/>
      <c r="AL185" s="225"/>
      <c r="AN185" s="274">
        <f t="shared" si="5"/>
        <v>0</v>
      </c>
    </row>
    <row r="186" spans="1:40" ht="15" customHeight="1">
      <c r="A186" s="198">
        <v>2225</v>
      </c>
      <c r="B186" s="2">
        <v>103279</v>
      </c>
      <c r="C186" s="2" t="s">
        <v>401</v>
      </c>
      <c r="D186" s="2" t="s">
        <v>402</v>
      </c>
      <c r="E186" s="190" t="s">
        <v>39</v>
      </c>
      <c r="F186" s="211" t="str">
        <f>VLOOKUP(A186,'Summary June 2026'!A:F,6,FALSE)</f>
        <v>Chq Bk</v>
      </c>
      <c r="H186" s="224"/>
      <c r="I186" s="67"/>
      <c r="J186" s="67"/>
      <c r="M186" s="67"/>
      <c r="N186" s="67"/>
      <c r="O186" s="67"/>
      <c r="P186" s="67"/>
      <c r="Q186" s="67"/>
      <c r="R186" s="67"/>
      <c r="S186" s="67"/>
      <c r="T186" s="67"/>
      <c r="U186" s="67"/>
      <c r="W186" s="274">
        <f t="shared" ref="W186:W192" si="6">-SUMIFS($H186:$P186,$H$3:$P$3,W$6)</f>
        <v>0</v>
      </c>
      <c r="Y186" s="224"/>
      <c r="Z186" s="67"/>
      <c r="AA186" s="67"/>
      <c r="AB186" s="67"/>
      <c r="AC186" s="67"/>
      <c r="AD186" s="67"/>
      <c r="AE186" s="225"/>
      <c r="AH186" s="337">
        <v>0</v>
      </c>
      <c r="AI186" s="67"/>
      <c r="AJ186" s="67"/>
      <c r="AK186" s="67"/>
      <c r="AL186" s="225"/>
      <c r="AN186" s="274">
        <f t="shared" ref="AN186:AN193" si="7">SUMIFS($AH186:$AL186,$AH$3:$AL$3,$AN$6)</f>
        <v>0</v>
      </c>
    </row>
    <row r="187" spans="1:40" ht="15" customHeight="1">
      <c r="A187" s="198">
        <v>2412</v>
      </c>
      <c r="B187" s="2">
        <v>103349</v>
      </c>
      <c r="C187" s="2" t="s">
        <v>403</v>
      </c>
      <c r="D187" s="2" t="s">
        <v>404</v>
      </c>
      <c r="E187" s="190" t="s">
        <v>39</v>
      </c>
      <c r="F187" s="211" t="str">
        <f>VLOOKUP(A187,'Summary June 2026'!A:F,6,FALSE)</f>
        <v>Chq Bk</v>
      </c>
      <c r="H187" s="224"/>
      <c r="I187" s="67"/>
      <c r="J187" s="67"/>
      <c r="M187" s="67"/>
      <c r="N187" s="67"/>
      <c r="O187" s="67"/>
      <c r="P187" s="67"/>
      <c r="Q187" s="67"/>
      <c r="R187" s="67"/>
      <c r="S187" s="67"/>
      <c r="T187" s="67"/>
      <c r="U187" s="67"/>
      <c r="W187" s="274">
        <f t="shared" si="6"/>
        <v>0</v>
      </c>
      <c r="Y187" s="224"/>
      <c r="Z187" s="67"/>
      <c r="AA187" s="67"/>
      <c r="AB187" s="67"/>
      <c r="AC187" s="67"/>
      <c r="AD187" s="67"/>
      <c r="AE187" s="225"/>
      <c r="AH187" s="337">
        <v>0</v>
      </c>
      <c r="AI187" s="67"/>
      <c r="AJ187" s="67"/>
      <c r="AK187" s="67"/>
      <c r="AL187" s="225"/>
      <c r="AN187" s="274">
        <f t="shared" si="7"/>
        <v>0</v>
      </c>
    </row>
    <row r="188" spans="1:40" ht="15" customHeight="1">
      <c r="A188" s="198">
        <v>3421</v>
      </c>
      <c r="B188" s="2">
        <v>133996</v>
      </c>
      <c r="C188" s="2" t="s">
        <v>405</v>
      </c>
      <c r="D188" s="2" t="s">
        <v>406</v>
      </c>
      <c r="E188" s="190" t="s">
        <v>39</v>
      </c>
      <c r="F188" s="211" t="str">
        <f>VLOOKUP(A188,'Summary June 2026'!A:F,6,FALSE)</f>
        <v>Chq Bk</v>
      </c>
      <c r="H188" s="224"/>
      <c r="I188" s="67"/>
      <c r="J188" s="67"/>
      <c r="M188" s="67"/>
      <c r="N188" s="67"/>
      <c r="O188" s="67"/>
      <c r="P188" s="67"/>
      <c r="Q188" s="67"/>
      <c r="R188" s="67"/>
      <c r="S188" s="67"/>
      <c r="T188" s="67"/>
      <c r="U188" s="67"/>
      <c r="W188" s="274">
        <f t="shared" si="6"/>
        <v>0</v>
      </c>
      <c r="Y188" s="224"/>
      <c r="Z188" s="67"/>
      <c r="AA188" s="67"/>
      <c r="AB188" s="67"/>
      <c r="AC188" s="67"/>
      <c r="AD188" s="67"/>
      <c r="AE188" s="225"/>
      <c r="AH188" s="337">
        <v>0</v>
      </c>
      <c r="AI188" s="67"/>
      <c r="AJ188" s="67"/>
      <c r="AK188" s="67"/>
      <c r="AL188" s="225"/>
      <c r="AN188" s="274">
        <f t="shared" si="7"/>
        <v>0</v>
      </c>
    </row>
    <row r="189" spans="1:40" ht="15" customHeight="1">
      <c r="A189" s="198">
        <v>2227</v>
      </c>
      <c r="B189" s="2">
        <v>103281</v>
      </c>
      <c r="C189" s="2" t="s">
        <v>407</v>
      </c>
      <c r="D189" s="2" t="s">
        <v>408</v>
      </c>
      <c r="E189" s="190" t="s">
        <v>39</v>
      </c>
      <c r="F189" s="211" t="str">
        <f>VLOOKUP(A189,'Summary June 2026'!A:F,6,FALSE)</f>
        <v>Chq Bk</v>
      </c>
      <c r="H189" s="224"/>
      <c r="I189" s="67"/>
      <c r="J189" s="67"/>
      <c r="M189" s="67"/>
      <c r="N189" s="67"/>
      <c r="O189" s="67"/>
      <c r="P189" s="67"/>
      <c r="Q189" s="67"/>
      <c r="R189" s="67"/>
      <c r="S189" s="67"/>
      <c r="T189" s="67"/>
      <c r="U189" s="67"/>
      <c r="W189" s="274">
        <f t="shared" si="6"/>
        <v>0</v>
      </c>
      <c r="Y189" s="224"/>
      <c r="Z189" s="67"/>
      <c r="AA189" s="67"/>
      <c r="AB189" s="67"/>
      <c r="AC189" s="67"/>
      <c r="AD189" s="67"/>
      <c r="AE189" s="225"/>
      <c r="AH189" s="337">
        <v>0</v>
      </c>
      <c r="AI189" s="67"/>
      <c r="AJ189" s="67"/>
      <c r="AK189" s="67"/>
      <c r="AL189" s="225"/>
      <c r="AN189" s="274">
        <f t="shared" si="7"/>
        <v>0</v>
      </c>
    </row>
    <row r="190" spans="1:40" ht="15" customHeight="1">
      <c r="A190" s="198">
        <v>3371</v>
      </c>
      <c r="B190" s="2">
        <v>103459</v>
      </c>
      <c r="C190" s="2" t="s">
        <v>327</v>
      </c>
      <c r="D190" s="2" t="s">
        <v>328</v>
      </c>
      <c r="E190" s="190" t="s">
        <v>39</v>
      </c>
      <c r="F190" s="211" t="str">
        <f>VLOOKUP(A190,'Summary June 2026'!A:F,6,FALSE)</f>
        <v>Academy</v>
      </c>
      <c r="H190" s="224"/>
      <c r="I190" s="67"/>
      <c r="J190" s="67"/>
      <c r="M190" s="67"/>
      <c r="N190" s="67"/>
      <c r="O190" s="67"/>
      <c r="P190" s="67"/>
      <c r="Q190" s="67"/>
      <c r="R190" s="67"/>
      <c r="S190" s="67"/>
      <c r="T190" s="67"/>
      <c r="U190" s="67"/>
      <c r="W190" s="274">
        <f t="shared" si="6"/>
        <v>0</v>
      </c>
      <c r="Y190" s="224"/>
      <c r="Z190" s="67"/>
      <c r="AA190" s="67"/>
      <c r="AB190" s="67"/>
      <c r="AC190" s="67"/>
      <c r="AD190" s="67"/>
      <c r="AE190" s="225"/>
      <c r="AH190" s="337">
        <v>0</v>
      </c>
      <c r="AI190" s="67"/>
      <c r="AJ190" s="67"/>
      <c r="AK190" s="67"/>
      <c r="AL190" s="225"/>
      <c r="AN190" s="274">
        <f t="shared" si="7"/>
        <v>0</v>
      </c>
    </row>
    <row r="191" spans="1:40" ht="15" customHeight="1">
      <c r="A191" s="198">
        <v>3307</v>
      </c>
      <c r="B191" s="2">
        <v>103416</v>
      </c>
      <c r="C191" s="2" t="s">
        <v>329</v>
      </c>
      <c r="D191" s="2" t="s">
        <v>330</v>
      </c>
      <c r="E191" s="190" t="s">
        <v>39</v>
      </c>
      <c r="F191" s="211" t="str">
        <f>VLOOKUP(A191,'Summary June 2026'!A:F,6,FALSE)</f>
        <v>Academy</v>
      </c>
      <c r="H191" s="224"/>
      <c r="I191" s="67"/>
      <c r="J191" s="67"/>
      <c r="M191" s="67"/>
      <c r="N191" s="67"/>
      <c r="O191" s="67"/>
      <c r="P191" s="67"/>
      <c r="Q191" s="67"/>
      <c r="R191" s="67"/>
      <c r="S191" s="67"/>
      <c r="T191" s="67"/>
      <c r="U191" s="67"/>
      <c r="W191" s="274">
        <f t="shared" si="6"/>
        <v>0</v>
      </c>
      <c r="Y191" s="224"/>
      <c r="Z191" s="67"/>
      <c r="AA191" s="67"/>
      <c r="AB191" s="67"/>
      <c r="AC191" s="67"/>
      <c r="AD191" s="67"/>
      <c r="AE191" s="225"/>
      <c r="AH191" s="337">
        <v>0</v>
      </c>
      <c r="AI191" s="67"/>
      <c r="AJ191" s="67"/>
      <c r="AK191" s="67"/>
      <c r="AL191" s="225"/>
      <c r="AN191" s="274">
        <f t="shared" si="7"/>
        <v>0</v>
      </c>
    </row>
    <row r="192" spans="1:40" ht="15" customHeight="1">
      <c r="A192" s="198">
        <v>2231</v>
      </c>
      <c r="B192" s="2">
        <v>103284</v>
      </c>
      <c r="C192" s="2" t="s">
        <v>409</v>
      </c>
      <c r="D192" s="2" t="s">
        <v>410</v>
      </c>
      <c r="E192" s="190" t="s">
        <v>39</v>
      </c>
      <c r="F192" s="211" t="str">
        <f>VLOOKUP(A192,'Summary June 2026'!A:F,6,FALSE)</f>
        <v>Academy</v>
      </c>
      <c r="H192" s="224"/>
      <c r="I192" s="67"/>
      <c r="J192" s="67"/>
      <c r="M192" s="67"/>
      <c r="N192" s="67"/>
      <c r="O192" s="67"/>
      <c r="P192" s="67"/>
      <c r="Q192" s="67"/>
      <c r="R192" s="67"/>
      <c r="S192" s="67"/>
      <c r="T192" s="67"/>
      <c r="U192" s="67"/>
      <c r="W192" s="274">
        <f t="shared" si="6"/>
        <v>0</v>
      </c>
      <c r="Y192" s="224"/>
      <c r="Z192" s="67"/>
      <c r="AA192" s="67"/>
      <c r="AB192" s="67"/>
      <c r="AC192" s="67"/>
      <c r="AD192" s="67"/>
      <c r="AE192" s="225"/>
      <c r="AH192" s="337">
        <v>0</v>
      </c>
      <c r="AI192" s="67"/>
      <c r="AJ192" s="67"/>
      <c r="AK192" s="67"/>
      <c r="AL192" s="225"/>
      <c r="AN192" s="274">
        <f t="shared" si="7"/>
        <v>0</v>
      </c>
    </row>
    <row r="193" spans="1:40" ht="15" customHeight="1" thickBot="1">
      <c r="A193" s="200"/>
      <c r="B193" s="191"/>
      <c r="C193" s="191"/>
      <c r="D193" s="194" t="s">
        <v>1112</v>
      </c>
      <c r="E193" s="192"/>
      <c r="F193" s="212"/>
      <c r="H193" s="276">
        <f>SUM(H7:H192)</f>
        <v>0</v>
      </c>
      <c r="I193" s="752">
        <f>SUM(I7:I192)</f>
        <v>0</v>
      </c>
      <c r="J193" s="752">
        <f>SUM(J7:J192)</f>
        <v>0</v>
      </c>
      <c r="K193" s="26"/>
      <c r="L193" s="26"/>
      <c r="M193" s="752">
        <f t="shared" ref="M193:O193" si="8">SUM(M7:M192)</f>
        <v>0</v>
      </c>
      <c r="N193" s="752">
        <f t="shared" si="8"/>
        <v>0</v>
      </c>
      <c r="O193" s="752">
        <f t="shared" si="8"/>
        <v>0</v>
      </c>
      <c r="P193" s="752"/>
      <c r="Q193" s="752"/>
      <c r="R193" s="752"/>
      <c r="S193" s="752"/>
      <c r="T193" s="752"/>
      <c r="U193" s="752"/>
      <c r="V193" s="26"/>
      <c r="W193" s="274">
        <f>SUM(W7:W192)</f>
        <v>0</v>
      </c>
      <c r="Y193" s="276"/>
      <c r="Z193" s="752"/>
      <c r="AA193" s="752"/>
      <c r="AB193" s="752"/>
      <c r="AC193" s="752"/>
      <c r="AD193" s="752"/>
      <c r="AE193" s="753"/>
      <c r="AH193" s="770">
        <f>SUM(AH7:AH192)</f>
        <v>-57270</v>
      </c>
      <c r="AI193" s="752"/>
      <c r="AJ193" s="752"/>
      <c r="AK193" s="752"/>
      <c r="AL193" s="753"/>
      <c r="AM193" s="26"/>
      <c r="AN193" s="766">
        <f t="shared" si="7"/>
        <v>-57270</v>
      </c>
    </row>
  </sheetData>
  <sheetProtection algorithmName="SHA-512" hashValue="BRaCRU4UEJpOPA/06vXeKiJI5euPoU7StfijrYht84HmXwrCcIp/+8PGty19LMAGJIXkgo59A6xSilD50NEuJw==" saltValue="H4L/KdRp8BroxMlQyCwqzA==" spinCount="100000" sheet="1" autoFilter="0"/>
  <autoFilter ref="A6:K193" xr:uid="{28FB1EA9-B1FA-4AF5-B891-C7453F611430}"/>
  <conditionalFormatting sqref="A6:F6 A7:E7 E8:E193">
    <cfRule type="cellIs" dxfId="3" priority="4" operator="lessThan">
      <formula>0</formula>
    </cfRule>
  </conditionalFormatting>
  <conditionalFormatting sqref="I6:J6 M6:U6">
    <cfRule type="cellIs" dxfId="2" priority="3" operator="lessThan">
      <formula>0</formula>
    </cfRule>
  </conditionalFormatting>
  <conditionalFormatting sqref="Y6:AE6 AH6:AL6">
    <cfRule type="cellIs" dxfId="1" priority="1" operator="lessThan">
      <formula>0</formula>
    </cfRule>
  </conditionalFormatting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0CFC7-2873-4814-80E4-8A7B7B468BAA}">
  <sheetPr codeName="Sheet16"/>
  <dimension ref="A1:U212"/>
  <sheetViews>
    <sheetView topLeftCell="H1" zoomScale="80" zoomScaleNormal="80" workbookViewId="0">
      <selection activeCell="T18" sqref="T18"/>
    </sheetView>
  </sheetViews>
  <sheetFormatPr defaultRowHeight="15"/>
  <cols>
    <col min="1" max="1" width="67" bestFit="1" customWidth="1"/>
    <col min="2" max="2" width="17.85546875" bestFit="1" customWidth="1"/>
    <col min="5" max="5" width="10.7109375" bestFit="1" customWidth="1"/>
    <col min="6" max="6" width="24.42578125" bestFit="1" customWidth="1"/>
    <col min="7" max="7" width="18.140625" bestFit="1" customWidth="1"/>
    <col min="8" max="8" width="16.42578125" bestFit="1" customWidth="1"/>
    <col min="12" max="12" width="11.42578125" customWidth="1"/>
    <col min="13" max="13" width="48" customWidth="1"/>
    <col min="15" max="15" width="41.140625" bestFit="1" customWidth="1"/>
    <col min="17" max="17" width="14.5703125" customWidth="1"/>
  </cols>
  <sheetData>
    <row r="1" spans="1:21">
      <c r="G1" t="s">
        <v>1113</v>
      </c>
      <c r="H1" t="s">
        <v>1114</v>
      </c>
      <c r="L1" s="1"/>
      <c r="M1" s="1"/>
      <c r="N1" s="1"/>
      <c r="O1" s="1"/>
      <c r="P1" s="1"/>
      <c r="Q1" s="1"/>
    </row>
    <row r="2" spans="1:21">
      <c r="A2" s="176" t="s">
        <v>1115</v>
      </c>
      <c r="B2" s="174" t="s">
        <v>1116</v>
      </c>
      <c r="C2" s="174" t="s">
        <v>1117</v>
      </c>
      <c r="D2" s="175" t="s">
        <v>1116</v>
      </c>
      <c r="E2" s="175" t="s">
        <v>1118</v>
      </c>
      <c r="F2" s="174" t="s">
        <v>1119</v>
      </c>
      <c r="G2" s="704">
        <v>0</v>
      </c>
      <c r="H2" s="704">
        <v>0</v>
      </c>
      <c r="T2" s="398">
        <v>46113</v>
      </c>
      <c r="U2" t="s">
        <v>459</v>
      </c>
    </row>
    <row r="3" spans="1:21">
      <c r="A3" s="3" t="s">
        <v>35</v>
      </c>
      <c r="B3" s="3">
        <v>1027</v>
      </c>
      <c r="C3" s="3"/>
      <c r="D3" s="3" t="s">
        <v>34</v>
      </c>
      <c r="E3" s="3">
        <v>103140</v>
      </c>
      <c r="F3" s="3" t="str">
        <f>VLOOKUP(B3,'Summary June 2026'!A:F,6,FALSE)</f>
        <v>Chq Bk</v>
      </c>
      <c r="G3" s="395"/>
      <c r="H3" s="395"/>
      <c r="L3" s="5"/>
      <c r="T3" s="398">
        <v>46143</v>
      </c>
      <c r="U3" t="s">
        <v>460</v>
      </c>
    </row>
    <row r="4" spans="1:21">
      <c r="A4" s="3" t="s">
        <v>38</v>
      </c>
      <c r="B4" s="172">
        <v>2010</v>
      </c>
      <c r="C4" s="172"/>
      <c r="D4" s="3" t="s">
        <v>37</v>
      </c>
      <c r="E4" s="173">
        <v>103159</v>
      </c>
      <c r="F4" s="3" t="str">
        <f>VLOOKUP(B4,'Summary June 2026'!A:F,6,FALSE)</f>
        <v>Chq Bk</v>
      </c>
      <c r="G4" s="395"/>
      <c r="H4" s="395"/>
      <c r="T4" s="398">
        <v>46174</v>
      </c>
    </row>
    <row r="5" spans="1:21">
      <c r="A5" s="3" t="s">
        <v>41</v>
      </c>
      <c r="B5" s="3">
        <v>5949</v>
      </c>
      <c r="C5" s="3"/>
      <c r="D5" s="3" t="s">
        <v>40</v>
      </c>
      <c r="E5" s="3">
        <v>131465</v>
      </c>
      <c r="F5" s="3" t="str">
        <f>VLOOKUP(B5,'Summary June 2026'!A:F,6,FALSE)</f>
        <v>Chq Bk</v>
      </c>
      <c r="G5" s="395"/>
      <c r="H5" s="395"/>
      <c r="T5" s="398">
        <v>46204</v>
      </c>
    </row>
    <row r="6" spans="1:21">
      <c r="A6" s="3" t="s">
        <v>43</v>
      </c>
      <c r="B6" s="3">
        <v>1017</v>
      </c>
      <c r="C6" s="3"/>
      <c r="D6" s="3" t="s">
        <v>42</v>
      </c>
      <c r="E6" s="173">
        <v>103130</v>
      </c>
      <c r="F6" s="3" t="str">
        <f>VLOOKUP(B6,'Summary June 2026'!A:F,6,FALSE)</f>
        <v>Chq Bk</v>
      </c>
      <c r="G6" s="395"/>
      <c r="H6" s="395"/>
      <c r="T6" s="398">
        <v>46235</v>
      </c>
    </row>
    <row r="7" spans="1:21">
      <c r="A7" s="3" t="s">
        <v>45</v>
      </c>
      <c r="B7" s="3">
        <v>2153</v>
      </c>
      <c r="C7" s="3"/>
      <c r="D7" s="3" t="s">
        <v>44</v>
      </c>
      <c r="E7" s="3">
        <v>103243</v>
      </c>
      <c r="F7" s="3" t="str">
        <f>VLOOKUP(B7,'Summary June 2026'!A:F,6,FALSE)</f>
        <v>Chq Bk</v>
      </c>
      <c r="G7" s="395"/>
      <c r="H7" s="395"/>
      <c r="L7" s="5"/>
      <c r="T7" s="398">
        <v>46266</v>
      </c>
    </row>
    <row r="8" spans="1:21">
      <c r="A8" s="3" t="s">
        <v>47</v>
      </c>
      <c r="B8" s="3">
        <v>2062</v>
      </c>
      <c r="C8" s="3"/>
      <c r="D8" s="3" t="s">
        <v>46</v>
      </c>
      <c r="E8" s="3">
        <v>103192</v>
      </c>
      <c r="F8" s="3" t="str">
        <f>VLOOKUP(B8,'Summary June 2026'!A:F,6,FALSE)</f>
        <v>Chq Bk</v>
      </c>
      <c r="G8" s="395"/>
      <c r="H8" s="395"/>
      <c r="T8" s="398">
        <v>46296</v>
      </c>
    </row>
    <row r="9" spans="1:21">
      <c r="A9" s="3" t="s">
        <v>49</v>
      </c>
      <c r="B9" s="3">
        <v>2479</v>
      </c>
      <c r="C9" s="3"/>
      <c r="D9" s="3" t="s">
        <v>48</v>
      </c>
      <c r="E9" s="3">
        <v>132074</v>
      </c>
      <c r="F9" s="3" t="str">
        <f>VLOOKUP(B9,'Summary June 2026'!A:F,6,FALSE)</f>
        <v>Chq Bk</v>
      </c>
      <c r="G9" s="395"/>
      <c r="H9" s="395"/>
      <c r="L9" s="5"/>
      <c r="T9" s="398">
        <v>46327</v>
      </c>
    </row>
    <row r="10" spans="1:21">
      <c r="A10" s="3" t="s">
        <v>51</v>
      </c>
      <c r="B10" s="3">
        <v>2300</v>
      </c>
      <c r="C10" s="3"/>
      <c r="D10" s="3" t="s">
        <v>50</v>
      </c>
      <c r="E10" s="3">
        <v>103324</v>
      </c>
      <c r="F10" s="3" t="str">
        <f>VLOOKUP(B10,'Summary June 2026'!A:F,6,FALSE)</f>
        <v>Chq Bk</v>
      </c>
      <c r="G10" s="395"/>
      <c r="H10" s="395"/>
      <c r="T10" s="398">
        <v>46357</v>
      </c>
    </row>
    <row r="11" spans="1:21">
      <c r="A11" s="3" t="s">
        <v>53</v>
      </c>
      <c r="B11" s="3">
        <v>2014</v>
      </c>
      <c r="C11" s="3"/>
      <c r="D11" s="3" t="s">
        <v>52</v>
      </c>
      <c r="E11" s="3">
        <v>103162</v>
      </c>
      <c r="F11" s="3" t="str">
        <f>VLOOKUP(B11,'Summary June 2026'!A:F,6,FALSE)</f>
        <v>Chq Bk</v>
      </c>
      <c r="G11" s="395"/>
      <c r="H11" s="395"/>
      <c r="T11" s="398">
        <v>46388</v>
      </c>
    </row>
    <row r="12" spans="1:21">
      <c r="A12" s="3" t="s">
        <v>55</v>
      </c>
      <c r="B12" s="3">
        <v>7016</v>
      </c>
      <c r="C12" s="3"/>
      <c r="D12" s="3" t="s">
        <v>54</v>
      </c>
      <c r="E12" s="3">
        <v>103606</v>
      </c>
      <c r="F12" s="3" t="str">
        <f>VLOOKUP(B12,'Summary June 2026'!A:F,6,FALSE)</f>
        <v>Chq Bk</v>
      </c>
      <c r="G12" s="395"/>
      <c r="H12" s="395"/>
      <c r="T12" s="398">
        <v>46419</v>
      </c>
    </row>
    <row r="13" spans="1:21">
      <c r="A13" s="3" t="s">
        <v>58</v>
      </c>
      <c r="B13" s="3">
        <v>7052</v>
      </c>
      <c r="C13" s="3"/>
      <c r="D13" s="3" t="s">
        <v>57</v>
      </c>
      <c r="E13" s="3">
        <v>103627</v>
      </c>
      <c r="F13" s="3" t="str">
        <f>VLOOKUP(B13,'Summary June 2026'!A:F,6,FALSE)</f>
        <v>Chq Bk</v>
      </c>
      <c r="G13" s="395"/>
      <c r="H13" s="395"/>
      <c r="T13" s="398">
        <v>46447</v>
      </c>
    </row>
    <row r="14" spans="1:21">
      <c r="A14" s="3" t="s">
        <v>60</v>
      </c>
      <c r="B14" s="3">
        <v>2017</v>
      </c>
      <c r="C14" s="3"/>
      <c r="D14" s="3" t="s">
        <v>59</v>
      </c>
      <c r="E14" s="3">
        <v>103164</v>
      </c>
      <c r="F14" s="3" t="str">
        <f>VLOOKUP(B14,'Summary June 2026'!A:F,6,FALSE)</f>
        <v>Chq Bk</v>
      </c>
      <c r="G14" s="395"/>
      <c r="H14" s="395"/>
      <c r="T14" s="398">
        <v>46478</v>
      </c>
    </row>
    <row r="15" spans="1:21">
      <c r="A15" s="3" t="s">
        <v>62</v>
      </c>
      <c r="B15" s="3">
        <v>2016</v>
      </c>
      <c r="C15" s="3"/>
      <c r="D15" s="3" t="s">
        <v>61</v>
      </c>
      <c r="E15" s="3">
        <v>103163</v>
      </c>
      <c r="F15" s="3" t="str">
        <f>VLOOKUP(B15,'Summary June 2026'!A:F,6,FALSE)</f>
        <v>Chq Bk</v>
      </c>
      <c r="G15" s="395"/>
      <c r="H15" s="395"/>
      <c r="T15" s="398">
        <v>46508</v>
      </c>
    </row>
    <row r="16" spans="1:21">
      <c r="A16" s="3" t="s">
        <v>64</v>
      </c>
      <c r="B16" s="3">
        <v>2239</v>
      </c>
      <c r="C16" s="3"/>
      <c r="D16" s="3" t="s">
        <v>63</v>
      </c>
      <c r="E16" s="3">
        <v>103289</v>
      </c>
      <c r="F16" s="3" t="str">
        <f>VLOOKUP(B16,'Summary June 2026'!A:F,6,FALSE)</f>
        <v>Chq Bk</v>
      </c>
      <c r="G16" s="395"/>
      <c r="H16" s="395"/>
    </row>
    <row r="17" spans="1:12">
      <c r="A17" s="3" t="s">
        <v>66</v>
      </c>
      <c r="B17" s="3">
        <v>2241</v>
      </c>
      <c r="C17" s="3"/>
      <c r="D17" s="3" t="s">
        <v>65</v>
      </c>
      <c r="E17" s="3">
        <v>103291</v>
      </c>
      <c r="F17" s="3" t="str">
        <f>VLOOKUP(B17,'Summary June 2026'!A:F,6,FALSE)</f>
        <v>Chq Bk</v>
      </c>
      <c r="G17" s="395"/>
      <c r="H17" s="395"/>
    </row>
    <row r="18" spans="1:12">
      <c r="A18" s="3" t="s">
        <v>68</v>
      </c>
      <c r="B18" s="3">
        <v>2456</v>
      </c>
      <c r="C18" s="3"/>
      <c r="D18" s="3" t="s">
        <v>67</v>
      </c>
      <c r="E18" s="3">
        <v>103383</v>
      </c>
      <c r="F18" s="3" t="str">
        <f>VLOOKUP(B18,'Summary June 2026'!A:F,6,FALSE)</f>
        <v>Chq Bk</v>
      </c>
      <c r="G18" s="395"/>
      <c r="H18" s="395"/>
    </row>
    <row r="19" spans="1:12">
      <c r="A19" s="3" t="s">
        <v>70</v>
      </c>
      <c r="B19" s="3">
        <v>5413</v>
      </c>
      <c r="C19" s="3"/>
      <c r="D19" s="3" t="s">
        <v>69</v>
      </c>
      <c r="E19" s="3">
        <v>103560</v>
      </c>
      <c r="F19" s="3" t="str">
        <f>VLOOKUP(B19,'Summary June 2026'!A:F,6,FALSE)</f>
        <v>Chq Bk</v>
      </c>
      <c r="G19" s="395"/>
      <c r="H19" s="395"/>
      <c r="L19" s="5"/>
    </row>
    <row r="20" spans="1:12">
      <c r="A20" s="3" t="s">
        <v>73</v>
      </c>
      <c r="B20" s="3">
        <v>2254</v>
      </c>
      <c r="C20" s="3"/>
      <c r="D20" s="3" t="s">
        <v>72</v>
      </c>
      <c r="E20" s="3">
        <v>103300</v>
      </c>
      <c r="F20" s="3" t="str">
        <f>VLOOKUP(B20,'Summary June 2026'!A:F,6,FALSE)</f>
        <v>Chq Bk</v>
      </c>
      <c r="G20" s="395"/>
      <c r="H20" s="395"/>
    </row>
    <row r="21" spans="1:12">
      <c r="A21" s="3" t="s">
        <v>75</v>
      </c>
      <c r="B21" s="3">
        <v>1025</v>
      </c>
      <c r="C21" s="3"/>
      <c r="D21" s="3" t="s">
        <v>74</v>
      </c>
      <c r="E21" s="3">
        <v>103138</v>
      </c>
      <c r="F21" s="3" t="str">
        <f>VLOOKUP(B21,'Summary June 2026'!A:F,6,FALSE)</f>
        <v>Chq Bk</v>
      </c>
      <c r="G21" s="395"/>
      <c r="H21" s="395"/>
    </row>
    <row r="22" spans="1:12">
      <c r="A22" s="3" t="s">
        <v>77</v>
      </c>
      <c r="B22" s="3">
        <v>2402</v>
      </c>
      <c r="C22" s="3"/>
      <c r="D22" s="3" t="s">
        <v>76</v>
      </c>
      <c r="E22" s="3">
        <v>103342</v>
      </c>
      <c r="F22" s="3" t="str">
        <f>VLOOKUP(B22,'Summary June 2026'!A:F,6,FALSE)</f>
        <v>Chq Bk</v>
      </c>
      <c r="G22" s="395"/>
      <c r="H22" s="395"/>
    </row>
    <row r="23" spans="1:12">
      <c r="A23" s="3" t="s">
        <v>79</v>
      </c>
      <c r="B23" s="3">
        <v>2401</v>
      </c>
      <c r="C23" s="3"/>
      <c r="D23" s="3" t="s">
        <v>78</v>
      </c>
      <c r="E23" s="3">
        <v>103341</v>
      </c>
      <c r="F23" s="3" t="str">
        <f>VLOOKUP(B23,'Summary June 2026'!A:F,6,FALSE)</f>
        <v>Chq Bk</v>
      </c>
      <c r="G23" s="395"/>
      <c r="H23" s="395"/>
      <c r="L23" s="5"/>
    </row>
    <row r="24" spans="1:12">
      <c r="A24" s="3" t="s">
        <v>81</v>
      </c>
      <c r="B24" s="3">
        <v>1001</v>
      </c>
      <c r="C24" s="3"/>
      <c r="D24" s="3" t="s">
        <v>80</v>
      </c>
      <c r="E24" s="3">
        <v>103120</v>
      </c>
      <c r="F24" s="3" t="str">
        <f>VLOOKUP(B24,'Summary June 2026'!A:F,6,FALSE)</f>
        <v>Chq Bk</v>
      </c>
      <c r="G24" s="395"/>
      <c r="H24" s="395"/>
    </row>
    <row r="25" spans="1:12">
      <c r="A25" s="3" t="s">
        <v>83</v>
      </c>
      <c r="B25" s="3">
        <v>4115</v>
      </c>
      <c r="C25" s="3"/>
      <c r="D25" s="3" t="s">
        <v>82</v>
      </c>
      <c r="E25" s="3">
        <v>103493</v>
      </c>
      <c r="F25" s="3" t="str">
        <f>VLOOKUP(B25,'Summary June 2026'!A:F,6,FALSE)</f>
        <v>Chq Bk</v>
      </c>
      <c r="G25" s="395"/>
      <c r="H25" s="395"/>
    </row>
    <row r="26" spans="1:12">
      <c r="A26" s="3" t="s">
        <v>85</v>
      </c>
      <c r="B26" s="3">
        <v>2030</v>
      </c>
      <c r="C26" s="3"/>
      <c r="D26" s="3" t="s">
        <v>84</v>
      </c>
      <c r="E26" s="3">
        <v>103172</v>
      </c>
      <c r="F26" s="3" t="str">
        <f>VLOOKUP(B26,'Summary June 2026'!A:F,6,FALSE)</f>
        <v>Chq Bk</v>
      </c>
      <c r="G26" s="395"/>
      <c r="H26" s="395"/>
    </row>
    <row r="27" spans="1:12">
      <c r="A27" s="3" t="s">
        <v>87</v>
      </c>
      <c r="B27" s="3">
        <v>3353</v>
      </c>
      <c r="C27" s="3"/>
      <c r="D27" s="3" t="s">
        <v>86</v>
      </c>
      <c r="E27" s="3">
        <v>103445</v>
      </c>
      <c r="F27" s="3" t="str">
        <f>VLOOKUP(B27,'Summary June 2026'!A:F,6,FALSE)</f>
        <v>Chq Bk</v>
      </c>
      <c r="G27" s="395"/>
      <c r="H27" s="395"/>
    </row>
    <row r="28" spans="1:12">
      <c r="A28" s="3" t="s">
        <v>89</v>
      </c>
      <c r="B28" s="3">
        <v>7030</v>
      </c>
      <c r="C28" s="3"/>
      <c r="D28" s="3" t="s">
        <v>88</v>
      </c>
      <c r="E28" s="3">
        <v>103611</v>
      </c>
      <c r="F28" s="3" t="str">
        <f>VLOOKUP(B28,'Summary June 2026'!A:F,6,FALSE)</f>
        <v>Chq Bk</v>
      </c>
      <c r="G28" s="395"/>
      <c r="H28" s="395"/>
    </row>
    <row r="29" spans="1:12">
      <c r="A29" s="3" t="s">
        <v>91</v>
      </c>
      <c r="B29" s="3">
        <v>1002</v>
      </c>
      <c r="C29" s="3"/>
      <c r="D29" s="3" t="s">
        <v>90</v>
      </c>
      <c r="E29" s="3">
        <v>103121</v>
      </c>
      <c r="F29" s="3" t="str">
        <f>VLOOKUP(B29,'Summary June 2026'!A:F,6,FALSE)</f>
        <v>Chq Bk</v>
      </c>
      <c r="G29" s="395"/>
      <c r="H29" s="395"/>
    </row>
    <row r="30" spans="1:12">
      <c r="A30" s="3" t="s">
        <v>93</v>
      </c>
      <c r="B30" s="3">
        <v>2465</v>
      </c>
      <c r="C30" s="3"/>
      <c r="D30" s="3" t="s">
        <v>92</v>
      </c>
      <c r="E30" s="3">
        <v>103391</v>
      </c>
      <c r="F30" s="3" t="str">
        <f>VLOOKUP(B30,'Summary June 2026'!A:F,6,FALSE)</f>
        <v>Chq Bk</v>
      </c>
      <c r="G30" s="395"/>
      <c r="H30" s="395"/>
      <c r="L30" s="5"/>
    </row>
    <row r="31" spans="1:12">
      <c r="A31" s="3" t="s">
        <v>95</v>
      </c>
      <c r="B31" s="3">
        <v>4801</v>
      </c>
      <c r="C31" s="3"/>
      <c r="D31" s="3" t="s">
        <v>94</v>
      </c>
      <c r="E31" s="173">
        <v>103539</v>
      </c>
      <c r="F31" s="3" t="str">
        <f>VLOOKUP(B31,'Summary June 2026'!A:F,6,FALSE)</f>
        <v>Chq Bk</v>
      </c>
      <c r="G31" s="395"/>
      <c r="H31" s="395"/>
    </row>
    <row r="32" spans="1:12">
      <c r="A32" s="3" t="s">
        <v>97</v>
      </c>
      <c r="B32" s="3">
        <v>1048</v>
      </c>
      <c r="C32" s="3"/>
      <c r="D32" s="3" t="s">
        <v>96</v>
      </c>
      <c r="E32" s="3">
        <v>103144</v>
      </c>
      <c r="F32" s="3" t="str">
        <f>VLOOKUP(B32,'Summary June 2026'!A:F,6,FALSE)</f>
        <v>Chq Bk</v>
      </c>
      <c r="G32" s="395"/>
      <c r="H32" s="395"/>
    </row>
    <row r="33" spans="1:12">
      <c r="A33" s="3" t="s">
        <v>99</v>
      </c>
      <c r="B33" s="3">
        <v>2312</v>
      </c>
      <c r="C33" s="3"/>
      <c r="D33" s="3" t="s">
        <v>98</v>
      </c>
      <c r="E33" s="3">
        <v>103332</v>
      </c>
      <c r="F33" s="3" t="str">
        <f>VLOOKUP(B33,'Summary June 2026'!A:F,6,FALSE)</f>
        <v>Chq Bk</v>
      </c>
      <c r="G33" s="395"/>
      <c r="H33" s="395"/>
    </row>
    <row r="34" spans="1:12">
      <c r="A34" s="3" t="s">
        <v>101</v>
      </c>
      <c r="B34" s="3">
        <v>7051</v>
      </c>
      <c r="C34" s="3"/>
      <c r="D34" s="3" t="s">
        <v>100</v>
      </c>
      <c r="E34" s="3">
        <v>103626</v>
      </c>
      <c r="F34" s="3" t="str">
        <f>VLOOKUP(B34,'Summary June 2026'!A:F,6,FALSE)</f>
        <v>Chq Bk</v>
      </c>
      <c r="G34" s="395"/>
      <c r="H34" s="395"/>
      <c r="L34" s="5"/>
    </row>
    <row r="35" spans="1:12">
      <c r="A35" s="3" t="s">
        <v>103</v>
      </c>
      <c r="B35" s="3">
        <v>2040</v>
      </c>
      <c r="C35" s="3"/>
      <c r="D35" s="3" t="s">
        <v>102</v>
      </c>
      <c r="E35" s="3">
        <v>103178</v>
      </c>
      <c r="F35" s="3" t="str">
        <f>VLOOKUP(B35,'Summary June 2026'!A:F,6,FALSE)</f>
        <v>Chq Bk</v>
      </c>
      <c r="G35" s="395"/>
      <c r="H35" s="395"/>
    </row>
    <row r="36" spans="1:12">
      <c r="A36" s="3" t="s">
        <v>105</v>
      </c>
      <c r="B36" s="173">
        <v>2251</v>
      </c>
      <c r="C36" s="173"/>
      <c r="D36" s="3" t="s">
        <v>104</v>
      </c>
      <c r="E36" s="3">
        <v>103298</v>
      </c>
      <c r="F36" s="3" t="str">
        <f>VLOOKUP(B36,'Summary June 2026'!A:F,6,FALSE)</f>
        <v>Chq Bk</v>
      </c>
      <c r="G36" s="395"/>
      <c r="H36" s="395"/>
    </row>
    <row r="37" spans="1:12">
      <c r="A37" s="3" t="s">
        <v>107</v>
      </c>
      <c r="B37" s="3">
        <v>3002</v>
      </c>
      <c r="C37" s="3"/>
      <c r="D37" s="3" t="s">
        <v>106</v>
      </c>
      <c r="E37" s="3">
        <v>103397</v>
      </c>
      <c r="F37" s="3" t="str">
        <f>VLOOKUP(B37,'Summary June 2026'!A:F,6,FALSE)</f>
        <v>Chq Bk</v>
      </c>
      <c r="G37" s="395"/>
      <c r="H37" s="395"/>
    </row>
    <row r="38" spans="1:12">
      <c r="A38" s="3" t="s">
        <v>109</v>
      </c>
      <c r="B38" s="3">
        <v>3319</v>
      </c>
      <c r="C38" s="3"/>
      <c r="D38" s="3" t="s">
        <v>108</v>
      </c>
      <c r="E38" s="3">
        <v>103423</v>
      </c>
      <c r="F38" s="3" t="str">
        <f>VLOOKUP(B38,'Summary June 2026'!A:F,6,FALSE)</f>
        <v>Chq Bk</v>
      </c>
      <c r="G38" s="395"/>
      <c r="H38" s="395"/>
      <c r="L38" s="5"/>
    </row>
    <row r="39" spans="1:12">
      <c r="A39" s="3" t="s">
        <v>111</v>
      </c>
      <c r="B39" s="3">
        <v>1100</v>
      </c>
      <c r="C39" s="3"/>
      <c r="D39" s="3" t="s">
        <v>110</v>
      </c>
      <c r="E39" s="3">
        <v>103146</v>
      </c>
      <c r="F39" s="3" t="str">
        <f>VLOOKUP(B39,'Summary June 2026'!A:F,6,FALSE)</f>
        <v>Chq Bk</v>
      </c>
      <c r="G39" s="395"/>
      <c r="H39" s="395"/>
    </row>
    <row r="40" spans="1:12">
      <c r="A40" s="3" t="s">
        <v>114</v>
      </c>
      <c r="B40" s="3">
        <v>3432</v>
      </c>
      <c r="C40" s="3"/>
      <c r="D40" s="3" t="s">
        <v>113</v>
      </c>
      <c r="E40" s="3">
        <v>134840</v>
      </c>
      <c r="F40" s="3" t="str">
        <f>VLOOKUP(B40,'Summary June 2026'!A:F,6,FALSE)</f>
        <v>Chq Bk</v>
      </c>
      <c r="G40" s="395"/>
      <c r="H40" s="395"/>
    </row>
    <row r="41" spans="1:12">
      <c r="A41" s="3" t="s">
        <v>116</v>
      </c>
      <c r="B41" s="3">
        <v>2289</v>
      </c>
      <c r="C41" s="3"/>
      <c r="D41" s="3" t="s">
        <v>115</v>
      </c>
      <c r="E41" s="3">
        <v>103315</v>
      </c>
      <c r="F41" s="3" t="str">
        <f>VLOOKUP(B41,'Summary June 2026'!A:F,6,FALSE)</f>
        <v>Chq Bk</v>
      </c>
      <c r="G41" s="395"/>
      <c r="H41" s="395"/>
    </row>
    <row r="42" spans="1:12">
      <c r="A42" s="3" t="s">
        <v>118</v>
      </c>
      <c r="B42" s="3">
        <v>2185</v>
      </c>
      <c r="C42" s="3"/>
      <c r="D42" s="3" t="s">
        <v>117</v>
      </c>
      <c r="E42" s="3">
        <v>103263</v>
      </c>
      <c r="F42" s="3" t="str">
        <f>VLOOKUP(B42,'Summary June 2026'!A:F,6,FALSE)</f>
        <v>Chq Bk</v>
      </c>
      <c r="G42" s="395"/>
      <c r="H42" s="395"/>
    </row>
    <row r="43" spans="1:12">
      <c r="A43" s="3" t="s">
        <v>120</v>
      </c>
      <c r="B43" s="3">
        <v>5416</v>
      </c>
      <c r="C43" s="3"/>
      <c r="D43" s="3" t="s">
        <v>119</v>
      </c>
      <c r="E43" s="3">
        <v>103563</v>
      </c>
      <c r="F43" s="3" t="str">
        <f>VLOOKUP(B43,'Summary June 2026'!A:F,6,FALSE)</f>
        <v>Chq Bk</v>
      </c>
      <c r="G43" s="395"/>
      <c r="H43" s="395"/>
      <c r="L43" s="5"/>
    </row>
    <row r="44" spans="1:12">
      <c r="A44" s="3" t="s">
        <v>122</v>
      </c>
      <c r="B44" s="3">
        <v>2054</v>
      </c>
      <c r="C44" s="3"/>
      <c r="D44" s="3" t="s">
        <v>121</v>
      </c>
      <c r="E44" s="3">
        <v>103189</v>
      </c>
      <c r="F44" s="3" t="str">
        <f>VLOOKUP(B44,'Summary June 2026'!A:F,6,FALSE)</f>
        <v>Chq Bk</v>
      </c>
      <c r="G44" s="395"/>
      <c r="H44" s="395"/>
    </row>
    <row r="45" spans="1:12">
      <c r="A45" s="3" t="s">
        <v>124</v>
      </c>
      <c r="B45" s="3">
        <v>2053</v>
      </c>
      <c r="C45" s="3"/>
      <c r="D45" s="3" t="s">
        <v>123</v>
      </c>
      <c r="E45" s="173">
        <v>103188</v>
      </c>
      <c r="F45" s="3" t="str">
        <f>VLOOKUP(B45,'Summary June 2026'!A:F,6,FALSE)</f>
        <v>Chq Bk</v>
      </c>
      <c r="G45" s="395"/>
      <c r="H45" s="395"/>
    </row>
    <row r="46" spans="1:12">
      <c r="A46" s="3" t="s">
        <v>126</v>
      </c>
      <c r="B46" s="3">
        <v>2464</v>
      </c>
      <c r="C46" s="3"/>
      <c r="D46" s="3" t="s">
        <v>125</v>
      </c>
      <c r="E46" s="173">
        <v>103390</v>
      </c>
      <c r="F46" s="3" t="str">
        <f>VLOOKUP(B46,'Summary June 2026'!A:F,6,FALSE)</f>
        <v>Chq Bk</v>
      </c>
      <c r="G46" s="395"/>
      <c r="H46" s="395"/>
    </row>
    <row r="47" spans="1:12">
      <c r="A47" s="3" t="s">
        <v>128</v>
      </c>
      <c r="B47" s="3">
        <v>3320</v>
      </c>
      <c r="C47" s="3"/>
      <c r="D47" s="3" t="s">
        <v>127</v>
      </c>
      <c r="E47" s="3">
        <v>103424</v>
      </c>
      <c r="F47" s="3" t="str">
        <f>VLOOKUP(B47,'Summary June 2026'!A:F,6,FALSE)</f>
        <v>Chq Bk</v>
      </c>
      <c r="G47" s="395"/>
      <c r="H47" s="395"/>
    </row>
    <row r="48" spans="1:12">
      <c r="A48" s="3" t="s">
        <v>130</v>
      </c>
      <c r="B48" s="3">
        <v>2055</v>
      </c>
      <c r="C48" s="3"/>
      <c r="D48" s="3" t="s">
        <v>129</v>
      </c>
      <c r="E48" s="3">
        <v>103190</v>
      </c>
      <c r="F48" s="3" t="str">
        <f>VLOOKUP(B48,'Summary June 2026'!A:F,6,FALSE)</f>
        <v>Chq Bk</v>
      </c>
      <c r="G48" s="395"/>
      <c r="H48" s="395"/>
    </row>
    <row r="49" spans="1:8">
      <c r="A49" s="3" t="s">
        <v>132</v>
      </c>
      <c r="B49" s="3">
        <v>1802</v>
      </c>
      <c r="C49" s="3"/>
      <c r="D49" s="3" t="s">
        <v>131</v>
      </c>
      <c r="E49" s="3">
        <v>103150</v>
      </c>
      <c r="F49" s="3" t="str">
        <f>VLOOKUP(B49,'Summary June 2026'!A:F,6,FALSE)</f>
        <v>Chq Bk</v>
      </c>
      <c r="G49" s="395"/>
      <c r="H49" s="395"/>
    </row>
    <row r="50" spans="1:8">
      <c r="A50" s="3" t="s">
        <v>134</v>
      </c>
      <c r="B50" s="3">
        <v>2454</v>
      </c>
      <c r="C50" s="3"/>
      <c r="D50" s="3" t="s">
        <v>133</v>
      </c>
      <c r="E50" s="3">
        <v>103381</v>
      </c>
      <c r="F50" s="3" t="str">
        <f>VLOOKUP(B50,'Summary June 2026'!A:F,6,FALSE)</f>
        <v>Chq Bk</v>
      </c>
      <c r="G50" s="395"/>
      <c r="H50" s="395"/>
    </row>
    <row r="51" spans="1:8">
      <c r="A51" s="3" t="s">
        <v>136</v>
      </c>
      <c r="B51" s="3">
        <v>3321</v>
      </c>
      <c r="C51" s="3"/>
      <c r="D51" s="3" t="s">
        <v>135</v>
      </c>
      <c r="E51" s="3">
        <v>103425</v>
      </c>
      <c r="F51" s="3" t="str">
        <f>VLOOKUP(B51,'Summary June 2026'!A:F,6,FALSE)</f>
        <v>Chq Bk</v>
      </c>
      <c r="G51" s="395"/>
      <c r="H51" s="395"/>
    </row>
    <row r="52" spans="1:8">
      <c r="A52" s="3" t="s">
        <v>138</v>
      </c>
      <c r="B52" s="3">
        <v>1026</v>
      </c>
      <c r="C52" s="3"/>
      <c r="D52" s="3" t="s">
        <v>137</v>
      </c>
      <c r="E52" s="3">
        <v>103139</v>
      </c>
      <c r="F52" s="3" t="str">
        <f>VLOOKUP(B52,'Summary June 2026'!A:F,6,FALSE)</f>
        <v>Chq Bk</v>
      </c>
      <c r="G52" s="395"/>
      <c r="H52" s="395"/>
    </row>
    <row r="53" spans="1:8">
      <c r="A53" s="3" t="s">
        <v>140</v>
      </c>
      <c r="B53" s="3">
        <v>2294</v>
      </c>
      <c r="C53" s="3"/>
      <c r="D53" s="3" t="s">
        <v>139</v>
      </c>
      <c r="E53" s="3">
        <v>103318</v>
      </c>
      <c r="F53" s="3" t="str">
        <f>VLOOKUP(B53,'Summary June 2026'!A:F,6,FALSE)</f>
        <v>Chq Bk</v>
      </c>
      <c r="G53" s="395"/>
      <c r="H53" s="395"/>
    </row>
    <row r="54" spans="1:8">
      <c r="A54" s="3" t="s">
        <v>142</v>
      </c>
      <c r="B54" s="3">
        <v>2486</v>
      </c>
      <c r="C54" s="3"/>
      <c r="D54" s="3" t="s">
        <v>141</v>
      </c>
      <c r="E54" s="3">
        <v>133759</v>
      </c>
      <c r="F54" s="3" t="str">
        <f>VLOOKUP(B54,'Summary June 2026'!A:F,6,FALSE)</f>
        <v>Chq Bk</v>
      </c>
      <c r="G54" s="395"/>
      <c r="H54" s="395"/>
    </row>
    <row r="55" spans="1:8">
      <c r="A55" s="3" t="s">
        <v>144</v>
      </c>
      <c r="B55" s="3">
        <v>3435</v>
      </c>
      <c r="C55" s="3"/>
      <c r="D55" s="3" t="s">
        <v>143</v>
      </c>
      <c r="E55" s="3">
        <v>131920</v>
      </c>
      <c r="F55" s="3" t="str">
        <f>VLOOKUP(B55,'Summary June 2026'!A:F,6,FALSE)</f>
        <v>Chq Bk</v>
      </c>
      <c r="G55" s="395"/>
      <c r="H55" s="395"/>
    </row>
    <row r="56" spans="1:8">
      <c r="A56" s="3" t="s">
        <v>146</v>
      </c>
      <c r="B56" s="3">
        <v>7050</v>
      </c>
      <c r="C56" s="3"/>
      <c r="D56" s="3" t="s">
        <v>145</v>
      </c>
      <c r="E56" s="3">
        <v>103625</v>
      </c>
      <c r="F56" s="3" t="str">
        <f>VLOOKUP(B56,'Summary June 2026'!A:F,6,FALSE)</f>
        <v>Chq Bk</v>
      </c>
      <c r="G56" s="395"/>
      <c r="H56" s="395"/>
    </row>
    <row r="57" spans="1:8">
      <c r="A57" s="3" t="s">
        <v>148</v>
      </c>
      <c r="B57" s="3">
        <v>1006</v>
      </c>
      <c r="C57" s="3"/>
      <c r="D57" s="3" t="s">
        <v>147</v>
      </c>
      <c r="E57" s="3">
        <v>103122</v>
      </c>
      <c r="F57" s="3" t="str">
        <f>VLOOKUP(B57,'Summary June 2026'!A:F,6,FALSE)</f>
        <v>Chq Bk</v>
      </c>
      <c r="G57" s="395"/>
      <c r="H57" s="395"/>
    </row>
    <row r="58" spans="1:8">
      <c r="A58" s="3" t="s">
        <v>150</v>
      </c>
      <c r="B58" s="3">
        <v>2079</v>
      </c>
      <c r="C58" s="3"/>
      <c r="D58" s="3" t="s">
        <v>149</v>
      </c>
      <c r="E58" s="3">
        <v>103200</v>
      </c>
      <c r="F58" s="3" t="str">
        <f>VLOOKUP(B58,'Summary June 2026'!A:F,6,FALSE)</f>
        <v>Chq Bk</v>
      </c>
      <c r="G58" s="395"/>
      <c r="H58" s="395"/>
    </row>
    <row r="59" spans="1:8">
      <c r="A59" s="3" t="s">
        <v>152</v>
      </c>
      <c r="B59" s="3">
        <v>2081</v>
      </c>
      <c r="C59" s="3"/>
      <c r="D59" s="3" t="s">
        <v>151</v>
      </c>
      <c r="E59" s="3">
        <v>103201</v>
      </c>
      <c r="F59" s="3" t="str">
        <f>VLOOKUP(B59,'Summary June 2026'!A:F,6,FALSE)</f>
        <v>Chq Bk</v>
      </c>
      <c r="G59" s="395"/>
      <c r="H59" s="395"/>
    </row>
    <row r="60" spans="1:8">
      <c r="A60" s="3" t="s">
        <v>154</v>
      </c>
      <c r="B60" s="3">
        <v>2296</v>
      </c>
      <c r="C60" s="3"/>
      <c r="D60" s="3" t="s">
        <v>153</v>
      </c>
      <c r="E60" s="3">
        <v>103320</v>
      </c>
      <c r="F60" s="3" t="str">
        <f>VLOOKUP(B60,'Summary June 2026'!A:F,6,FALSE)</f>
        <v>Chq bk</v>
      </c>
      <c r="G60" s="395"/>
      <c r="H60" s="395"/>
    </row>
    <row r="61" spans="1:8">
      <c r="A61" s="3" t="s">
        <v>156</v>
      </c>
      <c r="B61" s="3">
        <v>1015</v>
      </c>
      <c r="C61" s="3"/>
      <c r="D61" s="3" t="s">
        <v>155</v>
      </c>
      <c r="E61" s="3">
        <v>103128</v>
      </c>
      <c r="F61" s="3" t="str">
        <f>VLOOKUP(B61,'Summary June 2026'!A:F,6,FALSE)</f>
        <v>Chq Bk</v>
      </c>
      <c r="G61" s="395"/>
      <c r="H61" s="395"/>
    </row>
    <row r="62" spans="1:8">
      <c r="A62" s="3" t="s">
        <v>158</v>
      </c>
      <c r="B62" s="3">
        <v>1022</v>
      </c>
      <c r="C62" s="3"/>
      <c r="D62" s="3" t="s">
        <v>157</v>
      </c>
      <c r="E62" s="3">
        <v>103135</v>
      </c>
      <c r="F62" s="3" t="str">
        <f>VLOOKUP(B62,'Summary June 2026'!A:F,6,FALSE)</f>
        <v>Chq Bk</v>
      </c>
      <c r="G62" s="395"/>
      <c r="H62" s="395"/>
    </row>
    <row r="63" spans="1:8">
      <c r="A63" s="3" t="s">
        <v>160</v>
      </c>
      <c r="B63" s="3">
        <v>2087</v>
      </c>
      <c r="C63" s="3"/>
      <c r="D63" s="3" t="s">
        <v>159</v>
      </c>
      <c r="E63" s="3">
        <v>103205</v>
      </c>
      <c r="F63" s="3" t="str">
        <f>VLOOKUP(B63,'Summary June 2026'!A:F,6,FALSE)</f>
        <v>Chq Bk</v>
      </c>
      <c r="G63" s="395"/>
      <c r="H63" s="395"/>
    </row>
    <row r="64" spans="1:8">
      <c r="A64" s="3" t="s">
        <v>162</v>
      </c>
      <c r="B64" s="3">
        <v>2466</v>
      </c>
      <c r="C64" s="3"/>
      <c r="D64" s="3" t="s">
        <v>161</v>
      </c>
      <c r="E64" s="3">
        <v>103392</v>
      </c>
      <c r="F64" s="3" t="str">
        <f>VLOOKUP(B64,'Summary June 2026'!A:F,6,FALSE)</f>
        <v>Chq Bk</v>
      </c>
      <c r="G64" s="395"/>
      <c r="H64" s="395"/>
    </row>
    <row r="65" spans="1:8">
      <c r="A65" s="3" t="s">
        <v>164</v>
      </c>
      <c r="B65" s="3">
        <v>2091</v>
      </c>
      <c r="C65" s="3"/>
      <c r="D65" s="3" t="s">
        <v>163</v>
      </c>
      <c r="E65" s="3">
        <v>103208</v>
      </c>
      <c r="F65" s="3" t="str">
        <f>VLOOKUP(B65,'Summary June 2026'!A:F,6,FALSE)</f>
        <v>Chq Bk</v>
      </c>
      <c r="G65" s="395"/>
      <c r="H65" s="395"/>
    </row>
    <row r="66" spans="1:8">
      <c r="A66" s="3" t="s">
        <v>166</v>
      </c>
      <c r="B66" s="3">
        <v>2093</v>
      </c>
      <c r="C66" s="3"/>
      <c r="D66" s="3" t="s">
        <v>165</v>
      </c>
      <c r="E66" s="3">
        <v>103210</v>
      </c>
      <c r="F66" s="3" t="str">
        <f>VLOOKUP(B66,'Summary June 2026'!A:F,6,FALSE)</f>
        <v>Chq Bk</v>
      </c>
      <c r="G66" s="395"/>
      <c r="H66" s="395"/>
    </row>
    <row r="67" spans="1:8">
      <c r="A67" s="3" t="s">
        <v>168</v>
      </c>
      <c r="B67" s="3">
        <v>2092</v>
      </c>
      <c r="C67" s="3"/>
      <c r="D67" s="3" t="s">
        <v>167</v>
      </c>
      <c r="E67" s="3">
        <v>103209</v>
      </c>
      <c r="F67" s="3" t="str">
        <f>VLOOKUP(B67,'Summary June 2026'!A:F,6,FALSE)</f>
        <v>Chq Bk</v>
      </c>
      <c r="G67" s="395"/>
      <c r="H67" s="395"/>
    </row>
    <row r="68" spans="1:8">
      <c r="A68" s="3" t="s">
        <v>170</v>
      </c>
      <c r="B68" s="3">
        <v>7006</v>
      </c>
      <c r="C68" s="3"/>
      <c r="D68" s="3" t="s">
        <v>169</v>
      </c>
      <c r="E68" s="3">
        <v>103600</v>
      </c>
      <c r="F68" s="3" t="str">
        <f>VLOOKUP(B68,'Summary June 2026'!A:F,6,FALSE)</f>
        <v>Chq Bk</v>
      </c>
      <c r="G68" s="395"/>
      <c r="H68" s="395"/>
    </row>
    <row r="69" spans="1:8">
      <c r="A69" s="3" t="s">
        <v>172</v>
      </c>
      <c r="B69" s="3">
        <v>2477</v>
      </c>
      <c r="C69" s="3"/>
      <c r="D69" s="3" t="s">
        <v>171</v>
      </c>
      <c r="E69" s="3">
        <v>132261</v>
      </c>
      <c r="F69" s="3" t="str">
        <f>VLOOKUP(B69,'Summary June 2026'!A:F,6,FALSE)</f>
        <v>Chq Bk</v>
      </c>
      <c r="G69" s="395"/>
      <c r="H69" s="395"/>
    </row>
    <row r="70" spans="1:8">
      <c r="A70" s="3" t="s">
        <v>174</v>
      </c>
      <c r="B70" s="3">
        <v>3436</v>
      </c>
      <c r="C70" s="3"/>
      <c r="D70" s="3" t="s">
        <v>173</v>
      </c>
      <c r="E70" s="3">
        <v>136440</v>
      </c>
      <c r="F70" s="3" t="str">
        <f>VLOOKUP(B70,'Summary June 2026'!A:F,6,FALSE)</f>
        <v>Chq Bk</v>
      </c>
      <c r="G70" s="395"/>
      <c r="H70" s="395"/>
    </row>
    <row r="71" spans="1:8">
      <c r="A71" s="3" t="s">
        <v>176</v>
      </c>
      <c r="B71" s="3">
        <v>2099</v>
      </c>
      <c r="C71" s="3"/>
      <c r="D71" s="3" t="s">
        <v>175</v>
      </c>
      <c r="E71" s="3">
        <v>103214</v>
      </c>
      <c r="F71" s="3" t="str">
        <f>VLOOKUP(B71,'Summary June 2026'!A:F,6,FALSE)</f>
        <v>Chq Bk</v>
      </c>
      <c r="G71" s="395"/>
      <c r="H71" s="395"/>
    </row>
    <row r="72" spans="1:8">
      <c r="A72" s="3" t="s">
        <v>178</v>
      </c>
      <c r="B72" s="3">
        <v>1010</v>
      </c>
      <c r="C72" s="3"/>
      <c r="D72" s="3" t="s">
        <v>177</v>
      </c>
      <c r="E72" s="3">
        <v>103125</v>
      </c>
      <c r="F72" s="3" t="str">
        <f>VLOOKUP(B72,'Summary June 2026'!A:F,6,FALSE)</f>
        <v>Chq Bk</v>
      </c>
      <c r="G72" s="395"/>
      <c r="H72" s="395"/>
    </row>
    <row r="73" spans="1:8">
      <c r="A73" s="3" t="s">
        <v>180</v>
      </c>
      <c r="B73" s="3">
        <v>1021</v>
      </c>
      <c r="C73" s="3"/>
      <c r="D73" s="3" t="s">
        <v>179</v>
      </c>
      <c r="E73" s="3">
        <v>103134</v>
      </c>
      <c r="F73" s="3" t="str">
        <f>VLOOKUP(B73,'Summary June 2026'!A:F,6,FALSE)</f>
        <v>Chq Bk</v>
      </c>
      <c r="G73" s="395"/>
      <c r="H73" s="395"/>
    </row>
    <row r="74" spans="1:8">
      <c r="A74" s="3" t="s">
        <v>182</v>
      </c>
      <c r="B74" s="3">
        <v>4201</v>
      </c>
      <c r="C74" s="3"/>
      <c r="D74" s="3" t="s">
        <v>181</v>
      </c>
      <c r="E74" s="3">
        <v>103503</v>
      </c>
      <c r="F74" s="3" t="str">
        <f>VLOOKUP(B74,'Summary June 2026'!A:F,6,FALSE)</f>
        <v>Chq Bk</v>
      </c>
      <c r="G74" s="395"/>
      <c r="H74" s="395"/>
    </row>
    <row r="75" spans="1:8">
      <c r="A75" s="3" t="s">
        <v>184</v>
      </c>
      <c r="B75" s="3">
        <v>4015</v>
      </c>
      <c r="C75" s="3"/>
      <c r="D75" s="3" t="s">
        <v>183</v>
      </c>
      <c r="E75" s="3">
        <v>103483</v>
      </c>
      <c r="F75" s="3" t="str">
        <f>VLOOKUP(B75,'Summary June 2026'!A:F,6,FALSE)</f>
        <v>Chq Bk</v>
      </c>
      <c r="G75" s="395"/>
      <c r="H75" s="395"/>
    </row>
    <row r="76" spans="1:8">
      <c r="A76" s="3" t="s">
        <v>186</v>
      </c>
      <c r="B76" s="3">
        <v>3411</v>
      </c>
      <c r="C76" s="3"/>
      <c r="D76" s="3" t="s">
        <v>185</v>
      </c>
      <c r="E76" s="3">
        <v>103479</v>
      </c>
      <c r="F76" s="3" t="str">
        <f>VLOOKUP(B76,'Summary June 2026'!A:F,6,FALSE)</f>
        <v>Chq Bk</v>
      </c>
      <c r="G76" s="395"/>
      <c r="H76" s="395"/>
    </row>
    <row r="77" spans="1:8">
      <c r="A77" s="3" t="s">
        <v>188</v>
      </c>
      <c r="B77" s="3">
        <v>2474</v>
      </c>
      <c r="C77" s="3"/>
      <c r="D77" s="3" t="s">
        <v>187</v>
      </c>
      <c r="E77" s="3">
        <v>131672</v>
      </c>
      <c r="F77" s="3" t="str">
        <f>VLOOKUP(B77,'Summary June 2026'!A:F,6,FALSE)</f>
        <v>Chq Bk</v>
      </c>
      <c r="G77" s="395"/>
      <c r="H77" s="395"/>
    </row>
    <row r="78" spans="1:8">
      <c r="A78" s="3" t="s">
        <v>190</v>
      </c>
      <c r="B78" s="3">
        <v>4223</v>
      </c>
      <c r="C78" s="3"/>
      <c r="D78" s="3" t="s">
        <v>189</v>
      </c>
      <c r="E78" s="3">
        <v>103509</v>
      </c>
      <c r="F78" s="3" t="str">
        <f>VLOOKUP(B78,'Summary June 2026'!A:F,6,FALSE)</f>
        <v>Chq Bk</v>
      </c>
      <c r="G78" s="395"/>
      <c r="H78" s="395"/>
    </row>
    <row r="79" spans="1:8">
      <c r="A79" s="3" t="s">
        <v>192</v>
      </c>
      <c r="B79" s="3">
        <v>3317</v>
      </c>
      <c r="C79" s="3"/>
      <c r="D79" s="3" t="s">
        <v>191</v>
      </c>
      <c r="E79" s="3">
        <v>103421</v>
      </c>
      <c r="F79" s="3" t="str">
        <f>VLOOKUP(B79,'Summary June 2026'!A:F,6,FALSE)</f>
        <v>Chq Bk</v>
      </c>
      <c r="G79" s="395"/>
      <c r="H79" s="395"/>
    </row>
    <row r="80" spans="1:8">
      <c r="A80" s="3" t="s">
        <v>194</v>
      </c>
      <c r="B80" s="3">
        <v>1023</v>
      </c>
      <c r="C80" s="3"/>
      <c r="D80" s="3" t="s">
        <v>193</v>
      </c>
      <c r="E80" s="3">
        <v>103136</v>
      </c>
      <c r="F80" s="3" t="str">
        <f>VLOOKUP(B80,'Summary June 2026'!A:F,6,FALSE)</f>
        <v>Chq Bk</v>
      </c>
      <c r="G80" s="395"/>
      <c r="H80" s="395"/>
    </row>
    <row r="81" spans="1:13">
      <c r="A81" s="3" t="s">
        <v>196</v>
      </c>
      <c r="B81" s="3">
        <v>2015</v>
      </c>
      <c r="C81" s="3"/>
      <c r="D81" s="3" t="s">
        <v>195</v>
      </c>
      <c r="E81" s="3">
        <v>134102</v>
      </c>
      <c r="F81" s="3" t="str">
        <f>VLOOKUP(B81,'Summary June 2026'!A:F,6,FALSE)</f>
        <v>Chq Bk</v>
      </c>
      <c r="G81" s="395"/>
      <c r="H81" s="395"/>
    </row>
    <row r="82" spans="1:13">
      <c r="A82" s="3" t="s">
        <v>198</v>
      </c>
      <c r="B82" s="3">
        <v>3352</v>
      </c>
      <c r="C82" s="3"/>
      <c r="D82" s="3" t="s">
        <v>197</v>
      </c>
      <c r="E82" s="3">
        <v>103444</v>
      </c>
      <c r="F82" s="3" t="str">
        <f>VLOOKUP(B82,'Summary June 2026'!A:F,6,FALSE)</f>
        <v>Chq Bk</v>
      </c>
      <c r="G82" s="395"/>
      <c r="H82" s="395"/>
    </row>
    <row r="83" spans="1:13">
      <c r="A83" s="3" t="s">
        <v>200</v>
      </c>
      <c r="B83" s="3">
        <v>2005</v>
      </c>
      <c r="C83" s="3"/>
      <c r="D83" s="3" t="s">
        <v>199</v>
      </c>
      <c r="E83" s="3">
        <v>134098</v>
      </c>
      <c r="F83" s="3" t="str">
        <f>VLOOKUP(B83,'Summary June 2026'!A:F,6,FALSE)</f>
        <v>Chq Bk</v>
      </c>
      <c r="G83" s="395"/>
      <c r="H83" s="395"/>
    </row>
    <row r="84" spans="1:13">
      <c r="A84" s="3" t="s">
        <v>202</v>
      </c>
      <c r="B84" s="3">
        <v>4063</v>
      </c>
      <c r="C84" s="3"/>
      <c r="D84" s="3" t="s">
        <v>201</v>
      </c>
      <c r="E84" s="3">
        <v>103486</v>
      </c>
      <c r="F84" s="3" t="str">
        <f>VLOOKUP(B84,'Summary June 2026'!A:F,6,FALSE)</f>
        <v>Chq Bk</v>
      </c>
      <c r="G84" s="395"/>
      <c r="H84" s="395"/>
    </row>
    <row r="85" spans="1:13">
      <c r="A85" s="3" t="s">
        <v>204</v>
      </c>
      <c r="B85" s="3">
        <v>1016</v>
      </c>
      <c r="C85" s="3"/>
      <c r="D85" s="3" t="s">
        <v>203</v>
      </c>
      <c r="E85" s="3">
        <v>103129</v>
      </c>
      <c r="F85" s="3" t="str">
        <f>VLOOKUP(B85,'Summary June 2026'!A:F,6,FALSE)</f>
        <v>Chq Bk</v>
      </c>
      <c r="G85" s="395"/>
      <c r="H85" s="395"/>
    </row>
    <row r="86" spans="1:13">
      <c r="A86" s="3" t="s">
        <v>206</v>
      </c>
      <c r="B86" s="3">
        <v>2115</v>
      </c>
      <c r="C86" s="3"/>
      <c r="D86" s="3" t="s">
        <v>205</v>
      </c>
      <c r="E86" s="3">
        <v>103221</v>
      </c>
      <c r="F86" s="3" t="str">
        <f>VLOOKUP(B86,'Summary June 2026'!A:F,6,FALSE)</f>
        <v>Chq Bk</v>
      </c>
      <c r="G86" s="395"/>
      <c r="H86" s="395"/>
    </row>
    <row r="87" spans="1:13">
      <c r="A87" s="3" t="s">
        <v>208</v>
      </c>
      <c r="B87" s="3">
        <v>2441</v>
      </c>
      <c r="C87" s="3"/>
      <c r="D87" s="3" t="s">
        <v>207</v>
      </c>
      <c r="E87" s="3">
        <v>103368</v>
      </c>
      <c r="F87" s="3" t="str">
        <f>VLOOKUP(B87,'Summary June 2026'!A:F,6,FALSE)</f>
        <v>Chq Bk</v>
      </c>
      <c r="G87" s="395"/>
      <c r="H87" s="395"/>
    </row>
    <row r="88" spans="1:13">
      <c r="A88" s="3" t="s">
        <v>210</v>
      </c>
      <c r="B88" s="3">
        <v>2321</v>
      </c>
      <c r="C88" s="3"/>
      <c r="D88" s="3" t="s">
        <v>209</v>
      </c>
      <c r="E88" s="3">
        <v>103339</v>
      </c>
      <c r="F88" s="3" t="str">
        <f>VLOOKUP(B88,'Summary June 2026'!A:F,6,FALSE)</f>
        <v>Chq Bk</v>
      </c>
      <c r="G88" s="395"/>
      <c r="H88" s="395"/>
    </row>
    <row r="89" spans="1:13">
      <c r="A89" s="3" t="s">
        <v>212</v>
      </c>
      <c r="B89" s="3">
        <v>2189</v>
      </c>
      <c r="C89" s="3"/>
      <c r="D89" s="3" t="s">
        <v>211</v>
      </c>
      <c r="E89" s="3">
        <v>103265</v>
      </c>
      <c r="F89" s="3" t="str">
        <f>VLOOKUP(B89,'Summary June 2026'!A:F,6,FALSE)</f>
        <v>Chq Bk</v>
      </c>
      <c r="G89" s="395"/>
      <c r="H89" s="395"/>
    </row>
    <row r="90" spans="1:13">
      <c r="A90" s="3" t="s">
        <v>214</v>
      </c>
      <c r="B90" s="3">
        <v>7060</v>
      </c>
      <c r="C90" s="3"/>
      <c r="D90" s="3" t="s">
        <v>213</v>
      </c>
      <c r="E90" s="3">
        <v>103630</v>
      </c>
      <c r="F90" s="3" t="str">
        <f>VLOOKUP(B90,'Summary June 2026'!A:F,6,FALSE)</f>
        <v>Chq Bk</v>
      </c>
      <c r="G90" s="395"/>
      <c r="H90" s="395"/>
    </row>
    <row r="91" spans="1:13">
      <c r="A91" s="3" t="s">
        <v>216</v>
      </c>
      <c r="B91" s="3">
        <v>1024</v>
      </c>
      <c r="C91" s="3"/>
      <c r="D91" s="3" t="s">
        <v>215</v>
      </c>
      <c r="E91" s="3">
        <v>103137</v>
      </c>
      <c r="F91" s="3" t="str">
        <f>VLOOKUP(B91,'Summary June 2026'!A:F,6,FALSE)</f>
        <v>Chq Bk</v>
      </c>
      <c r="G91" s="395"/>
      <c r="H91" s="395"/>
    </row>
    <row r="92" spans="1:13">
      <c r="A92" s="3" t="s">
        <v>218</v>
      </c>
      <c r="B92" s="3">
        <v>7062</v>
      </c>
      <c r="C92" s="3"/>
      <c r="D92" s="3" t="s">
        <v>217</v>
      </c>
      <c r="E92" s="3">
        <v>103632</v>
      </c>
      <c r="F92" s="3" t="str">
        <f>VLOOKUP(B92,'Summary June 2026'!A:F,6,FALSE)</f>
        <v>Chq Bk</v>
      </c>
      <c r="G92" s="395"/>
      <c r="H92" s="395"/>
    </row>
    <row r="93" spans="1:13">
      <c r="A93" s="3" t="s">
        <v>220</v>
      </c>
      <c r="B93" s="3">
        <v>2462</v>
      </c>
      <c r="C93" s="3"/>
      <c r="D93" s="3" t="s">
        <v>219</v>
      </c>
      <c r="E93" s="3">
        <v>103388</v>
      </c>
      <c r="F93" s="3" t="str">
        <f>VLOOKUP(B93,'Summary June 2026'!A:F,6,FALSE)</f>
        <v>Chq Bk</v>
      </c>
      <c r="G93" s="395"/>
      <c r="H93" s="395"/>
      <c r="L93" s="1"/>
      <c r="M93" s="1"/>
    </row>
    <row r="94" spans="1:13">
      <c r="A94" s="3" t="s">
        <v>222</v>
      </c>
      <c r="B94" s="3">
        <v>7012</v>
      </c>
      <c r="C94" s="3"/>
      <c r="D94" s="3" t="s">
        <v>221</v>
      </c>
      <c r="E94" s="3">
        <v>103603</v>
      </c>
      <c r="F94" s="3" t="str">
        <f>VLOOKUP(B94,'Summary June 2026'!A:F,6,FALSE)</f>
        <v>Chq Bk</v>
      </c>
      <c r="G94" s="395"/>
      <c r="H94" s="395"/>
    </row>
    <row r="95" spans="1:13">
      <c r="A95" s="3" t="s">
        <v>224</v>
      </c>
      <c r="B95" s="3">
        <v>2127</v>
      </c>
      <c r="C95" s="3"/>
      <c r="D95" s="3" t="s">
        <v>223</v>
      </c>
      <c r="E95" s="3">
        <v>103227</v>
      </c>
      <c r="F95" s="3" t="str">
        <f>VLOOKUP(B95,'Summary June 2026'!A:F,6,FALSE)</f>
        <v>Chq Bk</v>
      </c>
      <c r="G95" s="395"/>
      <c r="H95" s="395"/>
    </row>
    <row r="96" spans="1:13">
      <c r="A96" s="3" t="s">
        <v>226</v>
      </c>
      <c r="B96" s="3">
        <v>2129</v>
      </c>
      <c r="C96" s="3"/>
      <c r="D96" s="3" t="s">
        <v>225</v>
      </c>
      <c r="E96" s="3">
        <v>103229</v>
      </c>
      <c r="F96" s="3" t="str">
        <f>VLOOKUP(B96,'Summary June 2026'!A:F,6,FALSE)</f>
        <v>Chq Bk</v>
      </c>
      <c r="G96" s="395"/>
      <c r="H96" s="395"/>
    </row>
    <row r="97" spans="1:8">
      <c r="A97" s="3" t="s">
        <v>228</v>
      </c>
      <c r="B97" s="3">
        <v>2128</v>
      </c>
      <c r="C97" s="3"/>
      <c r="D97" s="3" t="s">
        <v>227</v>
      </c>
      <c r="E97" s="3">
        <v>103228</v>
      </c>
      <c r="F97" s="3" t="str">
        <f>VLOOKUP(B97,'Summary June 2026'!A:F,6,FALSE)</f>
        <v>Chq Bk</v>
      </c>
      <c r="G97" s="395"/>
      <c r="H97" s="395"/>
    </row>
    <row r="98" spans="1:8">
      <c r="A98" s="3" t="s">
        <v>230</v>
      </c>
      <c r="B98" s="3">
        <v>2420</v>
      </c>
      <c r="C98" s="3"/>
      <c r="D98" s="3" t="s">
        <v>229</v>
      </c>
      <c r="E98" s="3">
        <v>103353</v>
      </c>
      <c r="F98" s="3" t="str">
        <f>VLOOKUP(B98,'Summary June 2026'!A:F,6,FALSE)</f>
        <v>Chq Bk</v>
      </c>
      <c r="G98" s="395"/>
      <c r="H98" s="395"/>
    </row>
    <row r="99" spans="1:8">
      <c r="A99" s="3" t="s">
        <v>232</v>
      </c>
      <c r="B99" s="3">
        <v>2004</v>
      </c>
      <c r="C99" s="3"/>
      <c r="D99" s="3" t="s">
        <v>231</v>
      </c>
      <c r="E99" s="3">
        <v>134094</v>
      </c>
      <c r="F99" s="3" t="str">
        <f>VLOOKUP(B99,'Summary June 2026'!A:F,6,FALSE)</f>
        <v>Chq Bk</v>
      </c>
      <c r="G99" s="395"/>
      <c r="H99" s="395"/>
    </row>
    <row r="100" spans="1:8">
      <c r="A100" s="3" t="s">
        <v>234</v>
      </c>
      <c r="B100" s="3">
        <v>1012</v>
      </c>
      <c r="C100" s="3"/>
      <c r="D100" s="3" t="s">
        <v>233</v>
      </c>
      <c r="E100" s="3">
        <v>103126</v>
      </c>
      <c r="F100" s="3" t="str">
        <f>VLOOKUP(B100,'Summary June 2026'!A:F,6,FALSE)</f>
        <v>Chq Bk</v>
      </c>
      <c r="G100" s="395"/>
      <c r="H100" s="395"/>
    </row>
    <row r="101" spans="1:8">
      <c r="A101" s="3" t="s">
        <v>236</v>
      </c>
      <c r="B101" s="3">
        <v>2133</v>
      </c>
      <c r="C101" s="3"/>
      <c r="D101" s="3" t="s">
        <v>235</v>
      </c>
      <c r="E101" s="3">
        <v>103233</v>
      </c>
      <c r="F101" s="3" t="str">
        <f>VLOOKUP(B101,'Summary June 2026'!A:F,6,FALSE)</f>
        <v>Chq Bk</v>
      </c>
      <c r="G101" s="395"/>
      <c r="H101" s="395"/>
    </row>
    <row r="102" spans="1:8">
      <c r="A102" s="3" t="s">
        <v>238</v>
      </c>
      <c r="B102" s="3">
        <v>2406</v>
      </c>
      <c r="C102" s="3"/>
      <c r="D102" s="3" t="s">
        <v>237</v>
      </c>
      <c r="E102" s="3">
        <v>103345</v>
      </c>
      <c r="F102" s="3" t="str">
        <f>VLOOKUP(B102,'Summary June 2026'!A:F,6,FALSE)</f>
        <v>Chq Bk</v>
      </c>
      <c r="G102" s="395"/>
      <c r="H102" s="395"/>
    </row>
    <row r="103" spans="1:8">
      <c r="A103" s="3" t="s">
        <v>240</v>
      </c>
      <c r="B103" s="3">
        <v>2416</v>
      </c>
      <c r="C103" s="3"/>
      <c r="D103" s="3" t="s">
        <v>239</v>
      </c>
      <c r="E103" s="3">
        <v>103351</v>
      </c>
      <c r="F103" s="3" t="str">
        <f>VLOOKUP(B103,'Summary June 2026'!A:F,6,FALSE)</f>
        <v>Chq Bk</v>
      </c>
      <c r="G103" s="395"/>
      <c r="H103" s="395"/>
    </row>
    <row r="104" spans="1:8">
      <c r="A104" s="3" t="s">
        <v>242</v>
      </c>
      <c r="B104" s="3">
        <v>3003</v>
      </c>
      <c r="C104" s="3"/>
      <c r="D104" s="3" t="s">
        <v>241</v>
      </c>
      <c r="E104" s="3">
        <v>103398</v>
      </c>
      <c r="F104" s="3" t="str">
        <f>VLOOKUP(B104,'Summary June 2026'!A:F,6,FALSE)</f>
        <v>Chq Bk</v>
      </c>
      <c r="G104" s="395"/>
      <c r="H104" s="395"/>
    </row>
    <row r="105" spans="1:8">
      <c r="A105" s="3" t="s">
        <v>244</v>
      </c>
      <c r="B105" s="3">
        <v>4245</v>
      </c>
      <c r="C105" s="3"/>
      <c r="D105" s="3" t="s">
        <v>243</v>
      </c>
      <c r="E105" s="3">
        <v>103519</v>
      </c>
      <c r="F105" s="3" t="str">
        <f>VLOOKUP(B105,'Summary June 2026'!A:F,6,FALSE)</f>
        <v>Chq Bk</v>
      </c>
      <c r="G105" s="395"/>
      <c r="H105" s="395"/>
    </row>
    <row r="106" spans="1:8">
      <c r="A106" s="3" t="s">
        <v>246</v>
      </c>
      <c r="B106" s="3">
        <v>2457</v>
      </c>
      <c r="C106" s="3"/>
      <c r="D106" s="3" t="s">
        <v>245</v>
      </c>
      <c r="E106" s="3">
        <v>103384</v>
      </c>
      <c r="F106" s="3" t="str">
        <f>VLOOKUP(B106,'Summary June 2026'!A:F,6,FALSE)</f>
        <v>Chq Bk</v>
      </c>
      <c r="G106" s="395"/>
      <c r="H106" s="395"/>
    </row>
    <row r="107" spans="1:8">
      <c r="A107" s="3" t="s">
        <v>248</v>
      </c>
      <c r="B107" s="3">
        <v>2142</v>
      </c>
      <c r="C107" s="3"/>
      <c r="D107" s="3" t="s">
        <v>247</v>
      </c>
      <c r="E107" s="3">
        <v>103237</v>
      </c>
      <c r="F107" s="3" t="str">
        <f>VLOOKUP(B107,'Summary June 2026'!A:F,6,FALSE)</f>
        <v>Chq Bk</v>
      </c>
      <c r="G107" s="395"/>
      <c r="H107" s="395"/>
    </row>
    <row r="108" spans="1:8">
      <c r="A108" s="3" t="s">
        <v>250</v>
      </c>
      <c r="B108" s="3">
        <v>2469</v>
      </c>
      <c r="C108" s="3"/>
      <c r="D108" s="3" t="s">
        <v>249</v>
      </c>
      <c r="E108" s="3">
        <v>103395</v>
      </c>
      <c r="F108" s="3" t="str">
        <f>VLOOKUP(B108,'Summary June 2026'!A:F,6,FALSE)</f>
        <v>Chq Bk</v>
      </c>
      <c r="G108" s="395"/>
      <c r="H108" s="395"/>
    </row>
    <row r="109" spans="1:8">
      <c r="A109" s="3" t="s">
        <v>252</v>
      </c>
      <c r="B109" s="3">
        <v>1028</v>
      </c>
      <c r="C109" s="3"/>
      <c r="D109" s="3" t="s">
        <v>251</v>
      </c>
      <c r="E109" s="3">
        <v>103141</v>
      </c>
      <c r="F109" s="3" t="str">
        <f>VLOOKUP(B109,'Summary June 2026'!A:F,6,FALSE)</f>
        <v>Chq Bk</v>
      </c>
      <c r="G109" s="395"/>
      <c r="H109" s="395"/>
    </row>
    <row r="110" spans="1:8">
      <c r="A110" s="3" t="s">
        <v>254</v>
      </c>
      <c r="B110" s="3">
        <v>1049</v>
      </c>
      <c r="C110" s="3"/>
      <c r="D110" s="3" t="s">
        <v>253</v>
      </c>
      <c r="E110" s="3">
        <v>103145</v>
      </c>
      <c r="F110" s="3" t="str">
        <f>VLOOKUP(B110,'Summary June 2026'!A:F,6,FALSE)</f>
        <v>Chq Bk</v>
      </c>
      <c r="G110" s="395"/>
      <c r="H110" s="395"/>
    </row>
    <row r="111" spans="1:8">
      <c r="A111" s="3" t="s">
        <v>256</v>
      </c>
      <c r="B111" s="3">
        <v>3351</v>
      </c>
      <c r="C111" s="3"/>
      <c r="D111" s="3" t="s">
        <v>255</v>
      </c>
      <c r="E111" s="3">
        <v>103443</v>
      </c>
      <c r="F111" s="3" t="str">
        <f>VLOOKUP(B111,'Summary June 2026'!A:F,6,FALSE)</f>
        <v>Chq Bk</v>
      </c>
      <c r="G111" s="395"/>
      <c r="H111" s="395"/>
    </row>
    <row r="112" spans="1:8">
      <c r="A112" s="3" t="s">
        <v>258</v>
      </c>
      <c r="B112" s="3">
        <v>3328</v>
      </c>
      <c r="C112" s="3"/>
      <c r="D112" s="3" t="s">
        <v>257</v>
      </c>
      <c r="E112" s="3">
        <v>103430</v>
      </c>
      <c r="F112" s="3" t="str">
        <f>VLOOKUP(B112,'Summary June 2026'!A:F,6,FALSE)</f>
        <v>Chq Bk</v>
      </c>
      <c r="G112" s="395"/>
      <c r="H112" s="395"/>
    </row>
    <row r="113" spans="1:12">
      <c r="A113" s="3" t="s">
        <v>260</v>
      </c>
      <c r="B113" s="3">
        <v>2150</v>
      </c>
      <c r="C113" s="3"/>
      <c r="D113" s="3" t="s">
        <v>259</v>
      </c>
      <c r="E113" s="3">
        <v>103241</v>
      </c>
      <c r="F113" s="3" t="str">
        <f>VLOOKUP(B113,'Summary June 2026'!A:F,6,FALSE)</f>
        <v>Chq Bk</v>
      </c>
      <c r="G113" s="395"/>
      <c r="H113" s="395"/>
      <c r="L113" s="5"/>
    </row>
    <row r="114" spans="1:12">
      <c r="A114" s="3" t="s">
        <v>262</v>
      </c>
      <c r="B114" s="3">
        <v>2425</v>
      </c>
      <c r="C114" s="3"/>
      <c r="D114" s="3" t="s">
        <v>261</v>
      </c>
      <c r="E114" s="3">
        <v>103356</v>
      </c>
      <c r="F114" s="3" t="str">
        <f>VLOOKUP(B114,'Summary June 2026'!A:F,6,FALSE)</f>
        <v>Chq Bk</v>
      </c>
      <c r="G114" s="395"/>
      <c r="H114" s="395"/>
    </row>
    <row r="115" spans="1:12">
      <c r="A115" s="3" t="s">
        <v>264</v>
      </c>
      <c r="B115" s="3">
        <v>1008</v>
      </c>
      <c r="C115" s="3"/>
      <c r="D115" s="3" t="s">
        <v>263</v>
      </c>
      <c r="E115" s="3">
        <v>103123</v>
      </c>
      <c r="F115" s="3" t="str">
        <f>VLOOKUP(B115,'Summary June 2026'!A:F,6,FALSE)</f>
        <v>Chq Bk</v>
      </c>
      <c r="G115" s="395"/>
      <c r="H115" s="395"/>
    </row>
    <row r="116" spans="1:12">
      <c r="A116" s="3" t="s">
        <v>266</v>
      </c>
      <c r="B116" s="3">
        <v>7034</v>
      </c>
      <c r="C116" s="3"/>
      <c r="D116" s="3" t="s">
        <v>265</v>
      </c>
      <c r="E116" s="3">
        <v>103614</v>
      </c>
      <c r="F116" s="3" t="str">
        <f>VLOOKUP(B116,'Summary June 2026'!A:F,6,FALSE)</f>
        <v>Chq Bk</v>
      </c>
      <c r="G116" s="395"/>
      <c r="H116" s="395"/>
    </row>
    <row r="117" spans="1:12">
      <c r="A117" s="3" t="s">
        <v>268</v>
      </c>
      <c r="B117" s="3">
        <v>4173</v>
      </c>
      <c r="C117" s="3"/>
      <c r="D117" s="3" t="s">
        <v>267</v>
      </c>
      <c r="E117" s="3">
        <v>103497</v>
      </c>
      <c r="F117" s="3" t="str">
        <f>VLOOKUP(B117,'Summary June 2026'!A:F,6,FALSE)</f>
        <v>Chq Bk</v>
      </c>
      <c r="G117" s="395"/>
      <c r="H117" s="395"/>
    </row>
    <row r="118" spans="1:12">
      <c r="A118" s="3" t="s">
        <v>270</v>
      </c>
      <c r="B118" s="3">
        <v>2157</v>
      </c>
      <c r="C118" s="3"/>
      <c r="D118" s="3" t="s">
        <v>269</v>
      </c>
      <c r="E118" s="3">
        <v>103246</v>
      </c>
      <c r="F118" s="3" t="str">
        <f>VLOOKUP(B118,'Summary June 2026'!A:F,6,FALSE)</f>
        <v>Chq Bk</v>
      </c>
      <c r="G118" s="395"/>
      <c r="H118" s="395"/>
      <c r="L118" s="5"/>
    </row>
    <row r="119" spans="1:12">
      <c r="A119" s="3" t="s">
        <v>272</v>
      </c>
      <c r="B119" s="3">
        <v>2159</v>
      </c>
      <c r="C119" s="3"/>
      <c r="D119" s="3" t="s">
        <v>271</v>
      </c>
      <c r="E119" s="3">
        <v>103247</v>
      </c>
      <c r="F119" s="3" t="str">
        <f>VLOOKUP(B119,'Summary June 2026'!A:F,6,FALSE)</f>
        <v>Chq Bk</v>
      </c>
      <c r="G119" s="395"/>
      <c r="H119" s="395"/>
      <c r="L119" s="5"/>
    </row>
    <row r="120" spans="1:12">
      <c r="A120" s="3" t="s">
        <v>274</v>
      </c>
      <c r="B120" s="3">
        <v>2161</v>
      </c>
      <c r="C120" s="3"/>
      <c r="D120" s="3" t="s">
        <v>273</v>
      </c>
      <c r="E120" s="3">
        <v>103249</v>
      </c>
      <c r="F120" s="3" t="str">
        <f>VLOOKUP(B120,'Summary June 2026'!A:F,6,FALSE)</f>
        <v>Chq Bk</v>
      </c>
      <c r="G120" s="395"/>
      <c r="H120" s="395"/>
    </row>
    <row r="121" spans="1:12">
      <c r="A121" s="3" t="s">
        <v>276</v>
      </c>
      <c r="B121" s="3">
        <v>2160</v>
      </c>
      <c r="C121" s="3"/>
      <c r="D121" s="3" t="s">
        <v>275</v>
      </c>
      <c r="E121" s="3">
        <v>103248</v>
      </c>
      <c r="F121" s="3" t="str">
        <f>VLOOKUP(B121,'Summary June 2026'!A:F,6,FALSE)</f>
        <v>Chq Bk</v>
      </c>
      <c r="G121" s="395"/>
      <c r="H121" s="395"/>
      <c r="L121" s="5"/>
    </row>
    <row r="122" spans="1:12">
      <c r="A122" s="3" t="s">
        <v>278</v>
      </c>
      <c r="B122" s="3">
        <v>2063</v>
      </c>
      <c r="C122" s="3"/>
      <c r="D122" s="3" t="s">
        <v>277</v>
      </c>
      <c r="E122" s="3">
        <v>103193</v>
      </c>
      <c r="F122" s="3" t="str">
        <f>VLOOKUP(B122,'Summary June 2026'!A:F,6,FALSE)</f>
        <v>Chq Bk</v>
      </c>
      <c r="G122" s="395"/>
      <c r="H122" s="395"/>
    </row>
    <row r="123" spans="1:12">
      <c r="A123" s="3" t="s">
        <v>280</v>
      </c>
      <c r="B123" s="3">
        <v>1018</v>
      </c>
      <c r="C123" s="3"/>
      <c r="D123" s="3" t="s">
        <v>279</v>
      </c>
      <c r="E123" s="3">
        <v>103131</v>
      </c>
      <c r="F123" s="3" t="str">
        <f>VLOOKUP(B123,'Summary June 2026'!A:F,6,FALSE)</f>
        <v>Chq Bk</v>
      </c>
      <c r="G123" s="395"/>
      <c r="H123" s="395"/>
    </row>
    <row r="124" spans="1:12">
      <c r="A124" s="3" t="s">
        <v>282</v>
      </c>
      <c r="B124" s="3">
        <v>1000</v>
      </c>
      <c r="C124" s="3"/>
      <c r="D124" s="3" t="s">
        <v>281</v>
      </c>
      <c r="E124" s="3">
        <v>137796</v>
      </c>
      <c r="F124" s="3" t="str">
        <f>VLOOKUP(B124,'Summary June 2026'!A:F,6,FALSE)</f>
        <v>Chq Bk</v>
      </c>
      <c r="G124" s="395"/>
      <c r="H124" s="395"/>
    </row>
    <row r="125" spans="1:12">
      <c r="A125" s="3" t="s">
        <v>284</v>
      </c>
      <c r="B125" s="3">
        <v>7033</v>
      </c>
      <c r="C125" s="3"/>
      <c r="D125" s="3" t="s">
        <v>283</v>
      </c>
      <c r="E125" s="3">
        <v>103613</v>
      </c>
      <c r="F125" s="3" t="str">
        <f>VLOOKUP(B125,'Summary June 2026'!A:F,6,FALSE)</f>
        <v>Chq Bk</v>
      </c>
      <c r="G125" s="395"/>
      <c r="H125" s="395"/>
    </row>
    <row r="126" spans="1:12">
      <c r="A126" s="3" t="s">
        <v>286</v>
      </c>
      <c r="B126" s="3">
        <v>4177</v>
      </c>
      <c r="C126" s="3"/>
      <c r="D126" s="3" t="s">
        <v>285</v>
      </c>
      <c r="E126" s="3">
        <v>103498</v>
      </c>
      <c r="F126" s="3" t="str">
        <f>VLOOKUP(B126,'Summary June 2026'!A:F,6,FALSE)</f>
        <v>Chq Bk</v>
      </c>
      <c r="G126" s="395"/>
      <c r="H126" s="395"/>
    </row>
    <row r="127" spans="1:12">
      <c r="A127" s="3" t="s">
        <v>288</v>
      </c>
      <c r="B127" s="3">
        <v>2169</v>
      </c>
      <c r="C127" s="3"/>
      <c r="D127" s="3" t="s">
        <v>287</v>
      </c>
      <c r="E127" s="3">
        <v>103252</v>
      </c>
      <c r="F127" s="3" t="str">
        <f>VLOOKUP(B127,'Summary June 2026'!A:F,6,FALSE)</f>
        <v>Chq Bk</v>
      </c>
      <c r="G127" s="395"/>
      <c r="H127" s="395"/>
    </row>
    <row r="128" spans="1:12">
      <c r="A128" s="3" t="s">
        <v>290</v>
      </c>
      <c r="B128" s="3">
        <v>2008</v>
      </c>
      <c r="C128" s="3"/>
      <c r="D128" s="3" t="s">
        <v>289</v>
      </c>
      <c r="E128" s="3">
        <v>103157</v>
      </c>
      <c r="F128" s="3" t="str">
        <f>VLOOKUP(B128,'Summary June 2026'!A:F,6,FALSE)</f>
        <v>Chq Bk</v>
      </c>
      <c r="G128" s="395"/>
      <c r="H128" s="395"/>
    </row>
    <row r="129" spans="1:8">
      <c r="A129" s="3" t="s">
        <v>292</v>
      </c>
      <c r="B129" s="3">
        <v>1038</v>
      </c>
      <c r="C129" s="3"/>
      <c r="D129" s="3" t="s">
        <v>291</v>
      </c>
      <c r="E129" s="3">
        <v>103142</v>
      </c>
      <c r="F129" s="3" t="str">
        <f>VLOOKUP(B129,'Summary June 2026'!A:F,6,FALSE)</f>
        <v>Chq Bk</v>
      </c>
      <c r="G129" s="395"/>
      <c r="H129" s="395"/>
    </row>
    <row r="130" spans="1:8">
      <c r="A130" s="3" t="s">
        <v>294</v>
      </c>
      <c r="B130" s="3">
        <v>2174</v>
      </c>
      <c r="C130" s="3"/>
      <c r="D130" s="3" t="s">
        <v>293</v>
      </c>
      <c r="E130" s="3">
        <v>103255</v>
      </c>
      <c r="F130" s="3" t="str">
        <f>VLOOKUP(B130,'Summary June 2026'!A:F,6,FALSE)</f>
        <v>Chq Bk</v>
      </c>
      <c r="G130" s="395"/>
      <c r="H130" s="395"/>
    </row>
    <row r="131" spans="1:8">
      <c r="A131" s="3" t="s">
        <v>296</v>
      </c>
      <c r="B131" s="3">
        <v>2176</v>
      </c>
      <c r="C131" s="3"/>
      <c r="D131" s="3" t="s">
        <v>295</v>
      </c>
      <c r="E131" s="3">
        <v>103256</v>
      </c>
      <c r="F131" s="3" t="str">
        <f>VLOOKUP(B131,'Summary June 2026'!A:F,6,FALSE)</f>
        <v>Chq Bk</v>
      </c>
      <c r="G131" s="395"/>
      <c r="H131" s="395"/>
    </row>
    <row r="132" spans="1:8">
      <c r="A132" s="3" t="s">
        <v>298</v>
      </c>
      <c r="B132" s="3">
        <v>7047</v>
      </c>
      <c r="C132" s="3"/>
      <c r="D132" s="3" t="s">
        <v>297</v>
      </c>
      <c r="E132" s="3">
        <v>103623</v>
      </c>
      <c r="F132" s="3" t="str">
        <f>VLOOKUP(B132,'Summary June 2026'!A:F,6,FALSE)</f>
        <v>Chq Bk</v>
      </c>
      <c r="G132" s="395"/>
      <c r="H132" s="395"/>
    </row>
    <row r="133" spans="1:8">
      <c r="A133" s="3" t="s">
        <v>300</v>
      </c>
      <c r="B133" s="3">
        <v>3410</v>
      </c>
      <c r="C133" s="3"/>
      <c r="D133" s="3" t="s">
        <v>299</v>
      </c>
      <c r="E133" s="3">
        <v>103478</v>
      </c>
      <c r="F133" s="3" t="str">
        <f>VLOOKUP(B133,'Summary June 2026'!A:F,6,FALSE)</f>
        <v>Chq Bk</v>
      </c>
      <c r="G133" s="395"/>
      <c r="H133" s="395"/>
    </row>
    <row r="134" spans="1:8">
      <c r="A134" s="3" t="s">
        <v>302</v>
      </c>
      <c r="B134" s="3">
        <v>3381</v>
      </c>
      <c r="C134" s="3"/>
      <c r="D134" s="3" t="s">
        <v>301</v>
      </c>
      <c r="E134" s="3">
        <v>103466</v>
      </c>
      <c r="F134" s="3" t="str">
        <f>VLOOKUP(B134,'Summary June 2026'!A:F,6,FALSE)</f>
        <v>Chq Bk</v>
      </c>
      <c r="G134" s="395"/>
      <c r="H134" s="395"/>
    </row>
    <row r="135" spans="1:8">
      <c r="A135" s="3" t="s">
        <v>304</v>
      </c>
      <c r="B135" s="3">
        <v>3335</v>
      </c>
      <c r="C135" s="3"/>
      <c r="D135" s="3" t="s">
        <v>303</v>
      </c>
      <c r="E135" s="3">
        <v>103434</v>
      </c>
      <c r="F135" s="3" t="str">
        <f>VLOOKUP(B135,'Summary June 2026'!A:F,6,FALSE)</f>
        <v>Chq Bk</v>
      </c>
      <c r="G135" s="395"/>
      <c r="H135" s="395"/>
    </row>
    <row r="136" spans="1:8">
      <c r="A136" s="3" t="s">
        <v>306</v>
      </c>
      <c r="B136" s="3">
        <v>2183</v>
      </c>
      <c r="C136" s="3"/>
      <c r="D136" s="3" t="s">
        <v>305</v>
      </c>
      <c r="E136" s="3">
        <v>103261</v>
      </c>
      <c r="F136" s="3" t="str">
        <f>VLOOKUP(B136,'Summary June 2026'!A:F,6,FALSE)</f>
        <v>Chq Bk</v>
      </c>
      <c r="G136" s="395"/>
      <c r="H136" s="395"/>
    </row>
    <row r="137" spans="1:8">
      <c r="A137" s="3" t="s">
        <v>308</v>
      </c>
      <c r="B137" s="3">
        <v>3372</v>
      </c>
      <c r="C137" s="3"/>
      <c r="D137" s="3" t="s">
        <v>307</v>
      </c>
      <c r="E137" s="3">
        <v>103460</v>
      </c>
      <c r="F137" s="3" t="str">
        <f>VLOOKUP(B137,'Summary June 2026'!A:F,6,FALSE)</f>
        <v>Chq Bk</v>
      </c>
      <c r="G137" s="395"/>
      <c r="H137" s="395"/>
    </row>
    <row r="138" spans="1:8">
      <c r="A138" s="3" t="s">
        <v>310</v>
      </c>
      <c r="B138" s="3">
        <v>3375</v>
      </c>
      <c r="C138" s="3"/>
      <c r="D138" s="3" t="s">
        <v>309</v>
      </c>
      <c r="E138" s="3">
        <v>103462</v>
      </c>
      <c r="F138" s="3" t="str">
        <f>VLOOKUP(B138,'Summary June 2026'!A:F,6,FALSE)</f>
        <v>Chq Bk</v>
      </c>
      <c r="G138" s="395"/>
      <c r="H138" s="395"/>
    </row>
    <row r="139" spans="1:8">
      <c r="A139" s="3" t="s">
        <v>312</v>
      </c>
      <c r="B139" s="3">
        <v>3331</v>
      </c>
      <c r="C139" s="3"/>
      <c r="D139" s="3" t="s">
        <v>311</v>
      </c>
      <c r="E139" s="3">
        <v>103433</v>
      </c>
      <c r="F139" s="3" t="str">
        <f>VLOOKUP(B139,'Summary June 2026'!A:F,6,FALSE)</f>
        <v>Chq Bk</v>
      </c>
      <c r="G139" s="395"/>
      <c r="H139" s="395"/>
    </row>
    <row r="140" spans="1:8">
      <c r="A140" s="3" t="s">
        <v>314</v>
      </c>
      <c r="B140" s="3">
        <v>3386</v>
      </c>
      <c r="C140" s="3"/>
      <c r="D140" s="3" t="s">
        <v>313</v>
      </c>
      <c r="E140" s="3">
        <v>103470</v>
      </c>
      <c r="F140" s="3" t="str">
        <f>VLOOKUP(B140,'Summary June 2026'!A:F,6,FALSE)</f>
        <v>Chq Bk</v>
      </c>
      <c r="G140" s="395"/>
      <c r="H140" s="395"/>
    </row>
    <row r="141" spans="1:8">
      <c r="A141" s="3" t="s">
        <v>316</v>
      </c>
      <c r="B141" s="3">
        <v>3363</v>
      </c>
      <c r="C141" s="3"/>
      <c r="D141" s="3" t="s">
        <v>315</v>
      </c>
      <c r="E141" s="3">
        <v>103455</v>
      </c>
      <c r="F141" s="3" t="str">
        <f>VLOOKUP(B141,'Summary June 2026'!A:F,6,FALSE)</f>
        <v>Chq Bk</v>
      </c>
      <c r="G141" s="395"/>
      <c r="H141" s="395"/>
    </row>
    <row r="142" spans="1:8">
      <c r="A142" s="3" t="s">
        <v>318</v>
      </c>
      <c r="B142" s="3">
        <v>3355</v>
      </c>
      <c r="C142" s="3"/>
      <c r="D142" s="3" t="s">
        <v>317</v>
      </c>
      <c r="E142" s="3">
        <v>103447</v>
      </c>
      <c r="F142" s="3" t="str">
        <f>VLOOKUP(B142,'Summary June 2026'!A:F,6,FALSE)</f>
        <v>Chq Bk</v>
      </c>
      <c r="G142" s="395"/>
      <c r="H142" s="395"/>
    </row>
    <row r="143" spans="1:8">
      <c r="A143" s="3" t="s">
        <v>320</v>
      </c>
      <c r="B143" s="3">
        <v>3367</v>
      </c>
      <c r="C143" s="3"/>
      <c r="D143" s="3" t="s">
        <v>319</v>
      </c>
      <c r="E143" s="3">
        <v>103458</v>
      </c>
      <c r="F143" s="3" t="str">
        <f>VLOOKUP(B143,'Summary June 2026'!A:F,6,FALSE)</f>
        <v>Chq Bk</v>
      </c>
      <c r="G143" s="395"/>
      <c r="H143" s="395"/>
    </row>
    <row r="144" spans="1:8">
      <c r="A144" s="3" t="s">
        <v>322</v>
      </c>
      <c r="B144" s="3">
        <v>3010</v>
      </c>
      <c r="C144" s="3"/>
      <c r="D144" s="3" t="s">
        <v>321</v>
      </c>
      <c r="E144" s="3">
        <v>103401</v>
      </c>
      <c r="F144" s="3" t="str">
        <f>VLOOKUP(B144,'Summary June 2026'!A:F,6,FALSE)</f>
        <v>Chq Bk</v>
      </c>
      <c r="G144" s="395"/>
      <c r="H144" s="395"/>
    </row>
    <row r="145" spans="1:13">
      <c r="A145" s="3" t="s">
        <v>324</v>
      </c>
      <c r="B145" s="3">
        <v>4625</v>
      </c>
      <c r="C145" s="3"/>
      <c r="D145" s="3" t="s">
        <v>323</v>
      </c>
      <c r="E145" s="3">
        <v>103534</v>
      </c>
      <c r="F145" s="3" t="str">
        <f>VLOOKUP(B145,'Summary June 2026'!A:F,6,FALSE)</f>
        <v>Chq Bk</v>
      </c>
      <c r="G145" s="395"/>
      <c r="H145" s="395"/>
      <c r="L145" s="1"/>
      <c r="M145" s="1"/>
    </row>
    <row r="146" spans="1:13">
      <c r="A146" s="3" t="s">
        <v>326</v>
      </c>
      <c r="B146" s="3">
        <v>3377</v>
      </c>
      <c r="C146" s="3"/>
      <c r="D146" s="3" t="s">
        <v>325</v>
      </c>
      <c r="E146" s="3">
        <v>103463</v>
      </c>
      <c r="F146" s="3" t="str">
        <f>VLOOKUP(B146,'Summary June 2026'!A:F,6,FALSE)</f>
        <v>Chq Bk</v>
      </c>
      <c r="G146" s="395"/>
      <c r="H146" s="395"/>
    </row>
    <row r="147" spans="1:13">
      <c r="A147" s="3" t="s">
        <v>328</v>
      </c>
      <c r="B147" s="3">
        <v>3371</v>
      </c>
      <c r="C147" s="3"/>
      <c r="D147" s="3" t="s">
        <v>327</v>
      </c>
      <c r="E147" s="3">
        <v>103459</v>
      </c>
      <c r="F147" s="3" t="str">
        <f>VLOOKUP(B147,'Summary June 2026'!A:F,6,FALSE)</f>
        <v>Academy</v>
      </c>
      <c r="G147" s="395"/>
      <c r="H147" s="395"/>
    </row>
    <row r="148" spans="1:13">
      <c r="A148" s="3" t="s">
        <v>330</v>
      </c>
      <c r="B148" s="3">
        <v>3307</v>
      </c>
      <c r="C148" s="3"/>
      <c r="D148" s="3" t="s">
        <v>329</v>
      </c>
      <c r="E148" s="3">
        <v>103416</v>
      </c>
      <c r="F148" s="3" t="str">
        <f>VLOOKUP(B148,'Summary June 2026'!A:F,6,FALSE)</f>
        <v>Academy</v>
      </c>
      <c r="G148" s="395"/>
      <c r="H148" s="395"/>
    </row>
    <row r="149" spans="1:13">
      <c r="A149" s="3" t="s">
        <v>332</v>
      </c>
      <c r="B149" s="3">
        <v>3361</v>
      </c>
      <c r="C149" s="3"/>
      <c r="D149" s="3" t="s">
        <v>331</v>
      </c>
      <c r="E149" s="3">
        <v>103453</v>
      </c>
      <c r="F149" s="3" t="str">
        <f>VLOOKUP(B149,'Summary June 2026'!A:F,6,FALSE)</f>
        <v>Chq Bk</v>
      </c>
      <c r="G149" s="395"/>
      <c r="H149" s="395"/>
    </row>
    <row r="150" spans="1:13">
      <c r="A150" s="3" t="s">
        <v>334</v>
      </c>
      <c r="B150" s="3">
        <v>3382</v>
      </c>
      <c r="C150" s="3"/>
      <c r="D150" s="3" t="s">
        <v>333</v>
      </c>
      <c r="E150" s="3">
        <v>103467</v>
      </c>
      <c r="F150" s="3" t="str">
        <f>VLOOKUP(B150,'Summary June 2026'!A:F,6,FALSE)</f>
        <v>Chq Bk</v>
      </c>
      <c r="G150" s="395"/>
      <c r="H150" s="395"/>
    </row>
    <row r="151" spans="1:13">
      <c r="A151" s="3" t="s">
        <v>336</v>
      </c>
      <c r="B151" s="3">
        <v>3344</v>
      </c>
      <c r="C151" s="3"/>
      <c r="D151" s="3" t="s">
        <v>335</v>
      </c>
      <c r="E151" s="3">
        <v>103438</v>
      </c>
      <c r="F151" s="3" t="str">
        <f>VLOOKUP(B151,'Summary June 2026'!A:F,6,FALSE)</f>
        <v>Chq Bk</v>
      </c>
      <c r="G151" s="395"/>
      <c r="H151" s="395"/>
      <c r="L151" s="5"/>
    </row>
    <row r="152" spans="1:13">
      <c r="A152" s="3" t="s">
        <v>338</v>
      </c>
      <c r="B152" s="3">
        <v>3025</v>
      </c>
      <c r="C152" s="3"/>
      <c r="D152" s="3" t="s">
        <v>337</v>
      </c>
      <c r="E152" s="3">
        <v>103410</v>
      </c>
      <c r="F152" s="3" t="str">
        <f>VLOOKUP(B152,'Summary June 2026'!A:F,6,FALSE)</f>
        <v>Chq Bk</v>
      </c>
      <c r="G152" s="395"/>
      <c r="H152" s="395"/>
    </row>
    <row r="153" spans="1:13">
      <c r="A153" s="3" t="s">
        <v>340</v>
      </c>
      <c r="B153" s="3">
        <v>3016</v>
      </c>
      <c r="C153" s="3"/>
      <c r="D153" s="3" t="s">
        <v>339</v>
      </c>
      <c r="E153" s="3">
        <v>103404</v>
      </c>
      <c r="F153" s="3" t="str">
        <f>VLOOKUP(B153,'Summary June 2026'!A:F,6,FALSE)</f>
        <v>Chq Bk</v>
      </c>
      <c r="G153" s="395"/>
      <c r="H153" s="395"/>
    </row>
    <row r="154" spans="1:13">
      <c r="A154" s="3" t="s">
        <v>342</v>
      </c>
      <c r="B154" s="3">
        <v>3346</v>
      </c>
      <c r="C154" s="3"/>
      <c r="D154" s="3" t="s">
        <v>341</v>
      </c>
      <c r="E154" s="3">
        <v>103439</v>
      </c>
      <c r="F154" s="3" t="str">
        <f>VLOOKUP(B154,'Summary June 2026'!A:F,6,FALSE)</f>
        <v>Chq Bk</v>
      </c>
      <c r="G154" s="395"/>
      <c r="H154" s="395"/>
    </row>
    <row r="155" spans="1:13">
      <c r="A155" s="3" t="s">
        <v>344</v>
      </c>
      <c r="B155" s="3">
        <v>4606</v>
      </c>
      <c r="C155" s="3"/>
      <c r="D155" s="3" t="s">
        <v>343</v>
      </c>
      <c r="E155" s="3">
        <v>103531</v>
      </c>
      <c r="F155" s="3" t="str">
        <f>VLOOKUP(B155,'Summary June 2026'!A:F,6,FALSE)</f>
        <v>Chq Bk</v>
      </c>
      <c r="G155" s="395"/>
      <c r="H155" s="395"/>
    </row>
    <row r="156" spans="1:13">
      <c r="A156" s="3" t="s">
        <v>346</v>
      </c>
      <c r="B156" s="3">
        <v>3428</v>
      </c>
      <c r="C156" s="3"/>
      <c r="D156" s="3" t="s">
        <v>345</v>
      </c>
      <c r="E156" s="3">
        <v>134476</v>
      </c>
      <c r="F156" s="3" t="str">
        <f>VLOOKUP(B156,'Summary June 2026'!A:F,6,FALSE)</f>
        <v>Chq Bk</v>
      </c>
      <c r="G156" s="395"/>
      <c r="H156" s="395"/>
    </row>
    <row r="157" spans="1:13">
      <c r="A157" s="3" t="s">
        <v>348</v>
      </c>
      <c r="B157" s="3">
        <v>3019</v>
      </c>
      <c r="C157" s="3"/>
      <c r="D157" s="3" t="s">
        <v>347</v>
      </c>
      <c r="E157" s="3">
        <v>103406</v>
      </c>
      <c r="F157" s="3" t="str">
        <f>VLOOKUP(B157,'Summary June 2026'!A:F,6,FALSE)</f>
        <v>Chq Bk</v>
      </c>
      <c r="G157" s="395"/>
      <c r="H157" s="395"/>
    </row>
    <row r="158" spans="1:13">
      <c r="A158" s="3" t="s">
        <v>350</v>
      </c>
      <c r="B158" s="3">
        <v>1009</v>
      </c>
      <c r="C158" s="3"/>
      <c r="D158" s="3" t="s">
        <v>349</v>
      </c>
      <c r="E158" s="3">
        <v>103124</v>
      </c>
      <c r="F158" s="3" t="str">
        <f>VLOOKUP(B158,'Summary June 2026'!A:F,6,FALSE)</f>
        <v>Chq Bk</v>
      </c>
      <c r="G158" s="395"/>
      <c r="H158" s="395"/>
    </row>
    <row r="159" spans="1:13">
      <c r="A159" s="3" t="s">
        <v>352</v>
      </c>
      <c r="B159" s="3">
        <v>2178</v>
      </c>
      <c r="C159" s="3"/>
      <c r="D159" s="3" t="s">
        <v>351</v>
      </c>
      <c r="E159" s="3">
        <v>103257</v>
      </c>
      <c r="F159" s="3" t="str">
        <f>VLOOKUP(B159,'Summary June 2026'!A:F,6,FALSE)</f>
        <v>Chq Bk</v>
      </c>
      <c r="G159" s="395"/>
      <c r="H159" s="395"/>
    </row>
    <row r="160" spans="1:13">
      <c r="A160" s="3" t="s">
        <v>354</v>
      </c>
      <c r="B160" s="3">
        <v>2184</v>
      </c>
      <c r="C160" s="3"/>
      <c r="D160" s="3" t="s">
        <v>353</v>
      </c>
      <c r="E160" s="3">
        <v>103262</v>
      </c>
      <c r="F160" s="3" t="str">
        <f>VLOOKUP(B160,'Summary June 2026'!A:F,6,FALSE)</f>
        <v>Chq Bk</v>
      </c>
      <c r="G160" s="395"/>
      <c r="H160" s="395"/>
    </row>
    <row r="161" spans="1:13">
      <c r="A161" s="3" t="s">
        <v>356</v>
      </c>
      <c r="B161" s="3">
        <v>2190</v>
      </c>
      <c r="C161" s="3"/>
      <c r="D161" s="3" t="s">
        <v>355</v>
      </c>
      <c r="E161" s="3">
        <v>103266</v>
      </c>
      <c r="F161" s="3" t="str">
        <f>VLOOKUP(B161,'Summary June 2026'!A:F,6,FALSE)</f>
        <v>Chq Bk</v>
      </c>
      <c r="G161" s="395"/>
      <c r="H161" s="395"/>
    </row>
    <row r="162" spans="1:13">
      <c r="A162" s="3" t="s">
        <v>358</v>
      </c>
      <c r="B162" s="3">
        <v>7035</v>
      </c>
      <c r="C162" s="3"/>
      <c r="D162" s="3" t="s">
        <v>357</v>
      </c>
      <c r="E162" s="3">
        <v>103615</v>
      </c>
      <c r="F162" s="3" t="str">
        <f>VLOOKUP(B162,'Summary June 2026'!A:F,6,FALSE)</f>
        <v>Chq Bk</v>
      </c>
      <c r="G162" s="395"/>
      <c r="H162" s="395"/>
    </row>
    <row r="163" spans="1:13">
      <c r="A163" s="3" t="s">
        <v>360</v>
      </c>
      <c r="B163" s="3">
        <v>7045</v>
      </c>
      <c r="C163" s="3"/>
      <c r="D163" s="3" t="s">
        <v>359</v>
      </c>
      <c r="E163" s="3">
        <v>103622</v>
      </c>
      <c r="F163" s="3" t="str">
        <f>VLOOKUP(B163,'Summary June 2026'!A:F,6,FALSE)</f>
        <v>Chq Bk</v>
      </c>
      <c r="G163" s="395"/>
      <c r="H163" s="395"/>
    </row>
    <row r="164" spans="1:13">
      <c r="A164" s="3" t="s">
        <v>362</v>
      </c>
      <c r="B164" s="3">
        <v>2192</v>
      </c>
      <c r="C164" s="3"/>
      <c r="D164" s="3" t="s">
        <v>361</v>
      </c>
      <c r="E164" s="3">
        <v>103268</v>
      </c>
      <c r="F164" s="3" t="str">
        <f>VLOOKUP(B164,'Summary June 2026'!A:F,6,FALSE)</f>
        <v>Chq Bk</v>
      </c>
      <c r="G164" s="395"/>
      <c r="H164" s="395"/>
    </row>
    <row r="165" spans="1:13">
      <c r="A165" s="3" t="s">
        <v>364</v>
      </c>
      <c r="B165" s="3">
        <v>7014</v>
      </c>
      <c r="C165" s="3"/>
      <c r="D165" s="3" t="s">
        <v>363</v>
      </c>
      <c r="E165" s="3">
        <v>103605</v>
      </c>
      <c r="F165" s="3" t="str">
        <f>VLOOKUP(B165,'Summary June 2026'!A:F,6,FALSE)</f>
        <v>Chq Bk</v>
      </c>
      <c r="G165" s="395"/>
      <c r="H165" s="395"/>
    </row>
    <row r="166" spans="1:13">
      <c r="A166" s="3" t="s">
        <v>366</v>
      </c>
      <c r="B166" s="3">
        <v>7009</v>
      </c>
      <c r="C166" s="3"/>
      <c r="D166" s="3" t="s">
        <v>365</v>
      </c>
      <c r="E166" s="3">
        <v>103601</v>
      </c>
      <c r="F166" s="3" t="str">
        <f>VLOOKUP(B166,'Summary June 2026'!A:F,6,FALSE)</f>
        <v>Chq Bk</v>
      </c>
      <c r="G166" s="395"/>
      <c r="H166" s="395"/>
    </row>
    <row r="167" spans="1:13">
      <c r="A167" s="3" t="s">
        <v>368</v>
      </c>
      <c r="B167" s="3">
        <v>5203</v>
      </c>
      <c r="C167" s="3"/>
      <c r="D167" s="3" t="s">
        <v>367</v>
      </c>
      <c r="E167" s="3">
        <v>103544</v>
      </c>
      <c r="F167" s="3" t="str">
        <f>VLOOKUP(B167,'Summary June 2026'!A:F,6,FALSE)</f>
        <v>Chq Bk</v>
      </c>
      <c r="G167" s="395"/>
      <c r="H167" s="395"/>
    </row>
    <row r="168" spans="1:13">
      <c r="A168" s="3" t="s">
        <v>370</v>
      </c>
      <c r="B168" s="3">
        <v>5202</v>
      </c>
      <c r="C168" s="3"/>
      <c r="D168" s="3" t="s">
        <v>369</v>
      </c>
      <c r="E168" s="3">
        <v>103543</v>
      </c>
      <c r="F168" s="3" t="str">
        <f>VLOOKUP(B168,'Summary June 2026'!A:F,6,FALSE)</f>
        <v>Chq Bk</v>
      </c>
      <c r="G168" s="395"/>
      <c r="H168" s="395"/>
    </row>
    <row r="169" spans="1:13">
      <c r="A169" s="3" t="s">
        <v>372</v>
      </c>
      <c r="B169" s="3">
        <v>2108</v>
      </c>
      <c r="C169" s="3"/>
      <c r="D169" s="3" t="s">
        <v>371</v>
      </c>
      <c r="E169" s="3">
        <v>103217</v>
      </c>
      <c r="F169" s="3" t="str">
        <f>VLOOKUP(B169,'Summary June 2026'!A:F,6,FALSE)</f>
        <v>Chq Bk</v>
      </c>
      <c r="G169" s="395"/>
      <c r="H169" s="395"/>
      <c r="L169" s="5"/>
    </row>
    <row r="170" spans="1:13">
      <c r="A170" s="3" t="s">
        <v>374</v>
      </c>
      <c r="B170" s="3">
        <v>1019</v>
      </c>
      <c r="C170" s="3"/>
      <c r="D170" s="3" t="s">
        <v>373</v>
      </c>
      <c r="E170" s="3">
        <v>103132</v>
      </c>
      <c r="F170" s="3" t="str">
        <f>VLOOKUP(B170,'Summary June 2026'!A:F,6,FALSE)</f>
        <v>Chq Bk</v>
      </c>
      <c r="G170" s="395"/>
      <c r="H170" s="395"/>
    </row>
    <row r="171" spans="1:13">
      <c r="A171" s="3" t="s">
        <v>376</v>
      </c>
      <c r="B171" s="3">
        <v>2306</v>
      </c>
      <c r="C171" s="3"/>
      <c r="D171" s="3" t="s">
        <v>375</v>
      </c>
      <c r="E171" s="3">
        <v>103326</v>
      </c>
      <c r="F171" s="3" t="str">
        <f>VLOOKUP(B171,'Summary June 2026'!A:F,6,FALSE)</f>
        <v>Chq Bk</v>
      </c>
      <c r="G171" s="395"/>
      <c r="H171" s="395"/>
    </row>
    <row r="172" spans="1:13">
      <c r="A172" s="3" t="s">
        <v>378</v>
      </c>
      <c r="B172" s="3">
        <v>2308</v>
      </c>
      <c r="C172" s="3"/>
      <c r="D172" s="3" t="s">
        <v>377</v>
      </c>
      <c r="E172" s="3">
        <v>103328</v>
      </c>
      <c r="F172" s="3" t="str">
        <f>VLOOKUP(B172,'Summary June 2026'!A:F,6,FALSE)</f>
        <v>Chq Bk</v>
      </c>
      <c r="G172" s="395"/>
      <c r="H172" s="395"/>
      <c r="L172" s="1"/>
      <c r="M172" s="1"/>
    </row>
    <row r="173" spans="1:13">
      <c r="A173" s="3" t="s">
        <v>380</v>
      </c>
      <c r="B173" s="3">
        <v>2245</v>
      </c>
      <c r="C173" s="3"/>
      <c r="D173" s="3" t="s">
        <v>379</v>
      </c>
      <c r="E173" s="3">
        <v>103295</v>
      </c>
      <c r="F173" s="3" t="str">
        <f>VLOOKUP(B173,'Summary June 2026'!A:F,6,FALSE)</f>
        <v>Chq Bk</v>
      </c>
      <c r="G173" s="395"/>
      <c r="H173" s="395"/>
    </row>
    <row r="174" spans="1:13">
      <c r="A174" s="3" t="s">
        <v>382</v>
      </c>
      <c r="B174" s="3">
        <v>1020</v>
      </c>
      <c r="C174" s="3"/>
      <c r="D174" s="3" t="s">
        <v>381</v>
      </c>
      <c r="E174" s="3">
        <v>103133</v>
      </c>
      <c r="F174" s="3" t="str">
        <f>VLOOKUP(B174,'Summary June 2026'!A:F,6,FALSE)</f>
        <v>Chq Bk</v>
      </c>
      <c r="G174" s="395"/>
      <c r="H174" s="395"/>
      <c r="L174" s="5"/>
    </row>
    <row r="175" spans="1:13">
      <c r="A175" s="3" t="s">
        <v>384</v>
      </c>
      <c r="B175" s="3">
        <v>1014</v>
      </c>
      <c r="C175" s="3"/>
      <c r="D175" s="3" t="s">
        <v>383</v>
      </c>
      <c r="E175" s="3">
        <v>103127</v>
      </c>
      <c r="F175" s="3" t="str">
        <f>VLOOKUP(B175,'Summary June 2026'!A:F,6,FALSE)</f>
        <v>Chq Bk</v>
      </c>
      <c r="G175" s="395"/>
      <c r="H175" s="395"/>
    </row>
    <row r="176" spans="1:13">
      <c r="A176" s="3" t="s">
        <v>386</v>
      </c>
      <c r="B176" s="3">
        <v>2019</v>
      </c>
      <c r="C176" s="3"/>
      <c r="D176" s="3" t="s">
        <v>385</v>
      </c>
      <c r="E176" s="3">
        <v>134279</v>
      </c>
      <c r="F176" s="3" t="str">
        <f>VLOOKUP(B176,'Summary June 2026'!A:F,6,FALSE)</f>
        <v>Chq Bk</v>
      </c>
      <c r="G176" s="395"/>
      <c r="H176" s="395"/>
    </row>
    <row r="177" spans="1:12">
      <c r="A177" s="3" t="s">
        <v>388</v>
      </c>
      <c r="B177" s="3">
        <v>2011</v>
      </c>
      <c r="C177" s="3"/>
      <c r="D177" s="3" t="s">
        <v>387</v>
      </c>
      <c r="E177" s="3">
        <v>134099</v>
      </c>
      <c r="F177" s="3" t="str">
        <f>VLOOKUP(B177,'Summary June 2026'!A:F,6,FALSE)</f>
        <v>Chq Bk</v>
      </c>
      <c r="G177" s="395"/>
      <c r="H177" s="395"/>
    </row>
    <row r="178" spans="1:12">
      <c r="A178" s="3" t="s">
        <v>390</v>
      </c>
      <c r="B178" s="3">
        <v>4193</v>
      </c>
      <c r="C178" s="3"/>
      <c r="D178" s="3" t="s">
        <v>389</v>
      </c>
      <c r="E178" s="3">
        <v>103501</v>
      </c>
      <c r="F178" s="3" t="str">
        <f>VLOOKUP(B178,'Summary June 2026'!A:F,6,FALSE)</f>
        <v>Chq Bk</v>
      </c>
      <c r="G178" s="395"/>
      <c r="H178" s="395"/>
    </row>
    <row r="179" spans="1:12">
      <c r="A179" s="3" t="s">
        <v>392</v>
      </c>
      <c r="B179" s="3">
        <v>2478</v>
      </c>
      <c r="C179" s="3"/>
      <c r="D179" s="3" t="s">
        <v>391</v>
      </c>
      <c r="E179" s="3">
        <v>132007</v>
      </c>
      <c r="F179" s="3" t="str">
        <f>VLOOKUP(B179,'Summary June 2026'!A:F,6,FALSE)</f>
        <v>Chq Bk</v>
      </c>
      <c r="G179" s="395"/>
      <c r="H179" s="395"/>
    </row>
    <row r="180" spans="1:12">
      <c r="A180" s="3" t="s">
        <v>394</v>
      </c>
      <c r="B180" s="3">
        <v>2293</v>
      </c>
      <c r="C180" s="3"/>
      <c r="D180" s="3" t="s">
        <v>393</v>
      </c>
      <c r="E180" s="3">
        <v>103317</v>
      </c>
      <c r="F180" s="3" t="str">
        <f>VLOOKUP(B180,'Summary June 2026'!A:F,6,FALSE)</f>
        <v>Chq Bk</v>
      </c>
      <c r="G180" s="395"/>
      <c r="H180" s="395"/>
    </row>
    <row r="181" spans="1:12">
      <c r="A181" s="3" t="s">
        <v>396</v>
      </c>
      <c r="B181" s="3">
        <v>2445</v>
      </c>
      <c r="C181" s="3"/>
      <c r="D181" s="3" t="s">
        <v>395</v>
      </c>
      <c r="E181" s="3">
        <v>103372</v>
      </c>
      <c r="F181" s="3" t="str">
        <f>VLOOKUP(B181,'Summary June 2026'!A:F,6,FALSE)</f>
        <v>Chq Bk</v>
      </c>
      <c r="G181" s="395"/>
      <c r="H181" s="395"/>
    </row>
    <row r="182" spans="1:12">
      <c r="A182" s="3" t="s">
        <v>398</v>
      </c>
      <c r="B182" s="3">
        <v>2278</v>
      </c>
      <c r="C182" s="3"/>
      <c r="D182" s="3" t="s">
        <v>397</v>
      </c>
      <c r="E182" s="3">
        <v>103310</v>
      </c>
      <c r="F182" s="3" t="str">
        <f>VLOOKUP(B182,'Summary June 2026'!A:F,6,FALSE)</f>
        <v>Chq Bk</v>
      </c>
      <c r="G182" s="395"/>
      <c r="H182" s="395"/>
    </row>
    <row r="183" spans="1:12">
      <c r="A183" s="3" t="s">
        <v>400</v>
      </c>
      <c r="B183" s="3">
        <v>2317</v>
      </c>
      <c r="C183" s="3"/>
      <c r="D183" s="3" t="s">
        <v>399</v>
      </c>
      <c r="E183" s="3">
        <v>103337</v>
      </c>
      <c r="F183" s="3" t="str">
        <f>VLOOKUP(B183,'Summary June 2026'!A:F,6,FALSE)</f>
        <v>Chq Bk</v>
      </c>
      <c r="G183" s="395"/>
      <c r="H183" s="395"/>
    </row>
    <row r="184" spans="1:12">
      <c r="A184" s="3" t="s">
        <v>402</v>
      </c>
      <c r="B184" s="3">
        <v>2225</v>
      </c>
      <c r="C184" s="3"/>
      <c r="D184" s="3" t="s">
        <v>401</v>
      </c>
      <c r="E184" s="3">
        <v>103279</v>
      </c>
      <c r="F184" s="3" t="str">
        <f>VLOOKUP(B184,'Summary June 2026'!A:F,6,FALSE)</f>
        <v>Chq Bk</v>
      </c>
      <c r="G184" s="395"/>
      <c r="H184" s="395"/>
    </row>
    <row r="185" spans="1:12">
      <c r="A185" s="3" t="s">
        <v>404</v>
      </c>
      <c r="B185" s="3">
        <v>2412</v>
      </c>
      <c r="C185" s="3"/>
      <c r="D185" s="3" t="s">
        <v>403</v>
      </c>
      <c r="E185" s="3">
        <v>103349</v>
      </c>
      <c r="F185" s="3" t="str">
        <f>VLOOKUP(B185,'Summary June 2026'!A:F,6,FALSE)</f>
        <v>Chq Bk</v>
      </c>
      <c r="G185" s="395"/>
      <c r="H185" s="395"/>
    </row>
    <row r="186" spans="1:12">
      <c r="A186" s="3" t="s">
        <v>406</v>
      </c>
      <c r="B186" s="3">
        <v>3421</v>
      </c>
      <c r="C186" s="3"/>
      <c r="D186" s="3" t="s">
        <v>405</v>
      </c>
      <c r="E186" s="3">
        <v>133996</v>
      </c>
      <c r="F186" s="3" t="str">
        <f>VLOOKUP(B186,'Summary June 2026'!A:F,6,FALSE)</f>
        <v>Chq Bk</v>
      </c>
      <c r="G186" s="395"/>
      <c r="H186" s="395"/>
    </row>
    <row r="187" spans="1:12">
      <c r="A187" s="3" t="s">
        <v>408</v>
      </c>
      <c r="B187" s="3">
        <v>2227</v>
      </c>
      <c r="C187" s="3"/>
      <c r="D187" s="3" t="s">
        <v>407</v>
      </c>
      <c r="E187" s="3">
        <v>103281</v>
      </c>
      <c r="F187" s="3" t="str">
        <f>VLOOKUP(B187,'Summary June 2026'!A:F,6,FALSE)</f>
        <v>Chq Bk</v>
      </c>
      <c r="G187" s="395"/>
      <c r="H187" s="395"/>
    </row>
    <row r="188" spans="1:12">
      <c r="A188" s="3" t="s">
        <v>410</v>
      </c>
      <c r="B188" s="3">
        <v>2231</v>
      </c>
      <c r="C188" s="3"/>
      <c r="D188" s="3" t="s">
        <v>409</v>
      </c>
      <c r="E188" s="3">
        <v>103284</v>
      </c>
      <c r="F188" s="3" t="str">
        <f>VLOOKUP(B188,'Summary June 2026'!A:F,6,FALSE)</f>
        <v>Academy</v>
      </c>
      <c r="G188" s="395"/>
      <c r="H188" s="395"/>
    </row>
    <row r="189" spans="1:12">
      <c r="A189" s="3"/>
      <c r="B189" s="3"/>
      <c r="C189" s="3"/>
      <c r="D189" s="3"/>
      <c r="E189" s="3"/>
      <c r="F189" s="3"/>
      <c r="G189" s="395"/>
      <c r="H189" s="395"/>
      <c r="L189" s="5"/>
    </row>
    <row r="190" spans="1:12">
      <c r="A190" s="3"/>
      <c r="B190" s="3"/>
      <c r="C190" s="3"/>
      <c r="D190" s="3"/>
      <c r="E190" s="3"/>
      <c r="F190" s="3"/>
      <c r="G190" s="395"/>
      <c r="H190" s="395"/>
    </row>
    <row r="191" spans="1:12">
      <c r="A191" s="3"/>
      <c r="B191" s="3"/>
      <c r="C191" s="3"/>
      <c r="D191" s="3"/>
      <c r="E191" s="3"/>
      <c r="F191" s="3"/>
      <c r="G191" s="395"/>
      <c r="H191" s="395"/>
    </row>
    <row r="192" spans="1:12">
      <c r="A192" s="3"/>
      <c r="B192" s="3"/>
      <c r="C192" s="3"/>
      <c r="D192" s="3"/>
      <c r="E192" s="3"/>
      <c r="F192" s="3"/>
      <c r="G192" s="395"/>
      <c r="H192" s="395"/>
    </row>
    <row r="193" spans="1:12">
      <c r="A193" s="3"/>
      <c r="B193" s="3"/>
      <c r="C193" s="3"/>
      <c r="D193" s="3"/>
      <c r="E193" s="3"/>
      <c r="F193" s="3"/>
      <c r="G193" s="395"/>
      <c r="H193" s="395"/>
    </row>
    <row r="194" spans="1:12">
      <c r="A194" s="3"/>
      <c r="B194" s="3"/>
      <c r="C194" s="3"/>
      <c r="D194" s="3"/>
      <c r="E194" s="3"/>
      <c r="F194" s="3"/>
      <c r="G194" s="395"/>
      <c r="H194" s="395"/>
    </row>
    <row r="195" spans="1:12">
      <c r="A195" s="3"/>
      <c r="B195" s="3"/>
      <c r="C195" s="3"/>
      <c r="D195" s="3"/>
      <c r="E195" s="3"/>
      <c r="F195" s="3"/>
      <c r="G195" s="395"/>
      <c r="H195" s="395"/>
    </row>
    <row r="196" spans="1:12">
      <c r="A196" s="3"/>
      <c r="B196" s="3"/>
      <c r="C196" s="3"/>
      <c r="D196" s="3"/>
      <c r="E196" s="3"/>
      <c r="F196" s="3"/>
      <c r="G196" s="395"/>
      <c r="H196" s="395"/>
    </row>
    <row r="197" spans="1:12">
      <c r="A197" s="3"/>
      <c r="B197" s="3"/>
      <c r="C197" s="3"/>
      <c r="D197" s="3"/>
      <c r="E197" s="3"/>
      <c r="F197" s="3"/>
      <c r="G197" s="395"/>
      <c r="H197" s="395"/>
    </row>
    <row r="198" spans="1:12">
      <c r="A198" s="3"/>
      <c r="B198" s="3"/>
      <c r="C198" s="3"/>
      <c r="D198" s="3"/>
      <c r="E198" s="3"/>
      <c r="F198" s="3"/>
      <c r="G198" s="395"/>
      <c r="H198" s="395"/>
    </row>
    <row r="199" spans="1:12">
      <c r="A199" s="3"/>
      <c r="B199" s="3"/>
      <c r="C199" s="3"/>
      <c r="D199" s="3"/>
      <c r="E199" s="3"/>
      <c r="F199" s="3"/>
      <c r="G199" s="395"/>
      <c r="H199" s="395"/>
    </row>
    <row r="200" spans="1:12">
      <c r="A200" s="3"/>
      <c r="B200" s="3"/>
      <c r="C200" s="3"/>
      <c r="D200" s="3"/>
      <c r="E200" s="3"/>
      <c r="F200" s="3"/>
      <c r="G200" s="395"/>
      <c r="H200" s="395"/>
    </row>
    <row r="201" spans="1:12">
      <c r="A201" s="3"/>
      <c r="B201" s="3"/>
      <c r="C201" s="3"/>
      <c r="D201" s="3"/>
      <c r="E201" s="3"/>
      <c r="F201" s="3"/>
      <c r="G201" s="395"/>
      <c r="H201" s="395"/>
    </row>
    <row r="202" spans="1:12">
      <c r="A202" s="3"/>
      <c r="B202" s="3"/>
      <c r="C202" s="3"/>
      <c r="D202" s="3"/>
      <c r="E202" s="3"/>
      <c r="F202" s="3"/>
      <c r="G202" s="395"/>
      <c r="H202" s="395"/>
    </row>
    <row r="203" spans="1:12">
      <c r="A203" s="3"/>
      <c r="B203" s="3"/>
      <c r="C203" s="3"/>
      <c r="D203" s="3"/>
      <c r="E203" s="3"/>
      <c r="F203" s="3"/>
    </row>
    <row r="204" spans="1:12">
      <c r="A204" s="3"/>
      <c r="B204" s="3"/>
      <c r="C204" s="3"/>
      <c r="D204" s="3"/>
      <c r="E204" s="3"/>
      <c r="F204" s="3"/>
    </row>
    <row r="205" spans="1:12">
      <c r="A205" s="3"/>
      <c r="B205" s="3"/>
      <c r="C205" s="3"/>
      <c r="D205" s="3"/>
      <c r="E205" s="3"/>
      <c r="F205" s="3"/>
    </row>
    <row r="206" spans="1:12">
      <c r="A206" s="3"/>
      <c r="B206" s="3"/>
      <c r="C206" s="3"/>
      <c r="D206" s="3"/>
      <c r="E206" s="3"/>
      <c r="F206" s="3"/>
    </row>
    <row r="207" spans="1:12">
      <c r="A207" s="3"/>
      <c r="B207" s="3"/>
      <c r="C207" s="3"/>
      <c r="D207" s="3"/>
      <c r="E207" s="3"/>
      <c r="F207" s="3"/>
      <c r="L207" s="5"/>
    </row>
    <row r="208" spans="1:12">
      <c r="A208" s="3"/>
      <c r="B208" s="3"/>
      <c r="C208" s="3"/>
      <c r="D208" s="3"/>
      <c r="E208" s="3"/>
      <c r="F208" s="3"/>
      <c r="L208" s="5"/>
    </row>
    <row r="209" spans="1:8">
      <c r="A209" s="3"/>
      <c r="B209" s="3"/>
      <c r="C209" s="3"/>
      <c r="D209" s="3"/>
      <c r="E209" s="3"/>
      <c r="F209" s="3"/>
    </row>
    <row r="210" spans="1:8">
      <c r="A210" s="3"/>
      <c r="B210" s="3"/>
      <c r="C210" s="3"/>
      <c r="D210" s="3"/>
      <c r="E210" s="3"/>
      <c r="F210" s="3"/>
    </row>
    <row r="211" spans="1:8">
      <c r="A211" s="3"/>
      <c r="B211" s="3"/>
      <c r="C211" s="3"/>
      <c r="D211" s="3"/>
      <c r="E211" s="3"/>
      <c r="F211" s="3"/>
    </row>
    <row r="212" spans="1:8">
      <c r="G212" s="395">
        <f>SUM(G3:G211)</f>
        <v>0</v>
      </c>
      <c r="H212" s="395">
        <f>SUM(H3:H211)</f>
        <v>0</v>
      </c>
    </row>
  </sheetData>
  <autoFilter ref="A2:Q2" xr:uid="{0750CFC7-2873-4814-80E4-8A7B7B468BAA}">
    <sortState xmlns:xlrd2="http://schemas.microsoft.com/office/spreadsheetml/2017/richdata2" ref="A3:Q202">
      <sortCondition ref="A2"/>
    </sortState>
  </autoFilter>
  <sortState xmlns:xlrd2="http://schemas.microsoft.com/office/spreadsheetml/2017/richdata2" ref="B4:F19">
    <sortCondition ref="E4:E19"/>
  </sortState>
  <phoneticPr fontId="94" type="noConversion"/>
  <conditionalFormatting sqref="G2:H2 B2:F3 B4:E20 F4:F211">
    <cfRule type="cellIs" dxfId="0" priority="1" operator="lessThan">
      <formula>0</formula>
    </cfRule>
  </conditionalFormatting>
  <pageMargins left="0.7" right="0.7" top="0.75" bottom="0.75" header="0.3" footer="0.3"/>
  <headerFooter>
    <oddFooter>&amp;C_x000D_&amp;1#&amp;"Calibri"&amp;10&amp;K000000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/>
    <pageSetUpPr fitToPage="1"/>
  </sheetPr>
  <dimension ref="A1:AF156"/>
  <sheetViews>
    <sheetView showGridLines="0" tabSelected="1" zoomScale="70" zoomScaleNormal="70" zoomScaleSheetLayoutView="90" workbookViewId="0">
      <selection activeCell="G14" sqref="G14"/>
    </sheetView>
  </sheetViews>
  <sheetFormatPr defaultRowHeight="15"/>
  <cols>
    <col min="1" max="1" width="1.7109375" customWidth="1"/>
    <col min="2" max="2" width="5.7109375" customWidth="1"/>
    <col min="3" max="3" width="57.7109375" customWidth="1"/>
    <col min="4" max="4" width="26" bestFit="1" customWidth="1"/>
    <col min="5" max="5" width="17.140625" customWidth="1"/>
    <col min="6" max="6" width="17.7109375" customWidth="1"/>
    <col min="7" max="7" width="16.42578125" customWidth="1"/>
    <col min="8" max="18" width="16.7109375" customWidth="1"/>
    <col min="19" max="19" width="17.28515625" customWidth="1"/>
    <col min="20" max="20" width="2" customWidth="1"/>
    <col min="21" max="21" width="1.7109375" customWidth="1"/>
    <col min="22" max="22" width="21.42578125" bestFit="1" customWidth="1"/>
    <col min="23" max="23" width="25" customWidth="1"/>
    <col min="24" max="24" width="9.140625" customWidth="1"/>
  </cols>
  <sheetData>
    <row r="1" spans="2:24" ht="24.95" customHeight="1">
      <c r="B1" s="227"/>
      <c r="C1" s="244" t="s">
        <v>411</v>
      </c>
      <c r="D1" s="245"/>
      <c r="E1" s="245"/>
      <c r="F1" s="228"/>
      <c r="G1" s="228"/>
      <c r="H1" s="228"/>
      <c r="I1" s="228"/>
      <c r="J1" s="228"/>
      <c r="K1" s="228"/>
      <c r="L1" s="228"/>
      <c r="M1" s="228"/>
      <c r="N1" s="229"/>
      <c r="O1" s="229"/>
      <c r="P1" s="230"/>
      <c r="Q1" s="230"/>
      <c r="R1" s="230"/>
      <c r="S1" s="230"/>
      <c r="T1" s="231"/>
      <c r="X1" s="9"/>
    </row>
    <row r="2" spans="2:24" ht="24.95" customHeight="1">
      <c r="B2" s="232"/>
      <c r="C2" s="246" t="s">
        <v>1127</v>
      </c>
      <c r="D2" s="247"/>
      <c r="E2" s="247"/>
      <c r="F2" s="233"/>
      <c r="G2" s="233"/>
      <c r="H2" s="233"/>
      <c r="I2" s="233"/>
      <c r="J2" s="233"/>
      <c r="K2" s="233"/>
      <c r="L2" s="233"/>
      <c r="M2" s="233"/>
      <c r="N2" s="234"/>
      <c r="O2" s="234"/>
      <c r="P2" s="234"/>
      <c r="Q2" s="234"/>
      <c r="R2" s="234"/>
      <c r="S2" s="234"/>
      <c r="T2" s="235"/>
    </row>
    <row r="3" spans="2:24" ht="24.95" customHeight="1">
      <c r="B3" s="232"/>
      <c r="C3" s="247"/>
      <c r="D3" s="247"/>
      <c r="E3" s="247"/>
      <c r="F3" s="233"/>
      <c r="G3" s="233"/>
      <c r="H3" s="233"/>
      <c r="I3" s="233"/>
      <c r="J3" s="233"/>
      <c r="K3" s="233"/>
      <c r="L3" s="233"/>
      <c r="M3" s="233"/>
      <c r="N3" s="234"/>
      <c r="O3" s="234"/>
      <c r="P3" s="234"/>
      <c r="Q3" s="234"/>
      <c r="R3" s="234"/>
      <c r="S3" s="234"/>
      <c r="T3" s="235"/>
    </row>
    <row r="4" spans="2:24" ht="18.75">
      <c r="B4" s="232"/>
      <c r="C4" s="246" t="s">
        <v>412</v>
      </c>
      <c r="D4" s="342" t="str">
        <f>VLOOKUP($D$6,Lookup!A:B,2,FALSE)</f>
        <v>-</v>
      </c>
      <c r="E4" s="247"/>
      <c r="F4" s="233"/>
      <c r="G4" s="233"/>
      <c r="H4" s="233"/>
      <c r="I4" s="233"/>
      <c r="J4" s="233"/>
      <c r="K4" s="233"/>
      <c r="L4" s="233"/>
      <c r="M4" s="233"/>
      <c r="N4" s="234"/>
      <c r="O4" s="234"/>
      <c r="P4" s="234"/>
      <c r="Q4" s="234"/>
      <c r="R4" s="234"/>
      <c r="S4" s="234"/>
      <c r="T4" s="235"/>
    </row>
    <row r="5" spans="2:24" ht="18.75">
      <c r="B5" s="232"/>
      <c r="C5" s="246" t="s">
        <v>413</v>
      </c>
      <c r="D5" s="248" t="str">
        <f>VLOOKUP($D$6,Lookup!A:D,4,FALSE)</f>
        <v>-</v>
      </c>
      <c r="E5" s="247"/>
      <c r="F5" s="233"/>
      <c r="G5" s="233"/>
      <c r="H5" s="233"/>
      <c r="I5" s="233"/>
      <c r="J5" s="233"/>
      <c r="K5" s="233"/>
      <c r="L5" s="233"/>
      <c r="M5" s="233"/>
      <c r="N5" s="234"/>
      <c r="O5" s="234"/>
      <c r="P5" s="234"/>
      <c r="Q5" s="234"/>
      <c r="R5" s="234"/>
      <c r="S5" s="234"/>
      <c r="T5" s="235"/>
    </row>
    <row r="6" spans="2:24" ht="18.75">
      <c r="B6" s="232"/>
      <c r="C6" s="246" t="s">
        <v>414</v>
      </c>
      <c r="D6" s="343" t="s">
        <v>1115</v>
      </c>
      <c r="E6" s="706"/>
      <c r="F6" s="705"/>
      <c r="G6" s="233"/>
      <c r="H6" s="233"/>
      <c r="I6" s="233"/>
      <c r="J6" s="233"/>
      <c r="K6" s="233"/>
      <c r="L6" s="233"/>
      <c r="M6" s="233"/>
      <c r="N6" s="234"/>
      <c r="O6" s="234"/>
      <c r="P6" s="798"/>
      <c r="Q6" s="420"/>
      <c r="R6" s="234"/>
      <c r="S6" s="234"/>
      <c r="T6" s="235"/>
    </row>
    <row r="7" spans="2:24" ht="15.75" thickBot="1">
      <c r="B7" s="236"/>
      <c r="C7" s="237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799"/>
      <c r="R7" s="238"/>
      <c r="S7" s="238"/>
      <c r="T7" s="239"/>
    </row>
    <row r="8" spans="2:24">
      <c r="C8" s="1"/>
      <c r="D8" s="9"/>
    </row>
    <row r="9" spans="2:24" ht="19.5" thickBot="1">
      <c r="C9" s="10"/>
      <c r="D9" s="9"/>
      <c r="F9" s="249"/>
      <c r="G9" s="57"/>
      <c r="I9" s="57"/>
      <c r="S9" s="26"/>
    </row>
    <row r="10" spans="2:24">
      <c r="B10" s="11"/>
      <c r="C10" s="12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4"/>
      <c r="T10" s="15"/>
    </row>
    <row r="11" spans="2:24" ht="18.75">
      <c r="B11" s="16"/>
      <c r="C11" s="10" t="s">
        <v>415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T11" s="17"/>
    </row>
    <row r="12" spans="2:24">
      <c r="B12" s="16"/>
      <c r="C12" s="1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T12" s="17"/>
    </row>
    <row r="13" spans="2:24" ht="31.5">
      <c r="B13" s="16"/>
      <c r="C13" s="18" t="s">
        <v>416</v>
      </c>
      <c r="D13" s="72" t="s">
        <v>417</v>
      </c>
      <c r="E13" s="72" t="s">
        <v>418</v>
      </c>
      <c r="F13" s="72" t="s">
        <v>419</v>
      </c>
      <c r="G13" s="72" t="s">
        <v>420</v>
      </c>
      <c r="H13" s="72" t="s">
        <v>421</v>
      </c>
      <c r="I13" s="72" t="s">
        <v>422</v>
      </c>
      <c r="J13" s="72" t="s">
        <v>423</v>
      </c>
      <c r="K13" s="72" t="s">
        <v>424</v>
      </c>
      <c r="L13" s="72" t="s">
        <v>425</v>
      </c>
      <c r="M13" s="72" t="s">
        <v>426</v>
      </c>
      <c r="N13" s="72" t="s">
        <v>427</v>
      </c>
      <c r="O13" s="72" t="s">
        <v>428</v>
      </c>
      <c r="P13" s="72" t="s">
        <v>429</v>
      </c>
      <c r="Q13" s="72" t="s">
        <v>430</v>
      </c>
      <c r="R13" s="72" t="s">
        <v>431</v>
      </c>
      <c r="S13" s="164"/>
      <c r="T13" s="85"/>
      <c r="U13" s="65"/>
      <c r="V13" s="146"/>
      <c r="W13" s="147"/>
    </row>
    <row r="14" spans="2:24" ht="18" customHeight="1">
      <c r="B14" s="16"/>
      <c r="C14" s="20" t="s">
        <v>432</v>
      </c>
      <c r="D14" s="74">
        <f>_xlfn.IFNA(VLOOKUP($D$4,'Summary June 2026'!$A$8:$BB$201,8,FALSE),0)</f>
        <v>0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>
        <f>SUM(D14:Q14)</f>
        <v>0</v>
      </c>
      <c r="S14" s="165"/>
      <c r="T14" s="138"/>
      <c r="U14" s="65"/>
      <c r="V14" s="65"/>
      <c r="W14" s="147"/>
    </row>
    <row r="15" spans="2:24" ht="18" customHeight="1">
      <c r="B15" s="16"/>
      <c r="C15" s="20" t="s">
        <v>433</v>
      </c>
      <c r="D15" s="74">
        <f>_xlfn.IFNA(VLOOKUP($D$4,'Summary June 2026'!$A$8:$BB$201,10,FALSE),0)</f>
        <v>0</v>
      </c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29">
        <f t="shared" ref="R15:R16" si="0">SUM(D15:Q15)</f>
        <v>0</v>
      </c>
      <c r="S15" s="165"/>
      <c r="T15" s="138"/>
      <c r="U15" s="65"/>
      <c r="V15" s="65"/>
      <c r="W15" s="147"/>
    </row>
    <row r="16" spans="2:24" ht="18" customHeight="1">
      <c r="B16" s="16"/>
      <c r="C16" s="20" t="s">
        <v>434</v>
      </c>
      <c r="D16" s="74">
        <f>_xlfn.IFNA(VLOOKUP($D$4,'Summary June 2026'!$A$8:$BB$201,9,FALSE),0)</f>
        <v>0</v>
      </c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29">
        <f t="shared" si="0"/>
        <v>0</v>
      </c>
      <c r="S16" s="165"/>
      <c r="T16" s="138"/>
      <c r="U16" s="65"/>
      <c r="V16" s="65"/>
      <c r="W16" s="147"/>
    </row>
    <row r="17" spans="2:26" ht="18" customHeight="1">
      <c r="B17" s="16"/>
      <c r="C17" s="69" t="s">
        <v>435</v>
      </c>
      <c r="D17" s="75">
        <f>SUM(D14:D16)</f>
        <v>0</v>
      </c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>
        <f>SUM(D17:Q17)</f>
        <v>0</v>
      </c>
      <c r="S17" s="165"/>
      <c r="T17" s="138"/>
      <c r="U17" s="65"/>
      <c r="V17" s="65"/>
      <c r="W17" s="147"/>
    </row>
    <row r="18" spans="2:26" ht="18" customHeight="1">
      <c r="B18" s="16"/>
      <c r="C18" s="20" t="s">
        <v>436</v>
      </c>
      <c r="D18" s="74">
        <f>_xlfn.IFNA(VLOOKUP($D$4,HN!$A$8:$AU$200,8,FALSE),0)</f>
        <v>0</v>
      </c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>
        <f>SUM(D18:Q18)</f>
        <v>0</v>
      </c>
      <c r="S18" s="165"/>
      <c r="T18" s="138"/>
      <c r="U18" s="65"/>
      <c r="V18" s="65"/>
      <c r="W18" s="147"/>
    </row>
    <row r="19" spans="2:26" ht="18" customHeight="1">
      <c r="B19" s="16"/>
      <c r="C19" s="20" t="s">
        <v>437</v>
      </c>
      <c r="D19" s="74">
        <f>_xlfn.IFNA(VLOOKUP($D$4,HN!$A$8:$AU$200,9,FALSE),0)</f>
        <v>0</v>
      </c>
      <c r="E19" s="129"/>
      <c r="F19" s="129"/>
      <c r="G19" s="129"/>
      <c r="H19" s="129"/>
      <c r="I19" s="401"/>
      <c r="J19" s="129"/>
      <c r="K19" s="129"/>
      <c r="L19" s="129"/>
      <c r="M19" s="129"/>
      <c r="N19" s="129"/>
      <c r="O19" s="129"/>
      <c r="P19" s="129"/>
      <c r="Q19" s="129"/>
      <c r="R19" s="129">
        <f>SUM(D19:Q19)</f>
        <v>0</v>
      </c>
      <c r="S19" s="165"/>
      <c r="T19" s="138"/>
      <c r="U19" s="65"/>
      <c r="V19" s="65"/>
      <c r="W19" s="147"/>
    </row>
    <row r="20" spans="2:26" ht="18" customHeight="1">
      <c r="B20" s="16"/>
      <c r="C20" s="20" t="s">
        <v>438</v>
      </c>
      <c r="D20" s="74">
        <f>_xlfn.IFNA(VLOOKUP($D$4,HN!$A$8:$AU$200,10,FALSE),0)</f>
        <v>0</v>
      </c>
      <c r="E20" s="129"/>
      <c r="F20" s="74"/>
      <c r="G20" s="74">
        <f>_xlfn.IFNA(VLOOKUP($D$4,HN!$A$8:$AU$200,18,FALSE),0)</f>
        <v>0</v>
      </c>
      <c r="H20" s="129"/>
      <c r="I20" s="129"/>
      <c r="J20" s="111"/>
      <c r="K20" s="129"/>
      <c r="L20" s="129"/>
      <c r="M20" s="111"/>
      <c r="N20" s="111"/>
      <c r="O20" s="111"/>
      <c r="P20" s="111"/>
      <c r="Q20" s="111"/>
      <c r="R20" s="129">
        <f t="shared" ref="R20:R29" si="1">SUM(D20:Q20)</f>
        <v>0</v>
      </c>
      <c r="S20" s="165"/>
      <c r="T20" s="138"/>
      <c r="U20" s="65"/>
      <c r="V20" s="65"/>
      <c r="W20" s="147"/>
    </row>
    <row r="21" spans="2:26" ht="18" customHeight="1">
      <c r="B21" s="16"/>
      <c r="C21" s="20" t="s">
        <v>439</v>
      </c>
      <c r="D21" s="74">
        <f>_xlfn.IFNA(VLOOKUP($D$4,HN!$A$8:$AU$200,12,FALSE),0)</f>
        <v>0</v>
      </c>
      <c r="E21" s="129"/>
      <c r="F21" s="74">
        <f>_xlfn.IFNA(VLOOKUP($D$4,HN!$A$8:$AU$200,17,FALSE),0)</f>
        <v>0</v>
      </c>
      <c r="G21" s="129">
        <f>_xlfn.IFNA(VLOOKUP($D$4,HN!$A$8:$AU$200,19,FALSE),0)</f>
        <v>0</v>
      </c>
      <c r="H21" s="111"/>
      <c r="I21" s="129"/>
      <c r="J21" s="111"/>
      <c r="K21" s="111"/>
      <c r="L21" s="111"/>
      <c r="M21" s="111"/>
      <c r="N21" s="111"/>
      <c r="O21" s="111"/>
      <c r="P21" s="111"/>
      <c r="Q21" s="111"/>
      <c r="R21" s="129">
        <f t="shared" si="1"/>
        <v>0</v>
      </c>
      <c r="S21" s="165"/>
      <c r="T21" s="138"/>
      <c r="U21" s="65"/>
      <c r="V21" s="65"/>
      <c r="W21" s="147"/>
    </row>
    <row r="22" spans="2:26" ht="18" customHeight="1">
      <c r="B22" s="16"/>
      <c r="C22" s="20" t="s">
        <v>440</v>
      </c>
      <c r="D22" s="74">
        <f>_xlfn.IFNA(VLOOKUP($D$4,HN!$A$8:$AU$200,13,FALSE),0)</f>
        <v>0</v>
      </c>
      <c r="E22" s="110"/>
      <c r="F22" s="110"/>
      <c r="G22" s="129">
        <f>_xlfn.IFNA(VLOOKUP($D$4,HN!$A$8:$AU$200,20,FALSE),0)</f>
        <v>0</v>
      </c>
      <c r="I22" s="129"/>
      <c r="J22" s="111"/>
      <c r="L22" s="111"/>
      <c r="M22" s="111"/>
      <c r="N22" s="111"/>
      <c r="O22" s="111"/>
      <c r="P22" s="111"/>
      <c r="Q22" s="111"/>
      <c r="R22" s="129">
        <f t="shared" si="1"/>
        <v>0</v>
      </c>
      <c r="S22" s="165"/>
      <c r="T22" s="138"/>
      <c r="U22" s="65"/>
      <c r="V22" s="65"/>
      <c r="W22" s="147"/>
    </row>
    <row r="23" spans="2:26" ht="18" customHeight="1">
      <c r="B23" s="16"/>
      <c r="C23" s="20" t="s">
        <v>441</v>
      </c>
      <c r="D23" s="74"/>
      <c r="E23" s="110">
        <f>_xlfn.IFNA(VLOOKUP($D$4,EY!$A:$AL,10,FALSE),0)</f>
        <v>0</v>
      </c>
      <c r="F23" s="129"/>
      <c r="G23" s="129"/>
      <c r="H23" s="2"/>
      <c r="I23" s="129"/>
      <c r="J23" s="111">
        <f>_xlfn.IFNA(VLOOKUP($D$4,EY!$A:$AL,20,FALSE),0)</f>
        <v>0</v>
      </c>
      <c r="K23" s="2"/>
      <c r="L23" s="111"/>
      <c r="M23" s="111"/>
      <c r="N23" s="111"/>
      <c r="O23" s="111"/>
      <c r="P23" s="111"/>
      <c r="Q23" s="111"/>
      <c r="R23" s="129">
        <f t="shared" si="1"/>
        <v>0</v>
      </c>
      <c r="S23" s="165"/>
      <c r="T23" s="138"/>
      <c r="U23" s="65"/>
      <c r="V23" s="858" t="s">
        <v>442</v>
      </c>
      <c r="W23" s="147"/>
    </row>
    <row r="24" spans="2:26" ht="18" customHeight="1">
      <c r="B24" s="16"/>
      <c r="C24" s="20" t="s">
        <v>443</v>
      </c>
      <c r="D24" s="74"/>
      <c r="E24" s="129">
        <f>_xlfn.IFNA(VLOOKUP($D$4,EY!$A:$AL,11,FALSE),0)</f>
        <v>0</v>
      </c>
      <c r="F24" s="129"/>
      <c r="G24" s="129"/>
      <c r="H24" s="129"/>
      <c r="I24" s="129"/>
      <c r="J24" s="111">
        <f>_xlfn.IFNA(VLOOKUP($D$4,EY!$A:$AL,21,FALSE),0)</f>
        <v>0</v>
      </c>
      <c r="K24" s="111"/>
      <c r="L24" s="111"/>
      <c r="M24" s="111"/>
      <c r="N24" s="111"/>
      <c r="O24" s="111"/>
      <c r="P24" s="111"/>
      <c r="Q24" s="111"/>
      <c r="R24" s="129">
        <f t="shared" si="1"/>
        <v>0</v>
      </c>
      <c r="S24" s="165"/>
      <c r="T24" s="138"/>
      <c r="U24" s="65"/>
      <c r="V24" s="858" t="s">
        <v>442</v>
      </c>
      <c r="W24" s="147"/>
    </row>
    <row r="25" spans="2:26" ht="18" customHeight="1">
      <c r="B25" s="16"/>
      <c r="C25" s="20" t="s">
        <v>444</v>
      </c>
      <c r="D25" s="74"/>
      <c r="E25" s="129">
        <f>_xlfn.IFNA(VLOOKUP($D$4,EY!$A:$AL,12,FALSE),0)</f>
        <v>0</v>
      </c>
      <c r="F25" s="159"/>
      <c r="G25" s="129"/>
      <c r="H25" s="129"/>
      <c r="I25" s="129"/>
      <c r="J25" s="111">
        <f>_xlfn.IFNA(VLOOKUP($D$4,EY!$A:$AL,22,FALSE),0)</f>
        <v>0</v>
      </c>
      <c r="K25" s="111"/>
      <c r="L25" s="111"/>
      <c r="M25" s="111"/>
      <c r="N25" s="111"/>
      <c r="O25" s="111"/>
      <c r="P25" s="111"/>
      <c r="Q25" s="111"/>
      <c r="R25" s="129">
        <f t="shared" si="1"/>
        <v>0</v>
      </c>
      <c r="S25" s="165"/>
      <c r="T25" s="138"/>
      <c r="U25" s="65"/>
      <c r="V25" s="858" t="s">
        <v>442</v>
      </c>
      <c r="W25" s="147"/>
    </row>
    <row r="26" spans="2:26" ht="18" customHeight="1">
      <c r="B26" s="16"/>
      <c r="C26" s="20" t="s">
        <v>445</v>
      </c>
      <c r="D26" s="74"/>
      <c r="E26" s="129">
        <f>_xlfn.IFNA(VLOOKUP($D$4,EY!$A:$AL,13,FALSE),0)</f>
        <v>0</v>
      </c>
      <c r="F26" s="90"/>
      <c r="G26" s="129"/>
      <c r="H26" s="129"/>
      <c r="I26" s="129"/>
      <c r="J26" s="111">
        <f>_xlfn.IFNA(VLOOKUP($D$4,EY!$A:$AL,23,FALSE),0)</f>
        <v>0</v>
      </c>
      <c r="K26" s="111"/>
      <c r="L26" s="111"/>
      <c r="M26" s="111"/>
      <c r="N26" s="111"/>
      <c r="O26" s="111"/>
      <c r="P26" s="111"/>
      <c r="Q26" s="111"/>
      <c r="R26" s="129">
        <f t="shared" si="1"/>
        <v>0</v>
      </c>
      <c r="S26" s="165"/>
      <c r="T26" s="138"/>
      <c r="U26" s="65"/>
      <c r="V26" s="858" t="s">
        <v>442</v>
      </c>
      <c r="W26" s="147"/>
    </row>
    <row r="27" spans="2:26" ht="18" customHeight="1">
      <c r="B27" s="16"/>
      <c r="C27" s="20" t="s">
        <v>446</v>
      </c>
      <c r="D27" s="74"/>
      <c r="E27" s="129">
        <f>_xlfn.IFNA(VLOOKUP($D$4,EY!$A:$AL,14,FALSE),0)</f>
        <v>0</v>
      </c>
      <c r="F27" s="129"/>
      <c r="G27" s="129"/>
      <c r="H27" s="129"/>
      <c r="I27" s="129"/>
      <c r="J27" s="111">
        <f>_xlfn.IFNA(VLOOKUP($D$4,EY!$A:$AL,24,FALSE),0)</f>
        <v>0</v>
      </c>
      <c r="K27" s="111"/>
      <c r="L27" s="111"/>
      <c r="M27" s="111"/>
      <c r="N27" s="111"/>
      <c r="O27" s="111"/>
      <c r="P27" s="111"/>
      <c r="Q27" s="111"/>
      <c r="R27" s="129">
        <f t="shared" si="1"/>
        <v>0</v>
      </c>
      <c r="S27" s="165"/>
      <c r="T27" s="138"/>
      <c r="U27" s="65"/>
      <c r="V27" s="858" t="s">
        <v>442</v>
      </c>
      <c r="W27" s="147"/>
    </row>
    <row r="28" spans="2:26" ht="18" customHeight="1">
      <c r="B28" s="16"/>
      <c r="C28" s="20" t="s">
        <v>447</v>
      </c>
      <c r="D28" s="74"/>
      <c r="E28" s="129">
        <f>_xlfn.IFNA(VLOOKUP($D$4,EY!$A:$CC,15,FALSE),0)</f>
        <v>0</v>
      </c>
      <c r="F28" s="129"/>
      <c r="G28" s="129"/>
      <c r="H28" s="129"/>
      <c r="I28" s="129"/>
      <c r="J28" s="111">
        <f>_xlfn.IFNA(VLOOKUP($D$4,EY!$A:$AS,25,FALSE),0)</f>
        <v>0</v>
      </c>
      <c r="K28" s="111"/>
      <c r="L28" s="111"/>
      <c r="M28" s="111"/>
      <c r="N28" s="111"/>
      <c r="O28" s="111"/>
      <c r="P28" s="111"/>
      <c r="Q28" s="111"/>
      <c r="R28" s="129">
        <f t="shared" si="1"/>
        <v>0</v>
      </c>
      <c r="S28" s="165"/>
      <c r="T28" s="138"/>
      <c r="U28" s="65"/>
      <c r="V28" s="858" t="s">
        <v>442</v>
      </c>
      <c r="W28" s="147"/>
    </row>
    <row r="29" spans="2:26" ht="18" customHeight="1">
      <c r="B29" s="16"/>
      <c r="C29" s="20" t="s">
        <v>448</v>
      </c>
      <c r="D29" s="74"/>
      <c r="E29" s="129">
        <f>_xlfn.IFNA(VLOOKUP($D$4,EY!$A:$CC,16,FALSE),0)</f>
        <v>0</v>
      </c>
      <c r="F29" s="129"/>
      <c r="G29" s="129"/>
      <c r="H29" s="129"/>
      <c r="I29" s="129"/>
      <c r="J29" s="111">
        <f>_xlfn.IFNA(VLOOKUP($D$4,EY!$A:$AL,26,FALSE),0)</f>
        <v>0</v>
      </c>
      <c r="K29" s="111"/>
      <c r="L29" s="111"/>
      <c r="M29" s="111"/>
      <c r="N29" s="111"/>
      <c r="O29" s="111"/>
      <c r="P29" s="111"/>
      <c r="Q29" s="111"/>
      <c r="R29" s="129">
        <f t="shared" si="1"/>
        <v>0</v>
      </c>
      <c r="S29" s="165"/>
      <c r="T29" s="138"/>
      <c r="U29" s="65"/>
      <c r="V29" s="858" t="s">
        <v>442</v>
      </c>
      <c r="W29" s="147"/>
    </row>
    <row r="30" spans="2:26" s="7" customFormat="1" ht="18" customHeight="1">
      <c r="B30" s="29"/>
      <c r="C30" s="48" t="s">
        <v>449</v>
      </c>
      <c r="D30" s="74">
        <f>_xlfn.IFNA(VLOOKUP($D$4,EY!$A:$H,8,FALSE),0)</f>
        <v>0</v>
      </c>
      <c r="E30" s="90"/>
      <c r="F30" s="90"/>
      <c r="G30" s="129"/>
      <c r="H30" s="129"/>
      <c r="I30" s="90"/>
      <c r="J30" s="90"/>
      <c r="K30" s="90"/>
      <c r="L30" s="111"/>
      <c r="M30" s="90"/>
      <c r="N30" s="90"/>
      <c r="O30" s="90"/>
      <c r="P30" s="111"/>
      <c r="Q30" s="111"/>
      <c r="R30" s="129">
        <f>SUM(D30:Q30)</f>
        <v>0</v>
      </c>
      <c r="S30" s="165"/>
      <c r="T30" s="138"/>
      <c r="U30" s="65"/>
      <c r="V30" s="65"/>
      <c r="W30" s="151"/>
      <c r="X30" s="152"/>
      <c r="Y30" s="150"/>
      <c r="Z30" s="150"/>
    </row>
    <row r="31" spans="2:26" s="7" customFormat="1" ht="18" customHeight="1">
      <c r="B31" s="29"/>
      <c r="C31" s="48" t="s">
        <v>1124</v>
      </c>
      <c r="D31" s="74"/>
      <c r="E31" s="90"/>
      <c r="F31" s="90"/>
      <c r="G31" s="129">
        <f>_xlfn.IFNA(VLOOKUP($D$4,EY!$A:$BZ,40,FALSE),0)+_xlfn.IFNA(VLOOKUP($D$4,EY!$A:$BZ,41,FALSE),0)</f>
        <v>0</v>
      </c>
      <c r="H31" s="129"/>
      <c r="I31" s="90"/>
      <c r="K31" s="90"/>
      <c r="L31" s="111"/>
      <c r="M31" s="90"/>
      <c r="N31" s="90"/>
      <c r="O31" s="90"/>
      <c r="P31" s="111"/>
      <c r="Q31" s="111"/>
      <c r="R31" s="129"/>
      <c r="S31" s="165"/>
      <c r="T31" s="138"/>
      <c r="U31" s="65"/>
      <c r="V31" s="65"/>
      <c r="W31" s="151"/>
      <c r="X31" s="152"/>
      <c r="Y31" s="150"/>
      <c r="Z31" s="150"/>
    </row>
    <row r="32" spans="2:26" ht="18" customHeight="1">
      <c r="B32" s="16"/>
      <c r="C32" s="69" t="s">
        <v>450</v>
      </c>
      <c r="D32" s="75">
        <f>ROUND(SUM(D17:D30),2)</f>
        <v>0</v>
      </c>
      <c r="E32" s="112">
        <f t="shared" ref="E32:P32" si="2">SUM(E14:E30)</f>
        <v>0</v>
      </c>
      <c r="F32" s="116">
        <f t="shared" si="2"/>
        <v>0</v>
      </c>
      <c r="G32" s="130">
        <f>SUM(G14:G31)</f>
        <v>0</v>
      </c>
      <c r="H32" s="130">
        <f>SUM(H14:H30)</f>
        <v>0</v>
      </c>
      <c r="I32" s="130">
        <f t="shared" si="2"/>
        <v>0</v>
      </c>
      <c r="J32" s="130">
        <f t="shared" si="2"/>
        <v>0</v>
      </c>
      <c r="K32" s="130">
        <f t="shared" si="2"/>
        <v>0</v>
      </c>
      <c r="L32" s="130">
        <f t="shared" si="2"/>
        <v>0</v>
      </c>
      <c r="M32" s="130">
        <f t="shared" si="2"/>
        <v>0</v>
      </c>
      <c r="N32" s="130">
        <f t="shared" si="2"/>
        <v>0</v>
      </c>
      <c r="O32" s="130">
        <f t="shared" si="2"/>
        <v>0</v>
      </c>
      <c r="P32" s="130">
        <f t="shared" si="2"/>
        <v>0</v>
      </c>
      <c r="Q32" s="130"/>
      <c r="R32" s="130">
        <f>SUM(R17:R30)</f>
        <v>0</v>
      </c>
      <c r="S32" s="165"/>
      <c r="T32" s="138"/>
      <c r="U32" s="65"/>
      <c r="V32" s="65"/>
    </row>
    <row r="33" spans="2:32" ht="18" customHeight="1">
      <c r="B33" s="16"/>
      <c r="C33" s="20" t="s">
        <v>451</v>
      </c>
      <c r="D33" s="74">
        <f>_xlfn.IFNA(VLOOKUP($D$4,'Post 16'!A:BC,22,FALSE),0)</f>
        <v>0</v>
      </c>
      <c r="E33" s="129"/>
      <c r="F33" s="129"/>
      <c r="G33" s="129"/>
      <c r="H33" s="129"/>
      <c r="I33" s="129">
        <f>_xlfn.IFNA(VLOOKUP($D$4,'Post 16'!A:AR,40,FALSE),0)</f>
        <v>0</v>
      </c>
      <c r="J33" s="111"/>
      <c r="K33" s="111"/>
      <c r="L33" s="111"/>
      <c r="M33" s="111"/>
      <c r="N33" s="111"/>
      <c r="O33" s="111"/>
      <c r="P33" s="111"/>
      <c r="Q33" s="111"/>
      <c r="R33" s="129">
        <f>SUM(D33:Q33)</f>
        <v>0</v>
      </c>
      <c r="S33" s="366"/>
      <c r="T33" s="138"/>
      <c r="U33" s="65"/>
      <c r="V33" s="65"/>
      <c r="W33" s="147"/>
      <c r="Y33" s="147"/>
    </row>
    <row r="34" spans="2:32" ht="18" customHeight="1">
      <c r="B34" s="16"/>
      <c r="C34" s="21" t="s">
        <v>452</v>
      </c>
      <c r="D34" s="74">
        <f>_xlfn.IFNA(VLOOKUP($D$4,'Post 16'!A:AR,33,FALSE),0)</f>
        <v>0</v>
      </c>
      <c r="E34" s="129"/>
      <c r="F34" s="129"/>
      <c r="G34" s="129"/>
      <c r="H34" s="129"/>
      <c r="I34" s="129"/>
      <c r="J34" s="129"/>
      <c r="K34" s="129"/>
      <c r="L34" s="129"/>
      <c r="M34" s="129">
        <f>_xlfn.IFNA(VLOOKUP($D$4,'Post 16'!A:AV,41,FALSE),0)</f>
        <v>0</v>
      </c>
      <c r="N34" s="129"/>
      <c r="O34" s="129"/>
      <c r="P34" s="129"/>
      <c r="Q34" s="129"/>
      <c r="R34" s="129">
        <f t="shared" ref="R34:R36" si="3">SUM(D34:Q34)</f>
        <v>0</v>
      </c>
      <c r="S34" s="165"/>
      <c r="T34" s="138"/>
      <c r="U34" s="65"/>
      <c r="V34" s="1"/>
    </row>
    <row r="35" spans="2:32" ht="18" customHeight="1">
      <c r="B35" s="16"/>
      <c r="C35" s="21" t="s">
        <v>453</v>
      </c>
      <c r="D35" s="74"/>
      <c r="E35" s="129"/>
      <c r="F35" s="129"/>
      <c r="G35" s="129"/>
      <c r="H35" s="129">
        <f>_xlfn.IFNA(VLOOKUP($D$4,'LA Deductions'!$A:$AN,34,FALSE),0)</f>
        <v>0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>
        <f t="shared" si="3"/>
        <v>0</v>
      </c>
      <c r="S35" s="165"/>
      <c r="T35" s="138"/>
      <c r="U35" s="65"/>
    </row>
    <row r="36" spans="2:32" ht="18" customHeight="1">
      <c r="B36" s="16"/>
      <c r="C36" s="21" t="s">
        <v>454</v>
      </c>
      <c r="D36" s="74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>
        <f t="shared" si="3"/>
        <v>0</v>
      </c>
      <c r="S36" s="366"/>
      <c r="T36" s="138"/>
      <c r="U36" s="65"/>
    </row>
    <row r="37" spans="2:32" ht="18" customHeight="1">
      <c r="B37" s="16"/>
      <c r="C37" s="68" t="s">
        <v>455</v>
      </c>
      <c r="D37" s="77">
        <f>ROUND(SUM(D32:D36),2)</f>
        <v>0</v>
      </c>
      <c r="E37" s="77">
        <f>SUM(E32:E36)</f>
        <v>0</v>
      </c>
      <c r="F37" s="77">
        <f t="shared" ref="F37:P37" si="4">SUM(F32:F36)</f>
        <v>0</v>
      </c>
      <c r="G37" s="77">
        <f t="shared" si="4"/>
        <v>0</v>
      </c>
      <c r="H37" s="77">
        <f t="shared" si="4"/>
        <v>0</v>
      </c>
      <c r="I37" s="77">
        <f>SUM(I32:I36)</f>
        <v>0</v>
      </c>
      <c r="J37" s="77">
        <f t="shared" si="4"/>
        <v>0</v>
      </c>
      <c r="K37" s="77">
        <f t="shared" si="4"/>
        <v>0</v>
      </c>
      <c r="L37" s="77">
        <f t="shared" si="4"/>
        <v>0</v>
      </c>
      <c r="M37" s="77">
        <f t="shared" si="4"/>
        <v>0</v>
      </c>
      <c r="N37" s="77">
        <f t="shared" si="4"/>
        <v>0</v>
      </c>
      <c r="O37" s="77">
        <f t="shared" si="4"/>
        <v>0</v>
      </c>
      <c r="P37" s="77">
        <f t="shared" si="4"/>
        <v>0</v>
      </c>
      <c r="Q37" s="77"/>
      <c r="R37" s="131">
        <f>SUM(R32:R36)</f>
        <v>0</v>
      </c>
      <c r="S37" s="165"/>
      <c r="T37" s="138"/>
      <c r="U37" s="65"/>
      <c r="V37" s="65"/>
      <c r="Y37" s="148"/>
    </row>
    <row r="38" spans="2:32" ht="18" customHeight="1">
      <c r="B38" s="16"/>
      <c r="C38" s="240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2"/>
      <c r="R38" s="137"/>
      <c r="S38" s="162"/>
      <c r="T38" s="138"/>
      <c r="U38" s="65"/>
      <c r="V38" s="65"/>
      <c r="Y38" s="148"/>
    </row>
    <row r="39" spans="2:32" ht="17.100000000000001" customHeight="1" thickBot="1">
      <c r="B39" s="25"/>
      <c r="C39" s="250"/>
      <c r="D39" s="78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66"/>
      <c r="S39" s="163"/>
      <c r="T39" s="161"/>
      <c r="U39" s="71"/>
      <c r="V39" s="71"/>
      <c r="W39" s="22"/>
      <c r="X39" s="22"/>
      <c r="Z39" s="148"/>
      <c r="AB39" s="22"/>
      <c r="AC39" s="22"/>
      <c r="AD39" s="22"/>
      <c r="AE39" s="22"/>
      <c r="AF39" s="22"/>
    </row>
    <row r="40" spans="2:32" ht="17.100000000000001" customHeight="1">
      <c r="C40" s="23"/>
      <c r="D40" s="79"/>
      <c r="E40" s="133"/>
      <c r="F40" s="133"/>
      <c r="G40" s="133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76"/>
      <c r="T40" s="65"/>
      <c r="U40" s="65"/>
      <c r="V40" s="65"/>
      <c r="Y40" s="147"/>
    </row>
    <row r="41" spans="2:32" ht="18.75" customHeight="1" thickBot="1">
      <c r="C41" s="10"/>
      <c r="D41" s="80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73"/>
      <c r="T41" s="65"/>
      <c r="U41" s="65"/>
      <c r="V41" s="65"/>
      <c r="Y41" s="147"/>
    </row>
    <row r="42" spans="2:32" ht="30" customHeight="1">
      <c r="B42" s="11"/>
      <c r="C42" s="28"/>
      <c r="D42" s="81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82"/>
      <c r="T42" s="83"/>
      <c r="U42" s="65"/>
      <c r="V42" s="65"/>
      <c r="W42" s="149"/>
      <c r="X42" s="149"/>
      <c r="Y42" s="147"/>
      <c r="Z42" s="149"/>
    </row>
    <row r="43" spans="2:32" ht="18.75">
      <c r="B43" s="16"/>
      <c r="C43" s="10" t="s">
        <v>456</v>
      </c>
      <c r="D43" s="136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84"/>
      <c r="T43" s="85"/>
      <c r="U43" s="65"/>
      <c r="V43" s="65"/>
      <c r="W43" s="149"/>
      <c r="X43" s="149"/>
      <c r="Y43" s="147"/>
      <c r="Z43" s="149"/>
    </row>
    <row r="44" spans="2:32" s="7" customFormat="1" ht="32.25" customHeight="1">
      <c r="B44" s="29"/>
      <c r="C44" s="24"/>
      <c r="D44" s="893" t="s">
        <v>457</v>
      </c>
      <c r="E44" s="168">
        <v>46113</v>
      </c>
      <c r="F44" s="168">
        <v>46143</v>
      </c>
      <c r="G44" s="168">
        <v>46174</v>
      </c>
      <c r="H44" s="168">
        <v>46204</v>
      </c>
      <c r="I44" s="168">
        <v>46235</v>
      </c>
      <c r="J44" s="168">
        <v>46266</v>
      </c>
      <c r="K44" s="168">
        <v>46296</v>
      </c>
      <c r="L44" s="168">
        <v>46327</v>
      </c>
      <c r="M44" s="168">
        <v>46357</v>
      </c>
      <c r="N44" s="168">
        <v>46388</v>
      </c>
      <c r="O44" s="168">
        <v>46419</v>
      </c>
      <c r="P44" s="168">
        <v>46447</v>
      </c>
      <c r="Q44" s="253" t="s">
        <v>458</v>
      </c>
      <c r="R44" s="86" t="s">
        <v>459</v>
      </c>
      <c r="S44" s="220" t="s">
        <v>33</v>
      </c>
      <c r="T44" s="87"/>
      <c r="U44" s="88"/>
      <c r="V44" s="88"/>
      <c r="W44" s="150"/>
      <c r="X44" s="150"/>
      <c r="Y44" s="150"/>
      <c r="Z44" s="150"/>
    </row>
    <row r="45" spans="2:32" s="7" customFormat="1" ht="18" customHeight="1">
      <c r="B45" s="29"/>
      <c r="C45" s="24"/>
      <c r="D45" s="894"/>
      <c r="E45" s="169" t="s">
        <v>460</v>
      </c>
      <c r="F45" s="170" t="s">
        <v>460</v>
      </c>
      <c r="G45" s="170" t="s">
        <v>460</v>
      </c>
      <c r="H45" s="170" t="s">
        <v>459</v>
      </c>
      <c r="I45" s="170" t="s">
        <v>459</v>
      </c>
      <c r="J45" s="170" t="s">
        <v>459</v>
      </c>
      <c r="K45" s="170" t="s">
        <v>459</v>
      </c>
      <c r="L45" s="170" t="s">
        <v>459</v>
      </c>
      <c r="M45" s="170" t="s">
        <v>459</v>
      </c>
      <c r="N45" s="170" t="s">
        <v>459</v>
      </c>
      <c r="O45" s="170" t="s">
        <v>459</v>
      </c>
      <c r="P45" s="170" t="s">
        <v>459</v>
      </c>
      <c r="Q45" s="254" t="s">
        <v>460</v>
      </c>
      <c r="R45" s="86" t="s">
        <v>461</v>
      </c>
      <c r="S45" s="220"/>
      <c r="T45" s="87"/>
      <c r="U45" s="88"/>
      <c r="V45" s="88"/>
      <c r="W45" s="150"/>
      <c r="X45" s="150"/>
      <c r="Y45" s="150"/>
      <c r="Z45" s="150"/>
    </row>
    <row r="46" spans="2:32" s="7" customFormat="1" ht="18" customHeight="1">
      <c r="B46" s="29"/>
      <c r="C46" s="219" t="s">
        <v>432</v>
      </c>
      <c r="D46" s="89" t="s">
        <v>22</v>
      </c>
      <c r="E46" s="90">
        <f>_xlfn.IFNA(VLOOKUP($D$4,'Summary June 2026'!$A:$GV,13,0),0)</f>
        <v>0</v>
      </c>
      <c r="F46" s="90">
        <f>_xlfn.IFNA(VLOOKUP($D$4,'Summary June 2026'!$A:$GV,29,0),0)</f>
        <v>0</v>
      </c>
      <c r="G46" s="90">
        <f>_xlfn.IFNA(VLOOKUP($D$4,'Summary June 2026'!$A:$GV,45,0),0)</f>
        <v>0</v>
      </c>
      <c r="H46" s="90">
        <f>_xlfn.IFNA(VLOOKUP($D$4,'Summary June 2026'!$A:$GV,61,0),0)</f>
        <v>0</v>
      </c>
      <c r="I46" s="90">
        <f>_xlfn.IFNA(VLOOKUP($D$4,'Summary June 2026'!$A:$GV,77,0),0)</f>
        <v>0</v>
      </c>
      <c r="J46" s="90">
        <f>_xlfn.IFNA(VLOOKUP($D$4,'Summary June 2026'!$A:$GV,93,0),0)</f>
        <v>0</v>
      </c>
      <c r="K46" s="90">
        <f>_xlfn.IFNA(VLOOKUP($D$4,'Summary June 2026'!$A:$GV,109,0),0)</f>
        <v>0</v>
      </c>
      <c r="L46" s="90">
        <f>_xlfn.IFNA(VLOOKUP($D$4,'Summary June 2026'!$A:$GV,125,0),0)</f>
        <v>0</v>
      </c>
      <c r="M46" s="90">
        <f>_xlfn.IFNA(VLOOKUP($D$4,'Summary June 2026'!$A:$GV,141,0),0)</f>
        <v>0</v>
      </c>
      <c r="N46" s="90">
        <f>_xlfn.IFNA(VLOOKUP($D$4,'Summary June 2026'!$A:$GV,157,0),0)</f>
        <v>0</v>
      </c>
      <c r="O46" s="90">
        <f>_xlfn.IFNA(VLOOKUP($D$4,'Summary June 2026'!$A:$GV,173,0),0)</f>
        <v>0</v>
      </c>
      <c r="P46" s="90">
        <f>_xlfn.IFNA(VLOOKUP($D$4,'Summary June 2026'!$A:$GV,189,0),0)</f>
        <v>0</v>
      </c>
      <c r="Q46" s="255">
        <f>SUMIF($E$45:$P$45,$Q$45,E46:P46)</f>
        <v>0</v>
      </c>
      <c r="R46" s="92"/>
      <c r="S46" s="221">
        <f>SUM(E46:P46)+R46</f>
        <v>0</v>
      </c>
      <c r="T46" s="93"/>
      <c r="U46" s="88"/>
      <c r="V46" s="88"/>
      <c r="W46" s="151"/>
      <c r="X46" s="152"/>
      <c r="Y46" s="150"/>
      <c r="Z46" s="150"/>
    </row>
    <row r="47" spans="2:32" s="7" customFormat="1" ht="18" customHeight="1">
      <c r="B47" s="29"/>
      <c r="C47" s="219" t="s">
        <v>10</v>
      </c>
      <c r="D47" s="243" t="s">
        <v>24</v>
      </c>
      <c r="E47" s="90">
        <f>_xlfn.IFNA(VLOOKUP($D$4,'Summary June 2026'!$A:$GV,24,0),0)</f>
        <v>0</v>
      </c>
      <c r="F47" s="90">
        <f>_xlfn.IFNA(VLOOKUP($D$4,'Summary June 2026'!$A:$GV,40,0),0)</f>
        <v>0</v>
      </c>
      <c r="G47" s="90">
        <f>_xlfn.IFNA(VLOOKUP($D$4,'Summary June 2026'!$A:$GV,56,0),0)</f>
        <v>0</v>
      </c>
      <c r="H47" s="90">
        <f>_xlfn.IFNA(VLOOKUP($D$4,'Summary June 2026'!$A:$GV,72,0),0)</f>
        <v>0</v>
      </c>
      <c r="I47" s="90">
        <f>_xlfn.IFNA(VLOOKUP($D$4,'Summary June 2026'!$A:$GV,88,0),0)</f>
        <v>0</v>
      </c>
      <c r="J47" s="90">
        <f>_xlfn.IFNA(VLOOKUP($D$4,'Summary June 2026'!$A:$GV,104,0),0)</f>
        <v>0</v>
      </c>
      <c r="K47" s="90">
        <f>_xlfn.IFNA(VLOOKUP($D$4,'Summary June 2026'!$A:$GV,120,0),0)</f>
        <v>0</v>
      </c>
      <c r="L47" s="90">
        <f>_xlfn.IFNA(VLOOKUP($D$4,'Summary June 2026'!$A:$GV,136,0),0)</f>
        <v>0</v>
      </c>
      <c r="M47" s="90">
        <f>_xlfn.IFNA(VLOOKUP($D$4,'Summary June 2026'!$A:$GV,152,0),0)</f>
        <v>0</v>
      </c>
      <c r="N47" s="90">
        <f>_xlfn.IFNA(VLOOKUP($D$4,'Summary June 2026'!$A:$GV,168,0),0)</f>
        <v>0</v>
      </c>
      <c r="O47" s="90">
        <f>_xlfn.IFNA(VLOOKUP($D$4,'Summary June 2026'!$A:$GV,184,0),0)</f>
        <v>0</v>
      </c>
      <c r="P47" s="90">
        <f>_xlfn.IFNA(VLOOKUP($D$4,'Summary June 2026'!$A:$GV,200,0),0)</f>
        <v>0</v>
      </c>
      <c r="Q47" s="255">
        <f t="shared" ref="Q47:Q48" si="5">SUMIF($E$45:$P$45,$Q$45,E47:P47)</f>
        <v>0</v>
      </c>
      <c r="R47" s="92"/>
      <c r="S47" s="114">
        <f t="shared" ref="S47" si="6">SUM(E47:P47)+R47</f>
        <v>0</v>
      </c>
      <c r="T47" s="101"/>
      <c r="U47" s="88"/>
      <c r="V47" s="88"/>
      <c r="W47" s="151"/>
      <c r="X47" s="152"/>
      <c r="Y47" s="150"/>
      <c r="Z47" s="150"/>
    </row>
    <row r="48" spans="2:32" s="7" customFormat="1" ht="18" customHeight="1">
      <c r="B48" s="29"/>
      <c r="C48" s="219" t="s">
        <v>434</v>
      </c>
      <c r="D48" s="243" t="s">
        <v>23</v>
      </c>
      <c r="E48" s="90">
        <f>_xlfn.IFNA(VLOOKUP($D$4,'Summary June 2026'!$A:$GV,23,0),0)</f>
        <v>0</v>
      </c>
      <c r="F48" s="90">
        <f>_xlfn.IFNA(VLOOKUP($D$4,'Summary June 2026'!$A:$GV,39,0),0)</f>
        <v>0</v>
      </c>
      <c r="G48" s="90">
        <f>_xlfn.IFNA(VLOOKUP($D$4,'Summary June 2026'!$A:$GV,55,0),0)</f>
        <v>0</v>
      </c>
      <c r="H48" s="90">
        <f>_xlfn.IFNA(VLOOKUP($D$4,'Summary June 2026'!$A:$GV,71,0),0)</f>
        <v>0</v>
      </c>
      <c r="I48" s="90">
        <f>_xlfn.IFNA(VLOOKUP($D$4,'Summary June 2026'!$A:$GV,87,0),0)</f>
        <v>0</v>
      </c>
      <c r="J48" s="90">
        <f>_xlfn.IFNA(VLOOKUP($D$4,'Summary June 2026'!$A:$GV,103,0),0)</f>
        <v>0</v>
      </c>
      <c r="K48" s="90">
        <f>_xlfn.IFNA(VLOOKUP($D$4,'Summary June 2026'!$A:$GV,119,0),0)</f>
        <v>0</v>
      </c>
      <c r="L48" s="90">
        <f>_xlfn.IFNA(VLOOKUP($D$4,'Summary June 2026'!$A:$GV,135,0),0)</f>
        <v>0</v>
      </c>
      <c r="M48" s="90">
        <f>_xlfn.IFNA(VLOOKUP($D$4,'Summary June 2026'!$A:$GV,151,0),0)</f>
        <v>0</v>
      </c>
      <c r="N48" s="90">
        <f>_xlfn.IFNA(VLOOKUP($D$4,'Summary June 2026'!$A:$GV,167,0),0)</f>
        <v>0</v>
      </c>
      <c r="O48" s="90">
        <f>_xlfn.IFNA(VLOOKUP($D$4,'Summary June 2026'!$A:$GV,183,0),0)</f>
        <v>0</v>
      </c>
      <c r="P48" s="90">
        <f>_xlfn.IFNA(VLOOKUP($D$4,'Summary June 2026'!$A:$GV,199,0),0)</f>
        <v>0</v>
      </c>
      <c r="Q48" s="255">
        <f t="shared" si="5"/>
        <v>0</v>
      </c>
      <c r="R48" s="92"/>
      <c r="S48" s="114">
        <f>SUM(E48:P48)+R48</f>
        <v>0</v>
      </c>
      <c r="T48" s="101"/>
      <c r="U48" s="88"/>
      <c r="V48" s="88"/>
      <c r="W48" s="151"/>
      <c r="X48" s="152"/>
      <c r="Y48" s="150"/>
      <c r="Z48" s="150"/>
    </row>
    <row r="49" spans="2:26" ht="18" customHeight="1">
      <c r="B49" s="16"/>
      <c r="C49" s="69" t="s">
        <v>435</v>
      </c>
      <c r="D49" s="75">
        <f>SUM(D46:D46)</f>
        <v>0</v>
      </c>
      <c r="E49" s="130">
        <f>SUM(E46:E48)</f>
        <v>0</v>
      </c>
      <c r="F49" s="130">
        <f t="shared" ref="F49:P49" si="7">SUM(F46:F48)</f>
        <v>0</v>
      </c>
      <c r="G49" s="130">
        <f t="shared" si="7"/>
        <v>0</v>
      </c>
      <c r="H49" s="130">
        <f t="shared" si="7"/>
        <v>0</v>
      </c>
      <c r="I49" s="130">
        <f>SUM(I46:I48)</f>
        <v>0</v>
      </c>
      <c r="J49" s="130">
        <f t="shared" si="7"/>
        <v>0</v>
      </c>
      <c r="K49" s="130">
        <f t="shared" si="7"/>
        <v>0</v>
      </c>
      <c r="L49" s="130">
        <f t="shared" si="7"/>
        <v>0</v>
      </c>
      <c r="M49" s="130">
        <f t="shared" si="7"/>
        <v>0</v>
      </c>
      <c r="N49" s="130">
        <f t="shared" si="7"/>
        <v>0</v>
      </c>
      <c r="O49" s="130">
        <f t="shared" si="7"/>
        <v>0</v>
      </c>
      <c r="P49" s="130">
        <f t="shared" si="7"/>
        <v>0</v>
      </c>
      <c r="Q49" s="255">
        <f t="shared" ref="Q49:Q60" si="8">SUMIF($E$45:$P$45,$Q$45,E49:P49)</f>
        <v>0</v>
      </c>
      <c r="R49" s="171"/>
      <c r="S49" s="222">
        <f>SUM(S46:S48)</f>
        <v>0</v>
      </c>
      <c r="T49" s="138"/>
      <c r="U49" s="65"/>
      <c r="V49" s="88"/>
      <c r="W49" s="147"/>
    </row>
    <row r="50" spans="2:26" s="7" customFormat="1" ht="18" customHeight="1">
      <c r="B50" s="29"/>
      <c r="C50" s="20" t="s">
        <v>436</v>
      </c>
      <c r="D50" s="89" t="s">
        <v>22</v>
      </c>
      <c r="E50" s="90">
        <f>$D$18/12</f>
        <v>0</v>
      </c>
      <c r="F50" s="90">
        <f t="shared" ref="F50:P50" si="9">$D$18/12</f>
        <v>0</v>
      </c>
      <c r="G50" s="90">
        <f t="shared" si="9"/>
        <v>0</v>
      </c>
      <c r="H50" s="90">
        <f t="shared" si="9"/>
        <v>0</v>
      </c>
      <c r="I50" s="90">
        <f t="shared" si="9"/>
        <v>0</v>
      </c>
      <c r="J50" s="90">
        <f t="shared" si="9"/>
        <v>0</v>
      </c>
      <c r="K50" s="90">
        <f t="shared" si="9"/>
        <v>0</v>
      </c>
      <c r="L50" s="90">
        <f t="shared" si="9"/>
        <v>0</v>
      </c>
      <c r="M50" s="90">
        <f t="shared" si="9"/>
        <v>0</v>
      </c>
      <c r="N50" s="90">
        <f t="shared" si="9"/>
        <v>0</v>
      </c>
      <c r="O50" s="90">
        <f t="shared" si="9"/>
        <v>0</v>
      </c>
      <c r="P50" s="90">
        <f t="shared" si="9"/>
        <v>0</v>
      </c>
      <c r="Q50" s="252">
        <f>SUMIF($E$45:$P$45,$Q$45,E50:P50)</f>
        <v>0</v>
      </c>
      <c r="R50" s="92"/>
      <c r="S50" s="221">
        <f t="shared" ref="S50:S55" si="10">SUM(E50:P50)+R50</f>
        <v>0</v>
      </c>
      <c r="T50" s="93"/>
      <c r="U50" s="88"/>
      <c r="V50" s="88"/>
      <c r="W50" s="151"/>
      <c r="X50" s="152"/>
      <c r="Y50" s="150"/>
      <c r="Z50" s="150"/>
    </row>
    <row r="51" spans="2:26" s="7" customFormat="1" ht="18" customHeight="1">
      <c r="B51" s="29"/>
      <c r="C51" s="20" t="s">
        <v>437</v>
      </c>
      <c r="D51" s="89" t="s">
        <v>26</v>
      </c>
      <c r="E51" s="90">
        <f>$D$19/12</f>
        <v>0</v>
      </c>
      <c r="F51" s="90">
        <f t="shared" ref="F51:P51" si="11">$D$19/12</f>
        <v>0</v>
      </c>
      <c r="G51" s="90">
        <f t="shared" si="11"/>
        <v>0</v>
      </c>
      <c r="H51" s="90">
        <f t="shared" si="11"/>
        <v>0</v>
      </c>
      <c r="I51" s="90">
        <f t="shared" si="11"/>
        <v>0</v>
      </c>
      <c r="J51" s="90">
        <f t="shared" si="11"/>
        <v>0</v>
      </c>
      <c r="K51" s="90">
        <f t="shared" si="11"/>
        <v>0</v>
      </c>
      <c r="L51" s="90">
        <f t="shared" si="11"/>
        <v>0</v>
      </c>
      <c r="M51" s="90">
        <f t="shared" si="11"/>
        <v>0</v>
      </c>
      <c r="N51" s="90">
        <f t="shared" si="11"/>
        <v>0</v>
      </c>
      <c r="O51" s="90">
        <f t="shared" si="11"/>
        <v>0</v>
      </c>
      <c r="P51" s="90">
        <f t="shared" si="11"/>
        <v>0</v>
      </c>
      <c r="Q51" s="252">
        <f>SUMIF($E$45:$P$45,$Q$45,E51:P51)</f>
        <v>0</v>
      </c>
      <c r="R51" s="92"/>
      <c r="S51" s="221">
        <f t="shared" si="10"/>
        <v>0</v>
      </c>
      <c r="T51" s="93"/>
      <c r="U51" s="88"/>
      <c r="V51" s="88"/>
      <c r="W51" s="151"/>
      <c r="X51" s="152"/>
      <c r="Y51" s="150"/>
      <c r="Z51" s="150"/>
    </row>
    <row r="52" spans="2:26" s="7" customFormat="1" ht="18" customHeight="1">
      <c r="B52" s="29"/>
      <c r="C52" s="20" t="s">
        <v>462</v>
      </c>
      <c r="D52" s="89" t="s">
        <v>25</v>
      </c>
      <c r="E52" s="90">
        <f>_xlfn.IFNA(VLOOKUP($D$4,'Summary June 2026'!$A:$GV,21,0),0)</f>
        <v>0</v>
      </c>
      <c r="F52" s="90">
        <f>_xlfn.IFNA(VLOOKUP($D$4,'Summary June 2026'!$A:$GV,37,0),0)</f>
        <v>0</v>
      </c>
      <c r="G52" s="90">
        <f>($D$20-$E$52-$F$52)/10+G20</f>
        <v>0</v>
      </c>
      <c r="H52" s="90">
        <f t="shared" ref="H52:P52" si="12">($D$20-$E$52-$F$52)/10</f>
        <v>0</v>
      </c>
      <c r="I52" s="90">
        <f t="shared" si="12"/>
        <v>0</v>
      </c>
      <c r="J52" s="90">
        <f t="shared" si="12"/>
        <v>0</v>
      </c>
      <c r="K52" s="90">
        <f t="shared" si="12"/>
        <v>0</v>
      </c>
      <c r="L52" s="90">
        <f t="shared" si="12"/>
        <v>0</v>
      </c>
      <c r="M52" s="90">
        <f t="shared" si="12"/>
        <v>0</v>
      </c>
      <c r="N52" s="90">
        <f t="shared" si="12"/>
        <v>0</v>
      </c>
      <c r="O52" s="90">
        <f t="shared" si="12"/>
        <v>0</v>
      </c>
      <c r="P52" s="90">
        <f t="shared" si="12"/>
        <v>0</v>
      </c>
      <c r="Q52" s="252">
        <f>SUMIF($E$45:$P$45,$Q$45,E52:P52)</f>
        <v>0</v>
      </c>
      <c r="R52" s="92"/>
      <c r="S52" s="221">
        <f t="shared" si="10"/>
        <v>0</v>
      </c>
      <c r="T52" s="93"/>
      <c r="U52" s="88"/>
      <c r="V52" s="88"/>
      <c r="W52" s="151"/>
      <c r="X52" s="152"/>
      <c r="Y52" s="150"/>
      <c r="Z52" s="150"/>
    </row>
    <row r="53" spans="2:26" s="7" customFormat="1" ht="18" customHeight="1">
      <c r="B53" s="29"/>
      <c r="C53" s="20" t="s">
        <v>439</v>
      </c>
      <c r="D53" s="89" t="s">
        <v>22</v>
      </c>
      <c r="E53" s="90">
        <f>$D$21/12</f>
        <v>0</v>
      </c>
      <c r="F53" s="90">
        <f>$D$21/12+F21</f>
        <v>0</v>
      </c>
      <c r="G53" s="90">
        <f>$D$21/12+G21</f>
        <v>0</v>
      </c>
      <c r="H53" s="90">
        <f t="shared" ref="H53:P53" si="13">$D$21/12</f>
        <v>0</v>
      </c>
      <c r="I53" s="90">
        <f t="shared" si="13"/>
        <v>0</v>
      </c>
      <c r="J53" s="90">
        <f t="shared" si="13"/>
        <v>0</v>
      </c>
      <c r="K53" s="90">
        <f t="shared" si="13"/>
        <v>0</v>
      </c>
      <c r="L53" s="90">
        <f t="shared" si="13"/>
        <v>0</v>
      </c>
      <c r="M53" s="90">
        <f t="shared" si="13"/>
        <v>0</v>
      </c>
      <c r="N53" s="90">
        <f t="shared" si="13"/>
        <v>0</v>
      </c>
      <c r="O53" s="90">
        <f t="shared" si="13"/>
        <v>0</v>
      </c>
      <c r="P53" s="90">
        <f t="shared" si="13"/>
        <v>0</v>
      </c>
      <c r="Q53" s="252">
        <f t="shared" ref="Q53:Q55" si="14">SUMIF($E$45:$P$45,$Q$45,E53:P53)</f>
        <v>0</v>
      </c>
      <c r="R53" s="92"/>
      <c r="S53" s="221">
        <f t="shared" si="10"/>
        <v>0</v>
      </c>
      <c r="T53" s="93"/>
      <c r="U53" s="88"/>
      <c r="V53" s="88"/>
      <c r="W53" s="151"/>
      <c r="X53" s="152"/>
      <c r="Y53" s="150"/>
      <c r="Z53" s="150"/>
    </row>
    <row r="54" spans="2:26" s="7" customFormat="1" ht="18" customHeight="1">
      <c r="B54" s="29"/>
      <c r="C54" s="20" t="s">
        <v>463</v>
      </c>
      <c r="D54" s="243" t="s">
        <v>25</v>
      </c>
      <c r="E54" s="90">
        <f>_xlfn.IFNA(VLOOKUP($D$4,'Summary June 2026'!$A:$GV,22,0),0)</f>
        <v>0</v>
      </c>
      <c r="F54" s="90">
        <f>_xlfn.IFNA(VLOOKUP($D$4,'Summary June 2026'!$A:$GV,38,0),0)</f>
        <v>0</v>
      </c>
      <c r="G54" s="90">
        <f>($D$22-$E$54-$F$54)/10+G22</f>
        <v>0</v>
      </c>
      <c r="H54" s="90">
        <f t="shared" ref="H54:P54" si="15">($D$22-$E$54-$F$54)/10</f>
        <v>0</v>
      </c>
      <c r="I54" s="90">
        <f t="shared" si="15"/>
        <v>0</v>
      </c>
      <c r="J54" s="90">
        <f t="shared" si="15"/>
        <v>0</v>
      </c>
      <c r="K54" s="90">
        <f t="shared" si="15"/>
        <v>0</v>
      </c>
      <c r="L54" s="90">
        <f t="shared" si="15"/>
        <v>0</v>
      </c>
      <c r="M54" s="90">
        <f t="shared" si="15"/>
        <v>0</v>
      </c>
      <c r="N54" s="90">
        <f t="shared" si="15"/>
        <v>0</v>
      </c>
      <c r="O54" s="90">
        <f t="shared" si="15"/>
        <v>0</v>
      </c>
      <c r="P54" s="90">
        <f t="shared" si="15"/>
        <v>0</v>
      </c>
      <c r="Q54" s="252">
        <f t="shared" si="14"/>
        <v>0</v>
      </c>
      <c r="R54" s="92"/>
      <c r="S54" s="221">
        <f t="shared" si="10"/>
        <v>0</v>
      </c>
      <c r="T54" s="93"/>
      <c r="U54" s="88"/>
      <c r="V54" s="88"/>
      <c r="W54" s="151"/>
      <c r="X54" s="152"/>
      <c r="Y54" s="150"/>
      <c r="Z54" s="150"/>
    </row>
    <row r="55" spans="2:26" s="7" customFormat="1" ht="18" customHeight="1">
      <c r="B55" s="29"/>
      <c r="C55" s="20" t="s">
        <v>464</v>
      </c>
      <c r="D55" s="243" t="s">
        <v>22</v>
      </c>
      <c r="E55" s="90">
        <f t="shared" ref="E55:E61" si="16">E23*80%</f>
        <v>0</v>
      </c>
      <c r="F55" s="90"/>
      <c r="G55" s="90"/>
      <c r="H55" s="90"/>
      <c r="I55" s="90"/>
      <c r="J55" s="90">
        <f t="shared" ref="J55:J61" si="17">(J23*80%)</f>
        <v>0</v>
      </c>
      <c r="K55" s="90"/>
      <c r="L55" s="90"/>
      <c r="M55" s="90"/>
      <c r="N55" s="90">
        <f t="shared" ref="N55:N61" si="18">N23*80%</f>
        <v>0</v>
      </c>
      <c r="O55" s="90"/>
      <c r="P55" s="90"/>
      <c r="Q55" s="252">
        <f t="shared" si="14"/>
        <v>0</v>
      </c>
      <c r="R55" s="92"/>
      <c r="S55" s="221">
        <f t="shared" si="10"/>
        <v>0</v>
      </c>
      <c r="T55" s="93"/>
      <c r="U55" s="88"/>
      <c r="V55" s="88"/>
      <c r="W55" s="151"/>
      <c r="X55" s="152"/>
      <c r="Y55" s="150"/>
      <c r="Z55" s="150"/>
    </row>
    <row r="56" spans="2:26" s="7" customFormat="1" ht="18" customHeight="1">
      <c r="B56" s="29"/>
      <c r="C56" s="48" t="s">
        <v>465</v>
      </c>
      <c r="D56" s="89" t="s">
        <v>22</v>
      </c>
      <c r="E56" s="90">
        <f t="shared" si="16"/>
        <v>0</v>
      </c>
      <c r="F56" s="90"/>
      <c r="G56" s="90"/>
      <c r="H56" s="90"/>
      <c r="I56" s="90"/>
      <c r="J56" s="90">
        <f t="shared" si="17"/>
        <v>0</v>
      </c>
      <c r="K56" s="90"/>
      <c r="L56" s="90"/>
      <c r="M56" s="90"/>
      <c r="N56" s="90">
        <f t="shared" si="18"/>
        <v>0</v>
      </c>
      <c r="O56" s="90"/>
      <c r="P56" s="90"/>
      <c r="Q56" s="252">
        <f t="shared" si="8"/>
        <v>0</v>
      </c>
      <c r="R56" s="92"/>
      <c r="S56" s="221">
        <f>SUM(E56:P56)+R56</f>
        <v>0</v>
      </c>
      <c r="T56" s="93"/>
      <c r="U56" s="88"/>
      <c r="V56" s="88"/>
      <c r="W56" s="151"/>
      <c r="X56" s="152"/>
      <c r="Y56" s="150"/>
      <c r="Z56" s="150"/>
    </row>
    <row r="57" spans="2:26" s="7" customFormat="1" ht="18" customHeight="1">
      <c r="B57" s="29"/>
      <c r="C57" s="48" t="s">
        <v>466</v>
      </c>
      <c r="D57" s="89" t="s">
        <v>22</v>
      </c>
      <c r="E57" s="90">
        <f t="shared" si="16"/>
        <v>0</v>
      </c>
      <c r="F57" s="90"/>
      <c r="G57" s="90"/>
      <c r="H57" s="90"/>
      <c r="I57" s="90"/>
      <c r="J57" s="90">
        <f t="shared" si="17"/>
        <v>0</v>
      </c>
      <c r="K57" s="90"/>
      <c r="L57" s="90"/>
      <c r="M57" s="90"/>
      <c r="N57" s="90">
        <f t="shared" si="18"/>
        <v>0</v>
      </c>
      <c r="O57" s="90"/>
      <c r="P57" s="90"/>
      <c r="Q57" s="252">
        <f t="shared" si="8"/>
        <v>0</v>
      </c>
      <c r="R57" s="92"/>
      <c r="S57" s="221">
        <f>SUM(E57:P57)+R57</f>
        <v>0</v>
      </c>
      <c r="T57" s="93"/>
      <c r="U57" s="88"/>
      <c r="V57" s="88"/>
      <c r="W57" s="151"/>
      <c r="X57" s="152"/>
      <c r="Y57" s="150"/>
      <c r="Z57" s="150"/>
    </row>
    <row r="58" spans="2:26" s="7" customFormat="1" ht="18" customHeight="1">
      <c r="B58" s="29"/>
      <c r="C58" s="48" t="s">
        <v>467</v>
      </c>
      <c r="D58" s="89" t="s">
        <v>22</v>
      </c>
      <c r="E58" s="90">
        <f t="shared" si="16"/>
        <v>0</v>
      </c>
      <c r="F58" s="90"/>
      <c r="G58" s="90"/>
      <c r="H58" s="90"/>
      <c r="I58" s="90"/>
      <c r="J58" s="90">
        <f t="shared" si="17"/>
        <v>0</v>
      </c>
      <c r="K58" s="90"/>
      <c r="L58" s="90"/>
      <c r="M58" s="90"/>
      <c r="N58" s="90">
        <f t="shared" si="18"/>
        <v>0</v>
      </c>
      <c r="O58" s="90"/>
      <c r="P58" s="90"/>
      <c r="Q58" s="252">
        <f t="shared" si="8"/>
        <v>0</v>
      </c>
      <c r="R58" s="92"/>
      <c r="S58" s="221">
        <f t="shared" ref="S58:S61" si="19">SUM(E58:P58)+R58</f>
        <v>0</v>
      </c>
      <c r="T58" s="93"/>
      <c r="U58" s="88"/>
      <c r="V58" s="88"/>
      <c r="W58" s="151"/>
      <c r="X58" s="152"/>
      <c r="Y58" s="150"/>
      <c r="Z58" s="150"/>
    </row>
    <row r="59" spans="2:26" s="7" customFormat="1" ht="18" customHeight="1">
      <c r="B59" s="29"/>
      <c r="C59" s="48" t="s">
        <v>468</v>
      </c>
      <c r="D59" s="89" t="s">
        <v>22</v>
      </c>
      <c r="E59" s="90">
        <f t="shared" si="16"/>
        <v>0</v>
      </c>
      <c r="F59" s="90"/>
      <c r="G59" s="90"/>
      <c r="H59" s="90"/>
      <c r="I59" s="90"/>
      <c r="J59" s="90">
        <f t="shared" si="17"/>
        <v>0</v>
      </c>
      <c r="K59" s="90"/>
      <c r="L59" s="90"/>
      <c r="M59" s="90"/>
      <c r="N59" s="90">
        <f t="shared" si="18"/>
        <v>0</v>
      </c>
      <c r="O59" s="90"/>
      <c r="P59" s="90"/>
      <c r="Q59" s="252">
        <f t="shared" si="8"/>
        <v>0</v>
      </c>
      <c r="R59" s="92"/>
      <c r="S59" s="221">
        <f t="shared" si="19"/>
        <v>0</v>
      </c>
      <c r="T59" s="93"/>
      <c r="U59" s="88"/>
      <c r="V59" s="88"/>
      <c r="W59" s="151"/>
      <c r="X59" s="152"/>
      <c r="Y59" s="150"/>
      <c r="Z59" s="150"/>
    </row>
    <row r="60" spans="2:26" s="7" customFormat="1" ht="18" customHeight="1">
      <c r="B60" s="29"/>
      <c r="C60" s="48" t="s">
        <v>469</v>
      </c>
      <c r="D60" s="89" t="s">
        <v>22</v>
      </c>
      <c r="E60" s="90">
        <f t="shared" si="16"/>
        <v>0</v>
      </c>
      <c r="F60" s="90"/>
      <c r="G60" s="90"/>
      <c r="H60" s="90"/>
      <c r="I60" s="90"/>
      <c r="J60" s="90">
        <f t="shared" si="17"/>
        <v>0</v>
      </c>
      <c r="K60" s="90"/>
      <c r="L60" s="90"/>
      <c r="M60" s="90"/>
      <c r="N60" s="90">
        <f t="shared" si="18"/>
        <v>0</v>
      </c>
      <c r="O60" s="90"/>
      <c r="P60" s="90"/>
      <c r="Q60" s="252">
        <f t="shared" si="8"/>
        <v>0</v>
      </c>
      <c r="R60" s="92"/>
      <c r="S60" s="221">
        <f>SUM(E60:P60)+R60</f>
        <v>0</v>
      </c>
      <c r="T60" s="93"/>
      <c r="U60" s="88"/>
      <c r="V60" s="95"/>
      <c r="W60" s="151"/>
      <c r="X60" s="152"/>
      <c r="Y60" s="150"/>
      <c r="Z60" s="150"/>
    </row>
    <row r="61" spans="2:26" s="7" customFormat="1" ht="18" customHeight="1">
      <c r="B61" s="29"/>
      <c r="C61" s="48" t="s">
        <v>470</v>
      </c>
      <c r="D61" s="89" t="s">
        <v>25</v>
      </c>
      <c r="E61" s="90">
        <f t="shared" si="16"/>
        <v>0</v>
      </c>
      <c r="F61" s="90"/>
      <c r="G61" s="90"/>
      <c r="H61" s="90"/>
      <c r="I61" s="90"/>
      <c r="J61" s="90">
        <f t="shared" si="17"/>
        <v>0</v>
      </c>
      <c r="K61" s="90"/>
      <c r="L61" s="90"/>
      <c r="M61" s="90"/>
      <c r="N61" s="90">
        <f t="shared" si="18"/>
        <v>0</v>
      </c>
      <c r="O61" s="90"/>
      <c r="P61" s="90"/>
      <c r="Q61" s="252">
        <f t="shared" ref="Q61:Q68" si="20">SUMIF($E$45:$P$45,$Q$45,E61:P61)</f>
        <v>0</v>
      </c>
      <c r="R61" s="92"/>
      <c r="S61" s="221">
        <f t="shared" si="19"/>
        <v>0</v>
      </c>
      <c r="T61" s="93"/>
      <c r="U61" s="88"/>
      <c r="V61" s="95"/>
      <c r="W61" s="151"/>
      <c r="X61" s="152"/>
      <c r="Y61" s="150"/>
      <c r="Z61" s="150"/>
    </row>
    <row r="62" spans="2:26" s="7" customFormat="1" ht="18" customHeight="1">
      <c r="B62" s="29"/>
      <c r="C62" s="48" t="s">
        <v>449</v>
      </c>
      <c r="D62" s="89" t="s">
        <v>22</v>
      </c>
      <c r="E62" s="90">
        <f>D30</f>
        <v>0</v>
      </c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252">
        <f t="shared" si="20"/>
        <v>0</v>
      </c>
      <c r="R62" s="92"/>
      <c r="S62" s="221">
        <f>SUM(E62:P62)+R62</f>
        <v>0</v>
      </c>
      <c r="T62" s="93"/>
      <c r="U62" s="88"/>
      <c r="V62" s="95"/>
      <c r="W62" s="151"/>
      <c r="X62" s="152"/>
      <c r="Y62" s="150"/>
      <c r="Z62" s="150"/>
    </row>
    <row r="63" spans="2:26" s="7" customFormat="1" ht="18" customHeight="1">
      <c r="B63" s="29"/>
      <c r="C63" s="48" t="s">
        <v>471</v>
      </c>
      <c r="D63" s="89" t="s">
        <v>22</v>
      </c>
      <c r="E63" s="90"/>
      <c r="F63" s="90"/>
      <c r="G63" s="90">
        <f>_xlfn.IFNA(VLOOKUP($D$4,EY!$A:$BZ,40,FALSE),0)</f>
        <v>0</v>
      </c>
      <c r="H63" s="90"/>
      <c r="I63" s="90"/>
      <c r="J63" s="90"/>
      <c r="K63" s="90"/>
      <c r="L63" s="90"/>
      <c r="M63" s="90"/>
      <c r="N63" s="90"/>
      <c r="O63" s="90"/>
      <c r="P63" s="90"/>
      <c r="Q63" s="252">
        <f t="shared" si="20"/>
        <v>0</v>
      </c>
      <c r="R63" s="92"/>
      <c r="S63" s="114">
        <f t="shared" ref="S63:S64" si="21">SUM(E63:P63)+R63</f>
        <v>0</v>
      </c>
      <c r="T63" s="101"/>
      <c r="U63" s="88"/>
      <c r="V63" s="775"/>
      <c r="W63" s="151"/>
      <c r="X63" s="152"/>
      <c r="Y63" s="150"/>
      <c r="Z63" s="150"/>
    </row>
    <row r="64" spans="2:26" s="7" customFormat="1" ht="18" customHeight="1">
      <c r="B64" s="29"/>
      <c r="C64" s="48" t="s">
        <v>471</v>
      </c>
      <c r="D64" s="89" t="s">
        <v>25</v>
      </c>
      <c r="E64" s="90"/>
      <c r="F64" s="90"/>
      <c r="G64" s="90">
        <f>_xlfn.IFNA(VLOOKUP($D$4,EY!$A:$BZ,41,FALSE),0)</f>
        <v>0</v>
      </c>
      <c r="H64" s="90"/>
      <c r="I64" s="90"/>
      <c r="J64" s="90"/>
      <c r="K64" s="90"/>
      <c r="L64" s="90"/>
      <c r="M64" s="90"/>
      <c r="N64" s="90"/>
      <c r="O64" s="90"/>
      <c r="P64" s="90"/>
      <c r="Q64" s="252">
        <f t="shared" si="20"/>
        <v>0</v>
      </c>
      <c r="R64" s="92"/>
      <c r="S64" s="114">
        <f t="shared" si="21"/>
        <v>0</v>
      </c>
      <c r="T64" s="101"/>
      <c r="U64" s="88"/>
      <c r="V64" s="95"/>
      <c r="W64" s="151"/>
      <c r="X64" s="152"/>
      <c r="Y64" s="150"/>
      <c r="Z64" s="150"/>
    </row>
    <row r="65" spans="1:27" ht="18" customHeight="1">
      <c r="B65" s="16"/>
      <c r="C65" s="69" t="s">
        <v>472</v>
      </c>
      <c r="D65" s="75">
        <f>SUM(D50:D64)</f>
        <v>0</v>
      </c>
      <c r="E65" s="112">
        <f t="shared" ref="E65:P65" si="22">SUM(E49:E64)</f>
        <v>0</v>
      </c>
      <c r="F65" s="112">
        <f t="shared" si="22"/>
        <v>0</v>
      </c>
      <c r="G65" s="112">
        <f t="shared" si="22"/>
        <v>0</v>
      </c>
      <c r="H65" s="112">
        <f t="shared" si="22"/>
        <v>0</v>
      </c>
      <c r="I65" s="112">
        <f t="shared" si="22"/>
        <v>0</v>
      </c>
      <c r="J65" s="112">
        <f t="shared" si="22"/>
        <v>0</v>
      </c>
      <c r="K65" s="112">
        <f t="shared" si="22"/>
        <v>0</v>
      </c>
      <c r="L65" s="112">
        <f t="shared" si="22"/>
        <v>0</v>
      </c>
      <c r="M65" s="112">
        <f t="shared" si="22"/>
        <v>0</v>
      </c>
      <c r="N65" s="112">
        <f t="shared" si="22"/>
        <v>0</v>
      </c>
      <c r="O65" s="112">
        <f t="shared" si="22"/>
        <v>0</v>
      </c>
      <c r="P65" s="112">
        <f t="shared" si="22"/>
        <v>0</v>
      </c>
      <c r="Q65" s="255">
        <f t="shared" si="20"/>
        <v>0</v>
      </c>
      <c r="R65" s="130">
        <f>SUM(R49:R62)</f>
        <v>0</v>
      </c>
      <c r="S65" s="131">
        <f>SUM(E65:P65)+R65</f>
        <v>0</v>
      </c>
      <c r="T65" s="138"/>
      <c r="U65" s="65"/>
      <c r="V65" s="65"/>
    </row>
    <row r="66" spans="1:27" ht="18" customHeight="1">
      <c r="B66" s="16"/>
      <c r="C66" s="20" t="s">
        <v>473</v>
      </c>
      <c r="D66" s="89" t="s">
        <v>26</v>
      </c>
      <c r="E66" s="90">
        <f>$D$33/4</f>
        <v>0</v>
      </c>
      <c r="F66" s="90">
        <f t="shared" ref="F66:H66" si="23">$D$33/4</f>
        <v>0</v>
      </c>
      <c r="G66" s="90">
        <f t="shared" si="23"/>
        <v>0</v>
      </c>
      <c r="H66" s="90">
        <f t="shared" si="23"/>
        <v>0</v>
      </c>
      <c r="I66" s="90">
        <f>$D$34/8</f>
        <v>0</v>
      </c>
      <c r="J66" s="90">
        <f t="shared" ref="J66:P66" si="24">$D$34/8</f>
        <v>0</v>
      </c>
      <c r="K66" s="90">
        <f t="shared" si="24"/>
        <v>0</v>
      </c>
      <c r="L66" s="90">
        <f t="shared" si="24"/>
        <v>0</v>
      </c>
      <c r="M66" s="90">
        <f t="shared" si="24"/>
        <v>0</v>
      </c>
      <c r="N66" s="90">
        <f t="shared" si="24"/>
        <v>0</v>
      </c>
      <c r="O66" s="90">
        <f t="shared" si="24"/>
        <v>0</v>
      </c>
      <c r="P66" s="90">
        <f t="shared" si="24"/>
        <v>0</v>
      </c>
      <c r="Q66" s="252">
        <f t="shared" si="20"/>
        <v>0</v>
      </c>
      <c r="R66" s="363"/>
      <c r="S66" s="221">
        <f t="shared" ref="S66:S68" si="25">SUM(E66:P66)+R66</f>
        <v>0</v>
      </c>
      <c r="T66" s="93"/>
      <c r="U66" s="65"/>
      <c r="V66" s="65"/>
    </row>
    <row r="67" spans="1:27" ht="18" customHeight="1">
      <c r="B67" s="16"/>
      <c r="C67" s="20" t="s">
        <v>453</v>
      </c>
      <c r="D67" s="89" t="s">
        <v>22</v>
      </c>
      <c r="E67" s="90"/>
      <c r="F67" s="90"/>
      <c r="G67" s="90"/>
      <c r="H67" s="90">
        <f>H35</f>
        <v>0</v>
      </c>
      <c r="I67" s="90"/>
      <c r="J67" s="90"/>
      <c r="K67" s="90"/>
      <c r="L67" s="90"/>
      <c r="M67" s="90"/>
      <c r="N67" s="90"/>
      <c r="O67" s="90"/>
      <c r="P67" s="90"/>
      <c r="Q67" s="252">
        <f t="shared" si="20"/>
        <v>0</v>
      </c>
      <c r="R67" s="363"/>
      <c r="S67" s="221">
        <f t="shared" si="25"/>
        <v>0</v>
      </c>
      <c r="T67" s="93"/>
      <c r="U67" s="65"/>
      <c r="V67" s="65"/>
    </row>
    <row r="68" spans="1:27" s="7" customFormat="1" ht="18" customHeight="1">
      <c r="B68" s="29"/>
      <c r="C68" s="20" t="s">
        <v>454</v>
      </c>
      <c r="D68" s="243" t="s">
        <v>27</v>
      </c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252">
        <f t="shared" si="20"/>
        <v>0</v>
      </c>
      <c r="R68" s="92"/>
      <c r="S68" s="221">
        <f t="shared" si="25"/>
        <v>0</v>
      </c>
      <c r="T68" s="93"/>
      <c r="U68" s="88"/>
      <c r="V68" s="365"/>
      <c r="W68" s="151"/>
      <c r="X68" s="152"/>
      <c r="Y68" s="150"/>
      <c r="Z68" s="150"/>
    </row>
    <row r="69" spans="1:27" s="7" customFormat="1" ht="18" customHeight="1">
      <c r="A69" s="7" t="s">
        <v>474</v>
      </c>
      <c r="B69" s="29" t="s">
        <v>474</v>
      </c>
      <c r="C69" s="69" t="s">
        <v>475</v>
      </c>
      <c r="D69" s="96"/>
      <c r="E69" s="97">
        <f>(SUM(E65:E68))</f>
        <v>0</v>
      </c>
      <c r="F69" s="97">
        <f t="shared" ref="F69:Q69" si="26">SUM(F65:F68)</f>
        <v>0</v>
      </c>
      <c r="G69" s="97">
        <f t="shared" si="26"/>
        <v>0</v>
      </c>
      <c r="H69" s="97">
        <f t="shared" si="26"/>
        <v>0</v>
      </c>
      <c r="I69" s="97">
        <f t="shared" si="26"/>
        <v>0</v>
      </c>
      <c r="J69" s="97">
        <f t="shared" si="26"/>
        <v>0</v>
      </c>
      <c r="K69" s="97">
        <f t="shared" si="26"/>
        <v>0</v>
      </c>
      <c r="L69" s="97">
        <f t="shared" si="26"/>
        <v>0</v>
      </c>
      <c r="M69" s="97">
        <f t="shared" si="26"/>
        <v>0</v>
      </c>
      <c r="N69" s="97">
        <f t="shared" si="26"/>
        <v>0</v>
      </c>
      <c r="O69" s="97">
        <f t="shared" si="26"/>
        <v>0</v>
      </c>
      <c r="P69" s="97">
        <f t="shared" si="26"/>
        <v>0</v>
      </c>
      <c r="Q69" s="251">
        <f t="shared" si="26"/>
        <v>0</v>
      </c>
      <c r="R69" s="97"/>
      <c r="S69" s="114">
        <f>SUM(E69:P69)+R69</f>
        <v>0</v>
      </c>
      <c r="T69" s="93"/>
      <c r="U69" s="88"/>
      <c r="V69" s="95"/>
      <c r="W69" s="152"/>
      <c r="X69" s="153"/>
      <c r="Y69" s="150"/>
      <c r="Z69" s="150"/>
    </row>
    <row r="70" spans="1:27" s="7" customFormat="1" ht="18" customHeight="1">
      <c r="B70" s="29"/>
      <c r="C70" s="741" t="s">
        <v>476</v>
      </c>
      <c r="D70" s="96"/>
      <c r="E70" s="117"/>
      <c r="F70" s="117">
        <f>-_xlfn.IFNA(VLOOKUP($D$4,'Cash Advances'!$A:$U,11,FALSE),0)</f>
        <v>0</v>
      </c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252">
        <f>SUMIF($E$45:$P$45,$Q$45,E70:P70)</f>
        <v>0</v>
      </c>
      <c r="R70" s="98"/>
      <c r="S70" s="114">
        <f>SUM(E70:P70)+R70</f>
        <v>0</v>
      </c>
      <c r="T70" s="101"/>
      <c r="U70" s="88"/>
      <c r="V70" s="95"/>
      <c r="W70" s="152"/>
      <c r="X70" s="153"/>
      <c r="Y70" s="150"/>
      <c r="Z70" s="150"/>
    </row>
    <row r="71" spans="1:27" s="7" customFormat="1" ht="18" customHeight="1">
      <c r="B71" s="29"/>
      <c r="C71" s="741" t="s">
        <v>477</v>
      </c>
      <c r="D71" s="96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252">
        <f>SUMIF($E$45:$P$45,$Q$45,E71:P71)</f>
        <v>0</v>
      </c>
      <c r="R71" s="98"/>
      <c r="S71" s="114">
        <f>SUM(E71:P71)+R71</f>
        <v>0</v>
      </c>
      <c r="T71" s="101"/>
      <c r="U71" s="88"/>
      <c r="V71" s="95"/>
      <c r="W71" s="152"/>
      <c r="X71" s="153"/>
      <c r="Y71" s="150"/>
      <c r="Z71" s="150"/>
    </row>
    <row r="72" spans="1:27" s="7" customFormat="1" ht="18" customHeight="1">
      <c r="B72" s="29"/>
      <c r="C72" s="69"/>
      <c r="D72" s="96"/>
      <c r="E72" s="97">
        <f t="shared" ref="E72:H72" si="27">SUM(E69:E71)</f>
        <v>0</v>
      </c>
      <c r="F72" s="97">
        <f t="shared" si="27"/>
        <v>0</v>
      </c>
      <c r="G72" s="97">
        <f t="shared" si="27"/>
        <v>0</v>
      </c>
      <c r="H72" s="97">
        <f t="shared" si="27"/>
        <v>0</v>
      </c>
      <c r="I72" s="97">
        <f>SUM(I69:I71)</f>
        <v>0</v>
      </c>
      <c r="J72" s="97">
        <f>SUM(J69:J71)</f>
        <v>0</v>
      </c>
      <c r="K72" s="97">
        <f t="shared" ref="K72:P72" si="28">SUM(K69:K71)</f>
        <v>0</v>
      </c>
      <c r="L72" s="97">
        <f t="shared" si="28"/>
        <v>0</v>
      </c>
      <c r="M72" s="97">
        <f t="shared" si="28"/>
        <v>0</v>
      </c>
      <c r="N72" s="97">
        <f t="shared" si="28"/>
        <v>0</v>
      </c>
      <c r="O72" s="97">
        <f t="shared" si="28"/>
        <v>0</v>
      </c>
      <c r="P72" s="97">
        <f t="shared" si="28"/>
        <v>0</v>
      </c>
      <c r="Q72" s="252"/>
      <c r="R72" s="98"/>
      <c r="S72" s="114"/>
      <c r="T72" s="101"/>
      <c r="U72" s="88"/>
      <c r="V72" s="95"/>
      <c r="W72" s="152"/>
      <c r="X72" s="153"/>
      <c r="Y72" s="150"/>
      <c r="Z72" s="150"/>
    </row>
    <row r="73" spans="1:27" s="7" customFormat="1" ht="18" customHeight="1" thickBot="1">
      <c r="B73" s="29"/>
      <c r="C73" s="20"/>
      <c r="D73" s="89"/>
      <c r="E73" s="90"/>
      <c r="F73" s="90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256"/>
      <c r="R73" s="92"/>
      <c r="S73" s="114"/>
      <c r="T73" s="101"/>
      <c r="U73" s="88"/>
      <c r="V73" s="95"/>
      <c r="W73" s="154"/>
      <c r="X73" s="155"/>
      <c r="Y73" s="150"/>
    </row>
    <row r="74" spans="1:27" s="7" customFormat="1" ht="18" customHeight="1" thickBot="1">
      <c r="B74" s="29"/>
      <c r="C74" s="70" t="s">
        <v>478</v>
      </c>
      <c r="D74" s="103"/>
      <c r="E74" s="104">
        <f>_xlfn.IFNA(VLOOKUP($D$4,'Summary June 2026'!$A:$GV,28,0),0)</f>
        <v>0</v>
      </c>
      <c r="F74" s="104">
        <f>_xlfn.IFNA(VLOOKUP($D$4,'Summary June 2026'!$A:$GV,44,0),0)</f>
        <v>0</v>
      </c>
      <c r="G74" s="104">
        <f>_xlfn.IFNA(VLOOKUP($D$4,'Summary June 2026'!$A:$GV,60,0),0)</f>
        <v>0</v>
      </c>
      <c r="H74" s="104">
        <f>_xlfn.IFNA(VLOOKUP($D$4,'Summary June 2026'!$A:$GV,76,0),0)</f>
        <v>0</v>
      </c>
      <c r="I74" s="104">
        <f>_xlfn.IFNA(VLOOKUP($D$4,'Summary June 2026'!$A:$GV,92,0),0)</f>
        <v>0</v>
      </c>
      <c r="J74" s="104">
        <f>_xlfn.IFNA(VLOOKUP($D$4,'Summary June 2026'!$A:$GV,108,0),0)</f>
        <v>0</v>
      </c>
      <c r="K74" s="104">
        <f>_xlfn.IFNA(VLOOKUP($D$4,'Summary June 2026'!$A:$GV,124,0),0)</f>
        <v>0</v>
      </c>
      <c r="L74" s="104">
        <f>_xlfn.IFNA(VLOOKUP($D$4,'Summary June 2026'!$A:$GV,140,0),0)</f>
        <v>0</v>
      </c>
      <c r="M74" s="104">
        <f>_xlfn.IFNA(VLOOKUP($D$4,'Summary June 2026'!$A:$GV,156,0),0)</f>
        <v>0</v>
      </c>
      <c r="N74" s="104">
        <f>_xlfn.IFNA(VLOOKUP($D$4,'Summary June 2026'!$A:$GV,172,0),0)</f>
        <v>0</v>
      </c>
      <c r="O74" s="104">
        <f>_xlfn.IFNA(VLOOKUP($D$4,'Summary June 2026'!$A:$GV,188,0),0)</f>
        <v>0</v>
      </c>
      <c r="P74" s="104">
        <f>_xlfn.IFNA(VLOOKUP($D$4,'Summary June 2026'!$A:$GV,204,0),0)</f>
        <v>0</v>
      </c>
      <c r="Q74" s="104">
        <f>SUM(Q69:Q73)</f>
        <v>0</v>
      </c>
      <c r="R74" s="104">
        <f>SUM(R69:R73)</f>
        <v>0</v>
      </c>
      <c r="S74" s="105">
        <f>SUM(E74:P74)+R74</f>
        <v>0</v>
      </c>
      <c r="T74" s="101"/>
      <c r="U74" s="88"/>
      <c r="V74" s="95"/>
      <c r="W74" s="155"/>
      <c r="X74" s="156"/>
      <c r="Y74" s="156"/>
      <c r="AA74" s="157"/>
    </row>
    <row r="75" spans="1:27" s="7" customFormat="1" ht="18" customHeight="1">
      <c r="B75" s="29"/>
      <c r="C75" s="63"/>
      <c r="D75" s="106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8"/>
      <c r="R75" s="108"/>
      <c r="S75" s="262"/>
      <c r="T75" s="101"/>
      <c r="U75" s="88"/>
      <c r="V75" s="95"/>
      <c r="X75" s="156"/>
    </row>
    <row r="76" spans="1:27" s="7" customFormat="1" ht="18" customHeight="1">
      <c r="B76" s="29"/>
      <c r="C76" s="261" t="s">
        <v>479</v>
      </c>
      <c r="D76" s="96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8"/>
      <c r="R76" s="98"/>
      <c r="S76" s="97"/>
      <c r="T76" s="101"/>
      <c r="U76" s="88"/>
      <c r="V76" s="95"/>
      <c r="X76" s="156"/>
    </row>
    <row r="77" spans="1:27" s="7" customFormat="1" ht="18" customHeight="1">
      <c r="B77" s="29"/>
      <c r="C77" s="219" t="s">
        <v>480</v>
      </c>
      <c r="D77" s="106" t="s">
        <v>30</v>
      </c>
      <c r="E77" s="94"/>
      <c r="F77" s="94">
        <f>_xlfn.IFNA(VLOOKUP($D$4,'Grants+ Other Funding'!$A:$BW,67,FALSE),0)</f>
        <v>0</v>
      </c>
      <c r="G77" s="94"/>
      <c r="H77" s="94"/>
      <c r="I77" s="94"/>
      <c r="J77" s="94"/>
      <c r="K77" s="94"/>
      <c r="L77" s="94"/>
      <c r="M77" s="94"/>
      <c r="N77" s="94"/>
      <c r="O77" s="94"/>
      <c r="P77" s="94"/>
      <c r="Q77" s="252">
        <f t="shared" ref="Q77:Q78" si="29">SUMIF($E$45:$P$45,$Q$45,E77:P77)</f>
        <v>0</v>
      </c>
      <c r="R77" s="108"/>
      <c r="S77" s="114">
        <f t="shared" ref="S77:S78" si="30">SUM(E77:P77)+R77</f>
        <v>0</v>
      </c>
      <c r="T77" s="101"/>
      <c r="U77" s="88"/>
      <c r="V77" s="95"/>
      <c r="X77" s="156"/>
    </row>
    <row r="78" spans="1:27" s="7" customFormat="1" ht="18" customHeight="1">
      <c r="B78" s="29"/>
      <c r="C78" s="219" t="s">
        <v>481</v>
      </c>
      <c r="D78" s="106" t="s">
        <v>31</v>
      </c>
      <c r="E78" s="94"/>
      <c r="F78" s="94">
        <f>_xlfn.IFNA(VLOOKUP($D$4,'Grants+ Other Funding'!$A:$BW,68,FALSE),0)</f>
        <v>0</v>
      </c>
      <c r="G78" s="94"/>
      <c r="H78" s="94"/>
      <c r="I78" s="94"/>
      <c r="J78" s="94"/>
      <c r="K78" s="94"/>
      <c r="L78" s="94"/>
      <c r="M78" s="94"/>
      <c r="N78" s="94"/>
      <c r="O78" s="94"/>
      <c r="P78" s="94"/>
      <c r="Q78" s="252">
        <f t="shared" si="29"/>
        <v>0</v>
      </c>
      <c r="R78" s="108"/>
      <c r="S78" s="114">
        <f t="shared" si="30"/>
        <v>0</v>
      </c>
      <c r="T78" s="101"/>
      <c r="U78" s="88"/>
      <c r="V78" s="95"/>
      <c r="X78" s="156"/>
    </row>
    <row r="79" spans="1:27" s="7" customFormat="1" ht="18" customHeight="1">
      <c r="B79" s="29"/>
      <c r="C79" s="346" t="s">
        <v>482</v>
      </c>
      <c r="D79" s="346"/>
      <c r="E79" s="251">
        <f t="shared" ref="E79:Q79" si="31">SUM(E77:E78)</f>
        <v>0</v>
      </c>
      <c r="F79" s="251">
        <f t="shared" si="31"/>
        <v>0</v>
      </c>
      <c r="G79" s="251">
        <f t="shared" si="31"/>
        <v>0</v>
      </c>
      <c r="H79" s="251">
        <f t="shared" si="31"/>
        <v>0</v>
      </c>
      <c r="I79" s="251">
        <f t="shared" si="31"/>
        <v>0</v>
      </c>
      <c r="J79" s="251">
        <f t="shared" si="31"/>
        <v>0</v>
      </c>
      <c r="K79" s="251">
        <f t="shared" si="31"/>
        <v>0</v>
      </c>
      <c r="L79" s="251">
        <f t="shared" si="31"/>
        <v>0</v>
      </c>
      <c r="M79" s="251">
        <f t="shared" si="31"/>
        <v>0</v>
      </c>
      <c r="N79" s="251">
        <f t="shared" si="31"/>
        <v>0</v>
      </c>
      <c r="O79" s="251">
        <f t="shared" si="31"/>
        <v>0</v>
      </c>
      <c r="P79" s="251">
        <f t="shared" si="31"/>
        <v>0</v>
      </c>
      <c r="Q79" s="252">
        <f t="shared" si="31"/>
        <v>0</v>
      </c>
      <c r="R79" s="109"/>
      <c r="S79" s="114">
        <f>SUM(S77:S78)</f>
        <v>0</v>
      </c>
      <c r="T79" s="101"/>
      <c r="U79" s="88"/>
      <c r="V79" s="95"/>
      <c r="X79" s="156"/>
    </row>
    <row r="80" spans="1:27" s="7" customFormat="1" ht="18" customHeight="1">
      <c r="B80" s="29"/>
      <c r="C80" s="261" t="s">
        <v>483</v>
      </c>
      <c r="D80" s="96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8"/>
      <c r="R80" s="98"/>
      <c r="S80" s="97"/>
      <c r="T80" s="101"/>
      <c r="U80" s="88"/>
      <c r="V80" s="95"/>
      <c r="X80" s="156"/>
    </row>
    <row r="81" spans="2:26" s="7" customFormat="1" ht="18" customHeight="1">
      <c r="B81" s="29"/>
      <c r="C81" s="219" t="s">
        <v>484</v>
      </c>
      <c r="D81" s="99" t="s">
        <v>22</v>
      </c>
      <c r="E81" s="100"/>
      <c r="F81" s="94">
        <f>_xlfn.IFNA(VLOOKUP($D$4,'Grants+ Other Funding'!$A:$BZ,12,FALSE),0)</f>
        <v>0</v>
      </c>
      <c r="G81" s="94">
        <f>_xlfn.IFNA(VLOOKUP($D$4,'Grants+ Other Funding'!$A:$BZ,13,FALSE),0)</f>
        <v>0</v>
      </c>
      <c r="H81" s="94">
        <f>_xlfn.IFNA(VLOOKUP($D$4,'Grants+ Other Funding'!$A:$BZ,14,FALSE),0)</f>
        <v>0</v>
      </c>
      <c r="I81" s="94">
        <f>_xlfn.IFNA(VLOOKUP($D$4,'Grants+ Other Funding'!$A:$BZ,15,FALSE),0)</f>
        <v>0</v>
      </c>
      <c r="J81" s="100"/>
      <c r="K81" s="94"/>
      <c r="L81" s="94"/>
      <c r="M81" s="94"/>
      <c r="N81" s="94"/>
      <c r="O81" s="94"/>
      <c r="P81" s="94"/>
      <c r="Q81" s="252">
        <f>SUMIF($E$45:$P$45,$Q$45,E81:P81)</f>
        <v>0</v>
      </c>
      <c r="R81" s="109"/>
      <c r="S81" s="114">
        <f t="shared" ref="S81:S82" si="32">SUM(E81:P81)+R81</f>
        <v>0</v>
      </c>
      <c r="T81" s="101"/>
      <c r="U81" s="88"/>
      <c r="V81" s="95"/>
      <c r="X81" s="156"/>
    </row>
    <row r="82" spans="2:26" s="7" customFormat="1" ht="18" customHeight="1">
      <c r="B82" s="29"/>
      <c r="C82" s="219" t="s">
        <v>485</v>
      </c>
      <c r="D82" s="99" t="s">
        <v>22</v>
      </c>
      <c r="E82" s="100"/>
      <c r="F82" s="94">
        <f>_xlfn.IFNA(VLOOKUP($D$4,'Grants+ Other Funding'!$A:$BZ,16,FALSE),0)</f>
        <v>0</v>
      </c>
      <c r="G82" s="94">
        <f>_xlfn.IFNA(VLOOKUP($D$4,'Grants+ Other Funding'!$A:$BZ,17,FALSE),0)</f>
        <v>0</v>
      </c>
      <c r="H82" s="94">
        <f>_xlfn.IFNA(VLOOKUP($D$4,'Grants+ Other Funding'!$A:$BZ,18,FALSE),0)</f>
        <v>0</v>
      </c>
      <c r="I82" s="94">
        <f>_xlfn.IFNA(VLOOKUP($D$4,'Grants+ Other Funding'!$A:$BZ,19,FALSE),0)</f>
        <v>0</v>
      </c>
      <c r="J82" s="94"/>
      <c r="K82" s="94"/>
      <c r="L82" s="94"/>
      <c r="M82" s="94"/>
      <c r="N82" s="94"/>
      <c r="O82" s="94"/>
      <c r="P82" s="94"/>
      <c r="Q82" s="252">
        <f t="shared" ref="Q82:Q108" si="33">SUMIF($E$45:$P$45,$Q$45,E82:P82)</f>
        <v>0</v>
      </c>
      <c r="R82" s="109"/>
      <c r="S82" s="114">
        <f t="shared" si="32"/>
        <v>0</v>
      </c>
      <c r="T82" s="101"/>
      <c r="U82" s="88"/>
      <c r="V82" s="95"/>
      <c r="X82" s="156"/>
    </row>
    <row r="83" spans="2:26" s="7" customFormat="1" ht="18" customHeight="1">
      <c r="B83" s="29"/>
      <c r="C83" s="346" t="s">
        <v>486</v>
      </c>
      <c r="D83" s="346"/>
      <c r="E83" s="251">
        <f t="shared" ref="E83:Q83" si="34">SUM(E81:E82)</f>
        <v>0</v>
      </c>
      <c r="F83" s="251">
        <f t="shared" si="34"/>
        <v>0</v>
      </c>
      <c r="G83" s="251">
        <f t="shared" si="34"/>
        <v>0</v>
      </c>
      <c r="H83" s="251">
        <f t="shared" si="34"/>
        <v>0</v>
      </c>
      <c r="I83" s="251">
        <f t="shared" si="34"/>
        <v>0</v>
      </c>
      <c r="J83" s="251">
        <f t="shared" si="34"/>
        <v>0</v>
      </c>
      <c r="K83" s="251">
        <f t="shared" si="34"/>
        <v>0</v>
      </c>
      <c r="L83" s="251">
        <f t="shared" si="34"/>
        <v>0</v>
      </c>
      <c r="M83" s="251">
        <f t="shared" si="34"/>
        <v>0</v>
      </c>
      <c r="N83" s="251">
        <f t="shared" si="34"/>
        <v>0</v>
      </c>
      <c r="O83" s="251">
        <f t="shared" si="34"/>
        <v>0</v>
      </c>
      <c r="P83" s="251">
        <f t="shared" si="34"/>
        <v>0</v>
      </c>
      <c r="Q83" s="252">
        <f t="shared" si="34"/>
        <v>0</v>
      </c>
      <c r="R83" s="109"/>
      <c r="S83" s="114"/>
      <c r="T83" s="101"/>
      <c r="U83" s="88"/>
      <c r="V83" s="95"/>
      <c r="X83" s="156"/>
    </row>
    <row r="84" spans="2:26" s="7" customFormat="1" ht="18" customHeight="1">
      <c r="B84" s="29"/>
      <c r="C84" s="257" t="s">
        <v>487</v>
      </c>
      <c r="D84" s="96"/>
      <c r="E84" s="97"/>
      <c r="F84" s="97"/>
      <c r="G84" s="97"/>
      <c r="H84" s="97"/>
      <c r="I84" s="117"/>
      <c r="J84" s="258"/>
      <c r="K84" s="117"/>
      <c r="L84" s="117"/>
      <c r="M84" s="117"/>
      <c r="N84" s="117"/>
      <c r="O84" s="117"/>
      <c r="P84" s="117"/>
      <c r="Q84" s="98"/>
      <c r="R84" s="98"/>
      <c r="S84" s="97"/>
      <c r="T84" s="259"/>
      <c r="U84" s="260"/>
      <c r="V84" s="95"/>
      <c r="X84" s="156"/>
    </row>
    <row r="85" spans="2:26" s="7" customFormat="1" ht="18" customHeight="1">
      <c r="B85" s="29"/>
      <c r="C85" s="879" t="s">
        <v>488</v>
      </c>
      <c r="D85" s="99" t="s">
        <v>22</v>
      </c>
      <c r="E85" s="94"/>
      <c r="F85" s="94">
        <f>_xlfn.IFNA(VLOOKUP($D$4,'Grants+ Other Funding'!$A:$I,9,FALSE),0)</f>
        <v>0</v>
      </c>
      <c r="G85" s="94"/>
      <c r="H85" s="94"/>
      <c r="I85" s="94"/>
      <c r="J85" s="94"/>
      <c r="K85" s="110"/>
      <c r="L85" s="110"/>
      <c r="M85" s="110"/>
      <c r="N85" s="110"/>
      <c r="O85" s="110"/>
      <c r="P85" s="111"/>
      <c r="Q85" s="252">
        <f t="shared" si="33"/>
        <v>0</v>
      </c>
      <c r="R85" s="92"/>
      <c r="S85" s="114">
        <f>SUM(E85:P85)+R85</f>
        <v>0</v>
      </c>
      <c r="T85" s="101"/>
      <c r="U85" s="88"/>
      <c r="V85" s="88"/>
      <c r="W85" s="151"/>
      <c r="X85" s="153"/>
      <c r="Y85" s="150"/>
      <c r="Z85" s="150"/>
    </row>
    <row r="86" spans="2:26" s="7" customFormat="1" ht="18" hidden="1" customHeight="1">
      <c r="B86" s="29"/>
      <c r="C86" s="219" t="s">
        <v>489</v>
      </c>
      <c r="D86" s="99" t="s">
        <v>22</v>
      </c>
      <c r="E86" s="94"/>
      <c r="F86" s="94">
        <f>_xlfn.IFNA(VLOOKUP($D$4,'Grants+ Other Funding'!$A:$I,9,FALSE),0)</f>
        <v>0</v>
      </c>
      <c r="G86" s="94"/>
      <c r="H86" s="94"/>
      <c r="I86" s="94"/>
      <c r="J86" s="94"/>
      <c r="K86" s="110"/>
      <c r="L86" s="110"/>
      <c r="M86" s="110"/>
      <c r="N86" s="110"/>
      <c r="O86" s="110"/>
      <c r="P86" s="111"/>
      <c r="Q86" s="252">
        <f t="shared" si="33"/>
        <v>0</v>
      </c>
      <c r="R86" s="92"/>
      <c r="S86" s="114">
        <f t="shared" ref="S86:S108" si="35">SUM(E86:P86)+R86</f>
        <v>0</v>
      </c>
      <c r="T86" s="101"/>
      <c r="U86" s="88"/>
      <c r="V86" s="88"/>
      <c r="W86" s="151"/>
      <c r="X86" s="153"/>
      <c r="Y86" s="150"/>
      <c r="Z86" s="150"/>
    </row>
    <row r="87" spans="2:26" s="7" customFormat="1" ht="18" hidden="1" customHeight="1">
      <c r="B87" s="29"/>
      <c r="C87" s="219" t="s">
        <v>490</v>
      </c>
      <c r="D87" s="99" t="s">
        <v>26</v>
      </c>
      <c r="E87" s="94"/>
      <c r="F87" s="94">
        <f>_xlfn.IFNA(VLOOKUP($D$4,'Grants+ Other Funding'!$A:$I,9,FALSE),0)</f>
        <v>0</v>
      </c>
      <c r="G87" s="94"/>
      <c r="H87" s="94"/>
      <c r="I87" s="94"/>
      <c r="J87" s="94"/>
      <c r="K87" s="110"/>
      <c r="L87" s="110"/>
      <c r="M87" s="110"/>
      <c r="N87" s="110"/>
      <c r="O87" s="110"/>
      <c r="P87" s="111"/>
      <c r="Q87" s="252">
        <f t="shared" si="33"/>
        <v>0</v>
      </c>
      <c r="R87" s="92"/>
      <c r="S87" s="114">
        <f t="shared" si="35"/>
        <v>0</v>
      </c>
      <c r="T87" s="101"/>
      <c r="U87" s="88"/>
      <c r="V87" s="88"/>
      <c r="W87" s="151"/>
      <c r="X87" s="153"/>
      <c r="Y87" s="150"/>
      <c r="Z87" s="150"/>
    </row>
    <row r="88" spans="2:26" s="7" customFormat="1" ht="18" hidden="1" customHeight="1">
      <c r="B88" s="29"/>
      <c r="C88" s="219" t="s">
        <v>491</v>
      </c>
      <c r="D88" s="99" t="s">
        <v>22</v>
      </c>
      <c r="E88" s="94"/>
      <c r="F88" s="94">
        <f>_xlfn.IFNA(VLOOKUP($D$4,'Grants+ Other Funding'!$A:$I,9,FALSE),0)</f>
        <v>0</v>
      </c>
      <c r="G88" s="94"/>
      <c r="H88" s="94"/>
      <c r="I88" s="94"/>
      <c r="J88" s="94"/>
      <c r="K88" s="110"/>
      <c r="L88" s="110"/>
      <c r="M88" s="110"/>
      <c r="N88" s="110"/>
      <c r="O88" s="110"/>
      <c r="P88" s="111"/>
      <c r="Q88" s="252">
        <f t="shared" si="33"/>
        <v>0</v>
      </c>
      <c r="R88" s="92"/>
      <c r="S88" s="114">
        <f t="shared" si="35"/>
        <v>0</v>
      </c>
      <c r="T88" s="101"/>
      <c r="U88" s="88"/>
      <c r="V88" s="88"/>
      <c r="W88" s="151"/>
      <c r="X88" s="153"/>
      <c r="Y88" s="150"/>
      <c r="Z88" s="150"/>
    </row>
    <row r="89" spans="2:26" s="7" customFormat="1" ht="18" hidden="1" customHeight="1">
      <c r="B89" s="29"/>
      <c r="C89" s="219" t="s">
        <v>492</v>
      </c>
      <c r="D89" s="99" t="s">
        <v>22</v>
      </c>
      <c r="E89" s="94"/>
      <c r="F89" s="94">
        <f>_xlfn.IFNA(VLOOKUP($D$4,'Grants+ Other Funding'!$A:$I,9,FALSE),0)</f>
        <v>0</v>
      </c>
      <c r="G89" s="94"/>
      <c r="H89" s="94"/>
      <c r="I89" s="94"/>
      <c r="J89" s="94"/>
      <c r="K89" s="110"/>
      <c r="L89" s="110"/>
      <c r="M89" s="110"/>
      <c r="N89" s="110"/>
      <c r="O89" s="110"/>
      <c r="P89" s="111"/>
      <c r="Q89" s="252">
        <f t="shared" si="33"/>
        <v>0</v>
      </c>
      <c r="R89" s="92"/>
      <c r="S89" s="114">
        <f t="shared" si="35"/>
        <v>0</v>
      </c>
      <c r="T89" s="101"/>
      <c r="U89" s="88"/>
      <c r="V89" s="88"/>
      <c r="W89" s="151"/>
      <c r="X89" s="153"/>
      <c r="Y89" s="150"/>
      <c r="Z89" s="150"/>
    </row>
    <row r="90" spans="2:26" s="7" customFormat="1" ht="18" hidden="1" customHeight="1">
      <c r="B90" s="29"/>
      <c r="C90" s="219" t="s">
        <v>493</v>
      </c>
      <c r="D90" s="263" t="s">
        <v>22</v>
      </c>
      <c r="E90" s="94"/>
      <c r="F90" s="94">
        <f>_xlfn.IFNA(VLOOKUP($D$4,'Grants+ Other Funding'!$A:$I,9,FALSE),0)</f>
        <v>0</v>
      </c>
      <c r="G90" s="94"/>
      <c r="H90" s="94"/>
      <c r="I90" s="94"/>
      <c r="J90" s="94"/>
      <c r="K90" s="110"/>
      <c r="L90" s="110"/>
      <c r="M90" s="110"/>
      <c r="N90" s="110"/>
      <c r="O90" s="110"/>
      <c r="P90" s="111"/>
      <c r="Q90" s="252">
        <f t="shared" si="33"/>
        <v>0</v>
      </c>
      <c r="R90" s="92"/>
      <c r="S90" s="114">
        <f t="shared" si="35"/>
        <v>0</v>
      </c>
      <c r="T90" s="101"/>
      <c r="U90" s="88"/>
      <c r="V90" s="88"/>
      <c r="W90" s="151"/>
      <c r="X90" s="153"/>
      <c r="Y90" s="150"/>
      <c r="Z90" s="150"/>
    </row>
    <row r="91" spans="2:26" s="7" customFormat="1" ht="18" hidden="1" customHeight="1">
      <c r="B91" s="29"/>
      <c r="C91" s="219" t="s">
        <v>494</v>
      </c>
      <c r="D91" s="263" t="s">
        <v>22</v>
      </c>
      <c r="E91" s="94"/>
      <c r="F91" s="94">
        <f>_xlfn.IFNA(VLOOKUP($D$4,'Grants+ Other Funding'!$A:$I,9,FALSE),0)</f>
        <v>0</v>
      </c>
      <c r="G91" s="94"/>
      <c r="H91" s="94"/>
      <c r="I91" s="94"/>
      <c r="J91" s="94"/>
      <c r="K91" s="110"/>
      <c r="L91" s="110"/>
      <c r="M91" s="110"/>
      <c r="N91" s="110"/>
      <c r="O91" s="110"/>
      <c r="P91" s="111"/>
      <c r="Q91" s="252">
        <f t="shared" si="33"/>
        <v>0</v>
      </c>
      <c r="R91" s="92"/>
      <c r="S91" s="114">
        <f t="shared" si="35"/>
        <v>0</v>
      </c>
      <c r="T91" s="101"/>
      <c r="U91" s="88"/>
      <c r="V91" s="88"/>
      <c r="W91" s="151"/>
      <c r="X91" s="153"/>
      <c r="Y91" s="150"/>
      <c r="Z91" s="150"/>
    </row>
    <row r="92" spans="2:26" s="7" customFormat="1" ht="18" hidden="1" customHeight="1">
      <c r="B92" s="29"/>
      <c r="C92" s="219" t="s">
        <v>495</v>
      </c>
      <c r="D92" s="263" t="s">
        <v>22</v>
      </c>
      <c r="E92" s="94"/>
      <c r="F92" s="94">
        <f>_xlfn.IFNA(VLOOKUP($D$4,'Grants+ Other Funding'!$A:$I,9,FALSE),0)</f>
        <v>0</v>
      </c>
      <c r="G92" s="94"/>
      <c r="H92" s="94"/>
      <c r="I92" s="94"/>
      <c r="J92" s="94"/>
      <c r="K92" s="110"/>
      <c r="L92" s="110"/>
      <c r="M92" s="110"/>
      <c r="N92" s="110"/>
      <c r="O92" s="110"/>
      <c r="P92" s="111"/>
      <c r="Q92" s="252">
        <f t="shared" si="33"/>
        <v>0</v>
      </c>
      <c r="R92" s="92"/>
      <c r="S92" s="114">
        <f t="shared" si="35"/>
        <v>0</v>
      </c>
      <c r="T92" s="101"/>
      <c r="U92" s="88"/>
      <c r="V92" s="88"/>
      <c r="W92" s="151"/>
      <c r="X92" s="153"/>
      <c r="Y92" s="150"/>
      <c r="Z92" s="150"/>
    </row>
    <row r="93" spans="2:26" s="7" customFormat="1" ht="18" customHeight="1">
      <c r="B93" s="29"/>
      <c r="C93" s="879" t="s">
        <v>496</v>
      </c>
      <c r="D93" s="263" t="s">
        <v>22</v>
      </c>
      <c r="E93" s="94"/>
      <c r="F93" s="94">
        <f>_xlfn.IFNA(VLOOKUP($D$4,'Grants+ Other Funding'!$A:$I,8,FALSE),0)</f>
        <v>0</v>
      </c>
      <c r="G93" s="94"/>
      <c r="H93" s="94"/>
      <c r="I93" s="94"/>
      <c r="J93" s="94"/>
      <c r="K93" s="110"/>
      <c r="L93" s="110"/>
      <c r="M93" s="110"/>
      <c r="N93" s="110"/>
      <c r="O93" s="110"/>
      <c r="P93" s="111"/>
      <c r="Q93" s="252">
        <f t="shared" si="33"/>
        <v>0</v>
      </c>
      <c r="R93" s="92"/>
      <c r="S93" s="114">
        <f t="shared" si="35"/>
        <v>0</v>
      </c>
      <c r="T93" s="101"/>
      <c r="U93" s="88"/>
      <c r="V93" s="88"/>
      <c r="W93" s="151"/>
      <c r="X93" s="153"/>
      <c r="Y93" s="150"/>
      <c r="Z93" s="150"/>
    </row>
    <row r="94" spans="2:26" s="7" customFormat="1" ht="18" customHeight="1">
      <c r="B94" s="29"/>
      <c r="C94" s="219" t="s">
        <v>497</v>
      </c>
      <c r="D94" s="99" t="s">
        <v>26</v>
      </c>
      <c r="E94" s="94"/>
      <c r="F94" s="94"/>
      <c r="G94" s="94"/>
      <c r="H94" s="94"/>
      <c r="I94" s="94"/>
      <c r="J94" s="94"/>
      <c r="K94" s="110"/>
      <c r="L94" s="110"/>
      <c r="M94" s="110"/>
      <c r="N94" s="110"/>
      <c r="O94" s="110"/>
      <c r="P94" s="111"/>
      <c r="Q94" s="252">
        <f t="shared" si="33"/>
        <v>0</v>
      </c>
      <c r="R94" s="92"/>
      <c r="S94" s="114">
        <f t="shared" si="35"/>
        <v>0</v>
      </c>
      <c r="T94" s="101"/>
      <c r="U94" s="88"/>
      <c r="V94" s="88"/>
      <c r="W94" s="158"/>
      <c r="X94" s="156"/>
    </row>
    <row r="95" spans="2:26" s="7" customFormat="1" ht="18" customHeight="1">
      <c r="B95" s="29"/>
      <c r="C95" s="219" t="s">
        <v>498</v>
      </c>
      <c r="D95" s="99" t="s">
        <v>26</v>
      </c>
      <c r="E95" s="94"/>
      <c r="F95" s="94"/>
      <c r="G95" s="94"/>
      <c r="H95" s="94"/>
      <c r="I95" s="94"/>
      <c r="J95" s="94"/>
      <c r="K95" s="110"/>
      <c r="L95" s="110"/>
      <c r="M95" s="111"/>
      <c r="N95" s="110"/>
      <c r="O95" s="110"/>
      <c r="P95" s="111"/>
      <c r="Q95" s="252">
        <f t="shared" si="33"/>
        <v>0</v>
      </c>
      <c r="R95" s="92"/>
      <c r="S95" s="114">
        <f t="shared" si="35"/>
        <v>0</v>
      </c>
      <c r="T95" s="101"/>
      <c r="U95" s="88"/>
      <c r="V95" s="88"/>
      <c r="W95" s="158"/>
      <c r="X95" s="156"/>
    </row>
    <row r="96" spans="2:26" s="7" customFormat="1" ht="18" customHeight="1">
      <c r="B96" s="29"/>
      <c r="C96" s="219" t="s">
        <v>499</v>
      </c>
      <c r="D96" s="99" t="s">
        <v>26</v>
      </c>
      <c r="E96" s="94"/>
      <c r="F96" s="94"/>
      <c r="G96" s="94"/>
      <c r="H96" s="94"/>
      <c r="I96" s="94"/>
      <c r="J96" s="94"/>
      <c r="K96" s="110"/>
      <c r="L96" s="110"/>
      <c r="M96" s="111"/>
      <c r="N96" s="110"/>
      <c r="O96" s="110"/>
      <c r="P96" s="111"/>
      <c r="Q96" s="252">
        <f t="shared" si="33"/>
        <v>0</v>
      </c>
      <c r="R96" s="92"/>
      <c r="S96" s="114">
        <f t="shared" si="35"/>
        <v>0</v>
      </c>
      <c r="T96" s="101"/>
      <c r="U96" s="88"/>
      <c r="V96" s="88"/>
      <c r="W96" s="158"/>
      <c r="X96" s="156"/>
    </row>
    <row r="97" spans="2:26" s="7" customFormat="1" ht="18" customHeight="1">
      <c r="B97" s="29"/>
      <c r="C97" s="219" t="s">
        <v>500</v>
      </c>
      <c r="D97" s="99" t="s">
        <v>25</v>
      </c>
      <c r="E97" s="94"/>
      <c r="F97" s="94"/>
      <c r="G97" s="94"/>
      <c r="H97" s="94"/>
      <c r="I97" s="94"/>
      <c r="J97" s="94"/>
      <c r="K97" s="110"/>
      <c r="L97" s="110"/>
      <c r="M97" s="111"/>
      <c r="N97" s="110"/>
      <c r="O97" s="110"/>
      <c r="P97" s="111"/>
      <c r="Q97" s="252">
        <f>SUMIF($E$45:$P$45,$Q$45,E97:P97)</f>
        <v>0</v>
      </c>
      <c r="R97" s="92"/>
      <c r="S97" s="114">
        <f t="shared" si="35"/>
        <v>0</v>
      </c>
      <c r="T97" s="101"/>
      <c r="U97" s="88"/>
      <c r="V97" s="88"/>
      <c r="W97" s="158"/>
      <c r="X97" s="156"/>
    </row>
    <row r="98" spans="2:26" s="7" customFormat="1" ht="18" customHeight="1">
      <c r="B98" s="29"/>
      <c r="C98" s="219" t="s">
        <v>501</v>
      </c>
      <c r="D98" s="99" t="s">
        <v>28</v>
      </c>
      <c r="E98" s="94"/>
      <c r="F98" s="94"/>
      <c r="G98" s="94"/>
      <c r="H98" s="94"/>
      <c r="I98" s="94"/>
      <c r="J98" s="94"/>
      <c r="K98" s="110"/>
      <c r="L98" s="110"/>
      <c r="M98" s="110"/>
      <c r="N98" s="110"/>
      <c r="O98" s="110"/>
      <c r="P98" s="111"/>
      <c r="Q98" s="252">
        <f t="shared" si="33"/>
        <v>0</v>
      </c>
      <c r="R98" s="92"/>
      <c r="S98" s="114">
        <f t="shared" si="35"/>
        <v>0</v>
      </c>
      <c r="T98" s="101"/>
      <c r="U98" s="88"/>
      <c r="V98" s="351" t="s">
        <v>502</v>
      </c>
      <c r="W98" s="158"/>
      <c r="X98" s="156"/>
    </row>
    <row r="99" spans="2:26" s="7" customFormat="1" ht="18" customHeight="1">
      <c r="B99" s="29"/>
      <c r="C99" s="219" t="s">
        <v>503</v>
      </c>
      <c r="D99" s="99" t="s">
        <v>29</v>
      </c>
      <c r="E99" s="94"/>
      <c r="F99" s="94"/>
      <c r="G99" s="94"/>
      <c r="H99" s="94"/>
      <c r="I99" s="94"/>
      <c r="J99" s="94"/>
      <c r="K99" s="110"/>
      <c r="L99" s="110"/>
      <c r="M99" s="110"/>
      <c r="N99" s="110"/>
      <c r="O99" s="110"/>
      <c r="P99" s="111"/>
      <c r="Q99" s="252">
        <f t="shared" si="33"/>
        <v>0</v>
      </c>
      <c r="R99" s="92"/>
      <c r="S99" s="114">
        <f t="shared" si="35"/>
        <v>0</v>
      </c>
      <c r="T99" s="101"/>
      <c r="U99" s="88"/>
      <c r="V99" s="88"/>
      <c r="W99" s="158"/>
      <c r="X99" s="156"/>
    </row>
    <row r="100" spans="2:26" s="7" customFormat="1" ht="18" customHeight="1">
      <c r="B100" s="29"/>
      <c r="C100" s="219" t="s">
        <v>504</v>
      </c>
      <c r="D100" s="99" t="s">
        <v>29</v>
      </c>
      <c r="E100" s="94"/>
      <c r="F100" s="94"/>
      <c r="G100" s="94"/>
      <c r="H100" s="94"/>
      <c r="I100" s="94"/>
      <c r="J100" s="94"/>
      <c r="K100" s="110"/>
      <c r="L100" s="110"/>
      <c r="M100" s="110"/>
      <c r="N100" s="110"/>
      <c r="O100" s="94"/>
      <c r="P100" s="111"/>
      <c r="Q100" s="252">
        <f t="shared" si="33"/>
        <v>0</v>
      </c>
      <c r="R100" s="92"/>
      <c r="S100" s="114">
        <f t="shared" si="35"/>
        <v>0</v>
      </c>
      <c r="T100" s="101"/>
      <c r="U100" s="88"/>
      <c r="V100" s="88"/>
      <c r="W100" s="158"/>
      <c r="X100" s="156"/>
    </row>
    <row r="101" spans="2:26" s="7" customFormat="1" ht="18" customHeight="1">
      <c r="B101" s="29"/>
      <c r="C101" s="219" t="s">
        <v>505</v>
      </c>
      <c r="D101" s="99" t="s">
        <v>29</v>
      </c>
      <c r="E101" s="94"/>
      <c r="F101" s="94"/>
      <c r="G101" s="94"/>
      <c r="H101" s="94"/>
      <c r="I101" s="94"/>
      <c r="J101" s="94"/>
      <c r="K101" s="110"/>
      <c r="L101" s="110"/>
      <c r="M101" s="110"/>
      <c r="N101" s="110"/>
      <c r="O101" s="110"/>
      <c r="P101" s="111"/>
      <c r="Q101" s="252">
        <f t="shared" si="33"/>
        <v>0</v>
      </c>
      <c r="R101" s="92"/>
      <c r="S101" s="114">
        <f t="shared" si="35"/>
        <v>0</v>
      </c>
      <c r="T101" s="101"/>
      <c r="U101" s="88"/>
      <c r="V101" s="88"/>
      <c r="W101" s="158"/>
      <c r="X101" s="156"/>
    </row>
    <row r="102" spans="2:26" s="7" customFormat="1" ht="18" customHeight="1">
      <c r="B102" s="29"/>
      <c r="C102" s="879" t="s">
        <v>506</v>
      </c>
      <c r="D102" s="99" t="s">
        <v>29</v>
      </c>
      <c r="E102" s="94"/>
      <c r="F102" s="94">
        <f>_xlfn.IFNA(VLOOKUP($D$4,'Grants+ Other Funding'!$A:$K,11,FALSE),0)</f>
        <v>0</v>
      </c>
      <c r="G102" s="94"/>
      <c r="I102" s="94"/>
      <c r="J102" s="94"/>
      <c r="K102" s="110"/>
      <c r="L102" s="110"/>
      <c r="M102" s="110"/>
      <c r="N102" s="110"/>
      <c r="O102" s="94"/>
      <c r="P102" s="111"/>
      <c r="Q102" s="252">
        <f t="shared" si="33"/>
        <v>0</v>
      </c>
      <c r="R102" s="92"/>
      <c r="S102" s="114">
        <f t="shared" si="35"/>
        <v>0</v>
      </c>
      <c r="T102" s="101"/>
      <c r="U102" s="88"/>
      <c r="V102" s="88"/>
      <c r="W102" s="151"/>
      <c r="X102" s="153"/>
      <c r="Y102" s="150"/>
      <c r="Z102" s="150"/>
    </row>
    <row r="103" spans="2:26" s="7" customFormat="1" ht="18" customHeight="1">
      <c r="B103" s="29"/>
      <c r="C103" s="219" t="s">
        <v>507</v>
      </c>
      <c r="D103" s="99" t="s">
        <v>29</v>
      </c>
      <c r="E103" s="94"/>
      <c r="F103" s="94"/>
      <c r="G103" s="94"/>
      <c r="H103" s="94"/>
      <c r="I103" s="94"/>
      <c r="J103" s="94"/>
      <c r="K103" s="110"/>
      <c r="L103" s="110"/>
      <c r="M103" s="110"/>
      <c r="N103" s="110"/>
      <c r="O103" s="110"/>
      <c r="P103" s="111"/>
      <c r="Q103" s="252">
        <f t="shared" si="33"/>
        <v>0</v>
      </c>
      <c r="R103" s="92"/>
      <c r="S103" s="114">
        <f t="shared" si="35"/>
        <v>0</v>
      </c>
      <c r="T103" s="101"/>
      <c r="U103" s="88"/>
      <c r="V103" s="88"/>
      <c r="W103" s="151"/>
      <c r="X103" s="153"/>
      <c r="Y103" s="150"/>
      <c r="Z103" s="150"/>
    </row>
    <row r="104" spans="2:26" s="7" customFormat="1" ht="18" customHeight="1">
      <c r="B104" s="29"/>
      <c r="C104" s="219" t="s">
        <v>508</v>
      </c>
      <c r="D104" s="99" t="s">
        <v>29</v>
      </c>
      <c r="E104" s="94"/>
      <c r="F104" s="94"/>
      <c r="G104" s="94"/>
      <c r="H104" s="94"/>
      <c r="I104" s="94"/>
      <c r="J104" s="94"/>
      <c r="K104" s="110"/>
      <c r="L104" s="110"/>
      <c r="M104" s="110"/>
      <c r="N104" s="110"/>
      <c r="O104" s="110"/>
      <c r="P104" s="111"/>
      <c r="Q104" s="252">
        <f t="shared" si="33"/>
        <v>0</v>
      </c>
      <c r="R104" s="92"/>
      <c r="S104" s="114">
        <f t="shared" si="35"/>
        <v>0</v>
      </c>
      <c r="T104" s="101"/>
      <c r="U104" s="88"/>
      <c r="V104" s="88"/>
      <c r="W104" s="151"/>
      <c r="X104" s="153"/>
      <c r="Y104" s="150"/>
      <c r="Z104" s="150"/>
    </row>
    <row r="105" spans="2:26" s="7" customFormat="1" ht="18" customHeight="1">
      <c r="B105" s="29"/>
      <c r="C105" s="219" t="s">
        <v>509</v>
      </c>
      <c r="D105" s="99" t="s">
        <v>29</v>
      </c>
      <c r="E105" s="94"/>
      <c r="G105" s="94">
        <f>_xlfn.IFNA(VLOOKUP($D$4,'Grants+ Other Funding'!$A:$T,20,FALSE),0)</f>
        <v>0</v>
      </c>
      <c r="H105" s="94"/>
      <c r="I105" s="94"/>
      <c r="J105" s="94"/>
      <c r="K105" s="110"/>
      <c r="L105" s="110"/>
      <c r="M105" s="110"/>
      <c r="N105" s="110"/>
      <c r="O105" s="94"/>
      <c r="P105" s="111"/>
      <c r="Q105" s="252">
        <f t="shared" si="33"/>
        <v>0</v>
      </c>
      <c r="R105" s="92"/>
      <c r="S105" s="114">
        <f t="shared" si="35"/>
        <v>0</v>
      </c>
      <c r="T105" s="101"/>
      <c r="U105" s="88"/>
      <c r="V105" s="88"/>
      <c r="W105" s="151"/>
      <c r="X105" s="153"/>
      <c r="Y105" s="150"/>
      <c r="Z105" s="150"/>
    </row>
    <row r="106" spans="2:26" s="7" customFormat="1" ht="18" customHeight="1">
      <c r="B106" s="29"/>
      <c r="C106" s="879" t="s">
        <v>510</v>
      </c>
      <c r="D106" s="99" t="s">
        <v>29</v>
      </c>
      <c r="E106" s="94"/>
      <c r="F106" s="94">
        <f>_xlfn.IFNA(VLOOKUP($D$4,'Grants+ Other Funding'!$A:$J,10,FALSE),0)</f>
        <v>0</v>
      </c>
      <c r="G106" s="94"/>
      <c r="H106" s="94"/>
      <c r="I106" s="94"/>
      <c r="J106" s="94"/>
      <c r="K106" s="110"/>
      <c r="L106" s="110"/>
      <c r="M106" s="110"/>
      <c r="N106" s="110"/>
      <c r="O106" s="110"/>
      <c r="P106" s="111"/>
      <c r="Q106" s="252">
        <f t="shared" si="33"/>
        <v>0</v>
      </c>
      <c r="R106" s="92"/>
      <c r="S106" s="114">
        <f t="shared" si="35"/>
        <v>0</v>
      </c>
      <c r="T106" s="101"/>
      <c r="U106" s="88"/>
      <c r="V106" s="88"/>
      <c r="W106" s="151"/>
      <c r="X106" s="153"/>
      <c r="Y106" s="150"/>
      <c r="Z106" s="150"/>
    </row>
    <row r="107" spans="2:26" s="7" customFormat="1" ht="18" customHeight="1">
      <c r="B107" s="29"/>
      <c r="C107" s="219" t="s">
        <v>511</v>
      </c>
      <c r="D107" s="99" t="s">
        <v>512</v>
      </c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252">
        <f t="shared" si="33"/>
        <v>0</v>
      </c>
      <c r="R107" s="91"/>
      <c r="S107" s="114">
        <f t="shared" si="35"/>
        <v>0</v>
      </c>
      <c r="T107" s="101"/>
      <c r="U107" s="88"/>
      <c r="V107" s="88"/>
      <c r="W107" s="155"/>
      <c r="X107" s="156"/>
    </row>
    <row r="108" spans="2:26" s="7" customFormat="1" ht="18" customHeight="1">
      <c r="B108" s="29"/>
      <c r="C108" s="2" t="s">
        <v>513</v>
      </c>
      <c r="D108" s="99" t="s">
        <v>512</v>
      </c>
      <c r="E108" s="94"/>
      <c r="F108" s="94"/>
      <c r="G108" s="94"/>
      <c r="H108" s="94"/>
      <c r="I108" s="94"/>
      <c r="J108" s="94"/>
      <c r="K108" s="110"/>
      <c r="L108" s="110"/>
      <c r="M108" s="110"/>
      <c r="N108" s="110"/>
      <c r="O108" s="94"/>
      <c r="P108" s="111"/>
      <c r="Q108" s="252">
        <f t="shared" si="33"/>
        <v>0</v>
      </c>
      <c r="R108" s="92"/>
      <c r="S108" s="114">
        <f t="shared" si="35"/>
        <v>0</v>
      </c>
      <c r="T108" s="101"/>
      <c r="U108" s="88"/>
      <c r="V108" s="88"/>
      <c r="W108" s="158"/>
      <c r="X108" s="156"/>
    </row>
    <row r="109" spans="2:26" s="7" customFormat="1" ht="18" customHeight="1">
      <c r="B109" s="29"/>
      <c r="C109" s="69" t="s">
        <v>514</v>
      </c>
      <c r="D109" s="96"/>
      <c r="E109" s="97">
        <f t="shared" ref="E109:R109" si="36">SUM(E85:E108)</f>
        <v>0</v>
      </c>
      <c r="F109" s="97">
        <f t="shared" si="36"/>
        <v>0</v>
      </c>
      <c r="G109" s="97">
        <f t="shared" si="36"/>
        <v>0</v>
      </c>
      <c r="H109" s="97">
        <f t="shared" si="36"/>
        <v>0</v>
      </c>
      <c r="I109" s="97">
        <f t="shared" si="36"/>
        <v>0</v>
      </c>
      <c r="J109" s="97">
        <f t="shared" si="36"/>
        <v>0</v>
      </c>
      <c r="K109" s="97">
        <f t="shared" si="36"/>
        <v>0</v>
      </c>
      <c r="L109" s="97">
        <f t="shared" si="36"/>
        <v>0</v>
      </c>
      <c r="M109" s="97">
        <f t="shared" si="36"/>
        <v>0</v>
      </c>
      <c r="N109" s="97">
        <f t="shared" si="36"/>
        <v>0</v>
      </c>
      <c r="O109" s="97">
        <f t="shared" si="36"/>
        <v>0</v>
      </c>
      <c r="P109" s="97">
        <f t="shared" si="36"/>
        <v>0</v>
      </c>
      <c r="Q109" s="251">
        <f t="shared" si="36"/>
        <v>0</v>
      </c>
      <c r="R109" s="98">
        <f t="shared" si="36"/>
        <v>0</v>
      </c>
      <c r="S109" s="97">
        <f>SUM(E109:P109)+R109</f>
        <v>0</v>
      </c>
      <c r="T109" s="101"/>
      <c r="U109" s="88"/>
      <c r="V109" s="88"/>
      <c r="W109" s="158"/>
      <c r="X109" s="156"/>
    </row>
    <row r="110" spans="2:26" s="7" customFormat="1" ht="18" customHeight="1">
      <c r="B110" s="29"/>
      <c r="C110" s="68" t="s">
        <v>515</v>
      </c>
      <c r="D110" s="113"/>
      <c r="E110" s="114">
        <f t="shared" ref="E110:R110" si="37">E109+E74+E79+E83</f>
        <v>0</v>
      </c>
      <c r="F110" s="114">
        <f t="shared" si="37"/>
        <v>0</v>
      </c>
      <c r="G110" s="114">
        <f t="shared" si="37"/>
        <v>0</v>
      </c>
      <c r="H110" s="114">
        <f t="shared" si="37"/>
        <v>0</v>
      </c>
      <c r="I110" s="114">
        <f t="shared" si="37"/>
        <v>0</v>
      </c>
      <c r="J110" s="114">
        <f t="shared" si="37"/>
        <v>0</v>
      </c>
      <c r="K110" s="114">
        <f t="shared" si="37"/>
        <v>0</v>
      </c>
      <c r="L110" s="114">
        <f t="shared" si="37"/>
        <v>0</v>
      </c>
      <c r="M110" s="114">
        <f t="shared" si="37"/>
        <v>0</v>
      </c>
      <c r="N110" s="114">
        <f t="shared" si="37"/>
        <v>0</v>
      </c>
      <c r="O110" s="114">
        <f t="shared" si="37"/>
        <v>0</v>
      </c>
      <c r="P110" s="114">
        <f t="shared" si="37"/>
        <v>0</v>
      </c>
      <c r="Q110" s="114">
        <f t="shared" si="37"/>
        <v>0</v>
      </c>
      <c r="R110" s="114">
        <f t="shared" si="37"/>
        <v>0</v>
      </c>
      <c r="S110" s="114">
        <f>SUM(E110:P110)+R110</f>
        <v>0</v>
      </c>
      <c r="T110" s="101"/>
      <c r="U110" s="88"/>
      <c r="V110" s="88"/>
      <c r="W110" s="158"/>
      <c r="X110" s="156"/>
    </row>
    <row r="111" spans="2:26" s="7" customFormat="1" ht="18" customHeight="1">
      <c r="B111" s="29"/>
      <c r="C111" s="69" t="s">
        <v>516</v>
      </c>
      <c r="D111" s="115"/>
      <c r="E111" s="116">
        <f t="shared" ref="E111:Q111" si="38">ROUND((E110-E109-E74-E79-E83),0)</f>
        <v>0</v>
      </c>
      <c r="F111" s="116">
        <f t="shared" si="38"/>
        <v>0</v>
      </c>
      <c r="G111" s="116">
        <f t="shared" si="38"/>
        <v>0</v>
      </c>
      <c r="H111" s="116">
        <f t="shared" si="38"/>
        <v>0</v>
      </c>
      <c r="I111" s="116">
        <f t="shared" si="38"/>
        <v>0</v>
      </c>
      <c r="J111" s="116">
        <f t="shared" si="38"/>
        <v>0</v>
      </c>
      <c r="K111" s="116">
        <f t="shared" si="38"/>
        <v>0</v>
      </c>
      <c r="L111" s="116">
        <f t="shared" si="38"/>
        <v>0</v>
      </c>
      <c r="M111" s="116">
        <f t="shared" si="38"/>
        <v>0</v>
      </c>
      <c r="N111" s="116">
        <f t="shared" si="38"/>
        <v>0</v>
      </c>
      <c r="O111" s="116">
        <f t="shared" si="38"/>
        <v>0</v>
      </c>
      <c r="P111" s="116">
        <f t="shared" si="38"/>
        <v>0</v>
      </c>
      <c r="Q111" s="116">
        <f t="shared" si="38"/>
        <v>0</v>
      </c>
      <c r="R111" s="117"/>
      <c r="S111" s="97">
        <f>SUM(E111:R111)-Q111</f>
        <v>0</v>
      </c>
      <c r="T111" s="101"/>
      <c r="U111" s="88"/>
      <c r="V111" s="65"/>
      <c r="W111" s="154"/>
      <c r="X111" s="155"/>
    </row>
    <row r="112" spans="2:26">
      <c r="B112" s="16"/>
      <c r="D112" s="139"/>
      <c r="E112" s="137"/>
      <c r="F112" s="137"/>
      <c r="G112" s="137"/>
      <c r="H112" s="137"/>
      <c r="I112" s="140"/>
      <c r="J112" s="140"/>
      <c r="K112" s="140"/>
      <c r="L112" s="140"/>
      <c r="M112" s="140"/>
      <c r="N112" s="140"/>
      <c r="O112" s="140"/>
      <c r="P112" s="772"/>
      <c r="Q112" s="772"/>
      <c r="R112" s="772"/>
      <c r="S112" s="141"/>
      <c r="T112" s="118"/>
      <c r="U112" s="65"/>
      <c r="V112" s="65"/>
    </row>
    <row r="113" spans="2:22">
      <c r="B113" s="16"/>
      <c r="F113" s="137"/>
      <c r="G113" s="137"/>
      <c r="H113" s="137"/>
      <c r="I113" s="143"/>
      <c r="J113" s="143"/>
      <c r="K113" s="143"/>
      <c r="L113" s="143"/>
      <c r="M113" s="140"/>
      <c r="N113" s="140"/>
      <c r="O113" s="140"/>
      <c r="P113" s="772"/>
      <c r="Q113" s="772"/>
      <c r="R113" s="772"/>
      <c r="S113" s="144"/>
      <c r="T113" s="118"/>
      <c r="U113" s="65"/>
      <c r="V113" s="65"/>
    </row>
    <row r="114" spans="2:22" ht="15.75">
      <c r="B114" s="16"/>
      <c r="E114" s="168">
        <v>46113</v>
      </c>
      <c r="F114" s="168">
        <v>46143</v>
      </c>
      <c r="G114" s="168">
        <v>46174</v>
      </c>
      <c r="H114" s="168">
        <v>46204</v>
      </c>
      <c r="I114" s="168">
        <v>46235</v>
      </c>
      <c r="J114" s="168">
        <v>46266</v>
      </c>
      <c r="K114" s="168">
        <v>46296</v>
      </c>
      <c r="L114" s="168">
        <v>46327</v>
      </c>
      <c r="M114" s="168">
        <v>46357</v>
      </c>
      <c r="N114" s="168">
        <v>46388</v>
      </c>
      <c r="O114" s="168">
        <v>46419</v>
      </c>
      <c r="P114" s="168">
        <v>46447</v>
      </c>
      <c r="Q114" s="170" t="s">
        <v>458</v>
      </c>
      <c r="T114" s="118"/>
      <c r="U114" s="65"/>
      <c r="V114" s="65"/>
    </row>
    <row r="115" spans="2:22" ht="15.75">
      <c r="B115" s="16"/>
      <c r="C115" s="897"/>
      <c r="D115" s="898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>
        <f>SUM(E115:P115)</f>
        <v>0</v>
      </c>
      <c r="R115" s="140"/>
      <c r="S115" s="145"/>
      <c r="T115" s="118"/>
      <c r="U115" s="65"/>
      <c r="V115" s="65"/>
    </row>
    <row r="116" spans="2:22" ht="12.75" customHeight="1">
      <c r="B116" s="16"/>
      <c r="F116" s="137"/>
      <c r="G116" s="137"/>
      <c r="H116" s="137"/>
      <c r="J116" s="143"/>
      <c r="K116" s="143"/>
      <c r="L116" s="143"/>
      <c r="M116" s="140"/>
      <c r="N116" s="140"/>
      <c r="O116" s="140"/>
      <c r="P116" s="140"/>
      <c r="Q116" s="140"/>
      <c r="R116" s="140"/>
      <c r="S116" s="145"/>
      <c r="T116" s="118"/>
      <c r="U116" s="65"/>
      <c r="V116" s="65"/>
    </row>
    <row r="117" spans="2:22" ht="12.75" customHeight="1">
      <c r="B117" s="16"/>
      <c r="F117" s="137"/>
      <c r="G117" s="137"/>
      <c r="H117" s="137"/>
      <c r="I117" s="143"/>
      <c r="J117" s="143"/>
      <c r="K117" s="143"/>
      <c r="L117" s="143"/>
      <c r="M117" s="140"/>
      <c r="N117" s="140"/>
      <c r="O117" s="140"/>
      <c r="P117" s="140"/>
      <c r="Q117" s="140"/>
      <c r="R117" s="140"/>
      <c r="S117" s="145"/>
      <c r="T117" s="118"/>
      <c r="U117" s="65"/>
      <c r="V117" s="65"/>
    </row>
    <row r="118" spans="2:22">
      <c r="B118" s="16"/>
      <c r="F118" s="137"/>
      <c r="G118" s="137"/>
      <c r="H118" s="137"/>
      <c r="I118" s="143"/>
      <c r="J118" s="137"/>
      <c r="K118" s="137"/>
      <c r="L118" s="137"/>
      <c r="M118" s="137"/>
      <c r="N118" s="137"/>
      <c r="O118" s="137"/>
      <c r="P118" s="137"/>
      <c r="Q118" s="137"/>
      <c r="R118" s="137"/>
      <c r="S118" s="139"/>
      <c r="T118" s="85"/>
      <c r="U118" s="65"/>
      <c r="V118" s="65"/>
    </row>
    <row r="119" spans="2:22" ht="15.75">
      <c r="B119" s="16"/>
      <c r="C119" s="167" t="s">
        <v>517</v>
      </c>
      <c r="D119" s="139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9"/>
      <c r="T119" s="85"/>
      <c r="U119" s="65"/>
      <c r="V119" s="65"/>
    </row>
    <row r="120" spans="2:22" ht="15.75">
      <c r="B120" s="16"/>
      <c r="C120" s="167" t="s">
        <v>518</v>
      </c>
      <c r="D120" s="139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9"/>
      <c r="T120" s="85"/>
      <c r="U120" s="65"/>
      <c r="V120" s="65"/>
    </row>
    <row r="121" spans="2:22" ht="15.75">
      <c r="B121" s="16"/>
      <c r="C121" s="167" t="s">
        <v>519</v>
      </c>
      <c r="D121" s="139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9"/>
      <c r="T121" s="85"/>
      <c r="U121" s="65"/>
      <c r="V121" s="65"/>
    </row>
    <row r="122" spans="2:22" hidden="1">
      <c r="B122" s="16"/>
      <c r="D122" s="139"/>
      <c r="E122" s="137"/>
      <c r="F122" s="137"/>
      <c r="G122" s="137"/>
      <c r="H122" s="137"/>
      <c r="I122" s="137"/>
      <c r="J122" s="160"/>
      <c r="K122" s="137"/>
      <c r="L122" s="137"/>
      <c r="M122" s="137"/>
      <c r="N122" s="137"/>
      <c r="O122" s="137"/>
      <c r="P122" s="137"/>
      <c r="Q122" s="137"/>
      <c r="R122" s="137"/>
      <c r="S122" s="139"/>
      <c r="T122" s="85"/>
      <c r="U122" s="65"/>
      <c r="V122" s="65"/>
    </row>
    <row r="123" spans="2:22" ht="15.75" hidden="1">
      <c r="B123" s="16"/>
      <c r="C123" s="167" t="s">
        <v>520</v>
      </c>
      <c r="D123" s="139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9"/>
      <c r="T123" s="85"/>
      <c r="U123" s="65"/>
      <c r="V123" s="65"/>
    </row>
    <row r="124" spans="2:22" ht="15.75">
      <c r="B124" s="16"/>
      <c r="C124" s="167" t="s">
        <v>521</v>
      </c>
      <c r="D124" s="139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9"/>
      <c r="T124" s="85"/>
      <c r="U124" s="65"/>
      <c r="V124" s="65"/>
    </row>
    <row r="125" spans="2:22" ht="15.75" thickBot="1">
      <c r="B125" s="16"/>
      <c r="C125" s="142"/>
      <c r="D125" s="139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9"/>
      <c r="T125" s="85"/>
      <c r="U125" s="65"/>
      <c r="V125" s="65"/>
    </row>
    <row r="126" spans="2:22" ht="17.25">
      <c r="B126" s="16"/>
      <c r="C126" s="59" t="s">
        <v>522</v>
      </c>
      <c r="D126" s="119"/>
      <c r="E126" s="120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9"/>
      <c r="T126" s="85"/>
      <c r="U126" s="65"/>
      <c r="V126" s="65"/>
    </row>
    <row r="127" spans="2:22" ht="15.75">
      <c r="B127" s="16"/>
      <c r="C127" s="60" t="s">
        <v>523</v>
      </c>
      <c r="D127" s="121" t="s">
        <v>22</v>
      </c>
      <c r="E127" s="122">
        <f t="shared" ref="E127:E137" si="39">SUMIF($D$46:$D$108,D127,$Q$46:$Q$110)</f>
        <v>0</v>
      </c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9"/>
      <c r="T127" s="85"/>
      <c r="U127" s="65"/>
      <c r="V127" s="65"/>
    </row>
    <row r="128" spans="2:22" ht="15.75">
      <c r="B128" s="16"/>
      <c r="C128" s="60" t="s">
        <v>524</v>
      </c>
      <c r="D128" s="121" t="s">
        <v>26</v>
      </c>
      <c r="E128" s="122">
        <f t="shared" si="39"/>
        <v>0</v>
      </c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9"/>
      <c r="T128" s="85"/>
      <c r="U128" s="65"/>
      <c r="V128" s="65"/>
    </row>
    <row r="129" spans="2:22" ht="15.75">
      <c r="B129" s="16"/>
      <c r="C129" s="60" t="s">
        <v>525</v>
      </c>
      <c r="D129" s="121" t="s">
        <v>25</v>
      </c>
      <c r="E129" s="122">
        <f t="shared" si="39"/>
        <v>0</v>
      </c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9"/>
      <c r="T129" s="85"/>
      <c r="U129" s="65"/>
      <c r="V129" s="65"/>
    </row>
    <row r="130" spans="2:22" ht="15.75">
      <c r="B130" s="16"/>
      <c r="C130" s="60" t="s">
        <v>526</v>
      </c>
      <c r="D130" s="121" t="s">
        <v>28</v>
      </c>
      <c r="E130" s="122">
        <f t="shared" si="39"/>
        <v>0</v>
      </c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9"/>
      <c r="T130" s="85"/>
      <c r="U130" s="65"/>
      <c r="V130" s="65"/>
    </row>
    <row r="131" spans="2:22" ht="15.75">
      <c r="B131" s="16"/>
      <c r="C131" s="60" t="s">
        <v>527</v>
      </c>
      <c r="D131" s="121" t="s">
        <v>29</v>
      </c>
      <c r="E131" s="122">
        <f t="shared" si="39"/>
        <v>0</v>
      </c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9"/>
      <c r="T131" s="85"/>
      <c r="U131" s="65"/>
      <c r="V131" s="65"/>
    </row>
    <row r="132" spans="2:22" ht="15.75">
      <c r="B132" s="16"/>
      <c r="C132" s="60" t="s">
        <v>480</v>
      </c>
      <c r="D132" s="121" t="s">
        <v>30</v>
      </c>
      <c r="E132" s="122">
        <f t="shared" si="39"/>
        <v>0</v>
      </c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9"/>
      <c r="T132" s="85"/>
      <c r="U132" s="65"/>
      <c r="V132" s="65"/>
    </row>
    <row r="133" spans="2:22" ht="15.75">
      <c r="B133" s="16"/>
      <c r="C133" s="61" t="s">
        <v>528</v>
      </c>
      <c r="D133" s="124" t="s">
        <v>512</v>
      </c>
      <c r="E133" s="123">
        <f t="shared" si="39"/>
        <v>0</v>
      </c>
      <c r="F133" s="139"/>
      <c r="G133" s="139"/>
      <c r="H133" s="139"/>
      <c r="I133" s="137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85"/>
      <c r="U133" s="65"/>
      <c r="V133" s="65"/>
    </row>
    <row r="134" spans="2:22" ht="15.75">
      <c r="B134" s="16"/>
      <c r="C134" s="61" t="s">
        <v>529</v>
      </c>
      <c r="D134" s="124" t="s">
        <v>24</v>
      </c>
      <c r="E134" s="123">
        <f t="shared" si="39"/>
        <v>0</v>
      </c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85"/>
      <c r="U134" s="65"/>
      <c r="V134" s="65"/>
    </row>
    <row r="135" spans="2:22" ht="15.75">
      <c r="B135" s="16"/>
      <c r="C135" s="61" t="s">
        <v>481</v>
      </c>
      <c r="D135" s="124" t="s">
        <v>31</v>
      </c>
      <c r="E135" s="123">
        <f t="shared" si="39"/>
        <v>0</v>
      </c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85"/>
      <c r="U135" s="65"/>
      <c r="V135" s="65"/>
    </row>
    <row r="136" spans="2:22" ht="15.75">
      <c r="B136" s="16"/>
      <c r="C136" s="61" t="s">
        <v>530</v>
      </c>
      <c r="D136" s="124" t="s">
        <v>27</v>
      </c>
      <c r="E136" s="123">
        <f t="shared" si="39"/>
        <v>0</v>
      </c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85"/>
      <c r="U136" s="65"/>
      <c r="V136" s="65"/>
    </row>
    <row r="137" spans="2:22" ht="16.5" thickBot="1">
      <c r="B137" s="16"/>
      <c r="C137" s="62" t="s">
        <v>531</v>
      </c>
      <c r="D137" s="125" t="s">
        <v>23</v>
      </c>
      <c r="E137" s="126">
        <f t="shared" si="39"/>
        <v>0</v>
      </c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85"/>
      <c r="U137" s="65"/>
      <c r="V137" s="65"/>
    </row>
    <row r="138" spans="2:22">
      <c r="B138" s="16"/>
      <c r="C138" s="142"/>
      <c r="D138" s="391" t="s">
        <v>532</v>
      </c>
      <c r="E138" s="392">
        <f>SUM(E127:E137)</f>
        <v>0</v>
      </c>
      <c r="F138" s="393" t="s">
        <v>1125</v>
      </c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85"/>
      <c r="U138" s="65"/>
      <c r="V138" s="65"/>
    </row>
    <row r="139" spans="2:22" ht="15.75" thickBot="1">
      <c r="B139" s="25"/>
      <c r="C139" s="26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8"/>
      <c r="U139" s="65"/>
      <c r="V139" s="65"/>
    </row>
    <row r="140" spans="2:22">
      <c r="D140" s="33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</row>
    <row r="141" spans="2:22">
      <c r="D141" s="33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</row>
    <row r="142" spans="2:22" hidden="1">
      <c r="I142" s="6"/>
    </row>
    <row r="143" spans="2:22" hidden="1">
      <c r="D143" s="8"/>
    </row>
    <row r="144" spans="2:22" hidden="1">
      <c r="B144" s="11"/>
      <c r="C144" s="14"/>
      <c r="D144" s="14"/>
      <c r="E144" s="14"/>
      <c r="F144" s="14"/>
      <c r="G144" s="14"/>
      <c r="H144" s="14"/>
      <c r="J144" s="14"/>
      <c r="K144" s="14"/>
      <c r="L144" s="14"/>
      <c r="M144" s="14"/>
      <c r="N144" s="14"/>
      <c r="O144" s="14"/>
      <c r="P144" s="14"/>
      <c r="Q144" s="14"/>
      <c r="R144" s="14"/>
      <c r="S144" s="15"/>
    </row>
    <row r="145" spans="1:19" ht="18.75" hidden="1">
      <c r="B145" s="16"/>
      <c r="C145" s="10" t="s">
        <v>533</v>
      </c>
      <c r="D145" s="36"/>
      <c r="E145" s="34"/>
      <c r="F145" s="34"/>
      <c r="G145" s="34"/>
      <c r="H145" s="34"/>
      <c r="I145" s="14"/>
      <c r="J145" s="34"/>
      <c r="K145" s="34"/>
      <c r="L145" s="34"/>
      <c r="M145" s="34"/>
      <c r="N145" s="34"/>
      <c r="O145" s="34"/>
      <c r="P145" s="34"/>
      <c r="Q145" s="34"/>
      <c r="R145" s="24"/>
      <c r="S145" s="17"/>
    </row>
    <row r="146" spans="1:19" ht="18.75" hidden="1">
      <c r="B146" s="16"/>
      <c r="C146" s="10"/>
      <c r="D146" s="895" t="s">
        <v>457</v>
      </c>
      <c r="E146" s="30">
        <v>44287</v>
      </c>
      <c r="F146" s="30">
        <v>44317</v>
      </c>
      <c r="G146" s="30">
        <v>44348</v>
      </c>
      <c r="H146" s="30">
        <v>44378</v>
      </c>
      <c r="I146" s="34"/>
      <c r="J146" s="30">
        <v>44440</v>
      </c>
      <c r="K146" s="30">
        <v>44470</v>
      </c>
      <c r="L146" s="30">
        <v>44501</v>
      </c>
      <c r="M146" s="30">
        <v>44531</v>
      </c>
      <c r="N146" s="30">
        <v>44562</v>
      </c>
      <c r="O146" s="30">
        <v>44593</v>
      </c>
      <c r="P146" s="30">
        <v>44621</v>
      </c>
      <c r="Q146" s="30"/>
      <c r="R146" s="19" t="s">
        <v>33</v>
      </c>
      <c r="S146" s="17"/>
    </row>
    <row r="147" spans="1:19" ht="15.75" hidden="1">
      <c r="B147" s="16"/>
      <c r="D147" s="896"/>
      <c r="E147" s="30" t="s">
        <v>460</v>
      </c>
      <c r="F147" s="30" t="s">
        <v>460</v>
      </c>
      <c r="G147" s="30" t="s">
        <v>534</v>
      </c>
      <c r="H147" s="30" t="s">
        <v>460</v>
      </c>
      <c r="I147" s="30">
        <v>44409</v>
      </c>
      <c r="J147" s="30" t="s">
        <v>460</v>
      </c>
      <c r="K147" s="30" t="s">
        <v>460</v>
      </c>
      <c r="L147" s="30" t="s">
        <v>460</v>
      </c>
      <c r="M147" s="30" t="s">
        <v>460</v>
      </c>
      <c r="N147" s="30" t="s">
        <v>460</v>
      </c>
      <c r="O147" s="30" t="s">
        <v>460</v>
      </c>
      <c r="P147" s="30" t="s">
        <v>460</v>
      </c>
      <c r="Q147" s="30"/>
      <c r="R147" s="19"/>
      <c r="S147" s="17"/>
    </row>
    <row r="148" spans="1:19" ht="15.75" hidden="1">
      <c r="A148" t="s">
        <v>535</v>
      </c>
      <c r="B148" s="16"/>
      <c r="C148" s="20"/>
      <c r="D148" s="2"/>
      <c r="E148" s="31"/>
      <c r="F148" s="31"/>
      <c r="G148" s="31"/>
      <c r="H148" s="31"/>
      <c r="I148" s="30" t="s">
        <v>460</v>
      </c>
      <c r="J148" s="31"/>
      <c r="K148" s="31"/>
      <c r="L148" s="31"/>
      <c r="M148" s="31"/>
      <c r="N148" s="31"/>
      <c r="O148" s="31"/>
      <c r="P148" s="31"/>
      <c r="Q148" s="20"/>
      <c r="R148" s="35"/>
      <c r="S148" s="17"/>
    </row>
    <row r="149" spans="1:19" ht="15.75" hidden="1">
      <c r="B149" s="16"/>
      <c r="C149" s="2"/>
      <c r="D149" s="2"/>
      <c r="E149" s="31"/>
      <c r="F149" s="31"/>
      <c r="G149" s="31"/>
      <c r="H149" s="31"/>
      <c r="I149" s="31"/>
      <c r="J149" s="37"/>
      <c r="K149" s="31"/>
      <c r="L149" s="31"/>
      <c r="M149" s="31"/>
      <c r="N149" s="31"/>
      <c r="O149" s="31"/>
      <c r="P149" s="31"/>
      <c r="Q149" s="20"/>
      <c r="R149" s="35"/>
      <c r="S149" s="17"/>
    </row>
    <row r="150" spans="1:19" ht="15.75" hidden="1">
      <c r="B150" s="16"/>
      <c r="C150" s="2"/>
      <c r="D150" s="2"/>
      <c r="E150" s="31"/>
      <c r="F150" s="31"/>
      <c r="G150" s="31"/>
      <c r="H150" s="31"/>
      <c r="I150" s="31"/>
      <c r="J150" s="37"/>
      <c r="K150" s="31"/>
      <c r="L150" s="31"/>
      <c r="M150" s="31"/>
      <c r="N150" s="31"/>
      <c r="O150" s="31"/>
      <c r="P150" s="31"/>
      <c r="Q150" s="20"/>
      <c r="R150" s="35"/>
      <c r="S150" s="17"/>
    </row>
    <row r="151" spans="1:19" ht="15.75" hidden="1">
      <c r="B151" s="16"/>
      <c r="C151" s="2"/>
      <c r="D151" s="2"/>
      <c r="E151" s="31"/>
      <c r="F151" s="31"/>
      <c r="G151" s="31"/>
      <c r="H151" s="31"/>
      <c r="I151" s="31"/>
      <c r="J151" s="32"/>
      <c r="K151" s="31"/>
      <c r="L151" s="31"/>
      <c r="M151" s="31"/>
      <c r="N151" s="31"/>
      <c r="O151" s="31"/>
      <c r="P151" s="31"/>
      <c r="Q151" s="20"/>
      <c r="R151" s="35"/>
      <c r="S151" s="17"/>
    </row>
    <row r="152" spans="1:19" ht="15.75" hidden="1">
      <c r="B152" s="16"/>
      <c r="C152" s="2"/>
      <c r="D152" s="2"/>
      <c r="E152" s="20"/>
      <c r="F152" s="20"/>
      <c r="G152" s="20"/>
      <c r="H152" s="20"/>
      <c r="I152" s="31"/>
      <c r="J152" s="20"/>
      <c r="K152" s="31"/>
      <c r="L152" s="20"/>
      <c r="M152" s="20"/>
      <c r="N152" s="20"/>
      <c r="O152" s="20"/>
      <c r="P152" s="20"/>
      <c r="Q152" s="20"/>
      <c r="R152" s="35"/>
      <c r="S152" s="17"/>
    </row>
    <row r="153" spans="1:19" ht="15.75" hidden="1">
      <c r="B153" s="16"/>
      <c r="C153" s="2"/>
      <c r="D153" s="2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17"/>
    </row>
    <row r="154" spans="1:19" ht="18.75" hidden="1">
      <c r="B154" s="16"/>
      <c r="C154" s="38" t="s">
        <v>33</v>
      </c>
      <c r="D154" s="4"/>
      <c r="E154" s="39"/>
      <c r="F154" s="39"/>
      <c r="G154" s="39"/>
      <c r="H154" s="39"/>
      <c r="I154" s="20"/>
      <c r="J154" s="39"/>
      <c r="K154" s="39"/>
      <c r="L154" s="39"/>
      <c r="M154" s="39"/>
      <c r="N154" s="39"/>
      <c r="O154" s="39"/>
      <c r="P154" s="39"/>
      <c r="Q154" s="39"/>
      <c r="R154" s="39"/>
      <c r="S154" s="17"/>
    </row>
    <row r="155" spans="1:19" ht="16.5" hidden="1" thickBot="1">
      <c r="B155" s="25"/>
      <c r="C155" s="26"/>
      <c r="D155" s="26"/>
      <c r="E155" s="26"/>
      <c r="F155" s="26"/>
      <c r="G155" s="26"/>
      <c r="H155" s="26"/>
      <c r="I155" s="39"/>
      <c r="J155" s="26"/>
      <c r="K155" s="26"/>
      <c r="L155" s="26"/>
      <c r="M155" s="26"/>
      <c r="N155" s="26"/>
      <c r="O155" s="26"/>
      <c r="P155" s="26"/>
      <c r="Q155" s="26"/>
      <c r="R155" s="26"/>
      <c r="S155" s="27"/>
    </row>
    <row r="156" spans="1:19" ht="15.75" hidden="1" thickBot="1">
      <c r="I156" s="26"/>
    </row>
  </sheetData>
  <sheetProtection algorithmName="SHA-512" hashValue="aYyBLrCb9Jk/mMLtiGeQoy6+Vpb8wAayI0NEHI4MB59oXfvdALg+KtV2JzpsC0o6hq+yhQNR83eHYmvlRK01hQ==" saltValue="h7jHykL9Kn5GbK4HtT2auw==" spinCount="100000" sheet="1" objects="1" scenarios="1"/>
  <mergeCells count="3">
    <mergeCell ref="D44:D45"/>
    <mergeCell ref="D146:D147"/>
    <mergeCell ref="C115:D115"/>
  </mergeCells>
  <phoneticPr fontId="94" type="noConversion"/>
  <conditionalFormatting sqref="D13:H21 J13:P21 R13:V33 Q13:Q37 I13:I43 D22:G23 J22:J23 L22:P23 J24:P29 D24:H43 K30:P31 J32:P37 R34:U36 R37:V37 J38:V43 D44:V51 F52:P54 J52:V68 D52:I75 J69:U75 V69:V84 D76:U78 E79:U79 D80:I82 J80:U83 E83:H83 I83:I109 K84:U84 D84:H101 J85:V109 D102:G104 H103:H104 D105:E105 G105:H105 D106:H109 D110:V110 F111:Q111 D111:H112 I111:V113 F113:H113 T114:V114 J115:V139 F116:H138 I117:I139 D119:E138 D139:H139">
    <cfRule type="cellIs" dxfId="87" priority="8" operator="equal">
      <formula>0</formula>
    </cfRule>
  </conditionalFormatting>
  <conditionalFormatting sqref="D14:H21 J14:P21 Q14:S37 I14:I43 D22:G23 J22:J23 L22:P23 J24:P29 D24:H43 K30:P31 J32:P37 J38:R38 J39:S43 D44:S78 E79:S79 D80:I82 J80:S83 E83:H83 I83:I109 K84:S84 D84:H101 J85:S109 D102:G104 H103:H104 D105:E105 G105:H105 D106:H109 D110:S110 F111:Q111 D111:H112 I111:S113 F113:H113 J115:S132 F116:H132 I117:I133 D119:E137">
    <cfRule type="cellIs" dxfId="86" priority="18" operator="lessThan">
      <formula>0</formula>
    </cfRule>
  </conditionalFormatting>
  <conditionalFormatting sqref="E114:Q114 E115:I115">
    <cfRule type="cellIs" dxfId="85" priority="3" operator="equal">
      <formula>0</formula>
    </cfRule>
    <cfRule type="cellIs" dxfId="84" priority="4" operator="lessThan">
      <formula>0</formula>
    </cfRule>
  </conditionalFormatting>
  <conditionalFormatting sqref="E111:S111">
    <cfRule type="cellIs" dxfId="83" priority="19" operator="notEqual">
      <formula>0</formula>
    </cfRule>
  </conditionalFormatting>
  <conditionalFormatting sqref="J30">
    <cfRule type="cellIs" dxfId="82" priority="1" operator="equal">
      <formula>0</formula>
    </cfRule>
    <cfRule type="cellIs" dxfId="81" priority="2" operator="lessThan">
      <formula>0</formula>
    </cfRule>
  </conditionalFormatting>
  <conditionalFormatting sqref="S38">
    <cfRule type="cellIs" dxfId="80" priority="16" operator="equal">
      <formula>0</formula>
    </cfRule>
    <cfRule type="expression" dxfId="79" priority="17">
      <formula>0</formula>
    </cfRule>
  </conditionalFormatting>
  <conditionalFormatting sqref="S112">
    <cfRule type="containsText" dxfId="78" priority="32" operator="containsText" text="False">
      <formula>NOT(ISERROR(SEARCH("False",S112)))</formula>
    </cfRule>
  </conditionalFormatting>
  <conditionalFormatting sqref="U7:X9 AH10:AK29 AH32:AK39 U40:X41 V42:Y48 V48:V52 V50:Y64 V68:Y68 W69:Y74 V69:V97 X75:Y97 V85:Y110 W111:Y111 V112:Y139 U140:X140">
    <cfRule type="expression" dxfId="77" priority="49">
      <formula>0</formula>
    </cfRule>
  </conditionalFormatting>
  <conditionalFormatting sqref="U30:X31 V48:V59 U50:X64 U68:X68 W69:X73 U69:V97 X75:Y97 U98:X98 V99:V108 U107:Y107">
    <cfRule type="cellIs" dxfId="76" priority="5" operator="equal">
      <formula>0</formula>
    </cfRule>
  </conditionalFormatting>
  <conditionalFormatting sqref="U45:X48 U111 W111:Y111">
    <cfRule type="cellIs" dxfId="75" priority="22" operator="equal">
      <formula>0</formula>
    </cfRule>
  </conditionalFormatting>
  <conditionalFormatting sqref="V85:V97 W44:X48 W68:X74 W50:X64 W98:X101 X75:X97">
    <cfRule type="colorScale" priority="48">
      <colorScale>
        <cfvo type="num" val="&quot;&lt;0&quot;"/>
        <cfvo type="num" val="0"/>
        <color theme="1"/>
        <color theme="0"/>
      </colorScale>
    </cfRule>
  </conditionalFormatting>
  <conditionalFormatting sqref="V30:Y31">
    <cfRule type="expression" dxfId="74" priority="7">
      <formula>0</formula>
    </cfRule>
  </conditionalFormatting>
  <conditionalFormatting sqref="W69:W74 V85:V97 W107">
    <cfRule type="cellIs" dxfId="73" priority="44" operator="between">
      <formula>0.09999999999</formula>
      <formula>-1</formula>
    </cfRule>
  </conditionalFormatting>
  <conditionalFormatting sqref="W111">
    <cfRule type="cellIs" dxfId="72" priority="20" operator="between">
      <formula>0.09999999999</formula>
      <formula>-1</formula>
    </cfRule>
  </conditionalFormatting>
  <conditionalFormatting sqref="W30:X31 W103:X107">
    <cfRule type="colorScale" priority="6">
      <colorScale>
        <cfvo type="num" val="&quot;&lt;0&quot;"/>
        <cfvo type="num" val="0"/>
        <color theme="1"/>
        <color theme="0"/>
      </colorScale>
    </cfRule>
  </conditionalFormatting>
  <conditionalFormatting sqref="W69:X74 X75:X97 V85:V97 W107:X107">
    <cfRule type="cellIs" dxfId="71" priority="45" operator="between">
      <formula>0.00999999999</formula>
      <formula>0</formula>
    </cfRule>
  </conditionalFormatting>
  <conditionalFormatting sqref="W111:X111">
    <cfRule type="cellIs" dxfId="70" priority="21" operator="between">
      <formula>0.00999999999</formula>
      <formula>0</formula>
    </cfRule>
    <cfRule type="colorScale" priority="23">
      <colorScale>
        <cfvo type="num" val="&quot;&lt;0&quot;"/>
        <cfvo type="num" val="0"/>
        <color theme="1"/>
        <color theme="0"/>
      </colorScale>
    </cfRule>
  </conditionalFormatting>
  <conditionalFormatting sqref="W74:Y74">
    <cfRule type="cellIs" dxfId="69" priority="47" operator="equal">
      <formula>0</formula>
    </cfRule>
  </conditionalFormatting>
  <conditionalFormatting sqref="AH49:AK49">
    <cfRule type="expression" dxfId="68" priority="11">
      <formula>0</formula>
    </cfRule>
  </conditionalFormatting>
  <conditionalFormatting sqref="AH65:AK68">
    <cfRule type="expression" dxfId="67" priority="10">
      <formula>0</formula>
    </cfRule>
  </conditionalFormatting>
  <hyperlinks>
    <hyperlink ref="C85" r:id="rId1" xr:uid="{60492F14-4219-4202-AAFA-1676845EF4D7}"/>
    <hyperlink ref="C93" r:id="rId2" xr:uid="{D4CB4A93-EA01-48A1-98A8-88212280F7E5}"/>
    <hyperlink ref="C106" r:id="rId3" xr:uid="{C41AA584-2E06-4D49-8DF1-684219033DA8}"/>
    <hyperlink ref="C102" r:id="rId4" xr:uid="{01784B2A-F06F-4493-BF76-F74D73D63C02}"/>
  </hyperlinks>
  <pageMargins left="0.25" right="0.25" top="0.75" bottom="0.75" header="0.3" footer="0.3"/>
  <pageSetup paperSize="9" scale="42" orientation="landscape" r:id="rId5"/>
  <headerFooter>
    <oddFooter>&amp;C_x000D_&amp;1#&amp;"Calibri"&amp;10&amp;K000000 OFFICIAL</oddFooter>
  </headerFooter>
  <ignoredErrors>
    <ignoredError sqref="S49" formula="1"/>
  </ignoredErrors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EC2428-B561-492B-A19F-BD17C6CF575E}">
          <x14:formula1>
            <xm:f>Lookup!$A$2:$A$211</xm:f>
          </x14:formula1>
          <xm:sqref>D6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E396A-BDBA-4966-87C0-9B68B22E7FE6}">
  <sheetPr codeName="Sheet3">
    <tabColor theme="1"/>
    <pageSetUpPr fitToPage="1"/>
  </sheetPr>
  <dimension ref="A1:AF75"/>
  <sheetViews>
    <sheetView showGridLines="0" zoomScale="70" zoomScaleNormal="70" zoomScaleSheetLayoutView="90" workbookViewId="0">
      <selection activeCell="D34" sqref="D34"/>
    </sheetView>
  </sheetViews>
  <sheetFormatPr defaultColWidth="9.140625" defaultRowHeight="15"/>
  <cols>
    <col min="1" max="1" width="1.7109375" style="416" customWidth="1"/>
    <col min="2" max="2" width="5.7109375" style="416" customWidth="1"/>
    <col min="3" max="3" width="57.85546875" style="416" customWidth="1"/>
    <col min="4" max="15" width="17.140625" style="416" customWidth="1"/>
    <col min="16" max="18" width="16.7109375" style="416" customWidth="1"/>
    <col min="19" max="19" width="17.28515625" style="416" customWidth="1"/>
    <col min="20" max="20" width="2" style="416" customWidth="1"/>
    <col min="21" max="21" width="1.7109375" style="416" customWidth="1"/>
    <col min="22" max="22" width="21.42578125" style="416" bestFit="1" customWidth="1"/>
    <col min="23" max="23" width="25" style="416" customWidth="1"/>
    <col min="24" max="24" width="9.140625" style="416" customWidth="1"/>
    <col min="25" max="16384" width="9.140625" style="416"/>
  </cols>
  <sheetData>
    <row r="1" spans="2:24" ht="24.95" customHeight="1">
      <c r="B1" s="413"/>
      <c r="C1" s="414" t="s">
        <v>536</v>
      </c>
      <c r="D1" s="415"/>
      <c r="E1" s="415"/>
      <c r="F1" s="230"/>
      <c r="G1" s="230"/>
      <c r="H1" s="230"/>
      <c r="I1" s="230"/>
      <c r="J1" s="230"/>
      <c r="K1" s="230"/>
      <c r="L1" s="230"/>
      <c r="M1" s="230"/>
      <c r="N1" s="229"/>
      <c r="O1" s="229"/>
      <c r="P1" s="230"/>
      <c r="Q1" s="230"/>
      <c r="R1" s="230"/>
      <c r="S1" s="230"/>
      <c r="T1" s="231"/>
      <c r="X1" s="417"/>
    </row>
    <row r="2" spans="2:24" ht="24.95" customHeight="1">
      <c r="B2" s="418"/>
      <c r="C2" s="419" t="s">
        <v>537</v>
      </c>
      <c r="D2" s="420"/>
      <c r="E2" s="420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5"/>
    </row>
    <row r="3" spans="2:24" ht="24.95" customHeight="1">
      <c r="B3" s="418"/>
      <c r="C3" s="420"/>
      <c r="D3" s="420"/>
      <c r="E3" s="420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5"/>
    </row>
    <row r="4" spans="2:24" ht="18.75">
      <c r="B4" s="418"/>
      <c r="C4" s="419" t="s">
        <v>412</v>
      </c>
      <c r="D4" s="421" t="str">
        <f>'1. Calculator'!D4</f>
        <v>-</v>
      </c>
      <c r="E4" s="420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5"/>
    </row>
    <row r="5" spans="2:24" ht="18.75">
      <c r="B5" s="418"/>
      <c r="C5" s="419" t="s">
        <v>413</v>
      </c>
      <c r="D5" s="422" t="str">
        <f>'1. Calculator'!D5</f>
        <v>-</v>
      </c>
      <c r="E5" s="420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5"/>
    </row>
    <row r="6" spans="2:24" ht="18.75">
      <c r="B6" s="418"/>
      <c r="C6" s="419" t="s">
        <v>414</v>
      </c>
      <c r="D6" s="422" t="str">
        <f>'1. Calculator'!D6</f>
        <v>Select School Name</v>
      </c>
      <c r="E6" s="420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5"/>
    </row>
    <row r="7" spans="2:24" ht="15.75" thickBot="1">
      <c r="B7" s="423"/>
      <c r="C7" s="424"/>
      <c r="D7" s="425"/>
      <c r="E7" s="425"/>
      <c r="F7" s="425"/>
      <c r="G7" s="425"/>
      <c r="H7" s="425"/>
      <c r="I7" s="425"/>
      <c r="J7" s="425"/>
      <c r="K7" s="425"/>
      <c r="L7" s="425"/>
      <c r="M7" s="425"/>
      <c r="N7" s="425"/>
      <c r="O7" s="425"/>
      <c r="P7" s="425"/>
      <c r="Q7" s="425"/>
      <c r="R7" s="425"/>
      <c r="S7" s="425"/>
      <c r="T7" s="426"/>
    </row>
    <row r="8" spans="2:24">
      <c r="C8" s="427"/>
      <c r="D8" s="417"/>
    </row>
    <row r="9" spans="2:24" ht="19.5" thickBot="1">
      <c r="C9" s="428"/>
      <c r="D9" s="417"/>
      <c r="F9" s="429"/>
      <c r="G9" s="430"/>
      <c r="I9" s="430"/>
      <c r="S9" s="431"/>
    </row>
    <row r="10" spans="2:24">
      <c r="B10" s="432"/>
      <c r="C10" s="433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5"/>
      <c r="T10" s="436"/>
    </row>
    <row r="11" spans="2:24" ht="18.75">
      <c r="B11" s="437"/>
      <c r="C11" s="428"/>
      <c r="D11" s="417"/>
      <c r="E11" s="417"/>
      <c r="F11" s="417"/>
      <c r="G11" s="417"/>
      <c r="H11" s="417"/>
      <c r="I11" s="417"/>
      <c r="J11" s="417"/>
      <c r="K11" s="417"/>
      <c r="L11" s="417"/>
      <c r="M11" s="417"/>
      <c r="N11" s="417"/>
      <c r="O11" s="417"/>
      <c r="P11" s="417"/>
      <c r="Q11" s="417"/>
      <c r="T11" s="438"/>
    </row>
    <row r="12" spans="2:24" ht="15.75">
      <c r="B12" s="437"/>
      <c r="C12" s="409" t="s">
        <v>538</v>
      </c>
      <c r="D12" s="866">
        <v>46113</v>
      </c>
      <c r="E12" s="399">
        <f t="shared" ref="E12:O12" si="0">EDATE(D12,1)</f>
        <v>46143</v>
      </c>
      <c r="F12" s="399">
        <f t="shared" si="0"/>
        <v>46174</v>
      </c>
      <c r="G12" s="399">
        <f t="shared" si="0"/>
        <v>46204</v>
      </c>
      <c r="H12" s="399">
        <f t="shared" si="0"/>
        <v>46235</v>
      </c>
      <c r="I12" s="399">
        <f t="shared" si="0"/>
        <v>46266</v>
      </c>
      <c r="J12" s="399">
        <f t="shared" si="0"/>
        <v>46296</v>
      </c>
      <c r="K12" s="399">
        <f t="shared" si="0"/>
        <v>46327</v>
      </c>
      <c r="L12" s="399">
        <f t="shared" si="0"/>
        <v>46357</v>
      </c>
      <c r="M12" s="399">
        <f t="shared" si="0"/>
        <v>46388</v>
      </c>
      <c r="N12" s="399">
        <f t="shared" si="0"/>
        <v>46419</v>
      </c>
      <c r="O12" s="399">
        <f t="shared" si="0"/>
        <v>46447</v>
      </c>
      <c r="P12" s="899" t="s">
        <v>539</v>
      </c>
      <c r="Q12" s="899"/>
      <c r="R12" s="899"/>
      <c r="S12" s="899"/>
      <c r="T12" s="438"/>
    </row>
    <row r="13" spans="2:24" ht="15.75">
      <c r="B13" s="437"/>
      <c r="C13" s="407" t="s">
        <v>540</v>
      </c>
      <c r="D13" s="509" t="s">
        <v>459</v>
      </c>
      <c r="E13" s="501" t="s">
        <v>459</v>
      </c>
      <c r="F13" s="501" t="s">
        <v>459</v>
      </c>
      <c r="G13" s="501" t="s">
        <v>459</v>
      </c>
      <c r="H13" s="501" t="s">
        <v>459</v>
      </c>
      <c r="I13" s="501" t="s">
        <v>459</v>
      </c>
      <c r="J13" s="501" t="s">
        <v>459</v>
      </c>
      <c r="K13" s="501" t="s">
        <v>459</v>
      </c>
      <c r="L13" s="501" t="s">
        <v>459</v>
      </c>
      <c r="M13" s="501" t="s">
        <v>459</v>
      </c>
      <c r="N13" s="501" t="s">
        <v>459</v>
      </c>
      <c r="O13" s="501" t="s">
        <v>459</v>
      </c>
      <c r="P13" s="902"/>
      <c r="Q13" s="902"/>
      <c r="R13" s="902"/>
      <c r="S13" s="902"/>
      <c r="T13" s="439"/>
      <c r="U13" s="440"/>
      <c r="V13" s="441"/>
      <c r="W13" s="442"/>
    </row>
    <row r="14" spans="2:24" ht="18" customHeight="1">
      <c r="B14" s="437"/>
      <c r="C14" s="408"/>
      <c r="D14" s="403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4"/>
      <c r="Q14" s="401"/>
      <c r="R14" s="401"/>
      <c r="S14" s="443"/>
      <c r="T14" s="444"/>
      <c r="U14" s="440"/>
      <c r="V14" s="440"/>
      <c r="W14" s="442"/>
    </row>
    <row r="15" spans="2:24" ht="18" customHeight="1">
      <c r="B15" s="437"/>
      <c r="C15" s="445" t="s">
        <v>541</v>
      </c>
      <c r="D15" s="507">
        <f>SUMIFS('1. Calculator'!$E$110:$P$110,'1. Calculator'!$E$44:$P$44,'2. Cash Flow Statement'!D$12)</f>
        <v>0</v>
      </c>
      <c r="E15" s="507">
        <f>SUMIFS('1. Calculator'!$E$110:$P$110,'1. Calculator'!$E$44:$P$44,'2. Cash Flow Statement'!E$12)</f>
        <v>0</v>
      </c>
      <c r="F15" s="507">
        <f>SUMIFS('1. Calculator'!$E$110:$P$110,'1. Calculator'!$E$44:$P$44,'2. Cash Flow Statement'!F$12)</f>
        <v>0</v>
      </c>
      <c r="G15" s="507">
        <f>SUMIFS('1. Calculator'!$E$110:$P$110,'1. Calculator'!$E$44:$P$44,'2. Cash Flow Statement'!G$12)</f>
        <v>0</v>
      </c>
      <c r="H15" s="507">
        <f>SUMIFS('1. Calculator'!$E$110:$P$110,'1. Calculator'!$E$44:$P$44,'2. Cash Flow Statement'!H$12)</f>
        <v>0</v>
      </c>
      <c r="I15" s="507">
        <f>SUMIFS('1. Calculator'!$E$110:$P$110,'1. Calculator'!$E$44:$P$44,'2. Cash Flow Statement'!I$12)</f>
        <v>0</v>
      </c>
      <c r="J15" s="507">
        <f>SUMIFS('1. Calculator'!$E$110:$P$110,'1. Calculator'!$E$44:$P$44,'2. Cash Flow Statement'!J$12)</f>
        <v>0</v>
      </c>
      <c r="K15" s="507">
        <f>SUMIFS('1. Calculator'!$E$110:$P$110,'1. Calculator'!$E$44:$P$44,'2. Cash Flow Statement'!K$12)</f>
        <v>0</v>
      </c>
      <c r="L15" s="507">
        <f>SUMIFS('1. Calculator'!$E$110:$P$110,'1. Calculator'!$E$44:$P$44,'2. Cash Flow Statement'!L$12)</f>
        <v>0</v>
      </c>
      <c r="M15" s="507">
        <f>SUMIFS('1. Calculator'!$E$110:$P$110,'1. Calculator'!$E$44:$P$44,'2. Cash Flow Statement'!M$12)</f>
        <v>0</v>
      </c>
      <c r="N15" s="507">
        <f>SUMIFS('1. Calculator'!$E$110:$P$110,'1. Calculator'!$E$44:$P$44,'2. Cash Flow Statement'!N$12)</f>
        <v>0</v>
      </c>
      <c r="O15" s="507">
        <f>SUMIFS('1. Calculator'!$E$110:$P$110,'1. Calculator'!$E$44:$P$44,'2. Cash Flow Statement'!O$12)</f>
        <v>0</v>
      </c>
      <c r="P15" s="903"/>
      <c r="Q15" s="903"/>
      <c r="R15" s="903"/>
      <c r="S15" s="903"/>
      <c r="T15" s="444"/>
      <c r="U15" s="440"/>
      <c r="V15" s="440"/>
      <c r="W15" s="442"/>
    </row>
    <row r="16" spans="2:24" ht="18" customHeight="1">
      <c r="B16" s="437"/>
      <c r="C16" s="505"/>
      <c r="D16" s="506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742"/>
      <c r="Q16" s="742"/>
      <c r="R16" s="742"/>
      <c r="S16" s="742"/>
      <c r="T16" s="444"/>
      <c r="U16" s="440"/>
      <c r="V16" s="440"/>
      <c r="W16" s="442"/>
    </row>
    <row r="17" spans="2:26" ht="18" customHeight="1">
      <c r="B17" s="437"/>
      <c r="C17" s="445" t="s">
        <v>542</v>
      </c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903"/>
      <c r="Q17" s="903"/>
      <c r="R17" s="903"/>
      <c r="S17" s="903"/>
      <c r="T17" s="444"/>
      <c r="U17" s="440"/>
      <c r="V17" s="440"/>
      <c r="W17" s="442"/>
    </row>
    <row r="18" spans="2:26" ht="18" customHeight="1">
      <c r="B18" s="437"/>
      <c r="P18" s="742"/>
      <c r="Q18" s="742"/>
      <c r="R18" s="742"/>
      <c r="S18" s="742"/>
      <c r="T18" s="444"/>
      <c r="U18" s="440"/>
      <c r="V18" s="440"/>
      <c r="W18" s="442"/>
    </row>
    <row r="19" spans="2:26" ht="18" customHeight="1">
      <c r="B19" s="437"/>
      <c r="C19" s="510" t="s">
        <v>543</v>
      </c>
      <c r="D19" s="412"/>
      <c r="E19" s="412"/>
      <c r="F19" s="412"/>
      <c r="G19" s="412"/>
      <c r="H19" s="412"/>
      <c r="I19" s="412"/>
      <c r="J19" s="412"/>
      <c r="K19" s="412"/>
      <c r="L19" s="412"/>
      <c r="M19" s="412"/>
      <c r="N19" s="412"/>
      <c r="O19" s="412"/>
      <c r="P19" s="904"/>
      <c r="Q19" s="904"/>
      <c r="R19" s="904"/>
      <c r="S19" s="904"/>
      <c r="T19" s="444"/>
      <c r="U19" s="440"/>
      <c r="V19" s="440"/>
      <c r="W19" s="442"/>
    </row>
    <row r="20" spans="2:26" ht="18" customHeight="1">
      <c r="B20" s="437"/>
      <c r="P20" s="743"/>
      <c r="Q20" s="743"/>
      <c r="R20" s="743"/>
      <c r="S20" s="743"/>
      <c r="T20" s="444"/>
      <c r="U20" s="440"/>
      <c r="V20" s="440"/>
      <c r="W20" s="442"/>
    </row>
    <row r="21" spans="2:26" ht="18" customHeight="1" thickBot="1">
      <c r="B21" s="437"/>
      <c r="C21" s="446" t="s">
        <v>544</v>
      </c>
      <c r="D21" s="410">
        <f>D15+D17+D19</f>
        <v>0</v>
      </c>
      <c r="E21" s="410">
        <f t="shared" ref="E21:O21" si="1">E15+E17+E19</f>
        <v>0</v>
      </c>
      <c r="F21" s="410">
        <f t="shared" si="1"/>
        <v>0</v>
      </c>
      <c r="G21" s="410">
        <f t="shared" si="1"/>
        <v>0</v>
      </c>
      <c r="H21" s="410">
        <f t="shared" si="1"/>
        <v>0</v>
      </c>
      <c r="I21" s="410">
        <f t="shared" si="1"/>
        <v>0</v>
      </c>
      <c r="J21" s="410">
        <f t="shared" si="1"/>
        <v>0</v>
      </c>
      <c r="K21" s="410">
        <f t="shared" si="1"/>
        <v>0</v>
      </c>
      <c r="L21" s="410">
        <f t="shared" si="1"/>
        <v>0</v>
      </c>
      <c r="M21" s="410">
        <f t="shared" si="1"/>
        <v>0</v>
      </c>
      <c r="N21" s="410">
        <f t="shared" si="1"/>
        <v>0</v>
      </c>
      <c r="O21" s="410">
        <f t="shared" si="1"/>
        <v>0</v>
      </c>
      <c r="P21" s="900"/>
      <c r="Q21" s="900"/>
      <c r="R21" s="900"/>
      <c r="S21" s="900"/>
      <c r="T21" s="444"/>
      <c r="U21" s="440"/>
      <c r="V21" s="440"/>
      <c r="W21" s="442"/>
    </row>
    <row r="22" spans="2:26" ht="18" customHeight="1">
      <c r="B22" s="437"/>
      <c r="C22" s="408"/>
      <c r="D22" s="403"/>
      <c r="E22" s="404"/>
      <c r="F22" s="402"/>
      <c r="G22" s="404"/>
      <c r="H22" s="402"/>
      <c r="I22" s="404"/>
      <c r="J22" s="402"/>
      <c r="K22" s="402"/>
      <c r="L22" s="402"/>
      <c r="M22" s="402"/>
      <c r="N22" s="402"/>
      <c r="O22" s="402"/>
      <c r="P22" s="402"/>
      <c r="Q22" s="402"/>
      <c r="R22" s="401"/>
      <c r="S22" s="443"/>
      <c r="T22" s="444"/>
      <c r="U22" s="440"/>
      <c r="V22" s="440"/>
      <c r="W22" s="442"/>
    </row>
    <row r="23" spans="2:26" ht="18" customHeight="1">
      <c r="B23" s="437"/>
      <c r="C23" s="408"/>
      <c r="D23" s="403"/>
      <c r="E23" s="402"/>
      <c r="F23" s="404"/>
      <c r="G23" s="404"/>
      <c r="I23" s="404"/>
      <c r="J23" s="402"/>
      <c r="L23" s="402"/>
      <c r="M23" s="402"/>
      <c r="N23" s="402"/>
      <c r="O23" s="402"/>
      <c r="P23" s="402"/>
      <c r="Q23" s="402"/>
      <c r="R23" s="401"/>
      <c r="S23" s="443"/>
      <c r="T23" s="444"/>
      <c r="U23" s="440"/>
      <c r="V23" s="440"/>
      <c r="W23" s="442"/>
    </row>
    <row r="24" spans="2:26" ht="18" customHeight="1">
      <c r="B24" s="437"/>
      <c r="C24" s="445" t="s">
        <v>545</v>
      </c>
      <c r="D24" s="412"/>
      <c r="E24" s="412"/>
      <c r="F24" s="412"/>
      <c r="G24" s="412"/>
      <c r="H24" s="412"/>
      <c r="I24" s="412"/>
      <c r="J24" s="412"/>
      <c r="K24" s="412"/>
      <c r="L24" s="412"/>
      <c r="M24" s="412"/>
      <c r="N24" s="412"/>
      <c r="O24" s="412"/>
      <c r="P24" s="903"/>
      <c r="Q24" s="903"/>
      <c r="R24" s="903"/>
      <c r="S24" s="903"/>
      <c r="T24" s="444"/>
      <c r="U24" s="440"/>
      <c r="V24" s="440"/>
      <c r="W24" s="442"/>
    </row>
    <row r="25" spans="2:26" ht="18" customHeight="1">
      <c r="B25" s="437"/>
      <c r="C25" s="408"/>
      <c r="D25" s="403"/>
      <c r="E25" s="404"/>
      <c r="F25" s="404"/>
      <c r="G25" s="404"/>
      <c r="H25" s="404"/>
      <c r="I25" s="404"/>
      <c r="J25" s="402"/>
      <c r="K25" s="402"/>
      <c r="L25" s="402"/>
      <c r="M25" s="402"/>
      <c r="N25" s="402"/>
      <c r="O25" s="402"/>
      <c r="P25" s="402"/>
      <c r="Q25" s="402"/>
      <c r="R25" s="401"/>
      <c r="S25" s="443"/>
      <c r="T25" s="444"/>
      <c r="U25" s="440"/>
      <c r="V25" s="440"/>
      <c r="W25" s="442"/>
    </row>
    <row r="26" spans="2:26" ht="18" customHeight="1">
      <c r="B26" s="437"/>
      <c r="C26" s="445" t="s">
        <v>546</v>
      </c>
      <c r="D26" s="412"/>
      <c r="E26" s="412"/>
      <c r="F26" s="412"/>
      <c r="G26" s="412"/>
      <c r="H26" s="412"/>
      <c r="I26" s="412"/>
      <c r="J26" s="412"/>
      <c r="K26" s="412"/>
      <c r="L26" s="412"/>
      <c r="M26" s="412"/>
      <c r="N26" s="412"/>
      <c r="O26" s="412"/>
      <c r="P26" s="903"/>
      <c r="Q26" s="903"/>
      <c r="R26" s="903"/>
      <c r="S26" s="903"/>
      <c r="T26" s="444"/>
      <c r="U26" s="440"/>
      <c r="V26" s="440"/>
      <c r="W26" s="442"/>
    </row>
    <row r="27" spans="2:26" ht="18" customHeight="1">
      <c r="B27" s="437"/>
      <c r="C27" s="408"/>
      <c r="D27" s="403"/>
      <c r="E27" s="404"/>
      <c r="F27" s="402"/>
      <c r="G27" s="404"/>
      <c r="H27" s="404"/>
      <c r="I27" s="404"/>
      <c r="J27" s="402"/>
      <c r="K27" s="402"/>
      <c r="L27" s="402"/>
      <c r="M27" s="402"/>
      <c r="N27" s="402"/>
      <c r="O27" s="402"/>
      <c r="P27" s="402"/>
      <c r="Q27" s="402"/>
      <c r="R27" s="401"/>
      <c r="S27" s="443"/>
      <c r="T27" s="444"/>
      <c r="U27" s="440"/>
      <c r="V27" s="440"/>
      <c r="W27" s="442"/>
    </row>
    <row r="28" spans="2:26" ht="18" customHeight="1" thickBot="1">
      <c r="B28" s="437"/>
      <c r="C28" s="446" t="s">
        <v>547</v>
      </c>
      <c r="D28" s="410">
        <f>D24+D26</f>
        <v>0</v>
      </c>
      <c r="E28" s="410">
        <f t="shared" ref="E28:O28" si="2">E24+E26</f>
        <v>0</v>
      </c>
      <c r="F28" s="410">
        <f t="shared" si="2"/>
        <v>0</v>
      </c>
      <c r="G28" s="410">
        <f t="shared" si="2"/>
        <v>0</v>
      </c>
      <c r="H28" s="410">
        <f t="shared" si="2"/>
        <v>0</v>
      </c>
      <c r="I28" s="410">
        <f t="shared" si="2"/>
        <v>0</v>
      </c>
      <c r="J28" s="410">
        <f t="shared" si="2"/>
        <v>0</v>
      </c>
      <c r="K28" s="410">
        <f t="shared" si="2"/>
        <v>0</v>
      </c>
      <c r="L28" s="410">
        <f t="shared" si="2"/>
        <v>0</v>
      </c>
      <c r="M28" s="410">
        <f t="shared" si="2"/>
        <v>0</v>
      </c>
      <c r="N28" s="410">
        <f t="shared" si="2"/>
        <v>0</v>
      </c>
      <c r="O28" s="410">
        <f t="shared" si="2"/>
        <v>0</v>
      </c>
      <c r="P28" s="900"/>
      <c r="Q28" s="900"/>
      <c r="R28" s="900"/>
      <c r="S28" s="900"/>
      <c r="T28" s="444"/>
      <c r="U28" s="440"/>
      <c r="V28" s="440"/>
      <c r="W28" s="442"/>
    </row>
    <row r="29" spans="2:26" ht="18" customHeight="1">
      <c r="B29" s="437"/>
      <c r="C29" s="408"/>
      <c r="D29" s="403"/>
      <c r="E29" s="404"/>
      <c r="F29" s="404"/>
      <c r="G29" s="404"/>
      <c r="H29" s="404"/>
      <c r="I29" s="404"/>
      <c r="J29" s="402"/>
      <c r="K29" s="402"/>
      <c r="L29" s="402"/>
      <c r="M29" s="402"/>
      <c r="N29" s="402"/>
      <c r="O29" s="402"/>
      <c r="P29" s="402"/>
      <c r="Q29" s="402"/>
      <c r="R29" s="401"/>
      <c r="S29" s="443"/>
      <c r="T29" s="444"/>
      <c r="U29" s="440"/>
      <c r="V29" s="440"/>
      <c r="W29" s="442"/>
    </row>
    <row r="30" spans="2:26" ht="18" customHeight="1" thickBot="1">
      <c r="B30" s="437"/>
      <c r="C30" s="446" t="s">
        <v>548</v>
      </c>
      <c r="D30" s="411">
        <f>D21-D28</f>
        <v>0</v>
      </c>
      <c r="E30" s="411">
        <f t="shared" ref="E30:O30" si="3">E21-E28</f>
        <v>0</v>
      </c>
      <c r="F30" s="411">
        <f t="shared" si="3"/>
        <v>0</v>
      </c>
      <c r="G30" s="411">
        <f t="shared" si="3"/>
        <v>0</v>
      </c>
      <c r="H30" s="411">
        <f t="shared" si="3"/>
        <v>0</v>
      </c>
      <c r="I30" s="411">
        <f t="shared" si="3"/>
        <v>0</v>
      </c>
      <c r="J30" s="411">
        <f t="shared" si="3"/>
        <v>0</v>
      </c>
      <c r="K30" s="411">
        <f t="shared" si="3"/>
        <v>0</v>
      </c>
      <c r="L30" s="411">
        <f t="shared" si="3"/>
        <v>0</v>
      </c>
      <c r="M30" s="411">
        <f t="shared" si="3"/>
        <v>0</v>
      </c>
      <c r="N30" s="411">
        <f t="shared" si="3"/>
        <v>0</v>
      </c>
      <c r="O30" s="411">
        <f t="shared" si="3"/>
        <v>0</v>
      </c>
      <c r="P30" s="901"/>
      <c r="Q30" s="901"/>
      <c r="R30" s="901"/>
      <c r="S30" s="901"/>
      <c r="T30" s="444"/>
      <c r="U30" s="440"/>
      <c r="V30" s="440"/>
      <c r="W30" s="442"/>
    </row>
    <row r="31" spans="2:26" ht="18" customHeight="1" thickTop="1">
      <c r="B31" s="437"/>
      <c r="C31" s="447"/>
      <c r="D31" s="403"/>
      <c r="E31" s="402"/>
      <c r="F31" s="402"/>
      <c r="G31" s="404"/>
      <c r="H31" s="404"/>
      <c r="I31" s="402"/>
      <c r="J31" s="402"/>
      <c r="K31" s="402"/>
      <c r="L31" s="402"/>
      <c r="M31" s="402"/>
      <c r="N31" s="402"/>
      <c r="O31" s="402"/>
      <c r="P31" s="402"/>
      <c r="Q31" s="402"/>
      <c r="R31" s="401"/>
      <c r="S31" s="443"/>
      <c r="T31" s="444"/>
      <c r="U31" s="440"/>
      <c r="V31" s="440"/>
      <c r="W31" s="442"/>
    </row>
    <row r="32" spans="2:26" s="453" customFormat="1" ht="18" customHeight="1">
      <c r="B32" s="448"/>
      <c r="C32" s="449" t="s">
        <v>549</v>
      </c>
      <c r="D32" s="241"/>
      <c r="E32" s="405"/>
      <c r="F32" s="402"/>
      <c r="G32" s="242"/>
      <c r="H32" s="242"/>
      <c r="I32" s="242"/>
      <c r="J32" s="242"/>
      <c r="K32" s="242"/>
      <c r="L32" s="242"/>
      <c r="M32" s="242"/>
      <c r="N32" s="242"/>
      <c r="O32" s="242"/>
      <c r="P32" s="402"/>
      <c r="Q32" s="402"/>
      <c r="R32" s="404"/>
      <c r="S32" s="443"/>
      <c r="T32" s="444"/>
      <c r="U32" s="440"/>
      <c r="V32" s="440"/>
      <c r="W32" s="450"/>
      <c r="X32" s="451"/>
      <c r="Y32" s="452"/>
      <c r="Z32" s="452"/>
    </row>
    <row r="33" spans="2:32" ht="18" customHeight="1">
      <c r="B33" s="437"/>
      <c r="C33" s="408" t="s">
        <v>550</v>
      </c>
      <c r="D33" s="502"/>
      <c r="E33" s="404">
        <f>D35</f>
        <v>0</v>
      </c>
      <c r="F33" s="404">
        <f t="shared" ref="F33:O33" si="4">E35</f>
        <v>0</v>
      </c>
      <c r="G33" s="404">
        <f t="shared" si="4"/>
        <v>0</v>
      </c>
      <c r="H33" s="404">
        <f t="shared" si="4"/>
        <v>0</v>
      </c>
      <c r="I33" s="404">
        <f t="shared" si="4"/>
        <v>0</v>
      </c>
      <c r="J33" s="404">
        <f t="shared" si="4"/>
        <v>0</v>
      </c>
      <c r="K33" s="404">
        <f t="shared" si="4"/>
        <v>0</v>
      </c>
      <c r="L33" s="404">
        <f t="shared" si="4"/>
        <v>0</v>
      </c>
      <c r="M33" s="404">
        <f t="shared" si="4"/>
        <v>0</v>
      </c>
      <c r="N33" s="404">
        <f t="shared" si="4"/>
        <v>0</v>
      </c>
      <c r="O33" s="404">
        <f t="shared" si="4"/>
        <v>0</v>
      </c>
      <c r="P33" s="743"/>
      <c r="Q33" s="743"/>
      <c r="R33" s="743"/>
      <c r="S33" s="743"/>
      <c r="T33" s="444"/>
      <c r="U33" s="440"/>
      <c r="V33" s="440"/>
    </row>
    <row r="34" spans="2:32" ht="18" customHeight="1">
      <c r="B34" s="437"/>
      <c r="C34" s="408" t="s">
        <v>548</v>
      </c>
      <c r="D34" s="403">
        <f>D30</f>
        <v>0</v>
      </c>
      <c r="E34" s="403">
        <f t="shared" ref="E34:O34" si="5">E30</f>
        <v>0</v>
      </c>
      <c r="F34" s="403">
        <f t="shared" si="5"/>
        <v>0</v>
      </c>
      <c r="G34" s="403">
        <f t="shared" si="5"/>
        <v>0</v>
      </c>
      <c r="H34" s="403">
        <f t="shared" si="5"/>
        <v>0</v>
      </c>
      <c r="I34" s="403">
        <f t="shared" si="5"/>
        <v>0</v>
      </c>
      <c r="J34" s="403">
        <f t="shared" si="5"/>
        <v>0</v>
      </c>
      <c r="K34" s="403">
        <f t="shared" si="5"/>
        <v>0</v>
      </c>
      <c r="L34" s="403">
        <f t="shared" si="5"/>
        <v>0</v>
      </c>
      <c r="M34" s="403">
        <f t="shared" si="5"/>
        <v>0</v>
      </c>
      <c r="N34" s="403">
        <f t="shared" si="5"/>
        <v>0</v>
      </c>
      <c r="O34" s="403">
        <f t="shared" si="5"/>
        <v>0</v>
      </c>
      <c r="P34" s="742"/>
      <c r="Q34" s="742"/>
      <c r="R34" s="742"/>
      <c r="S34" s="742"/>
      <c r="T34" s="444"/>
      <c r="U34" s="440"/>
      <c r="V34" s="440"/>
      <c r="W34" s="442"/>
      <c r="Y34" s="442"/>
    </row>
    <row r="35" spans="2:32" ht="18" customHeight="1" thickBot="1">
      <c r="B35" s="437"/>
      <c r="C35" s="408" t="s">
        <v>551</v>
      </c>
      <c r="D35" s="406">
        <f>SUM(D33:D34)+D37</f>
        <v>0</v>
      </c>
      <c r="E35" s="406">
        <f t="shared" ref="E35:O35" si="6">SUM(E33:E34)+E37</f>
        <v>0</v>
      </c>
      <c r="F35" s="406">
        <f t="shared" si="6"/>
        <v>0</v>
      </c>
      <c r="G35" s="406">
        <f t="shared" si="6"/>
        <v>0</v>
      </c>
      <c r="H35" s="406">
        <f t="shared" si="6"/>
        <v>0</v>
      </c>
      <c r="I35" s="406">
        <f t="shared" si="6"/>
        <v>0</v>
      </c>
      <c r="J35" s="406">
        <f t="shared" si="6"/>
        <v>0</v>
      </c>
      <c r="K35" s="406">
        <f t="shared" si="6"/>
        <v>0</v>
      </c>
      <c r="L35" s="406">
        <f t="shared" si="6"/>
        <v>0</v>
      </c>
      <c r="M35" s="406">
        <f t="shared" si="6"/>
        <v>0</v>
      </c>
      <c r="N35" s="406">
        <f t="shared" si="6"/>
        <v>0</v>
      </c>
      <c r="O35" s="406">
        <f t="shared" si="6"/>
        <v>0</v>
      </c>
      <c r="P35" s="744"/>
      <c r="Q35" s="744"/>
      <c r="R35" s="744"/>
      <c r="S35" s="744"/>
      <c r="T35" s="444"/>
      <c r="U35" s="440"/>
    </row>
    <row r="36" spans="2:32" ht="18" customHeight="1" thickTop="1">
      <c r="B36" s="437"/>
      <c r="C36" s="449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404"/>
      <c r="Q36" s="404"/>
      <c r="R36" s="404"/>
      <c r="S36" s="454"/>
      <c r="T36" s="444"/>
      <c r="U36" s="440"/>
    </row>
    <row r="37" spans="2:32" ht="18" customHeight="1">
      <c r="B37" s="437"/>
      <c r="C37" s="446" t="s">
        <v>552</v>
      </c>
      <c r="D37" s="504"/>
      <c r="E37" s="504"/>
      <c r="F37" s="504"/>
      <c r="G37" s="504"/>
      <c r="H37" s="504"/>
      <c r="I37" s="504"/>
      <c r="J37" s="504"/>
      <c r="K37" s="504"/>
      <c r="L37" s="504"/>
      <c r="M37" s="504"/>
      <c r="N37" s="504"/>
      <c r="O37" s="504"/>
      <c r="P37" s="241" t="s">
        <v>553</v>
      </c>
      <c r="Q37" s="241"/>
      <c r="R37" s="242"/>
      <c r="S37" s="443"/>
      <c r="T37" s="444"/>
      <c r="U37" s="440"/>
      <c r="V37" s="440"/>
      <c r="Y37" s="455"/>
    </row>
    <row r="38" spans="2:32" ht="17.100000000000001" customHeight="1" thickBot="1">
      <c r="B38" s="457"/>
      <c r="C38" s="458"/>
      <c r="D38" s="459"/>
      <c r="E38" s="460"/>
      <c r="F38" s="460"/>
      <c r="G38" s="460"/>
      <c r="H38" s="460"/>
      <c r="I38" s="460"/>
      <c r="J38" s="460"/>
      <c r="K38" s="460"/>
      <c r="L38" s="460"/>
      <c r="M38" s="460"/>
      <c r="N38" s="460"/>
      <c r="O38" s="460"/>
      <c r="P38" s="460"/>
      <c r="Q38" s="460"/>
      <c r="R38" s="461"/>
      <c r="S38" s="462"/>
      <c r="T38" s="463"/>
      <c r="U38" s="464"/>
      <c r="V38" s="464"/>
      <c r="W38" s="465"/>
      <c r="X38" s="465"/>
      <c r="Z38" s="455"/>
      <c r="AB38" s="465"/>
      <c r="AC38" s="465"/>
      <c r="AD38" s="465"/>
      <c r="AE38" s="465"/>
      <c r="AF38" s="465"/>
    </row>
    <row r="39" spans="2:32" ht="17.100000000000001" customHeight="1">
      <c r="C39" s="408"/>
      <c r="D39" s="400"/>
      <c r="E39" s="401"/>
      <c r="F39" s="401"/>
      <c r="G39" s="401"/>
      <c r="H39" s="466"/>
      <c r="I39" s="466"/>
      <c r="J39" s="466"/>
      <c r="K39" s="466"/>
      <c r="L39" s="466"/>
      <c r="M39" s="466"/>
      <c r="N39" s="466"/>
      <c r="O39" s="466"/>
      <c r="P39" s="466"/>
      <c r="Q39" s="466"/>
      <c r="R39" s="466"/>
      <c r="S39" s="467"/>
      <c r="T39" s="440"/>
      <c r="U39" s="440"/>
      <c r="V39" s="440"/>
      <c r="Y39" s="442"/>
    </row>
    <row r="40" spans="2:32" ht="18.75" customHeight="1" thickBot="1">
      <c r="C40" s="428"/>
      <c r="D40" s="468"/>
      <c r="E40" s="466"/>
      <c r="F40" s="466"/>
      <c r="G40" s="466"/>
      <c r="H40" s="466"/>
      <c r="I40" s="466"/>
      <c r="J40" s="466"/>
      <c r="K40" s="466"/>
      <c r="L40" s="466"/>
      <c r="M40" s="466"/>
      <c r="N40" s="466"/>
      <c r="O40" s="466"/>
      <c r="P40" s="466"/>
      <c r="Q40" s="466"/>
      <c r="R40" s="466"/>
      <c r="S40" s="469"/>
      <c r="T40" s="440"/>
      <c r="U40" s="440"/>
      <c r="V40" s="440"/>
      <c r="Y40" s="442"/>
    </row>
    <row r="41" spans="2:32" ht="30" customHeight="1">
      <c r="B41" s="432"/>
      <c r="C41" s="470" t="s">
        <v>554</v>
      </c>
      <c r="D41" s="471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2"/>
      <c r="Q41" s="472"/>
      <c r="R41" s="472"/>
      <c r="S41" s="473"/>
      <c r="T41" s="474"/>
      <c r="U41" s="440"/>
      <c r="V41" s="440"/>
      <c r="W41" s="475"/>
      <c r="X41" s="475"/>
      <c r="Y41" s="442"/>
      <c r="Z41" s="475"/>
    </row>
    <row r="42" spans="2:32" ht="35.1" customHeight="1">
      <c r="B42" s="437"/>
      <c r="C42" s="503" t="s">
        <v>555</v>
      </c>
      <c r="D42" s="907"/>
      <c r="E42" s="907"/>
      <c r="F42" s="907"/>
      <c r="G42" s="907"/>
      <c r="H42" s="443"/>
      <c r="I42" s="443"/>
      <c r="J42" s="443"/>
      <c r="K42" s="443"/>
      <c r="L42" s="443"/>
      <c r="M42" s="443"/>
      <c r="N42" s="443"/>
      <c r="O42" s="443"/>
      <c r="P42" s="443"/>
      <c r="Q42" s="443"/>
      <c r="R42" s="443"/>
      <c r="S42" s="476"/>
      <c r="T42" s="439"/>
      <c r="U42" s="440"/>
      <c r="V42" s="440"/>
      <c r="W42" s="475"/>
      <c r="X42" s="475"/>
      <c r="Y42" s="442"/>
      <c r="Z42" s="475"/>
    </row>
    <row r="43" spans="2:32" s="453" customFormat="1" ht="35.1" customHeight="1">
      <c r="B43" s="448"/>
      <c r="C43" s="503" t="s">
        <v>556</v>
      </c>
      <c r="D43" s="908"/>
      <c r="E43" s="908"/>
      <c r="F43" s="908"/>
      <c r="G43" s="908"/>
      <c r="H43" s="477"/>
      <c r="I43" s="477"/>
      <c r="J43" s="477"/>
      <c r="K43" s="477"/>
      <c r="L43" s="477"/>
      <c r="M43" s="477"/>
      <c r="N43" s="477"/>
      <c r="O43" s="477"/>
      <c r="P43" s="477"/>
      <c r="Q43" s="478"/>
      <c r="R43" s="478"/>
      <c r="S43" s="478"/>
      <c r="T43" s="479"/>
      <c r="U43" s="480"/>
      <c r="V43" s="480"/>
      <c r="W43" s="452"/>
      <c r="X43" s="452"/>
      <c r="Y43" s="452"/>
      <c r="Z43" s="452"/>
    </row>
    <row r="44" spans="2:32" s="453" customFormat="1" ht="35.1" customHeight="1">
      <c r="B44" s="448"/>
      <c r="C44" s="503" t="s">
        <v>557</v>
      </c>
      <c r="D44" s="908"/>
      <c r="E44" s="908"/>
      <c r="F44" s="908"/>
      <c r="G44" s="908"/>
      <c r="H44" s="478"/>
      <c r="I44" s="478"/>
      <c r="J44" s="478"/>
      <c r="K44" s="478"/>
      <c r="L44" s="478"/>
      <c r="M44" s="478"/>
      <c r="N44" s="478"/>
      <c r="O44" s="478"/>
      <c r="P44" s="478"/>
      <c r="Q44" s="478"/>
      <c r="R44" s="478"/>
      <c r="S44" s="478"/>
      <c r="T44" s="479"/>
      <c r="U44" s="480"/>
      <c r="V44" s="480"/>
      <c r="W44" s="452"/>
      <c r="X44" s="452"/>
      <c r="Y44" s="452"/>
      <c r="Z44" s="452"/>
    </row>
    <row r="45" spans="2:32" s="453" customFormat="1" ht="35.1" customHeight="1">
      <c r="B45" s="448"/>
      <c r="C45" s="503" t="s">
        <v>558</v>
      </c>
      <c r="D45" s="908"/>
      <c r="E45" s="908"/>
      <c r="F45" s="908"/>
      <c r="G45" s="908"/>
      <c r="H45" s="402"/>
      <c r="I45" s="402"/>
      <c r="J45" s="402"/>
      <c r="K45" s="402"/>
      <c r="L45" s="402"/>
      <c r="M45" s="402"/>
      <c r="N45" s="402"/>
      <c r="O45" s="402"/>
      <c r="P45" s="402"/>
      <c r="Q45" s="242"/>
      <c r="R45" s="402"/>
      <c r="S45" s="405"/>
      <c r="T45" s="481"/>
      <c r="U45" s="480"/>
      <c r="V45" s="480"/>
      <c r="W45" s="450"/>
      <c r="X45" s="451"/>
      <c r="Y45" s="452"/>
      <c r="Z45" s="452"/>
    </row>
    <row r="46" spans="2:32" s="453" customFormat="1" ht="35.1" customHeight="1">
      <c r="B46" s="448"/>
      <c r="C46" s="503" t="s">
        <v>559</v>
      </c>
      <c r="D46" s="909"/>
      <c r="E46" s="909"/>
      <c r="F46" s="909"/>
      <c r="G46" s="909"/>
      <c r="H46" s="402"/>
      <c r="I46" s="402"/>
      <c r="J46" s="402"/>
      <c r="K46" s="402"/>
      <c r="L46" s="402"/>
      <c r="M46" s="402"/>
      <c r="N46" s="402"/>
      <c r="O46" s="402"/>
      <c r="P46" s="402"/>
      <c r="Q46" s="242"/>
      <c r="R46" s="402"/>
      <c r="S46" s="405"/>
      <c r="T46" s="481"/>
      <c r="U46" s="480"/>
      <c r="V46" s="480"/>
      <c r="W46" s="450"/>
      <c r="X46" s="451"/>
      <c r="Y46" s="452"/>
      <c r="Z46" s="452"/>
    </row>
    <row r="47" spans="2:32" s="453" customFormat="1" ht="35.1" customHeight="1">
      <c r="B47" s="448"/>
      <c r="C47" s="503" t="s">
        <v>560</v>
      </c>
      <c r="D47" s="908"/>
      <c r="E47" s="908"/>
      <c r="F47" s="908"/>
      <c r="G47" s="908"/>
      <c r="H47" s="402"/>
      <c r="I47" s="402"/>
      <c r="J47" s="402"/>
      <c r="K47" s="402"/>
      <c r="L47" s="402"/>
      <c r="M47" s="402"/>
      <c r="N47" s="402"/>
      <c r="O47" s="402"/>
      <c r="P47" s="402"/>
      <c r="Q47" s="242"/>
      <c r="R47" s="402"/>
      <c r="S47" s="405"/>
      <c r="T47" s="481"/>
      <c r="U47" s="480"/>
      <c r="V47" s="480"/>
      <c r="W47" s="450"/>
      <c r="X47" s="451"/>
      <c r="Y47" s="452"/>
      <c r="Z47" s="452"/>
    </row>
    <row r="48" spans="2:32" s="453" customFormat="1" ht="35.1" customHeight="1">
      <c r="B48" s="448"/>
      <c r="C48" s="503" t="s">
        <v>561</v>
      </c>
      <c r="D48" s="909"/>
      <c r="E48" s="909"/>
      <c r="F48" s="909"/>
      <c r="G48" s="909"/>
      <c r="H48" s="402"/>
      <c r="I48" s="402"/>
      <c r="J48" s="402"/>
      <c r="K48" s="402"/>
      <c r="L48" s="402"/>
      <c r="M48" s="402"/>
      <c r="N48" s="402"/>
      <c r="O48" s="402"/>
      <c r="P48" s="402"/>
      <c r="Q48" s="242"/>
      <c r="R48" s="402"/>
      <c r="S48" s="405"/>
      <c r="T48" s="481"/>
      <c r="U48" s="480"/>
      <c r="V48" s="480"/>
      <c r="W48" s="450"/>
      <c r="X48" s="451"/>
      <c r="Y48" s="452"/>
      <c r="Z48" s="452"/>
    </row>
    <row r="49" spans="2:26" s="453" customFormat="1" ht="35.1" customHeight="1">
      <c r="B49" s="448"/>
      <c r="C49" s="482"/>
      <c r="D49" s="403"/>
      <c r="E49" s="402"/>
      <c r="F49" s="402"/>
      <c r="G49" s="402"/>
      <c r="H49" s="402"/>
      <c r="I49" s="402"/>
      <c r="J49" s="402"/>
      <c r="K49" s="402"/>
      <c r="L49" s="402"/>
      <c r="M49" s="402"/>
      <c r="N49" s="402"/>
      <c r="O49" s="402"/>
      <c r="P49" s="402"/>
      <c r="Q49" s="242"/>
      <c r="R49" s="402"/>
      <c r="S49" s="405"/>
      <c r="T49" s="481"/>
      <c r="U49" s="480"/>
      <c r="V49" s="480"/>
      <c r="W49" s="450"/>
      <c r="X49" s="451"/>
      <c r="Y49" s="452"/>
      <c r="Z49" s="452"/>
    </row>
    <row r="50" spans="2:26" ht="18" customHeight="1">
      <c r="B50" s="437"/>
      <c r="C50" s="408" t="s">
        <v>562</v>
      </c>
      <c r="D50" s="241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456"/>
      <c r="S50" s="242"/>
      <c r="T50" s="444"/>
      <c r="U50" s="440"/>
      <c r="V50" s="480"/>
      <c r="W50" s="442"/>
    </row>
    <row r="51" spans="2:26" s="453" customFormat="1" ht="18" customHeight="1">
      <c r="B51" s="448"/>
      <c r="C51" s="408" t="s">
        <v>563</v>
      </c>
      <c r="D51" s="403"/>
      <c r="E51" s="402"/>
      <c r="F51" s="402"/>
      <c r="G51" s="402"/>
      <c r="H51" s="402"/>
      <c r="I51" s="402"/>
      <c r="J51" s="402"/>
      <c r="K51" s="402"/>
      <c r="L51" s="402"/>
      <c r="M51" s="402"/>
      <c r="N51" s="402"/>
      <c r="O51" s="402"/>
      <c r="P51" s="402"/>
      <c r="Q51" s="405"/>
      <c r="R51" s="402"/>
      <c r="S51" s="405"/>
      <c r="T51" s="481"/>
      <c r="U51" s="480"/>
      <c r="V51" s="480"/>
      <c r="W51" s="450"/>
      <c r="X51" s="451"/>
      <c r="Y51" s="452"/>
      <c r="Z51" s="452"/>
    </row>
    <row r="52" spans="2:26" s="453" customFormat="1" ht="18" customHeight="1">
      <c r="B52" s="448"/>
      <c r="C52" s="408" t="s">
        <v>564</v>
      </c>
      <c r="D52" s="403"/>
      <c r="E52" s="402"/>
      <c r="F52" s="402"/>
      <c r="G52" s="402"/>
      <c r="H52" s="402"/>
      <c r="I52" s="402"/>
      <c r="J52" s="402"/>
      <c r="K52" s="402"/>
      <c r="L52" s="402"/>
      <c r="M52" s="402"/>
      <c r="N52" s="402"/>
      <c r="O52" s="402"/>
      <c r="P52" s="402"/>
      <c r="Q52" s="405"/>
      <c r="R52" s="402"/>
      <c r="S52" s="405"/>
      <c r="T52" s="481"/>
      <c r="U52" s="480"/>
      <c r="V52" s="480"/>
      <c r="W52" s="450"/>
      <c r="X52" s="451"/>
      <c r="Y52" s="452"/>
      <c r="Z52" s="452"/>
    </row>
    <row r="53" spans="2:26" s="453" customFormat="1" ht="18" customHeight="1">
      <c r="B53" s="448"/>
      <c r="C53" s="408" t="s">
        <v>565</v>
      </c>
      <c r="D53" s="403"/>
      <c r="E53" s="402"/>
      <c r="F53" s="402"/>
      <c r="G53" s="402"/>
      <c r="H53" s="402"/>
      <c r="I53" s="402"/>
      <c r="J53" s="402"/>
      <c r="K53" s="402"/>
      <c r="L53" s="402"/>
      <c r="M53" s="402"/>
      <c r="N53" s="402"/>
      <c r="O53" s="402"/>
      <c r="P53" s="402"/>
      <c r="Q53" s="405"/>
      <c r="R53" s="402"/>
      <c r="S53" s="405"/>
      <c r="T53" s="481"/>
      <c r="U53" s="480"/>
      <c r="V53" s="480"/>
      <c r="W53" s="450"/>
      <c r="X53" s="451"/>
      <c r="Y53" s="452"/>
      <c r="Z53" s="452"/>
    </row>
    <row r="54" spans="2:26" s="453" customFormat="1" ht="18" customHeight="1">
      <c r="B54" s="448"/>
      <c r="C54" s="408"/>
      <c r="D54" s="403"/>
      <c r="E54" s="402"/>
      <c r="F54" s="402"/>
      <c r="G54" s="402"/>
      <c r="H54" s="402"/>
      <c r="I54" s="402"/>
      <c r="J54" s="402"/>
      <c r="K54" s="402"/>
      <c r="L54" s="402"/>
      <c r="M54" s="402"/>
      <c r="N54" s="402"/>
      <c r="O54" s="402"/>
      <c r="P54" s="402"/>
      <c r="Q54" s="405"/>
      <c r="R54" s="402"/>
      <c r="S54" s="405"/>
      <c r="T54" s="481"/>
      <c r="U54" s="480"/>
      <c r="V54" s="480"/>
      <c r="W54" s="450"/>
      <c r="X54" s="451"/>
      <c r="Y54" s="452"/>
      <c r="Z54" s="452"/>
    </row>
    <row r="55" spans="2:26" s="453" customFormat="1" ht="18" customHeight="1">
      <c r="B55" s="448"/>
      <c r="C55" s="508" t="s">
        <v>566</v>
      </c>
      <c r="D55" s="403"/>
      <c r="E55" s="402"/>
      <c r="F55" s="402"/>
      <c r="G55" s="402"/>
      <c r="H55" s="402"/>
      <c r="I55" s="402"/>
      <c r="J55" s="402"/>
      <c r="K55" s="402"/>
      <c r="L55" s="402"/>
      <c r="M55" s="402"/>
      <c r="N55" s="402"/>
      <c r="O55" s="402"/>
      <c r="P55" s="402"/>
      <c r="Q55" s="405"/>
      <c r="R55" s="402"/>
      <c r="S55" s="405"/>
      <c r="T55" s="481"/>
      <c r="U55" s="480"/>
      <c r="V55" s="480"/>
      <c r="W55" s="450"/>
      <c r="X55" s="451"/>
      <c r="Y55" s="452"/>
      <c r="Z55" s="452"/>
    </row>
    <row r="56" spans="2:26" s="453" customFormat="1" ht="18" customHeight="1">
      <c r="B56" s="448"/>
      <c r="C56" s="408" t="s">
        <v>567</v>
      </c>
      <c r="D56" s="403"/>
      <c r="E56" s="402"/>
      <c r="F56" s="402"/>
      <c r="G56" s="402"/>
      <c r="H56" s="402"/>
      <c r="I56" s="402"/>
      <c r="J56" s="402"/>
      <c r="K56" s="402"/>
      <c r="L56" s="402"/>
      <c r="M56" s="402"/>
      <c r="N56" s="402"/>
      <c r="O56" s="402"/>
      <c r="P56" s="402"/>
      <c r="Q56" s="405"/>
      <c r="R56" s="402"/>
      <c r="S56" s="405"/>
      <c r="T56" s="481"/>
      <c r="U56" s="480"/>
      <c r="V56" s="480"/>
      <c r="W56" s="450"/>
      <c r="X56" s="451"/>
      <c r="Y56" s="452"/>
      <c r="Z56" s="452"/>
    </row>
    <row r="57" spans="2:26" s="453" customFormat="1" ht="18" customHeight="1">
      <c r="B57" s="448"/>
      <c r="C57" s="408" t="s">
        <v>568</v>
      </c>
      <c r="D57" s="403"/>
      <c r="E57" s="402"/>
      <c r="F57" s="402"/>
      <c r="G57" s="402"/>
      <c r="H57" s="402"/>
      <c r="I57" s="402"/>
      <c r="J57" s="402"/>
      <c r="K57" s="402"/>
      <c r="L57" s="402"/>
      <c r="M57" s="402"/>
      <c r="N57" s="402"/>
      <c r="O57" s="402"/>
      <c r="P57" s="402"/>
      <c r="Q57" s="405"/>
      <c r="R57" s="402"/>
      <c r="S57" s="405"/>
      <c r="T57" s="481"/>
      <c r="U57" s="480"/>
      <c r="V57" s="480"/>
      <c r="W57" s="450"/>
      <c r="X57" s="451"/>
      <c r="Y57" s="452"/>
      <c r="Z57" s="452"/>
    </row>
    <row r="58" spans="2:26" ht="15.75" thickBot="1">
      <c r="B58" s="457"/>
      <c r="C58" s="431"/>
      <c r="D58" s="483"/>
      <c r="E58" s="483"/>
      <c r="F58" s="483"/>
      <c r="G58" s="483"/>
      <c r="H58" s="483"/>
      <c r="I58" s="483"/>
      <c r="J58" s="483"/>
      <c r="K58" s="483"/>
      <c r="L58" s="483"/>
      <c r="M58" s="483"/>
      <c r="N58" s="483"/>
      <c r="O58" s="483"/>
      <c r="P58" s="483"/>
      <c r="Q58" s="483"/>
      <c r="R58" s="483"/>
      <c r="S58" s="483"/>
      <c r="T58" s="484"/>
      <c r="U58" s="440"/>
      <c r="V58" s="440"/>
    </row>
    <row r="59" spans="2:26">
      <c r="D59" s="485"/>
      <c r="I59" s="486"/>
      <c r="J59" s="486"/>
      <c r="K59" s="486"/>
      <c r="L59" s="486"/>
      <c r="M59" s="486"/>
      <c r="N59" s="486"/>
      <c r="O59" s="486"/>
      <c r="P59" s="486"/>
      <c r="Q59" s="486"/>
      <c r="R59" s="486"/>
      <c r="S59" s="486"/>
      <c r="T59" s="486"/>
    </row>
    <row r="60" spans="2:26">
      <c r="D60" s="485"/>
      <c r="I60" s="486"/>
      <c r="J60" s="486"/>
      <c r="K60" s="486"/>
      <c r="L60" s="486"/>
      <c r="M60" s="486"/>
      <c r="N60" s="486"/>
      <c r="O60" s="486"/>
      <c r="P60" s="486"/>
      <c r="Q60" s="486"/>
      <c r="R60" s="486"/>
      <c r="S60" s="486"/>
      <c r="T60" s="486"/>
    </row>
    <row r="61" spans="2:26" hidden="1"/>
    <row r="62" spans="2:26" hidden="1">
      <c r="D62" s="487"/>
    </row>
    <row r="63" spans="2:26" hidden="1">
      <c r="B63" s="432"/>
      <c r="C63" s="435"/>
      <c r="D63" s="435"/>
      <c r="E63" s="435"/>
      <c r="F63" s="435"/>
      <c r="G63" s="435"/>
      <c r="H63" s="435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6"/>
    </row>
    <row r="64" spans="2:26" ht="18.75" hidden="1">
      <c r="B64" s="437"/>
      <c r="C64" s="428" t="s">
        <v>533</v>
      </c>
      <c r="D64" s="488"/>
      <c r="E64" s="399"/>
      <c r="F64" s="399"/>
      <c r="G64" s="399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489"/>
      <c r="S64" s="438"/>
    </row>
    <row r="65" spans="1:19" ht="18.75" hidden="1">
      <c r="B65" s="437"/>
      <c r="C65" s="428"/>
      <c r="D65" s="905" t="s">
        <v>457</v>
      </c>
      <c r="E65" s="397">
        <v>44287</v>
      </c>
      <c r="F65" s="397">
        <v>44317</v>
      </c>
      <c r="G65" s="397">
        <v>44348</v>
      </c>
      <c r="H65" s="397">
        <v>44378</v>
      </c>
      <c r="I65" s="397">
        <v>44409</v>
      </c>
      <c r="J65" s="397">
        <v>44440</v>
      </c>
      <c r="K65" s="397">
        <v>44470</v>
      </c>
      <c r="L65" s="397">
        <v>44501</v>
      </c>
      <c r="M65" s="397">
        <v>44531</v>
      </c>
      <c r="N65" s="397">
        <v>44562</v>
      </c>
      <c r="O65" s="397">
        <v>44593</v>
      </c>
      <c r="P65" s="397">
        <v>44621</v>
      </c>
      <c r="Q65" s="397"/>
      <c r="R65" s="490" t="s">
        <v>33</v>
      </c>
      <c r="S65" s="438"/>
    </row>
    <row r="66" spans="1:19" ht="15.75" hidden="1">
      <c r="B66" s="437"/>
      <c r="D66" s="906"/>
      <c r="E66" s="397" t="s">
        <v>460</v>
      </c>
      <c r="F66" s="397" t="s">
        <v>460</v>
      </c>
      <c r="G66" s="397" t="s">
        <v>534</v>
      </c>
      <c r="H66" s="397" t="s">
        <v>460</v>
      </c>
      <c r="I66" s="397" t="s">
        <v>460</v>
      </c>
      <c r="J66" s="397" t="s">
        <v>460</v>
      </c>
      <c r="K66" s="397" t="s">
        <v>460</v>
      </c>
      <c r="L66" s="397" t="s">
        <v>460</v>
      </c>
      <c r="M66" s="397" t="s">
        <v>460</v>
      </c>
      <c r="N66" s="397" t="s">
        <v>460</v>
      </c>
      <c r="O66" s="397" t="s">
        <v>460</v>
      </c>
      <c r="P66" s="397" t="s">
        <v>460</v>
      </c>
      <c r="Q66" s="397"/>
      <c r="R66" s="490"/>
      <c r="S66" s="438"/>
    </row>
    <row r="67" spans="1:19" ht="15.75" hidden="1">
      <c r="A67" s="416" t="s">
        <v>535</v>
      </c>
      <c r="B67" s="437"/>
      <c r="C67" s="491"/>
      <c r="D67" s="492"/>
      <c r="E67" s="493"/>
      <c r="F67" s="493"/>
      <c r="G67" s="493"/>
      <c r="H67" s="493"/>
      <c r="I67" s="493"/>
      <c r="J67" s="493"/>
      <c r="K67" s="493"/>
      <c r="L67" s="493"/>
      <c r="M67" s="493"/>
      <c r="N67" s="493"/>
      <c r="O67" s="493"/>
      <c r="P67" s="493"/>
      <c r="Q67" s="491"/>
      <c r="R67" s="494"/>
      <c r="S67" s="438"/>
    </row>
    <row r="68" spans="1:19" ht="15.75" hidden="1">
      <c r="B68" s="437"/>
      <c r="C68" s="492"/>
      <c r="D68" s="492"/>
      <c r="E68" s="493"/>
      <c r="F68" s="493"/>
      <c r="G68" s="493"/>
      <c r="H68" s="493"/>
      <c r="I68" s="493"/>
      <c r="J68" s="495"/>
      <c r="K68" s="493"/>
      <c r="L68" s="493"/>
      <c r="M68" s="493"/>
      <c r="N68" s="493"/>
      <c r="O68" s="493"/>
      <c r="P68" s="493"/>
      <c r="Q68" s="491"/>
      <c r="R68" s="494"/>
      <c r="S68" s="438"/>
    </row>
    <row r="69" spans="1:19" ht="15.75" hidden="1">
      <c r="B69" s="437"/>
      <c r="C69" s="492"/>
      <c r="D69" s="492"/>
      <c r="E69" s="493"/>
      <c r="F69" s="493"/>
      <c r="G69" s="493"/>
      <c r="H69" s="493"/>
      <c r="I69" s="493"/>
      <c r="J69" s="495"/>
      <c r="K69" s="493"/>
      <c r="L69" s="493"/>
      <c r="M69" s="493"/>
      <c r="N69" s="493"/>
      <c r="O69" s="493"/>
      <c r="P69" s="493"/>
      <c r="Q69" s="491"/>
      <c r="R69" s="494"/>
      <c r="S69" s="438"/>
    </row>
    <row r="70" spans="1:19" ht="15.75" hidden="1">
      <c r="B70" s="437"/>
      <c r="C70" s="492"/>
      <c r="D70" s="492"/>
      <c r="E70" s="493"/>
      <c r="F70" s="493"/>
      <c r="G70" s="493"/>
      <c r="H70" s="493"/>
      <c r="I70" s="493"/>
      <c r="J70" s="496"/>
      <c r="K70" s="493"/>
      <c r="L70" s="493"/>
      <c r="M70" s="493"/>
      <c r="N70" s="493"/>
      <c r="O70" s="493"/>
      <c r="P70" s="493"/>
      <c r="Q70" s="491"/>
      <c r="R70" s="494"/>
      <c r="S70" s="438"/>
    </row>
    <row r="71" spans="1:19" ht="15.75" hidden="1">
      <c r="B71" s="437"/>
      <c r="C71" s="492"/>
      <c r="D71" s="492"/>
      <c r="E71" s="491"/>
      <c r="F71" s="491"/>
      <c r="G71" s="491"/>
      <c r="H71" s="491"/>
      <c r="I71" s="491"/>
      <c r="J71" s="491"/>
      <c r="K71" s="493"/>
      <c r="L71" s="491"/>
      <c r="M71" s="491"/>
      <c r="N71" s="491"/>
      <c r="O71" s="491"/>
      <c r="P71" s="491"/>
      <c r="Q71" s="491"/>
      <c r="R71" s="494"/>
      <c r="S71" s="438"/>
    </row>
    <row r="72" spans="1:19" ht="15.75" hidden="1">
      <c r="B72" s="437"/>
      <c r="C72" s="492"/>
      <c r="D72" s="492"/>
      <c r="E72" s="491"/>
      <c r="F72" s="491"/>
      <c r="G72" s="491"/>
      <c r="H72" s="491"/>
      <c r="I72" s="491"/>
      <c r="J72" s="491"/>
      <c r="K72" s="491"/>
      <c r="L72" s="491"/>
      <c r="M72" s="491"/>
      <c r="N72" s="491"/>
      <c r="O72" s="491"/>
      <c r="P72" s="491"/>
      <c r="Q72" s="491"/>
      <c r="R72" s="491"/>
      <c r="S72" s="438"/>
    </row>
    <row r="73" spans="1:19" ht="18.75" hidden="1">
      <c r="B73" s="437"/>
      <c r="C73" s="497" t="s">
        <v>33</v>
      </c>
      <c r="D73" s="498"/>
      <c r="E73" s="499"/>
      <c r="F73" s="499"/>
      <c r="G73" s="499"/>
      <c r="H73" s="499"/>
      <c r="I73" s="499"/>
      <c r="J73" s="499"/>
      <c r="K73" s="499"/>
      <c r="L73" s="499"/>
      <c r="M73" s="499"/>
      <c r="N73" s="499"/>
      <c r="O73" s="499"/>
      <c r="P73" s="499"/>
      <c r="Q73" s="499"/>
      <c r="R73" s="499"/>
      <c r="S73" s="438"/>
    </row>
    <row r="74" spans="1:19" ht="15.75" hidden="1" thickBot="1">
      <c r="B74" s="457"/>
      <c r="C74" s="431"/>
      <c r="D74" s="431"/>
      <c r="E74" s="431"/>
      <c r="F74" s="431"/>
      <c r="G74" s="431"/>
      <c r="H74" s="431"/>
      <c r="I74" s="431"/>
      <c r="J74" s="431"/>
      <c r="K74" s="431"/>
      <c r="L74" s="431"/>
      <c r="M74" s="431"/>
      <c r="N74" s="431"/>
      <c r="O74" s="431"/>
      <c r="P74" s="431"/>
      <c r="Q74" s="431"/>
      <c r="R74" s="431"/>
      <c r="S74" s="500"/>
    </row>
    <row r="75" spans="1:19" hidden="1"/>
  </sheetData>
  <sheetProtection algorithmName="SHA-512" hashValue="IWx8ZEpqtJQTf2kzZXJlG1WhxHDmQIPvptiZ4ZeWdOmgtWPw0P55hBAv0nqvcz0EFEYK0Ww7c7wTwSCUoGymTQ==" saltValue="nge+WrBUHYuUeEQt/Mw7Ng==" spinCount="100000" sheet="1" objects="1" scenarios="1"/>
  <mergeCells count="18">
    <mergeCell ref="D65:D66"/>
    <mergeCell ref="D42:G42"/>
    <mergeCell ref="D43:G43"/>
    <mergeCell ref="D44:G44"/>
    <mergeCell ref="D45:G45"/>
    <mergeCell ref="D46:G46"/>
    <mergeCell ref="D47:G47"/>
    <mergeCell ref="D48:G48"/>
    <mergeCell ref="P12:S12"/>
    <mergeCell ref="P28:S28"/>
    <mergeCell ref="P21:S21"/>
    <mergeCell ref="P30:S30"/>
    <mergeCell ref="P13:S13"/>
    <mergeCell ref="P15:S15"/>
    <mergeCell ref="P17:S17"/>
    <mergeCell ref="P19:S19"/>
    <mergeCell ref="P24:S24"/>
    <mergeCell ref="P26:S26"/>
  </mergeCells>
  <phoneticPr fontId="94" type="noConversion"/>
  <conditionalFormatting sqref="C13 E13:O13 P14:S14 D14:O17 P15 P17 D19:P19 P21 D21:O22 P22:S23 D23:G23 I23:J23 L23:O23 P24 D24:O37 P25:S25 P26 P27:S27 P28 P29:S29 P30 P31:S32 P33:P35 P36:S37 D38:S41 D42:D48 H42:S48 D49:S57">
    <cfRule type="cellIs" dxfId="66" priority="13" operator="lessThan">
      <formula>0</formula>
    </cfRule>
  </conditionalFormatting>
  <conditionalFormatting sqref="D12:P12 C12:C13 E13:O13 T13:V13 P14:V14 D14:O17 P15 T15:V21 P17 D19:P19 P21 D21:O22 P22:V23 D23:G23 I23:J23 L23:O23 P24 T24:V24 D24:O37 P25:V25 P26 T26:V26 P27:V27 P28 T28:V28 P29:V29 P30 T30:V30 P31:V32 T33:V34 P33:P35 T35:U35 R36:U36 P36:Q37 R37:V37 D38:V41 D42:D48 H42:V48 D49:V58">
    <cfRule type="cellIs" dxfId="65" priority="8" operator="equal">
      <formula>0</formula>
    </cfRule>
  </conditionalFormatting>
  <conditionalFormatting sqref="U7:X9 AH10:AK31 AH33:AK38 U39:X40 V41:Y49 V50:V57 W51:Y57 V58:Y58 U59:X59">
    <cfRule type="expression" dxfId="64" priority="25">
      <formula>0</formula>
    </cfRule>
  </conditionalFormatting>
  <conditionalFormatting sqref="U32:X32 U51:X57">
    <cfRule type="cellIs" dxfId="63" priority="5" operator="equal">
      <formula>0</formula>
    </cfRule>
  </conditionalFormatting>
  <conditionalFormatting sqref="U44:X49 V50:V57">
    <cfRule type="cellIs" dxfId="62" priority="17" operator="equal">
      <formula>0</formula>
    </cfRule>
  </conditionalFormatting>
  <conditionalFormatting sqref="V32:Y32">
    <cfRule type="expression" dxfId="61" priority="7">
      <formula>0</formula>
    </cfRule>
  </conditionalFormatting>
  <conditionalFormatting sqref="W32:X32 W51:X57">
    <cfRule type="colorScale" priority="6">
      <colorScale>
        <cfvo type="num" val="&quot;&lt;0&quot;"/>
        <cfvo type="num" val="0"/>
        <color theme="1"/>
        <color theme="0"/>
      </colorScale>
    </cfRule>
  </conditionalFormatting>
  <conditionalFormatting sqref="W43:X49">
    <cfRule type="colorScale" priority="24">
      <colorScale>
        <cfvo type="num" val="&quot;&lt;0&quot;"/>
        <cfvo type="num" val="0"/>
        <color theme="1"/>
        <color theme="0"/>
      </colorScale>
    </cfRule>
  </conditionalFormatting>
  <conditionalFormatting sqref="AH50:AK50">
    <cfRule type="expression" dxfId="60" priority="10">
      <formula>0</formula>
    </cfRule>
  </conditionalFormatting>
  <pageMargins left="0.25" right="0.25" top="0.75" bottom="0.75" header="0.3" footer="0.3"/>
  <pageSetup paperSize="9" scale="42" orientation="landscape" r:id="rId1"/>
  <headerFooter>
    <oddFooter>&amp;C_x000D_&amp;1#&amp;"Calibri"&amp;10&amp;K000000 OFFICIAL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82A47A0-BE55-440E-95E7-7C191F5AB479}">
          <x14:formula1>
            <xm:f>Lookup!$T$2:$T$15</xm:f>
          </x14:formula1>
          <xm:sqref>D12</xm:sqref>
        </x14:dataValidation>
        <x14:dataValidation type="list" allowBlank="1" showInputMessage="1" showErrorMessage="1" xr:uid="{DAE7CAFC-0B6A-4CC0-AF86-B7DCFF056A06}">
          <x14:formula1>
            <xm:f>Lookup!$U$2:$U$3</xm:f>
          </x14:formula1>
          <xm:sqref>D13:O13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39C81-81A2-40E8-B9E6-7362DF96A270}">
  <sheetPr codeName="Sheet13">
    <tabColor theme="1"/>
    <pageSetUpPr fitToPage="1"/>
  </sheetPr>
  <dimension ref="A1:AJ247"/>
  <sheetViews>
    <sheetView showGridLines="0" zoomScale="70" zoomScaleNormal="70" workbookViewId="0">
      <pane ySplit="9" topLeftCell="A10" activePane="bottomLeft" state="frozen"/>
      <selection pane="bottomLeft" activeCell="S141" sqref="S141"/>
    </sheetView>
  </sheetViews>
  <sheetFormatPr defaultColWidth="14.42578125" defaultRowHeight="15"/>
  <cols>
    <col min="1" max="1" width="1.7109375" style="416" customWidth="1"/>
    <col min="2" max="3" width="0" style="525" hidden="1" customWidth="1"/>
    <col min="4" max="4" width="16.42578125" style="597" customWidth="1"/>
    <col min="5" max="5" width="83.140625" style="525" bestFit="1" customWidth="1"/>
    <col min="6" max="9" width="14.42578125" style="591" hidden="1" customWidth="1"/>
    <col min="10" max="11" width="14.42578125" style="525"/>
    <col min="12" max="18" width="15.7109375" style="525" hidden="1" customWidth="1"/>
    <col min="19" max="19" width="14.42578125" style="525"/>
    <col min="20" max="20" width="15.7109375" style="525" customWidth="1"/>
    <col min="21" max="21" width="14.42578125" style="525"/>
    <col min="22" max="23" width="14.42578125" style="525" hidden="1" customWidth="1"/>
    <col min="24" max="24" width="62.85546875" style="547" customWidth="1"/>
    <col min="25" max="25" width="14.42578125" style="547"/>
    <col min="26" max="26" width="14.42578125" style="516"/>
    <col min="27" max="36" width="0" style="525" hidden="1" customWidth="1"/>
    <col min="37" max="16384" width="14.42578125" style="525"/>
  </cols>
  <sheetData>
    <row r="1" spans="1:36" s="416" customFormat="1" ht="24.95" customHeight="1">
      <c r="B1" s="413"/>
      <c r="C1" s="414"/>
      <c r="D1" s="512" t="s">
        <v>536</v>
      </c>
      <c r="E1" s="415"/>
      <c r="F1" s="230"/>
      <c r="G1" s="230"/>
      <c r="H1" s="230"/>
      <c r="I1" s="230"/>
      <c r="J1" s="230"/>
      <c r="K1" s="230"/>
      <c r="L1" s="230"/>
      <c r="M1" s="230"/>
      <c r="N1" s="229"/>
      <c r="O1" s="229"/>
      <c r="P1" s="230"/>
      <c r="Q1" s="230"/>
      <c r="R1" s="230"/>
      <c r="S1" s="230"/>
      <c r="T1" s="230"/>
      <c r="U1" s="230"/>
      <c r="V1" s="230"/>
      <c r="W1" s="230"/>
      <c r="X1" s="695"/>
    </row>
    <row r="2" spans="1:36" s="416" customFormat="1" ht="24.95" customHeight="1">
      <c r="B2" s="418"/>
      <c r="C2" s="419"/>
      <c r="D2" s="513" t="s">
        <v>569</v>
      </c>
      <c r="E2" s="420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5"/>
    </row>
    <row r="3" spans="1:36" s="514" customFormat="1" ht="24.95" customHeight="1">
      <c r="A3" s="416"/>
      <c r="D3" s="515"/>
      <c r="E3" s="708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09"/>
      <c r="S3" s="709"/>
      <c r="T3" s="709"/>
      <c r="U3" s="709"/>
      <c r="V3" s="709"/>
      <c r="W3" s="709"/>
      <c r="X3" s="696"/>
      <c r="Y3" s="516"/>
    </row>
    <row r="4" spans="1:36" s="514" customFormat="1" ht="18.75" customHeight="1" thickBot="1">
      <c r="A4" s="416"/>
      <c r="D4" s="513" t="s">
        <v>412</v>
      </c>
      <c r="E4" s="421" t="str">
        <f>'1. Calculator'!D4</f>
        <v>-</v>
      </c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697"/>
      <c r="Y4" s="516"/>
    </row>
    <row r="5" spans="1:36" s="514" customFormat="1" ht="18.75" customHeight="1">
      <c r="A5" s="416"/>
      <c r="D5" s="513" t="s">
        <v>413</v>
      </c>
      <c r="E5" s="422" t="str">
        <f>'1. Calculator'!D5</f>
        <v>-</v>
      </c>
      <c r="F5" s="709"/>
      <c r="G5" s="709"/>
      <c r="H5" s="709"/>
      <c r="I5" s="709"/>
      <c r="J5" s="709"/>
      <c r="K5" s="709"/>
      <c r="L5" s="709"/>
      <c r="M5" s="709"/>
      <c r="N5" s="709"/>
      <c r="O5" s="709"/>
      <c r="P5" s="709"/>
      <c r="Q5" s="709"/>
      <c r="R5" s="709"/>
      <c r="S5" s="709"/>
      <c r="T5" s="709"/>
      <c r="U5" s="709"/>
      <c r="V5" s="709"/>
      <c r="W5" s="709"/>
      <c r="X5" s="697"/>
      <c r="Y5" s="516"/>
      <c r="AA5" s="518"/>
      <c r="AB5" s="519"/>
      <c r="AC5" s="519"/>
      <c r="AD5" s="519"/>
      <c r="AE5" s="519"/>
      <c r="AF5" s="519"/>
      <c r="AG5" s="519"/>
      <c r="AH5" s="519"/>
      <c r="AI5" s="519"/>
      <c r="AJ5" s="519"/>
    </row>
    <row r="6" spans="1:36" s="514" customFormat="1" ht="18.75" customHeight="1">
      <c r="A6" s="416"/>
      <c r="D6" s="513" t="s">
        <v>414</v>
      </c>
      <c r="E6" s="422" t="str">
        <f>'1. Calculator'!D6</f>
        <v>Select School Name</v>
      </c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697"/>
      <c r="Y6" s="516"/>
      <c r="AA6" s="520"/>
      <c r="AB6" s="514" t="s">
        <v>570</v>
      </c>
    </row>
    <row r="7" spans="1:36" s="514" customFormat="1" ht="15.75" customHeight="1" thickBot="1">
      <c r="A7" s="416"/>
      <c r="D7" s="521"/>
      <c r="E7" s="522"/>
      <c r="F7" s="522"/>
      <c r="G7" s="522"/>
      <c r="H7" s="522"/>
      <c r="I7" s="522"/>
      <c r="J7" s="522"/>
      <c r="K7" s="522"/>
      <c r="L7" s="522"/>
      <c r="M7" s="522"/>
      <c r="N7" s="522"/>
      <c r="O7" s="522"/>
      <c r="P7" s="522"/>
      <c r="Q7" s="522"/>
      <c r="R7" s="522"/>
      <c r="S7" s="522"/>
      <c r="T7" s="522"/>
      <c r="U7" s="522"/>
      <c r="V7" s="522"/>
      <c r="W7" s="522"/>
      <c r="X7" s="698"/>
      <c r="Y7" s="516"/>
      <c r="AA7" s="520"/>
    </row>
    <row r="8" spans="1:36" s="523" customFormat="1">
      <c r="A8" s="416"/>
      <c r="D8" s="916"/>
      <c r="E8" s="916"/>
      <c r="F8" s="916"/>
      <c r="G8" s="916"/>
      <c r="H8" s="916"/>
      <c r="I8" s="916"/>
      <c r="J8" s="917"/>
      <c r="K8" s="917"/>
      <c r="L8" s="917"/>
      <c r="M8" s="917"/>
      <c r="N8" s="917"/>
      <c r="O8" s="917"/>
      <c r="P8" s="917"/>
      <c r="Q8" s="917"/>
      <c r="R8" s="917"/>
      <c r="S8" s="917"/>
      <c r="T8" s="917"/>
      <c r="U8" s="917"/>
      <c r="V8" s="917"/>
      <c r="W8" s="465"/>
      <c r="X8" s="517"/>
      <c r="Y8" s="517"/>
      <c r="Z8" s="516"/>
      <c r="AA8" s="524"/>
    </row>
    <row r="9" spans="1:36" ht="73.5" customHeight="1">
      <c r="D9" s="710"/>
      <c r="E9" s="711" t="s">
        <v>571</v>
      </c>
      <c r="F9" s="712" t="s">
        <v>572</v>
      </c>
      <c r="G9" s="712" t="s">
        <v>573</v>
      </c>
      <c r="H9" s="712" t="s">
        <v>574</v>
      </c>
      <c r="I9" s="712" t="s">
        <v>575</v>
      </c>
      <c r="J9" s="712" t="s">
        <v>576</v>
      </c>
      <c r="K9" s="712" t="s">
        <v>577</v>
      </c>
      <c r="L9" s="712" t="s">
        <v>578</v>
      </c>
      <c r="M9" s="712" t="s">
        <v>579</v>
      </c>
      <c r="N9" s="712" t="s">
        <v>580</v>
      </c>
      <c r="O9" s="712" t="s">
        <v>581</v>
      </c>
      <c r="P9" s="712" t="s">
        <v>582</v>
      </c>
      <c r="Q9" s="712" t="s">
        <v>583</v>
      </c>
      <c r="R9" s="712"/>
      <c r="S9" s="712" t="s">
        <v>584</v>
      </c>
      <c r="T9" s="712" t="s">
        <v>585</v>
      </c>
      <c r="U9" s="712" t="s">
        <v>586</v>
      </c>
      <c r="V9" s="712" t="s">
        <v>587</v>
      </c>
      <c r="W9" s="713" t="s">
        <v>588</v>
      </c>
      <c r="X9" s="711" t="s">
        <v>589</v>
      </c>
      <c r="Y9" s="528"/>
      <c r="Z9" s="528"/>
      <c r="AA9" s="529"/>
      <c r="AB9" s="526" t="s">
        <v>590</v>
      </c>
      <c r="AC9" s="530"/>
      <c r="AF9" s="526" t="s">
        <v>591</v>
      </c>
      <c r="AG9" s="530"/>
      <c r="AH9" s="530"/>
      <c r="AJ9" s="526" t="s">
        <v>592</v>
      </c>
    </row>
    <row r="10" spans="1:36" ht="15.75" customHeight="1">
      <c r="D10" s="531"/>
      <c r="E10" s="532"/>
      <c r="F10" s="526" t="s">
        <v>593</v>
      </c>
      <c r="G10" s="526" t="s">
        <v>593</v>
      </c>
      <c r="H10" s="526" t="s">
        <v>593</v>
      </c>
      <c r="I10" s="526" t="s">
        <v>593</v>
      </c>
      <c r="J10" s="712" t="s">
        <v>593</v>
      </c>
      <c r="K10" s="712" t="s">
        <v>593</v>
      </c>
      <c r="L10" s="712" t="s">
        <v>593</v>
      </c>
      <c r="M10" s="712" t="s">
        <v>593</v>
      </c>
      <c r="N10" s="712" t="s">
        <v>593</v>
      </c>
      <c r="O10" s="712" t="s">
        <v>593</v>
      </c>
      <c r="P10" s="712" t="s">
        <v>593</v>
      </c>
      <c r="Q10" s="712" t="s">
        <v>593</v>
      </c>
      <c r="R10" s="712"/>
      <c r="S10" s="712" t="s">
        <v>593</v>
      </c>
      <c r="T10" s="526"/>
      <c r="U10" s="526"/>
      <c r="V10" s="526" t="s">
        <v>593</v>
      </c>
      <c r="W10" s="527" t="s">
        <v>593</v>
      </c>
      <c r="X10" s="532"/>
      <c r="Y10" s="528"/>
      <c r="Z10" s="528"/>
      <c r="AA10" s="529"/>
      <c r="AB10" s="533"/>
      <c r="AC10" s="530"/>
      <c r="AF10" s="533"/>
      <c r="AG10" s="530"/>
      <c r="AH10" s="530"/>
      <c r="AJ10" s="534"/>
    </row>
    <row r="11" spans="1:36" ht="23.25">
      <c r="D11" s="727" t="s">
        <v>594</v>
      </c>
      <c r="E11" s="535"/>
      <c r="F11" s="536"/>
      <c r="G11" s="536"/>
      <c r="H11" s="536"/>
      <c r="I11" s="536"/>
      <c r="J11" s="536"/>
      <c r="K11" s="536"/>
      <c r="L11" s="536"/>
      <c r="M11" s="536"/>
      <c r="N11" s="536"/>
      <c r="O11" s="536"/>
      <c r="P11" s="536"/>
      <c r="Q11" s="536"/>
      <c r="R11" s="536"/>
      <c r="S11" s="536"/>
      <c r="T11" s="536"/>
      <c r="U11" s="537"/>
      <c r="V11" s="538"/>
      <c r="W11" s="538"/>
      <c r="X11" s="539"/>
      <c r="Y11" s="528"/>
      <c r="Z11" s="528"/>
      <c r="AA11" s="529"/>
      <c r="AB11" s="536"/>
      <c r="AC11" s="530"/>
      <c r="AF11" s="536"/>
      <c r="AG11" s="530"/>
      <c r="AH11" s="530"/>
      <c r="AJ11" s="539"/>
    </row>
    <row r="12" spans="1:36" ht="12" customHeight="1">
      <c r="D12" s="540">
        <v>7</v>
      </c>
      <c r="E12" s="541">
        <v>8</v>
      </c>
      <c r="F12" s="538"/>
      <c r="G12" s="538"/>
      <c r="H12" s="538"/>
      <c r="I12" s="538"/>
      <c r="J12" s="538"/>
      <c r="K12" s="538"/>
      <c r="L12" s="538"/>
      <c r="M12" s="538"/>
      <c r="N12" s="538"/>
      <c r="O12" s="538"/>
      <c r="P12" s="538"/>
      <c r="Q12" s="538"/>
      <c r="R12" s="538"/>
      <c r="S12" s="538"/>
      <c r="T12" s="538"/>
      <c r="U12" s="539"/>
      <c r="V12" s="530"/>
      <c r="W12" s="530"/>
      <c r="X12" s="539"/>
      <c r="Y12" s="528"/>
      <c r="Z12" s="528"/>
      <c r="AA12" s="529"/>
      <c r="AB12" s="530"/>
      <c r="AC12" s="530"/>
      <c r="AF12" s="530"/>
      <c r="AG12" s="530"/>
      <c r="AH12" s="530"/>
      <c r="AJ12" s="539"/>
    </row>
    <row r="13" spans="1:36" ht="18" customHeight="1">
      <c r="D13" s="725" t="s">
        <v>595</v>
      </c>
      <c r="E13" s="712"/>
      <c r="F13" s="542">
        <v>0</v>
      </c>
      <c r="G13" s="542"/>
      <c r="H13" s="542"/>
      <c r="I13" s="542"/>
      <c r="J13" s="865"/>
      <c r="K13" s="543"/>
      <c r="L13" s="543">
        <f>G13</f>
        <v>0</v>
      </c>
      <c r="M13" s="543"/>
      <c r="N13" s="543"/>
      <c r="O13" s="543"/>
      <c r="P13" s="543"/>
      <c r="Q13" s="543"/>
      <c r="R13" s="543"/>
      <c r="S13" s="714">
        <f>J13</f>
        <v>0</v>
      </c>
      <c r="T13" s="544"/>
      <c r="U13" s="544"/>
      <c r="V13" s="545"/>
      <c r="W13" s="544"/>
      <c r="X13" s="725"/>
      <c r="Y13" s="864" t="s">
        <v>596</v>
      </c>
      <c r="Z13" s="547"/>
      <c r="AA13" s="548"/>
      <c r="AB13" s="543"/>
      <c r="AC13" s="549"/>
      <c r="AF13" s="543">
        <v>0</v>
      </c>
      <c r="AG13" s="549"/>
      <c r="AH13" s="549"/>
      <c r="AJ13" s="546"/>
    </row>
    <row r="14" spans="1:36" ht="18" customHeight="1">
      <c r="D14" s="550"/>
      <c r="E14" s="726" t="s">
        <v>597</v>
      </c>
      <c r="F14" s="551"/>
      <c r="G14" s="551"/>
      <c r="H14" s="551"/>
      <c r="I14" s="551"/>
      <c r="J14" s="551"/>
      <c r="K14" s="551"/>
      <c r="L14" s="551"/>
      <c r="M14" s="551"/>
      <c r="N14" s="551"/>
      <c r="O14" s="551"/>
      <c r="P14" s="551"/>
      <c r="Q14" s="551"/>
      <c r="R14" s="551"/>
      <c r="S14" s="551"/>
      <c r="T14" s="551"/>
      <c r="U14" s="551"/>
      <c r="V14" s="552"/>
      <c r="W14" s="551"/>
      <c r="X14" s="551"/>
      <c r="AA14" s="529"/>
      <c r="AB14" s="551"/>
      <c r="AC14" s="553"/>
      <c r="AF14" s="551"/>
      <c r="AG14" s="553"/>
      <c r="AH14" s="553"/>
      <c r="AJ14" s="551"/>
    </row>
    <row r="15" spans="1:36" ht="18" customHeight="1">
      <c r="B15" s="525" t="s">
        <v>598</v>
      </c>
      <c r="C15" s="554" t="s">
        <v>599</v>
      </c>
      <c r="D15" s="717" t="s">
        <v>22</v>
      </c>
      <c r="E15" s="716" t="s">
        <v>523</v>
      </c>
      <c r="F15" s="556">
        <v>0</v>
      </c>
      <c r="G15" s="557"/>
      <c r="H15" s="557"/>
      <c r="I15" s="558">
        <f>G15+H15</f>
        <v>0</v>
      </c>
      <c r="J15" s="718">
        <f>SUMIFS('1. Calculator'!$E$127:$E$137,'1. Calculator'!$D$127:$D$137,'3. Monitoring'!$D15)</f>
        <v>0</v>
      </c>
      <c r="K15" s="719"/>
      <c r="L15" s="556">
        <f t="shared" ref="L15:L29" si="0">J15+K15</f>
        <v>0</v>
      </c>
      <c r="M15" s="556">
        <v>0</v>
      </c>
      <c r="N15" s="559"/>
      <c r="O15" s="559"/>
      <c r="P15" s="556">
        <v>0</v>
      </c>
      <c r="Q15" s="556"/>
      <c r="R15" s="556"/>
      <c r="S15" s="718">
        <f>J15+K15</f>
        <v>0</v>
      </c>
      <c r="T15" s="560" t="str">
        <f t="shared" ref="T15:T29" si="1">IFERROR((S15/G15),"")</f>
        <v/>
      </c>
      <c r="U15" s="720" t="str">
        <f>IFERROR(+S15/$S$30,"")</f>
        <v/>
      </c>
      <c r="V15" s="562"/>
      <c r="W15" s="556">
        <f t="shared" ref="W15:W29" si="2">I15-V15</f>
        <v>0</v>
      </c>
      <c r="X15" s="721"/>
      <c r="Z15" s="547"/>
      <c r="AA15" s="548"/>
      <c r="AB15" s="556"/>
      <c r="AC15" s="564"/>
      <c r="AF15" s="556">
        <v>0</v>
      </c>
      <c r="AG15" s="564"/>
      <c r="AH15" s="564"/>
      <c r="AJ15" s="563"/>
    </row>
    <row r="16" spans="1:36" ht="18" customHeight="1">
      <c r="C16" s="565" t="s">
        <v>600</v>
      </c>
      <c r="D16" s="717" t="s">
        <v>26</v>
      </c>
      <c r="E16" s="716" t="s">
        <v>524</v>
      </c>
      <c r="F16" s="556">
        <v>0</v>
      </c>
      <c r="G16" s="557"/>
      <c r="H16" s="557"/>
      <c r="I16" s="558">
        <f t="shared" ref="I16:I29" si="3">G16+H16</f>
        <v>0</v>
      </c>
      <c r="J16" s="718">
        <f>SUMIFS('1. Calculator'!$E$127:$E$137,'1. Calculator'!$D$127:$D$137,'3. Monitoring'!$D16)</f>
        <v>0</v>
      </c>
      <c r="K16" s="719"/>
      <c r="L16" s="556">
        <f t="shared" si="0"/>
        <v>0</v>
      </c>
      <c r="M16" s="556">
        <v>0</v>
      </c>
      <c r="N16" s="559"/>
      <c r="O16" s="559"/>
      <c r="P16" s="556">
        <v>0</v>
      </c>
      <c r="Q16" s="556"/>
      <c r="R16" s="556"/>
      <c r="S16" s="718">
        <f t="shared" ref="S16:S29" si="4">J16+K16</f>
        <v>0</v>
      </c>
      <c r="T16" s="560" t="str">
        <f t="shared" si="1"/>
        <v/>
      </c>
      <c r="U16" s="720" t="str">
        <f t="shared" ref="U16:U29" si="5">IFERROR(+S16/$S$30,"")</f>
        <v/>
      </c>
      <c r="V16" s="562"/>
      <c r="W16" s="556">
        <f t="shared" si="2"/>
        <v>0</v>
      </c>
      <c r="X16" s="721"/>
      <c r="Z16" s="547"/>
      <c r="AA16" s="548"/>
      <c r="AB16" s="556"/>
      <c r="AC16" s="564"/>
      <c r="AF16" s="556">
        <v>0</v>
      </c>
    </row>
    <row r="17" spans="1:32" ht="18" customHeight="1">
      <c r="C17" s="565" t="s">
        <v>601</v>
      </c>
      <c r="D17" s="717" t="s">
        <v>25</v>
      </c>
      <c r="E17" s="716" t="s">
        <v>525</v>
      </c>
      <c r="F17" s="556">
        <v>0</v>
      </c>
      <c r="G17" s="557"/>
      <c r="H17" s="557"/>
      <c r="I17" s="558">
        <f t="shared" si="3"/>
        <v>0</v>
      </c>
      <c r="J17" s="718">
        <f>SUMIFS('1. Calculator'!$E$127:$E$137,'1. Calculator'!$D$127:$D$137,'3. Monitoring'!$D17)</f>
        <v>0</v>
      </c>
      <c r="K17" s="719"/>
      <c r="L17" s="556">
        <f t="shared" si="0"/>
        <v>0</v>
      </c>
      <c r="M17" s="556">
        <v>0</v>
      </c>
      <c r="N17" s="559"/>
      <c r="O17" s="559"/>
      <c r="P17" s="556">
        <v>0</v>
      </c>
      <c r="Q17" s="556"/>
      <c r="R17" s="556"/>
      <c r="S17" s="718">
        <f t="shared" si="4"/>
        <v>0</v>
      </c>
      <c r="T17" s="560" t="str">
        <f t="shared" si="1"/>
        <v/>
      </c>
      <c r="U17" s="720" t="str">
        <f t="shared" si="5"/>
        <v/>
      </c>
      <c r="V17" s="562"/>
      <c r="W17" s="556">
        <f t="shared" si="2"/>
        <v>0</v>
      </c>
      <c r="X17" s="721"/>
      <c r="Z17" s="547"/>
      <c r="AA17" s="548"/>
      <c r="AB17" s="556"/>
      <c r="AC17" s="564"/>
      <c r="AF17" s="556">
        <v>0</v>
      </c>
    </row>
    <row r="18" spans="1:32" ht="18" customHeight="1">
      <c r="C18" s="565" t="s">
        <v>602</v>
      </c>
      <c r="D18" s="717" t="s">
        <v>603</v>
      </c>
      <c r="E18" s="716" t="s">
        <v>604</v>
      </c>
      <c r="F18" s="556">
        <v>0</v>
      </c>
      <c r="G18" s="557"/>
      <c r="H18" s="557"/>
      <c r="I18" s="558">
        <f t="shared" si="3"/>
        <v>0</v>
      </c>
      <c r="J18" s="718"/>
      <c r="K18" s="719"/>
      <c r="L18" s="556">
        <f t="shared" si="0"/>
        <v>0</v>
      </c>
      <c r="M18" s="556"/>
      <c r="N18" s="559"/>
      <c r="O18" s="559"/>
      <c r="P18" s="556"/>
      <c r="Q18" s="556"/>
      <c r="R18" s="556"/>
      <c r="S18" s="718">
        <f t="shared" si="4"/>
        <v>0</v>
      </c>
      <c r="T18" s="560" t="str">
        <f t="shared" si="1"/>
        <v/>
      </c>
      <c r="U18" s="720" t="str">
        <f t="shared" si="5"/>
        <v/>
      </c>
      <c r="V18" s="562"/>
      <c r="W18" s="556">
        <f t="shared" si="2"/>
        <v>0</v>
      </c>
      <c r="X18" s="721"/>
      <c r="Z18" s="547"/>
      <c r="AA18" s="548"/>
      <c r="AB18" s="556"/>
      <c r="AC18" s="564"/>
      <c r="AF18" s="556"/>
    </row>
    <row r="19" spans="1:32" ht="18" customHeight="1">
      <c r="C19" s="565" t="s">
        <v>605</v>
      </c>
      <c r="D19" s="717" t="s">
        <v>28</v>
      </c>
      <c r="E19" s="716" t="s">
        <v>526</v>
      </c>
      <c r="F19" s="556">
        <v>0</v>
      </c>
      <c r="G19" s="557"/>
      <c r="H19" s="557"/>
      <c r="I19" s="558">
        <f t="shared" si="3"/>
        <v>0</v>
      </c>
      <c r="J19" s="718">
        <f>SUMIFS('1. Calculator'!$E$127:$E$137,'1. Calculator'!$D$127:$D$137,'3. Monitoring'!$D19)</f>
        <v>0</v>
      </c>
      <c r="K19" s="719"/>
      <c r="L19" s="556">
        <f t="shared" si="0"/>
        <v>0</v>
      </c>
      <c r="M19" s="556">
        <v>0</v>
      </c>
      <c r="N19" s="559"/>
      <c r="O19" s="559"/>
      <c r="P19" s="556">
        <v>0</v>
      </c>
      <c r="Q19" s="556"/>
      <c r="R19" s="556"/>
      <c r="S19" s="718">
        <f t="shared" si="4"/>
        <v>0</v>
      </c>
      <c r="T19" s="560" t="str">
        <f t="shared" si="1"/>
        <v/>
      </c>
      <c r="U19" s="720" t="str">
        <f t="shared" si="5"/>
        <v/>
      </c>
      <c r="V19" s="562"/>
      <c r="W19" s="556">
        <f t="shared" si="2"/>
        <v>0</v>
      </c>
      <c r="X19" s="721"/>
      <c r="Z19" s="547"/>
      <c r="AA19" s="548"/>
      <c r="AB19" s="556"/>
      <c r="AC19" s="564"/>
      <c r="AF19" s="556">
        <v>0</v>
      </c>
    </row>
    <row r="20" spans="1:32" ht="18" customHeight="1">
      <c r="C20" s="565" t="s">
        <v>606</v>
      </c>
      <c r="D20" s="717" t="s">
        <v>29</v>
      </c>
      <c r="E20" s="716" t="s">
        <v>527</v>
      </c>
      <c r="F20" s="556">
        <v>0</v>
      </c>
      <c r="G20" s="557"/>
      <c r="H20" s="557"/>
      <c r="I20" s="558">
        <f t="shared" si="3"/>
        <v>0</v>
      </c>
      <c r="J20" s="718">
        <f>SUMIFS('1. Calculator'!$E$127:$E$137,'1. Calculator'!$D$127:$D$137,'3. Monitoring'!$D20)</f>
        <v>0</v>
      </c>
      <c r="K20" s="719"/>
      <c r="L20" s="556">
        <f t="shared" si="0"/>
        <v>0</v>
      </c>
      <c r="M20" s="556">
        <v>0</v>
      </c>
      <c r="N20" s="559"/>
      <c r="O20" s="559"/>
      <c r="P20" s="556">
        <v>0</v>
      </c>
      <c r="Q20" s="556"/>
      <c r="R20" s="556"/>
      <c r="S20" s="718">
        <f t="shared" si="4"/>
        <v>0</v>
      </c>
      <c r="T20" s="560" t="str">
        <f t="shared" si="1"/>
        <v/>
      </c>
      <c r="U20" s="720" t="str">
        <f t="shared" si="5"/>
        <v/>
      </c>
      <c r="V20" s="562"/>
      <c r="W20" s="556">
        <f t="shared" si="2"/>
        <v>0</v>
      </c>
      <c r="X20" s="721"/>
      <c r="Z20" s="547"/>
      <c r="AA20" s="548"/>
      <c r="AB20" s="556"/>
      <c r="AC20" s="564"/>
      <c r="AF20" s="556">
        <v>0</v>
      </c>
    </row>
    <row r="21" spans="1:32" ht="18" customHeight="1">
      <c r="C21" s="565" t="s">
        <v>607</v>
      </c>
      <c r="D21" s="717" t="s">
        <v>608</v>
      </c>
      <c r="E21" s="716" t="s">
        <v>609</v>
      </c>
      <c r="F21" s="556">
        <v>0</v>
      </c>
      <c r="G21" s="557"/>
      <c r="H21" s="557"/>
      <c r="I21" s="558">
        <f t="shared" si="3"/>
        <v>0</v>
      </c>
      <c r="J21" s="718">
        <f>SUMIFS('1. Calculator'!$E$127:$E$137,'1. Calculator'!$D$127:$D$137,'3. Monitoring'!$D21)</f>
        <v>0</v>
      </c>
      <c r="K21" s="719"/>
      <c r="L21" s="556">
        <f t="shared" si="0"/>
        <v>0</v>
      </c>
      <c r="M21" s="556">
        <v>0</v>
      </c>
      <c r="N21" s="559"/>
      <c r="O21" s="559"/>
      <c r="P21" s="556">
        <v>0</v>
      </c>
      <c r="Q21" s="556"/>
      <c r="R21" s="556"/>
      <c r="S21" s="718">
        <f t="shared" si="4"/>
        <v>0</v>
      </c>
      <c r="T21" s="560" t="str">
        <f t="shared" si="1"/>
        <v/>
      </c>
      <c r="U21" s="720" t="str">
        <f t="shared" si="5"/>
        <v/>
      </c>
      <c r="V21" s="562"/>
      <c r="W21" s="556">
        <f t="shared" si="2"/>
        <v>0</v>
      </c>
      <c r="X21" s="721"/>
      <c r="Z21" s="547"/>
      <c r="AA21" s="548"/>
      <c r="AB21" s="556"/>
      <c r="AC21" s="564"/>
      <c r="AF21" s="556">
        <v>0</v>
      </c>
    </row>
    <row r="22" spans="1:32" ht="18" customHeight="1">
      <c r="C22" s="565" t="s">
        <v>610</v>
      </c>
      <c r="D22" s="717" t="s">
        <v>611</v>
      </c>
      <c r="E22" s="716" t="s">
        <v>612</v>
      </c>
      <c r="F22" s="556">
        <v>0</v>
      </c>
      <c r="G22" s="557"/>
      <c r="H22" s="557"/>
      <c r="I22" s="558">
        <f t="shared" si="3"/>
        <v>0</v>
      </c>
      <c r="J22" s="718"/>
      <c r="K22" s="719"/>
      <c r="L22" s="556">
        <f t="shared" si="0"/>
        <v>0</v>
      </c>
      <c r="M22" s="556">
        <v>0</v>
      </c>
      <c r="N22" s="559"/>
      <c r="O22" s="559"/>
      <c r="P22" s="556">
        <v>0</v>
      </c>
      <c r="Q22" s="556"/>
      <c r="R22" s="556"/>
      <c r="S22" s="718">
        <f t="shared" si="4"/>
        <v>0</v>
      </c>
      <c r="T22" s="560" t="str">
        <f t="shared" si="1"/>
        <v/>
      </c>
      <c r="U22" s="720" t="str">
        <f t="shared" si="5"/>
        <v/>
      </c>
      <c r="V22" s="562"/>
      <c r="W22" s="556">
        <f t="shared" si="2"/>
        <v>0</v>
      </c>
      <c r="X22" s="721"/>
      <c r="Z22" s="547"/>
      <c r="AA22" s="548"/>
      <c r="AB22" s="556"/>
      <c r="AC22" s="564"/>
      <c r="AF22" s="556">
        <v>0</v>
      </c>
    </row>
    <row r="23" spans="1:32" ht="18" customHeight="1">
      <c r="C23" s="565" t="s">
        <v>613</v>
      </c>
      <c r="D23" s="717" t="s">
        <v>30</v>
      </c>
      <c r="E23" s="716" t="s">
        <v>614</v>
      </c>
      <c r="F23" s="556">
        <v>0</v>
      </c>
      <c r="G23" s="557"/>
      <c r="H23" s="557"/>
      <c r="I23" s="558">
        <f t="shared" si="3"/>
        <v>0</v>
      </c>
      <c r="J23" s="718">
        <f>SUMIFS('1. Calculator'!$E$127:$E$137,'1. Calculator'!$D$127:$D$137,'3. Monitoring'!$D23)</f>
        <v>0</v>
      </c>
      <c r="K23" s="719"/>
      <c r="L23" s="556">
        <f t="shared" si="0"/>
        <v>0</v>
      </c>
      <c r="M23" s="556"/>
      <c r="N23" s="559"/>
      <c r="O23" s="559"/>
      <c r="P23" s="556"/>
      <c r="Q23" s="556"/>
      <c r="R23" s="556"/>
      <c r="S23" s="718">
        <f t="shared" si="4"/>
        <v>0</v>
      </c>
      <c r="T23" s="560" t="str">
        <f t="shared" si="1"/>
        <v/>
      </c>
      <c r="U23" s="720" t="str">
        <f t="shared" si="5"/>
        <v/>
      </c>
      <c r="V23" s="562"/>
      <c r="W23" s="556">
        <f t="shared" si="2"/>
        <v>0</v>
      </c>
      <c r="X23" s="721"/>
      <c r="Z23" s="547"/>
      <c r="AA23" s="548"/>
      <c r="AB23" s="556"/>
      <c r="AC23" s="564"/>
      <c r="AF23" s="556"/>
    </row>
    <row r="24" spans="1:32" ht="18" customHeight="1">
      <c r="C24" s="565" t="s">
        <v>615</v>
      </c>
      <c r="D24" s="717" t="s">
        <v>616</v>
      </c>
      <c r="E24" s="716" t="s">
        <v>617</v>
      </c>
      <c r="F24" s="556">
        <v>0</v>
      </c>
      <c r="G24" s="557"/>
      <c r="H24" s="557"/>
      <c r="I24" s="558">
        <f t="shared" si="3"/>
        <v>0</v>
      </c>
      <c r="J24" s="718"/>
      <c r="K24" s="719"/>
      <c r="L24" s="556">
        <f t="shared" si="0"/>
        <v>0</v>
      </c>
      <c r="M24" s="556">
        <v>0</v>
      </c>
      <c r="N24" s="559"/>
      <c r="O24" s="559"/>
      <c r="P24" s="556">
        <v>0</v>
      </c>
      <c r="Q24" s="556"/>
      <c r="R24" s="556"/>
      <c r="S24" s="718">
        <f t="shared" si="4"/>
        <v>0</v>
      </c>
      <c r="T24" s="560" t="str">
        <f t="shared" si="1"/>
        <v/>
      </c>
      <c r="U24" s="720" t="str">
        <f t="shared" si="5"/>
        <v/>
      </c>
      <c r="V24" s="562"/>
      <c r="W24" s="556">
        <f t="shared" si="2"/>
        <v>0</v>
      </c>
      <c r="X24" s="721"/>
      <c r="Z24" s="547"/>
      <c r="AA24" s="548"/>
      <c r="AB24" s="556"/>
      <c r="AC24" s="564"/>
      <c r="AF24" s="556">
        <v>0</v>
      </c>
    </row>
    <row r="25" spans="1:32" ht="18" customHeight="1">
      <c r="C25" s="565" t="s">
        <v>618</v>
      </c>
      <c r="D25" s="717" t="s">
        <v>619</v>
      </c>
      <c r="E25" s="716" t="s">
        <v>620</v>
      </c>
      <c r="F25" s="556">
        <v>0</v>
      </c>
      <c r="G25" s="557"/>
      <c r="H25" s="557"/>
      <c r="I25" s="558">
        <f t="shared" si="3"/>
        <v>0</v>
      </c>
      <c r="J25" s="718"/>
      <c r="K25" s="719"/>
      <c r="L25" s="556">
        <f t="shared" si="0"/>
        <v>0</v>
      </c>
      <c r="M25" s="556">
        <v>0</v>
      </c>
      <c r="N25" s="559"/>
      <c r="O25" s="559"/>
      <c r="P25" s="556">
        <v>0</v>
      </c>
      <c r="Q25" s="556"/>
      <c r="R25" s="556"/>
      <c r="S25" s="718">
        <f t="shared" si="4"/>
        <v>0</v>
      </c>
      <c r="T25" s="560" t="str">
        <f t="shared" si="1"/>
        <v/>
      </c>
      <c r="U25" s="720" t="str">
        <f t="shared" si="5"/>
        <v/>
      </c>
      <c r="V25" s="562"/>
      <c r="W25" s="556">
        <f t="shared" si="2"/>
        <v>0</v>
      </c>
      <c r="X25" s="721"/>
      <c r="Z25" s="547"/>
      <c r="AA25" s="548"/>
      <c r="AB25" s="556"/>
      <c r="AC25" s="564"/>
      <c r="AF25" s="556">
        <v>0</v>
      </c>
    </row>
    <row r="26" spans="1:32" ht="18" customHeight="1">
      <c r="C26" s="565" t="s">
        <v>621</v>
      </c>
      <c r="D26" s="717" t="s">
        <v>622</v>
      </c>
      <c r="E26" s="716" t="s">
        <v>623</v>
      </c>
      <c r="F26" s="556">
        <v>0</v>
      </c>
      <c r="G26" s="557"/>
      <c r="H26" s="557"/>
      <c r="I26" s="558">
        <f t="shared" si="3"/>
        <v>0</v>
      </c>
      <c r="J26" s="718"/>
      <c r="K26" s="719"/>
      <c r="L26" s="556">
        <f t="shared" si="0"/>
        <v>0</v>
      </c>
      <c r="M26" s="556">
        <v>0</v>
      </c>
      <c r="N26" s="559"/>
      <c r="O26" s="559"/>
      <c r="P26" s="556">
        <v>0</v>
      </c>
      <c r="Q26" s="556"/>
      <c r="R26" s="556"/>
      <c r="S26" s="718">
        <f t="shared" si="4"/>
        <v>0</v>
      </c>
      <c r="T26" s="560" t="str">
        <f t="shared" si="1"/>
        <v/>
      </c>
      <c r="U26" s="720" t="str">
        <f t="shared" si="5"/>
        <v/>
      </c>
      <c r="V26" s="562"/>
      <c r="W26" s="556">
        <f t="shared" si="2"/>
        <v>0</v>
      </c>
      <c r="X26" s="721"/>
      <c r="Z26" s="547"/>
      <c r="AA26" s="548"/>
      <c r="AB26" s="556"/>
      <c r="AC26" s="564"/>
      <c r="AF26" s="556">
        <v>0</v>
      </c>
    </row>
    <row r="27" spans="1:32" ht="18" customHeight="1">
      <c r="C27" s="565" t="s">
        <v>624</v>
      </c>
      <c r="D27" s="717" t="s">
        <v>625</v>
      </c>
      <c r="E27" s="716" t="s">
        <v>626</v>
      </c>
      <c r="F27" s="556">
        <v>0</v>
      </c>
      <c r="G27" s="557"/>
      <c r="H27" s="557"/>
      <c r="I27" s="558">
        <f t="shared" si="3"/>
        <v>0</v>
      </c>
      <c r="J27" s="718"/>
      <c r="K27" s="719"/>
      <c r="L27" s="556">
        <f t="shared" si="0"/>
        <v>0</v>
      </c>
      <c r="M27" s="556">
        <v>0</v>
      </c>
      <c r="N27" s="559"/>
      <c r="O27" s="559"/>
      <c r="P27" s="556">
        <v>0</v>
      </c>
      <c r="Q27" s="556"/>
      <c r="R27" s="556"/>
      <c r="S27" s="718">
        <f t="shared" si="4"/>
        <v>0</v>
      </c>
      <c r="T27" s="560" t="str">
        <f t="shared" si="1"/>
        <v/>
      </c>
      <c r="U27" s="720" t="str">
        <f t="shared" si="5"/>
        <v/>
      </c>
      <c r="V27" s="562"/>
      <c r="W27" s="556">
        <f t="shared" si="2"/>
        <v>0</v>
      </c>
      <c r="X27" s="721"/>
      <c r="Z27" s="547"/>
      <c r="AA27" s="548"/>
      <c r="AB27" s="556"/>
      <c r="AC27" s="564"/>
      <c r="AF27" s="556">
        <v>0</v>
      </c>
    </row>
    <row r="28" spans="1:32" ht="18" customHeight="1">
      <c r="C28" s="565" t="s">
        <v>627</v>
      </c>
      <c r="D28" s="717" t="s">
        <v>628</v>
      </c>
      <c r="E28" s="716" t="s">
        <v>629</v>
      </c>
      <c r="F28" s="556">
        <v>0</v>
      </c>
      <c r="G28" s="557"/>
      <c r="H28" s="557"/>
      <c r="I28" s="558">
        <f t="shared" si="3"/>
        <v>0</v>
      </c>
      <c r="J28" s="718"/>
      <c r="K28" s="719"/>
      <c r="L28" s="556">
        <f t="shared" si="0"/>
        <v>0</v>
      </c>
      <c r="M28" s="556">
        <v>0</v>
      </c>
      <c r="N28" s="559"/>
      <c r="O28" s="559"/>
      <c r="P28" s="556">
        <v>0</v>
      </c>
      <c r="Q28" s="556"/>
      <c r="R28" s="556"/>
      <c r="S28" s="718">
        <f t="shared" si="4"/>
        <v>0</v>
      </c>
      <c r="T28" s="560" t="str">
        <f t="shared" si="1"/>
        <v/>
      </c>
      <c r="U28" s="720" t="str">
        <f t="shared" si="5"/>
        <v/>
      </c>
      <c r="V28" s="562"/>
      <c r="W28" s="556">
        <f t="shared" si="2"/>
        <v>0</v>
      </c>
      <c r="X28" s="721"/>
      <c r="Z28" s="547"/>
      <c r="AA28" s="548"/>
      <c r="AB28" s="556"/>
      <c r="AC28" s="564"/>
      <c r="AF28" s="556">
        <v>0</v>
      </c>
    </row>
    <row r="29" spans="1:32" ht="18" customHeight="1">
      <c r="C29" s="565" t="s">
        <v>630</v>
      </c>
      <c r="D29" s="717" t="s">
        <v>631</v>
      </c>
      <c r="E29" s="716" t="s">
        <v>632</v>
      </c>
      <c r="F29" s="556">
        <v>0</v>
      </c>
      <c r="G29" s="557"/>
      <c r="H29" s="557"/>
      <c r="I29" s="558">
        <f t="shared" si="3"/>
        <v>0</v>
      </c>
      <c r="J29" s="718"/>
      <c r="K29" s="719"/>
      <c r="L29" s="556">
        <f t="shared" si="0"/>
        <v>0</v>
      </c>
      <c r="M29" s="556">
        <v>0</v>
      </c>
      <c r="N29" s="559"/>
      <c r="O29" s="559"/>
      <c r="P29" s="556">
        <v>0</v>
      </c>
      <c r="Q29" s="556"/>
      <c r="R29" s="556"/>
      <c r="S29" s="718">
        <f t="shared" si="4"/>
        <v>0</v>
      </c>
      <c r="T29" s="560" t="str">
        <f t="shared" si="1"/>
        <v/>
      </c>
      <c r="U29" s="720" t="str">
        <f t="shared" si="5"/>
        <v/>
      </c>
      <c r="V29" s="562"/>
      <c r="W29" s="556">
        <f t="shared" si="2"/>
        <v>0</v>
      </c>
      <c r="X29" s="721"/>
      <c r="Z29" s="547"/>
      <c r="AA29" s="548"/>
      <c r="AB29" s="556"/>
      <c r="AC29" s="564"/>
      <c r="AF29" s="556">
        <v>0</v>
      </c>
    </row>
    <row r="30" spans="1:32" ht="18" customHeight="1">
      <c r="D30" s="724" t="s">
        <v>633</v>
      </c>
      <c r="E30" s="724"/>
      <c r="F30" s="543">
        <f>SUM(F15:F29)</f>
        <v>0</v>
      </c>
      <c r="G30" s="543">
        <f t="shared" ref="G30:Q30" si="6">SUM(G15:G29)</f>
        <v>0</v>
      </c>
      <c r="H30" s="543">
        <f t="shared" si="6"/>
        <v>0</v>
      </c>
      <c r="I30" s="543">
        <f t="shared" si="6"/>
        <v>0</v>
      </c>
      <c r="J30" s="714">
        <f t="shared" si="6"/>
        <v>0</v>
      </c>
      <c r="K30" s="714">
        <f t="shared" si="6"/>
        <v>0</v>
      </c>
      <c r="L30" s="714">
        <f t="shared" si="6"/>
        <v>0</v>
      </c>
      <c r="M30" s="714">
        <f t="shared" si="6"/>
        <v>0</v>
      </c>
      <c r="N30" s="714">
        <f t="shared" si="6"/>
        <v>0</v>
      </c>
      <c r="O30" s="714">
        <f t="shared" si="6"/>
        <v>0</v>
      </c>
      <c r="P30" s="714">
        <f t="shared" si="6"/>
        <v>0</v>
      </c>
      <c r="Q30" s="714">
        <f t="shared" si="6"/>
        <v>0</v>
      </c>
      <c r="R30" s="714"/>
      <c r="S30" s="714">
        <f>SUM(S15:S29)</f>
        <v>0</v>
      </c>
      <c r="T30" s="543"/>
      <c r="U30" s="566"/>
      <c r="V30" s="567">
        <f>SUM(V15:V29)</f>
        <v>0</v>
      </c>
      <c r="W30" s="543">
        <f>SUM(W15:W29)</f>
        <v>0</v>
      </c>
      <c r="X30" s="546"/>
      <c r="AA30" s="548"/>
      <c r="AB30" s="543">
        <v>0</v>
      </c>
      <c r="AC30" s="549"/>
      <c r="AF30" s="543">
        <v>0</v>
      </c>
    </row>
    <row r="31" spans="1:32" ht="18" customHeight="1">
      <c r="D31" s="550"/>
      <c r="E31" s="726" t="s">
        <v>634</v>
      </c>
      <c r="F31" s="568"/>
      <c r="G31" s="568"/>
      <c r="H31" s="568"/>
      <c r="I31" s="568"/>
      <c r="J31" s="568"/>
      <c r="K31" s="568"/>
      <c r="L31" s="568"/>
      <c r="M31" s="568"/>
      <c r="N31" s="568"/>
      <c r="O31" s="568"/>
      <c r="P31" s="568"/>
      <c r="Q31" s="568"/>
      <c r="R31" s="568"/>
      <c r="S31" s="568"/>
      <c r="T31" s="568"/>
      <c r="U31" s="569"/>
      <c r="V31" s="570"/>
      <c r="W31" s="568"/>
      <c r="X31" s="568"/>
      <c r="AA31" s="548"/>
      <c r="AB31" s="568"/>
      <c r="AC31" s="571"/>
      <c r="AF31" s="568"/>
    </row>
    <row r="32" spans="1:32" ht="18" customHeight="1">
      <c r="A32" s="453"/>
      <c r="C32" s="565" t="s">
        <v>635</v>
      </c>
      <c r="D32" s="717" t="s">
        <v>636</v>
      </c>
      <c r="E32" s="716" t="s">
        <v>637</v>
      </c>
      <c r="F32" s="556">
        <v>0</v>
      </c>
      <c r="G32" s="557"/>
      <c r="H32" s="557"/>
      <c r="I32" s="558">
        <f t="shared" ref="I32:I68" si="7">G32+H32</f>
        <v>0</v>
      </c>
      <c r="J32" s="718"/>
      <c r="K32" s="719"/>
      <c r="L32" s="556">
        <f t="shared" ref="L32:L51" si="8">J32+K32</f>
        <v>0</v>
      </c>
      <c r="M32" s="559"/>
      <c r="N32" s="556">
        <v>0</v>
      </c>
      <c r="O32" s="556">
        <v>0</v>
      </c>
      <c r="P32" s="559"/>
      <c r="Q32" s="556"/>
      <c r="R32" s="556"/>
      <c r="S32" s="718">
        <f>J32+K32</f>
        <v>0</v>
      </c>
      <c r="T32" s="560" t="str">
        <f t="shared" ref="T32:T68" si="9">IFERROR((S32/G32),"")</f>
        <v/>
      </c>
      <c r="U32" s="720" t="str">
        <f t="shared" ref="U32:U57" si="10">IFERROR(+S32/$S$69,"")</f>
        <v/>
      </c>
      <c r="V32" s="562"/>
      <c r="W32" s="556">
        <f t="shared" ref="W32:W51" si="11">I32-V32</f>
        <v>0</v>
      </c>
      <c r="X32" s="721"/>
      <c r="Z32" s="547"/>
      <c r="AA32" s="548"/>
      <c r="AB32" s="556"/>
      <c r="AC32" s="564"/>
      <c r="AF32" s="556">
        <v>0</v>
      </c>
    </row>
    <row r="33" spans="1:32" ht="18" customHeight="1">
      <c r="C33" s="565" t="s">
        <v>638</v>
      </c>
      <c r="D33" s="717" t="s">
        <v>639</v>
      </c>
      <c r="E33" s="716" t="s">
        <v>640</v>
      </c>
      <c r="F33" s="556">
        <v>0</v>
      </c>
      <c r="G33" s="557"/>
      <c r="H33" s="557"/>
      <c r="I33" s="558">
        <f t="shared" si="7"/>
        <v>0</v>
      </c>
      <c r="J33" s="718"/>
      <c r="K33" s="719"/>
      <c r="L33" s="556">
        <f t="shared" si="8"/>
        <v>0</v>
      </c>
      <c r="M33" s="559"/>
      <c r="N33" s="556">
        <v>0</v>
      </c>
      <c r="O33" s="556">
        <v>0</v>
      </c>
      <c r="P33" s="559"/>
      <c r="Q33" s="556"/>
      <c r="R33" s="556"/>
      <c r="S33" s="718">
        <f t="shared" ref="S33:S68" si="12">J33+K33</f>
        <v>0</v>
      </c>
      <c r="T33" s="560" t="str">
        <f t="shared" si="9"/>
        <v/>
      </c>
      <c r="U33" s="720" t="str">
        <f t="shared" si="10"/>
        <v/>
      </c>
      <c r="V33" s="562"/>
      <c r="W33" s="556">
        <f t="shared" si="11"/>
        <v>0</v>
      </c>
      <c r="X33" s="721"/>
      <c r="Z33" s="547"/>
      <c r="AA33" s="548"/>
      <c r="AB33" s="557"/>
      <c r="AC33" s="564"/>
      <c r="AF33" s="556">
        <v>0</v>
      </c>
    </row>
    <row r="34" spans="1:32" ht="18" customHeight="1">
      <c r="C34" s="565" t="s">
        <v>641</v>
      </c>
      <c r="D34" s="717" t="s">
        <v>642</v>
      </c>
      <c r="E34" s="716" t="s">
        <v>643</v>
      </c>
      <c r="F34" s="556">
        <v>0</v>
      </c>
      <c r="G34" s="557"/>
      <c r="H34" s="557"/>
      <c r="I34" s="558">
        <f t="shared" si="7"/>
        <v>0</v>
      </c>
      <c r="J34" s="718"/>
      <c r="K34" s="719"/>
      <c r="L34" s="556">
        <f t="shared" si="8"/>
        <v>0</v>
      </c>
      <c r="M34" s="559"/>
      <c r="N34" s="556">
        <v>0</v>
      </c>
      <c r="O34" s="556">
        <v>0</v>
      </c>
      <c r="P34" s="559"/>
      <c r="Q34" s="556"/>
      <c r="R34" s="556"/>
      <c r="S34" s="718">
        <f t="shared" si="12"/>
        <v>0</v>
      </c>
      <c r="T34" s="560" t="str">
        <f t="shared" si="9"/>
        <v/>
      </c>
      <c r="U34" s="720" t="str">
        <f t="shared" si="10"/>
        <v/>
      </c>
      <c r="V34" s="562"/>
      <c r="W34" s="556">
        <f t="shared" si="11"/>
        <v>0</v>
      </c>
      <c r="X34" s="721"/>
      <c r="Z34" s="547"/>
      <c r="AA34" s="548"/>
      <c r="AB34" s="556"/>
      <c r="AC34" s="564"/>
      <c r="AF34" s="556">
        <v>0</v>
      </c>
    </row>
    <row r="35" spans="1:32" ht="18" customHeight="1">
      <c r="C35" s="565" t="s">
        <v>644</v>
      </c>
      <c r="D35" s="717" t="s">
        <v>645</v>
      </c>
      <c r="E35" s="716" t="s">
        <v>646</v>
      </c>
      <c r="F35" s="556">
        <v>0</v>
      </c>
      <c r="G35" s="557"/>
      <c r="H35" s="557"/>
      <c r="I35" s="558">
        <f t="shared" si="7"/>
        <v>0</v>
      </c>
      <c r="J35" s="718"/>
      <c r="K35" s="719"/>
      <c r="L35" s="556">
        <f t="shared" si="8"/>
        <v>0</v>
      </c>
      <c r="M35" s="559"/>
      <c r="N35" s="556">
        <v>0</v>
      </c>
      <c r="O35" s="556">
        <v>0</v>
      </c>
      <c r="P35" s="559"/>
      <c r="Q35" s="556"/>
      <c r="R35" s="556"/>
      <c r="S35" s="718">
        <f t="shared" si="12"/>
        <v>0</v>
      </c>
      <c r="T35" s="560" t="str">
        <f t="shared" si="9"/>
        <v/>
      </c>
      <c r="U35" s="720" t="str">
        <f t="shared" si="10"/>
        <v/>
      </c>
      <c r="V35" s="562"/>
      <c r="W35" s="556">
        <f t="shared" si="11"/>
        <v>0</v>
      </c>
      <c r="X35" s="721"/>
      <c r="Z35" s="547"/>
      <c r="AA35" s="548"/>
      <c r="AB35" s="556"/>
      <c r="AC35" s="564"/>
      <c r="AF35" s="556">
        <v>0</v>
      </c>
    </row>
    <row r="36" spans="1:32" ht="18" customHeight="1">
      <c r="C36" s="565" t="s">
        <v>647</v>
      </c>
      <c r="D36" s="717" t="s">
        <v>648</v>
      </c>
      <c r="E36" s="716" t="s">
        <v>649</v>
      </c>
      <c r="F36" s="556">
        <v>0</v>
      </c>
      <c r="G36" s="557"/>
      <c r="H36" s="557"/>
      <c r="I36" s="558">
        <f t="shared" si="7"/>
        <v>0</v>
      </c>
      <c r="J36" s="718"/>
      <c r="K36" s="719"/>
      <c r="L36" s="556">
        <f t="shared" si="8"/>
        <v>0</v>
      </c>
      <c r="M36" s="559"/>
      <c r="N36" s="556">
        <v>0</v>
      </c>
      <c r="O36" s="556">
        <v>0</v>
      </c>
      <c r="P36" s="559"/>
      <c r="Q36" s="556"/>
      <c r="R36" s="556"/>
      <c r="S36" s="718">
        <f t="shared" si="12"/>
        <v>0</v>
      </c>
      <c r="T36" s="560" t="str">
        <f t="shared" si="9"/>
        <v/>
      </c>
      <c r="U36" s="720" t="str">
        <f t="shared" si="10"/>
        <v/>
      </c>
      <c r="V36" s="562"/>
      <c r="W36" s="556">
        <f t="shared" si="11"/>
        <v>0</v>
      </c>
      <c r="X36" s="721"/>
      <c r="Z36" s="547"/>
      <c r="AA36" s="548"/>
      <c r="AB36" s="556"/>
      <c r="AC36" s="564"/>
      <c r="AF36" s="556">
        <v>0</v>
      </c>
    </row>
    <row r="37" spans="1:32" ht="18" customHeight="1">
      <c r="C37" s="565" t="s">
        <v>650</v>
      </c>
      <c r="D37" s="717" t="s">
        <v>651</v>
      </c>
      <c r="E37" s="716" t="s">
        <v>652</v>
      </c>
      <c r="F37" s="556">
        <v>0</v>
      </c>
      <c r="G37" s="557"/>
      <c r="H37" s="557"/>
      <c r="I37" s="558">
        <f t="shared" si="7"/>
        <v>0</v>
      </c>
      <c r="J37" s="718"/>
      <c r="K37" s="719"/>
      <c r="L37" s="556">
        <f t="shared" si="8"/>
        <v>0</v>
      </c>
      <c r="M37" s="559"/>
      <c r="N37" s="556">
        <v>0</v>
      </c>
      <c r="O37" s="556">
        <v>0</v>
      </c>
      <c r="P37" s="559"/>
      <c r="Q37" s="556"/>
      <c r="R37" s="556"/>
      <c r="S37" s="718">
        <f t="shared" si="12"/>
        <v>0</v>
      </c>
      <c r="T37" s="560" t="str">
        <f t="shared" si="9"/>
        <v/>
      </c>
      <c r="U37" s="720" t="str">
        <f t="shared" si="10"/>
        <v/>
      </c>
      <c r="V37" s="562"/>
      <c r="W37" s="556">
        <f t="shared" si="11"/>
        <v>0</v>
      </c>
      <c r="X37" s="721"/>
      <c r="Z37" s="547"/>
      <c r="AA37" s="548"/>
      <c r="AB37" s="556"/>
      <c r="AC37" s="564"/>
      <c r="AF37" s="556">
        <v>0</v>
      </c>
    </row>
    <row r="38" spans="1:32" ht="18" customHeight="1">
      <c r="C38" s="565" t="s">
        <v>653</v>
      </c>
      <c r="D38" s="717" t="s">
        <v>654</v>
      </c>
      <c r="E38" s="716" t="s">
        <v>655</v>
      </c>
      <c r="F38" s="556">
        <v>0</v>
      </c>
      <c r="G38" s="557"/>
      <c r="H38" s="557"/>
      <c r="I38" s="558">
        <f t="shared" si="7"/>
        <v>0</v>
      </c>
      <c r="J38" s="718"/>
      <c r="K38" s="719"/>
      <c r="L38" s="556">
        <f t="shared" si="8"/>
        <v>0</v>
      </c>
      <c r="M38" s="559"/>
      <c r="N38" s="556">
        <v>0</v>
      </c>
      <c r="O38" s="556">
        <v>0</v>
      </c>
      <c r="P38" s="559"/>
      <c r="Q38" s="556"/>
      <c r="R38" s="556"/>
      <c r="S38" s="718">
        <f t="shared" si="12"/>
        <v>0</v>
      </c>
      <c r="T38" s="560" t="str">
        <f t="shared" si="9"/>
        <v/>
      </c>
      <c r="U38" s="720" t="str">
        <f t="shared" si="10"/>
        <v/>
      </c>
      <c r="V38" s="562"/>
      <c r="W38" s="556">
        <f t="shared" si="11"/>
        <v>0</v>
      </c>
      <c r="X38" s="721"/>
      <c r="Z38" s="547"/>
      <c r="AA38" s="548"/>
      <c r="AB38" s="556"/>
      <c r="AC38" s="564"/>
      <c r="AF38" s="556">
        <v>0</v>
      </c>
    </row>
    <row r="39" spans="1:32" ht="18" customHeight="1">
      <c r="C39" s="565" t="s">
        <v>656</v>
      </c>
      <c r="D39" s="717" t="s">
        <v>657</v>
      </c>
      <c r="E39" s="716" t="s">
        <v>658</v>
      </c>
      <c r="F39" s="556">
        <v>0</v>
      </c>
      <c r="G39" s="557"/>
      <c r="H39" s="557"/>
      <c r="I39" s="558">
        <f t="shared" si="7"/>
        <v>0</v>
      </c>
      <c r="J39" s="718"/>
      <c r="K39" s="719"/>
      <c r="L39" s="556">
        <f t="shared" si="8"/>
        <v>0</v>
      </c>
      <c r="M39" s="559"/>
      <c r="N39" s="556">
        <v>0</v>
      </c>
      <c r="O39" s="556">
        <v>0</v>
      </c>
      <c r="P39" s="559"/>
      <c r="Q39" s="556"/>
      <c r="R39" s="556"/>
      <c r="S39" s="718">
        <f t="shared" si="12"/>
        <v>0</v>
      </c>
      <c r="T39" s="560" t="str">
        <f t="shared" si="9"/>
        <v/>
      </c>
      <c r="U39" s="720" t="str">
        <f t="shared" si="10"/>
        <v/>
      </c>
      <c r="V39" s="562"/>
      <c r="W39" s="556">
        <f t="shared" si="11"/>
        <v>0</v>
      </c>
      <c r="X39" s="721"/>
      <c r="Z39" s="547"/>
      <c r="AA39" s="548"/>
      <c r="AB39" s="556"/>
      <c r="AC39" s="564"/>
      <c r="AF39" s="556">
        <v>0</v>
      </c>
    </row>
    <row r="40" spans="1:32" ht="18" customHeight="1">
      <c r="C40" s="565" t="s">
        <v>659</v>
      </c>
      <c r="D40" s="717" t="s">
        <v>660</v>
      </c>
      <c r="E40" s="716" t="s">
        <v>661</v>
      </c>
      <c r="F40" s="556">
        <v>0</v>
      </c>
      <c r="G40" s="557"/>
      <c r="H40" s="557"/>
      <c r="I40" s="558">
        <f t="shared" si="7"/>
        <v>0</v>
      </c>
      <c r="J40" s="718"/>
      <c r="K40" s="719"/>
      <c r="L40" s="556">
        <f t="shared" si="8"/>
        <v>0</v>
      </c>
      <c r="M40" s="559"/>
      <c r="N40" s="556">
        <v>0</v>
      </c>
      <c r="O40" s="556">
        <v>0</v>
      </c>
      <c r="P40" s="559"/>
      <c r="Q40" s="556"/>
      <c r="R40" s="556"/>
      <c r="S40" s="718">
        <f t="shared" si="12"/>
        <v>0</v>
      </c>
      <c r="T40" s="560" t="str">
        <f t="shared" si="9"/>
        <v/>
      </c>
      <c r="U40" s="720" t="str">
        <f t="shared" si="10"/>
        <v/>
      </c>
      <c r="V40" s="562"/>
      <c r="W40" s="556">
        <f t="shared" si="11"/>
        <v>0</v>
      </c>
      <c r="X40" s="721"/>
      <c r="Z40" s="547"/>
      <c r="AA40" s="548"/>
      <c r="AB40" s="556"/>
      <c r="AC40" s="564"/>
      <c r="AF40" s="556">
        <v>0</v>
      </c>
    </row>
    <row r="41" spans="1:32" ht="18" customHeight="1">
      <c r="C41" s="565" t="s">
        <v>662</v>
      </c>
      <c r="D41" s="717" t="s">
        <v>663</v>
      </c>
      <c r="E41" s="716" t="s">
        <v>664</v>
      </c>
      <c r="F41" s="556">
        <v>0</v>
      </c>
      <c r="G41" s="557"/>
      <c r="H41" s="557"/>
      <c r="I41" s="558">
        <f t="shared" si="7"/>
        <v>0</v>
      </c>
      <c r="J41" s="718"/>
      <c r="K41" s="719"/>
      <c r="L41" s="556">
        <f t="shared" si="8"/>
        <v>0</v>
      </c>
      <c r="M41" s="559"/>
      <c r="N41" s="556">
        <v>0</v>
      </c>
      <c r="O41" s="556">
        <v>0</v>
      </c>
      <c r="P41" s="559"/>
      <c r="Q41" s="556"/>
      <c r="R41" s="556"/>
      <c r="S41" s="718">
        <f t="shared" si="12"/>
        <v>0</v>
      </c>
      <c r="T41" s="560" t="str">
        <f t="shared" si="9"/>
        <v/>
      </c>
      <c r="U41" s="720" t="str">
        <f t="shared" si="10"/>
        <v/>
      </c>
      <c r="V41" s="562"/>
      <c r="W41" s="556">
        <f t="shared" si="11"/>
        <v>0</v>
      </c>
      <c r="X41" s="721"/>
      <c r="Z41" s="547"/>
      <c r="AA41" s="548"/>
      <c r="AB41" s="556"/>
      <c r="AC41" s="564"/>
      <c r="AF41" s="556">
        <v>0</v>
      </c>
    </row>
    <row r="42" spans="1:32" ht="18" customHeight="1">
      <c r="C42" s="565" t="s">
        <v>665</v>
      </c>
      <c r="D42" s="717" t="s">
        <v>666</v>
      </c>
      <c r="E42" s="716" t="s">
        <v>667</v>
      </c>
      <c r="F42" s="556">
        <v>0</v>
      </c>
      <c r="G42" s="557"/>
      <c r="H42" s="557"/>
      <c r="I42" s="558">
        <f t="shared" si="7"/>
        <v>0</v>
      </c>
      <c r="J42" s="718"/>
      <c r="K42" s="719"/>
      <c r="L42" s="556">
        <f t="shared" si="8"/>
        <v>0</v>
      </c>
      <c r="M42" s="559"/>
      <c r="N42" s="556">
        <v>0</v>
      </c>
      <c r="O42" s="556">
        <v>0</v>
      </c>
      <c r="P42" s="559"/>
      <c r="Q42" s="556"/>
      <c r="R42" s="556"/>
      <c r="S42" s="718">
        <f t="shared" si="12"/>
        <v>0</v>
      </c>
      <c r="T42" s="560" t="str">
        <f t="shared" si="9"/>
        <v/>
      </c>
      <c r="U42" s="720" t="str">
        <f t="shared" si="10"/>
        <v/>
      </c>
      <c r="V42" s="562"/>
      <c r="W42" s="556">
        <f t="shared" si="11"/>
        <v>0</v>
      </c>
      <c r="X42" s="721"/>
      <c r="Z42" s="547"/>
      <c r="AA42" s="548"/>
      <c r="AB42" s="556"/>
      <c r="AC42" s="564"/>
      <c r="AF42" s="556">
        <v>0</v>
      </c>
    </row>
    <row r="43" spans="1:32" ht="18" customHeight="1">
      <c r="A43" s="453"/>
      <c r="C43" s="565" t="s">
        <v>668</v>
      </c>
      <c r="D43" s="717" t="s">
        <v>669</v>
      </c>
      <c r="E43" s="716" t="s">
        <v>670</v>
      </c>
      <c r="F43" s="556">
        <v>0</v>
      </c>
      <c r="G43" s="557"/>
      <c r="H43" s="557"/>
      <c r="I43" s="558">
        <f t="shared" si="7"/>
        <v>0</v>
      </c>
      <c r="J43" s="718"/>
      <c r="K43" s="719"/>
      <c r="L43" s="556">
        <f t="shared" si="8"/>
        <v>0</v>
      </c>
      <c r="M43" s="559"/>
      <c r="N43" s="556">
        <v>0</v>
      </c>
      <c r="O43" s="556">
        <v>0</v>
      </c>
      <c r="P43" s="559"/>
      <c r="Q43" s="556"/>
      <c r="R43" s="556"/>
      <c r="S43" s="718">
        <f t="shared" si="12"/>
        <v>0</v>
      </c>
      <c r="T43" s="560" t="str">
        <f t="shared" si="9"/>
        <v/>
      </c>
      <c r="U43" s="720" t="str">
        <f t="shared" si="10"/>
        <v/>
      </c>
      <c r="V43" s="562"/>
      <c r="W43" s="556">
        <f t="shared" si="11"/>
        <v>0</v>
      </c>
      <c r="X43" s="721"/>
      <c r="Z43" s="547"/>
      <c r="AA43" s="548"/>
      <c r="AB43" s="556"/>
      <c r="AC43" s="564"/>
      <c r="AF43" s="556">
        <v>0</v>
      </c>
    </row>
    <row r="44" spans="1:32" ht="18" customHeight="1">
      <c r="A44" s="453"/>
      <c r="C44" s="565" t="s">
        <v>671</v>
      </c>
      <c r="D44" s="717" t="s">
        <v>672</v>
      </c>
      <c r="E44" s="716" t="s">
        <v>673</v>
      </c>
      <c r="F44" s="556">
        <v>0</v>
      </c>
      <c r="G44" s="557"/>
      <c r="H44" s="557"/>
      <c r="I44" s="558">
        <f t="shared" si="7"/>
        <v>0</v>
      </c>
      <c r="J44" s="718"/>
      <c r="K44" s="719"/>
      <c r="L44" s="556">
        <f t="shared" si="8"/>
        <v>0</v>
      </c>
      <c r="M44" s="559"/>
      <c r="N44" s="556">
        <v>0</v>
      </c>
      <c r="O44" s="556">
        <v>0</v>
      </c>
      <c r="P44" s="559"/>
      <c r="Q44" s="556"/>
      <c r="R44" s="556"/>
      <c r="S44" s="718">
        <f t="shared" si="12"/>
        <v>0</v>
      </c>
      <c r="T44" s="560" t="str">
        <f t="shared" si="9"/>
        <v/>
      </c>
      <c r="U44" s="720" t="str">
        <f t="shared" si="10"/>
        <v/>
      </c>
      <c r="V44" s="562"/>
      <c r="W44" s="556">
        <f t="shared" si="11"/>
        <v>0</v>
      </c>
      <c r="X44" s="721"/>
      <c r="Z44" s="547"/>
      <c r="AA44" s="548"/>
      <c r="AB44" s="556"/>
      <c r="AC44" s="564"/>
      <c r="AF44" s="556">
        <v>0</v>
      </c>
    </row>
    <row r="45" spans="1:32" ht="18" customHeight="1">
      <c r="A45" s="453"/>
      <c r="C45" s="565" t="s">
        <v>674</v>
      </c>
      <c r="D45" s="717" t="s">
        <v>675</v>
      </c>
      <c r="E45" s="716" t="s">
        <v>676</v>
      </c>
      <c r="F45" s="556">
        <v>0</v>
      </c>
      <c r="G45" s="557"/>
      <c r="H45" s="557"/>
      <c r="I45" s="558">
        <f t="shared" si="7"/>
        <v>0</v>
      </c>
      <c r="J45" s="718"/>
      <c r="K45" s="719"/>
      <c r="L45" s="556">
        <f t="shared" si="8"/>
        <v>0</v>
      </c>
      <c r="M45" s="559"/>
      <c r="N45" s="556">
        <v>0</v>
      </c>
      <c r="O45" s="556">
        <v>0</v>
      </c>
      <c r="P45" s="559"/>
      <c r="Q45" s="556"/>
      <c r="R45" s="556"/>
      <c r="S45" s="718">
        <f t="shared" si="12"/>
        <v>0</v>
      </c>
      <c r="T45" s="560" t="str">
        <f t="shared" si="9"/>
        <v/>
      </c>
      <c r="U45" s="720" t="str">
        <f t="shared" si="10"/>
        <v/>
      </c>
      <c r="V45" s="562"/>
      <c r="W45" s="556">
        <f t="shared" si="11"/>
        <v>0</v>
      </c>
      <c r="X45" s="721"/>
      <c r="Z45" s="547"/>
      <c r="AA45" s="548"/>
      <c r="AB45" s="556"/>
      <c r="AC45" s="564"/>
      <c r="AF45" s="556">
        <v>0</v>
      </c>
    </row>
    <row r="46" spans="1:32" ht="18" customHeight="1">
      <c r="A46" s="453"/>
      <c r="C46" s="565" t="s">
        <v>677</v>
      </c>
      <c r="D46" s="717" t="s">
        <v>678</v>
      </c>
      <c r="E46" s="716" t="s">
        <v>679</v>
      </c>
      <c r="F46" s="556">
        <v>0</v>
      </c>
      <c r="G46" s="557"/>
      <c r="H46" s="557"/>
      <c r="I46" s="558">
        <f t="shared" si="7"/>
        <v>0</v>
      </c>
      <c r="J46" s="718"/>
      <c r="K46" s="719"/>
      <c r="L46" s="556">
        <f t="shared" si="8"/>
        <v>0</v>
      </c>
      <c r="M46" s="559"/>
      <c r="N46" s="556">
        <v>0</v>
      </c>
      <c r="O46" s="556">
        <v>0</v>
      </c>
      <c r="P46" s="559"/>
      <c r="Q46" s="556"/>
      <c r="R46" s="556"/>
      <c r="S46" s="718">
        <f t="shared" si="12"/>
        <v>0</v>
      </c>
      <c r="T46" s="560" t="str">
        <f t="shared" si="9"/>
        <v/>
      </c>
      <c r="U46" s="720" t="str">
        <f t="shared" si="10"/>
        <v/>
      </c>
      <c r="V46" s="562"/>
      <c r="W46" s="556">
        <f t="shared" si="11"/>
        <v>0</v>
      </c>
      <c r="X46" s="721"/>
      <c r="Z46" s="547"/>
      <c r="AA46" s="548"/>
      <c r="AB46" s="556"/>
      <c r="AC46" s="564"/>
      <c r="AF46" s="556">
        <v>0</v>
      </c>
    </row>
    <row r="47" spans="1:32" ht="18" customHeight="1">
      <c r="A47" s="453"/>
      <c r="C47" s="565" t="s">
        <v>680</v>
      </c>
      <c r="D47" s="717" t="s">
        <v>681</v>
      </c>
      <c r="E47" s="716" t="s">
        <v>682</v>
      </c>
      <c r="F47" s="556">
        <v>0</v>
      </c>
      <c r="G47" s="557"/>
      <c r="H47" s="557"/>
      <c r="I47" s="558">
        <f t="shared" si="7"/>
        <v>0</v>
      </c>
      <c r="J47" s="718"/>
      <c r="K47" s="719"/>
      <c r="L47" s="556">
        <f t="shared" si="8"/>
        <v>0</v>
      </c>
      <c r="M47" s="559"/>
      <c r="N47" s="556">
        <v>0</v>
      </c>
      <c r="O47" s="556">
        <v>0</v>
      </c>
      <c r="P47" s="559"/>
      <c r="Q47" s="556"/>
      <c r="R47" s="556"/>
      <c r="S47" s="718">
        <f t="shared" si="12"/>
        <v>0</v>
      </c>
      <c r="T47" s="560" t="str">
        <f t="shared" si="9"/>
        <v/>
      </c>
      <c r="U47" s="720" t="str">
        <f t="shared" si="10"/>
        <v/>
      </c>
      <c r="V47" s="562"/>
      <c r="W47" s="556">
        <f t="shared" si="11"/>
        <v>0</v>
      </c>
      <c r="X47" s="721"/>
      <c r="Z47" s="547"/>
      <c r="AA47" s="548"/>
      <c r="AB47" s="556"/>
      <c r="AC47" s="564"/>
      <c r="AF47" s="556">
        <v>0</v>
      </c>
    </row>
    <row r="48" spans="1:32" ht="18" customHeight="1">
      <c r="A48" s="453"/>
      <c r="C48" s="565" t="s">
        <v>683</v>
      </c>
      <c r="D48" s="717" t="s">
        <v>24</v>
      </c>
      <c r="E48" s="716" t="s">
        <v>684</v>
      </c>
      <c r="F48" s="556">
        <v>0</v>
      </c>
      <c r="G48" s="557"/>
      <c r="H48" s="557"/>
      <c r="I48" s="558">
        <f t="shared" si="7"/>
        <v>0</v>
      </c>
      <c r="J48" s="718">
        <f>-SUMIFS('1. Calculator'!$E$127:$E$137,'1. Calculator'!$D$127:$D$137,'3. Monitoring'!$D48)</f>
        <v>0</v>
      </c>
      <c r="K48" s="719"/>
      <c r="L48" s="556">
        <f t="shared" si="8"/>
        <v>0</v>
      </c>
      <c r="M48" s="559"/>
      <c r="N48" s="556">
        <v>0</v>
      </c>
      <c r="O48" s="556">
        <v>0</v>
      </c>
      <c r="P48" s="559"/>
      <c r="Q48" s="556"/>
      <c r="R48" s="556"/>
      <c r="S48" s="718">
        <f t="shared" si="12"/>
        <v>0</v>
      </c>
      <c r="T48" s="560" t="str">
        <f t="shared" si="9"/>
        <v/>
      </c>
      <c r="U48" s="720" t="str">
        <f t="shared" si="10"/>
        <v/>
      </c>
      <c r="V48" s="562"/>
      <c r="W48" s="556">
        <f t="shared" si="11"/>
        <v>0</v>
      </c>
      <c r="X48" s="721"/>
      <c r="Z48" s="547"/>
      <c r="AA48" s="548"/>
      <c r="AB48" s="556"/>
      <c r="AC48" s="564"/>
      <c r="AF48" s="556">
        <v>0</v>
      </c>
    </row>
    <row r="49" spans="1:32" ht="18" customHeight="1">
      <c r="A49" s="453"/>
      <c r="C49" s="565" t="s">
        <v>685</v>
      </c>
      <c r="D49" s="717" t="s">
        <v>686</v>
      </c>
      <c r="E49" s="716" t="s">
        <v>687</v>
      </c>
      <c r="F49" s="556">
        <v>0</v>
      </c>
      <c r="G49" s="557"/>
      <c r="H49" s="557"/>
      <c r="I49" s="558">
        <f t="shared" si="7"/>
        <v>0</v>
      </c>
      <c r="J49" s="718"/>
      <c r="K49" s="719"/>
      <c r="L49" s="556">
        <f t="shared" si="8"/>
        <v>0</v>
      </c>
      <c r="M49" s="559"/>
      <c r="N49" s="556">
        <v>0</v>
      </c>
      <c r="O49" s="556">
        <v>0</v>
      </c>
      <c r="P49" s="559"/>
      <c r="Q49" s="556"/>
      <c r="R49" s="556"/>
      <c r="S49" s="718">
        <f t="shared" si="12"/>
        <v>0</v>
      </c>
      <c r="T49" s="560" t="str">
        <f t="shared" si="9"/>
        <v/>
      </c>
      <c r="U49" s="720" t="str">
        <f t="shared" si="10"/>
        <v/>
      </c>
      <c r="V49" s="562"/>
      <c r="W49" s="556">
        <f t="shared" si="11"/>
        <v>0</v>
      </c>
      <c r="X49" s="721"/>
      <c r="Z49" s="547"/>
      <c r="AA49" s="548"/>
      <c r="AB49" s="556"/>
      <c r="AC49" s="564"/>
      <c r="AF49" s="556">
        <v>0</v>
      </c>
    </row>
    <row r="50" spans="1:32" ht="18" customHeight="1">
      <c r="C50" s="565" t="s">
        <v>688</v>
      </c>
      <c r="D50" s="717" t="s">
        <v>689</v>
      </c>
      <c r="E50" s="716" t="s">
        <v>690</v>
      </c>
      <c r="F50" s="556">
        <v>0</v>
      </c>
      <c r="G50" s="557"/>
      <c r="H50" s="557"/>
      <c r="I50" s="558">
        <f t="shared" si="7"/>
        <v>0</v>
      </c>
      <c r="J50" s="718"/>
      <c r="K50" s="719"/>
      <c r="L50" s="556">
        <f t="shared" si="8"/>
        <v>0</v>
      </c>
      <c r="M50" s="559"/>
      <c r="N50" s="556">
        <v>0</v>
      </c>
      <c r="O50" s="556">
        <v>0</v>
      </c>
      <c r="P50" s="559"/>
      <c r="Q50" s="556"/>
      <c r="R50" s="556"/>
      <c r="S50" s="718">
        <f t="shared" si="12"/>
        <v>0</v>
      </c>
      <c r="T50" s="560" t="str">
        <f t="shared" si="9"/>
        <v/>
      </c>
      <c r="U50" s="720" t="str">
        <f t="shared" si="10"/>
        <v/>
      </c>
      <c r="V50" s="562"/>
      <c r="W50" s="556">
        <f t="shared" si="11"/>
        <v>0</v>
      </c>
      <c r="X50" s="721"/>
      <c r="Z50" s="547"/>
      <c r="AA50" s="548"/>
      <c r="AB50" s="556"/>
      <c r="AC50" s="564"/>
      <c r="AF50" s="556">
        <v>0</v>
      </c>
    </row>
    <row r="51" spans="1:32" ht="18" customHeight="1">
      <c r="A51" s="453"/>
      <c r="C51" s="565" t="s">
        <v>691</v>
      </c>
      <c r="D51" s="717" t="s">
        <v>692</v>
      </c>
      <c r="E51" s="716" t="s">
        <v>693</v>
      </c>
      <c r="F51" s="556">
        <v>0</v>
      </c>
      <c r="G51" s="557"/>
      <c r="H51" s="557"/>
      <c r="I51" s="558">
        <f t="shared" si="7"/>
        <v>0</v>
      </c>
      <c r="J51" s="718"/>
      <c r="K51" s="719"/>
      <c r="L51" s="556">
        <f t="shared" si="8"/>
        <v>0</v>
      </c>
      <c r="M51" s="559"/>
      <c r="N51" s="556">
        <v>0</v>
      </c>
      <c r="O51" s="556">
        <v>0</v>
      </c>
      <c r="P51" s="559"/>
      <c r="Q51" s="556"/>
      <c r="R51" s="556"/>
      <c r="S51" s="718">
        <f t="shared" si="12"/>
        <v>0</v>
      </c>
      <c r="T51" s="560" t="str">
        <f t="shared" si="9"/>
        <v/>
      </c>
      <c r="U51" s="720" t="str">
        <f t="shared" si="10"/>
        <v/>
      </c>
      <c r="V51" s="562"/>
      <c r="W51" s="556">
        <f t="shared" si="11"/>
        <v>0</v>
      </c>
      <c r="X51" s="721"/>
      <c r="Z51" s="547"/>
      <c r="AA51" s="548"/>
      <c r="AB51" s="556"/>
      <c r="AC51" s="564"/>
      <c r="AF51" s="556">
        <v>0</v>
      </c>
    </row>
    <row r="52" spans="1:32" ht="18" customHeight="1">
      <c r="A52" s="453"/>
      <c r="C52" s="565" t="s">
        <v>694</v>
      </c>
      <c r="D52" s="717" t="s">
        <v>695</v>
      </c>
      <c r="E52" s="716" t="s">
        <v>696</v>
      </c>
      <c r="F52" s="556"/>
      <c r="G52" s="557"/>
      <c r="H52" s="557"/>
      <c r="I52" s="558"/>
      <c r="J52" s="718"/>
      <c r="K52" s="719"/>
      <c r="L52" s="556"/>
      <c r="M52" s="559"/>
      <c r="N52" s="556"/>
      <c r="O52" s="556"/>
      <c r="P52" s="559"/>
      <c r="Q52" s="556"/>
      <c r="R52" s="556"/>
      <c r="S52" s="718">
        <f t="shared" si="12"/>
        <v>0</v>
      </c>
      <c r="T52" s="560" t="str">
        <f t="shared" si="9"/>
        <v/>
      </c>
      <c r="U52" s="720" t="str">
        <f t="shared" si="10"/>
        <v/>
      </c>
      <c r="V52" s="562"/>
      <c r="W52" s="556"/>
      <c r="X52" s="721"/>
      <c r="Z52" s="547"/>
      <c r="AA52" s="548"/>
      <c r="AB52" s="556"/>
      <c r="AC52" s="564"/>
      <c r="AF52" s="556"/>
    </row>
    <row r="53" spans="1:32" ht="18" customHeight="1">
      <c r="A53" s="453"/>
      <c r="C53" s="565" t="s">
        <v>697</v>
      </c>
      <c r="D53" s="717" t="s">
        <v>698</v>
      </c>
      <c r="E53" s="716" t="s">
        <v>699</v>
      </c>
      <c r="F53" s="556"/>
      <c r="G53" s="557"/>
      <c r="H53" s="557"/>
      <c r="I53" s="558"/>
      <c r="J53" s="718"/>
      <c r="K53" s="719"/>
      <c r="L53" s="556"/>
      <c r="M53" s="559"/>
      <c r="N53" s="556"/>
      <c r="O53" s="556"/>
      <c r="P53" s="559"/>
      <c r="Q53" s="556"/>
      <c r="R53" s="556"/>
      <c r="S53" s="718">
        <f t="shared" si="12"/>
        <v>0</v>
      </c>
      <c r="T53" s="560" t="str">
        <f t="shared" si="9"/>
        <v/>
      </c>
      <c r="U53" s="720" t="str">
        <f t="shared" si="10"/>
        <v/>
      </c>
      <c r="V53" s="562"/>
      <c r="W53" s="556"/>
      <c r="X53" s="721"/>
      <c r="Z53" s="547"/>
      <c r="AA53" s="548"/>
      <c r="AB53" s="556"/>
      <c r="AC53" s="564"/>
      <c r="AF53" s="556"/>
    </row>
    <row r="54" spans="1:32" ht="18" customHeight="1">
      <c r="A54" s="453"/>
      <c r="C54" s="565" t="s">
        <v>700</v>
      </c>
      <c r="D54" s="717" t="s">
        <v>701</v>
      </c>
      <c r="E54" s="716" t="s">
        <v>702</v>
      </c>
      <c r="F54" s="556"/>
      <c r="G54" s="557"/>
      <c r="H54" s="557"/>
      <c r="I54" s="558"/>
      <c r="J54" s="718"/>
      <c r="K54" s="719"/>
      <c r="L54" s="556"/>
      <c r="M54" s="559"/>
      <c r="N54" s="556"/>
      <c r="O54" s="556"/>
      <c r="P54" s="559"/>
      <c r="Q54" s="556"/>
      <c r="R54" s="556"/>
      <c r="S54" s="718">
        <f t="shared" si="12"/>
        <v>0</v>
      </c>
      <c r="T54" s="560" t="str">
        <f t="shared" si="9"/>
        <v/>
      </c>
      <c r="U54" s="720" t="str">
        <f t="shared" si="10"/>
        <v/>
      </c>
      <c r="V54" s="562"/>
      <c r="W54" s="556"/>
      <c r="X54" s="721"/>
      <c r="Z54" s="547"/>
      <c r="AA54" s="548"/>
      <c r="AB54" s="556"/>
      <c r="AC54" s="564"/>
      <c r="AF54" s="556"/>
    </row>
    <row r="55" spans="1:32" ht="18" customHeight="1">
      <c r="A55" s="453"/>
      <c r="C55" s="565" t="s">
        <v>703</v>
      </c>
      <c r="D55" s="717" t="s">
        <v>704</v>
      </c>
      <c r="E55" s="716" t="s">
        <v>705</v>
      </c>
      <c r="F55" s="556"/>
      <c r="G55" s="557"/>
      <c r="H55" s="557"/>
      <c r="I55" s="558"/>
      <c r="J55" s="718"/>
      <c r="K55" s="719"/>
      <c r="L55" s="556"/>
      <c r="M55" s="559"/>
      <c r="N55" s="556"/>
      <c r="O55" s="556"/>
      <c r="P55" s="559"/>
      <c r="Q55" s="556"/>
      <c r="R55" s="556"/>
      <c r="S55" s="718">
        <f t="shared" si="12"/>
        <v>0</v>
      </c>
      <c r="T55" s="560" t="str">
        <f t="shared" si="9"/>
        <v/>
      </c>
      <c r="U55" s="720" t="str">
        <f t="shared" si="10"/>
        <v/>
      </c>
      <c r="V55" s="562"/>
      <c r="W55" s="556"/>
      <c r="X55" s="721"/>
      <c r="Z55" s="547"/>
      <c r="AA55" s="548"/>
      <c r="AB55" s="556"/>
      <c r="AC55" s="564"/>
      <c r="AF55" s="556"/>
    </row>
    <row r="56" spans="1:32" ht="18" customHeight="1">
      <c r="A56" s="453"/>
      <c r="C56" s="565" t="s">
        <v>706</v>
      </c>
      <c r="D56" s="717" t="s">
        <v>707</v>
      </c>
      <c r="E56" s="716" t="s">
        <v>708</v>
      </c>
      <c r="F56" s="556"/>
      <c r="G56" s="557"/>
      <c r="H56" s="557"/>
      <c r="I56" s="558"/>
      <c r="J56" s="718"/>
      <c r="K56" s="719"/>
      <c r="L56" s="556"/>
      <c r="M56" s="559"/>
      <c r="N56" s="556"/>
      <c r="O56" s="556"/>
      <c r="P56" s="559"/>
      <c r="Q56" s="556"/>
      <c r="R56" s="556"/>
      <c r="S56" s="718">
        <f t="shared" si="12"/>
        <v>0</v>
      </c>
      <c r="T56" s="560" t="str">
        <f t="shared" si="9"/>
        <v/>
      </c>
      <c r="U56" s="720" t="str">
        <f t="shared" si="10"/>
        <v/>
      </c>
      <c r="V56" s="562"/>
      <c r="W56" s="556"/>
      <c r="X56" s="721"/>
      <c r="Z56" s="547"/>
      <c r="AA56" s="548"/>
      <c r="AB56" s="556"/>
      <c r="AC56" s="564"/>
      <c r="AF56" s="556"/>
    </row>
    <row r="57" spans="1:32" ht="18" customHeight="1">
      <c r="A57" s="453"/>
      <c r="C57" s="565" t="s">
        <v>709</v>
      </c>
      <c r="D57" s="717" t="s">
        <v>710</v>
      </c>
      <c r="E57" s="716" t="s">
        <v>711</v>
      </c>
      <c r="F57" s="556"/>
      <c r="G57" s="557"/>
      <c r="H57" s="557"/>
      <c r="I57" s="558"/>
      <c r="J57" s="718"/>
      <c r="K57" s="719"/>
      <c r="L57" s="556"/>
      <c r="M57" s="559"/>
      <c r="N57" s="556"/>
      <c r="O57" s="556"/>
      <c r="P57" s="559"/>
      <c r="Q57" s="556"/>
      <c r="R57" s="556"/>
      <c r="S57" s="718">
        <f t="shared" si="12"/>
        <v>0</v>
      </c>
      <c r="T57" s="560" t="str">
        <f t="shared" si="9"/>
        <v/>
      </c>
      <c r="U57" s="720" t="str">
        <f t="shared" si="10"/>
        <v/>
      </c>
      <c r="V57" s="562"/>
      <c r="W57" s="556"/>
      <c r="X57" s="721"/>
      <c r="Z57" s="547"/>
      <c r="AA57" s="548"/>
      <c r="AB57" s="556"/>
      <c r="AC57" s="564"/>
      <c r="AF57" s="556"/>
    </row>
    <row r="58" spans="1:32" ht="18" customHeight="1">
      <c r="C58" s="565"/>
      <c r="D58" s="717" t="s">
        <v>712</v>
      </c>
      <c r="E58" s="716" t="s">
        <v>713</v>
      </c>
      <c r="F58" s="556">
        <v>0</v>
      </c>
      <c r="G58" s="557"/>
      <c r="H58" s="557"/>
      <c r="I58" s="558">
        <f t="shared" si="7"/>
        <v>0</v>
      </c>
      <c r="J58" s="718"/>
      <c r="K58" s="719"/>
      <c r="L58" s="556">
        <f t="shared" ref="L58:L68" si="13">J58+K58</f>
        <v>0</v>
      </c>
      <c r="M58" s="559"/>
      <c r="N58" s="556">
        <v>0</v>
      </c>
      <c r="O58" s="556">
        <v>0</v>
      </c>
      <c r="P58" s="559"/>
      <c r="Q58" s="556"/>
      <c r="R58" s="556"/>
      <c r="S58" s="718">
        <f t="shared" si="12"/>
        <v>0</v>
      </c>
      <c r="T58" s="560" t="str">
        <f t="shared" si="9"/>
        <v/>
      </c>
      <c r="U58" s="720" t="str">
        <f t="shared" ref="U58:U68" si="14">IFERROR(+S58/$S$69,"")</f>
        <v/>
      </c>
      <c r="V58" s="562"/>
      <c r="W58" s="556">
        <f t="shared" ref="W58:W68" si="15">I58-V58</f>
        <v>0</v>
      </c>
      <c r="X58" s="721"/>
      <c r="Z58" s="547"/>
      <c r="AA58" s="548"/>
      <c r="AB58" s="556"/>
      <c r="AC58" s="564"/>
      <c r="AF58" s="556">
        <v>0</v>
      </c>
    </row>
    <row r="59" spans="1:32" ht="18" customHeight="1">
      <c r="C59" s="565" t="s">
        <v>714</v>
      </c>
      <c r="D59" s="717" t="s">
        <v>31</v>
      </c>
      <c r="E59" s="716" t="s">
        <v>715</v>
      </c>
      <c r="F59" s="556">
        <v>0</v>
      </c>
      <c r="G59" s="557"/>
      <c r="H59" s="557"/>
      <c r="I59" s="558">
        <f t="shared" si="7"/>
        <v>0</v>
      </c>
      <c r="J59" s="718">
        <f>-SUMIFS('1. Calculator'!$E$127:$E$137,'1. Calculator'!$D$127:$D$137,'3. Monitoring'!$D59)</f>
        <v>0</v>
      </c>
      <c r="K59" s="719"/>
      <c r="L59" s="556">
        <f t="shared" si="13"/>
        <v>0</v>
      </c>
      <c r="M59" s="559"/>
      <c r="N59" s="556">
        <v>0</v>
      </c>
      <c r="O59" s="556">
        <v>0</v>
      </c>
      <c r="P59" s="559"/>
      <c r="Q59" s="556"/>
      <c r="R59" s="556"/>
      <c r="S59" s="718">
        <f t="shared" si="12"/>
        <v>0</v>
      </c>
      <c r="T59" s="560" t="str">
        <f t="shared" si="9"/>
        <v/>
      </c>
      <c r="U59" s="720" t="str">
        <f t="shared" si="14"/>
        <v/>
      </c>
      <c r="V59" s="562"/>
      <c r="W59" s="556">
        <f t="shared" si="15"/>
        <v>0</v>
      </c>
      <c r="X59" s="721"/>
      <c r="Z59" s="547"/>
      <c r="AA59" s="548"/>
      <c r="AB59" s="556"/>
      <c r="AC59" s="564"/>
      <c r="AF59" s="556">
        <v>0</v>
      </c>
    </row>
    <row r="60" spans="1:32" ht="18" customHeight="1">
      <c r="C60" s="565" t="s">
        <v>716</v>
      </c>
      <c r="D60" s="717" t="s">
        <v>27</v>
      </c>
      <c r="E60" s="716" t="s">
        <v>717</v>
      </c>
      <c r="F60" s="556">
        <v>0</v>
      </c>
      <c r="G60" s="557"/>
      <c r="H60" s="557"/>
      <c r="I60" s="558">
        <f t="shared" si="7"/>
        <v>0</v>
      </c>
      <c r="J60" s="718">
        <f>-SUMIFS('1. Calculator'!$E$127:$E$137,'1. Calculator'!$D$127:$D$137,'3. Monitoring'!$D60)</f>
        <v>0</v>
      </c>
      <c r="K60" s="719"/>
      <c r="L60" s="556">
        <f t="shared" si="13"/>
        <v>0</v>
      </c>
      <c r="M60" s="559"/>
      <c r="N60" s="556">
        <v>0</v>
      </c>
      <c r="O60" s="556">
        <v>0</v>
      </c>
      <c r="P60" s="559"/>
      <c r="Q60" s="556"/>
      <c r="R60" s="556"/>
      <c r="S60" s="718">
        <f t="shared" si="12"/>
        <v>0</v>
      </c>
      <c r="T60" s="560" t="str">
        <f t="shared" si="9"/>
        <v/>
      </c>
      <c r="U60" s="720" t="str">
        <f t="shared" si="14"/>
        <v/>
      </c>
      <c r="V60" s="562"/>
      <c r="W60" s="556">
        <f t="shared" si="15"/>
        <v>0</v>
      </c>
      <c r="X60" s="721"/>
      <c r="Z60" s="547"/>
      <c r="AA60" s="548"/>
      <c r="AB60" s="556"/>
      <c r="AC60" s="564"/>
      <c r="AF60" s="556">
        <v>0</v>
      </c>
    </row>
    <row r="61" spans="1:32" ht="18" customHeight="1">
      <c r="C61" s="565" t="s">
        <v>718</v>
      </c>
      <c r="D61" s="717" t="s">
        <v>719</v>
      </c>
      <c r="E61" s="716" t="s">
        <v>720</v>
      </c>
      <c r="F61" s="556">
        <v>0</v>
      </c>
      <c r="G61" s="557"/>
      <c r="H61" s="557"/>
      <c r="I61" s="558">
        <f t="shared" si="7"/>
        <v>0</v>
      </c>
      <c r="J61" s="718"/>
      <c r="K61" s="719"/>
      <c r="L61" s="556">
        <f t="shared" si="13"/>
        <v>0</v>
      </c>
      <c r="M61" s="559"/>
      <c r="N61" s="556">
        <v>0</v>
      </c>
      <c r="O61" s="556">
        <v>0</v>
      </c>
      <c r="P61" s="559"/>
      <c r="Q61" s="556"/>
      <c r="R61" s="556"/>
      <c r="S61" s="718">
        <f t="shared" si="12"/>
        <v>0</v>
      </c>
      <c r="T61" s="560" t="str">
        <f t="shared" si="9"/>
        <v/>
      </c>
      <c r="U61" s="720" t="str">
        <f t="shared" si="14"/>
        <v/>
      </c>
      <c r="V61" s="562"/>
      <c r="W61" s="556">
        <f t="shared" si="15"/>
        <v>0</v>
      </c>
      <c r="X61" s="721"/>
      <c r="Z61" s="547"/>
      <c r="AA61" s="548"/>
      <c r="AB61" s="556"/>
      <c r="AC61" s="564"/>
      <c r="AF61" s="556">
        <v>0</v>
      </c>
    </row>
    <row r="62" spans="1:32" ht="18" customHeight="1">
      <c r="C62" s="565" t="s">
        <v>721</v>
      </c>
      <c r="D62" s="717" t="s">
        <v>722</v>
      </c>
      <c r="E62" s="716" t="s">
        <v>723</v>
      </c>
      <c r="F62" s="556">
        <v>0</v>
      </c>
      <c r="G62" s="557"/>
      <c r="H62" s="557"/>
      <c r="I62" s="558">
        <f t="shared" si="7"/>
        <v>0</v>
      </c>
      <c r="J62" s="718"/>
      <c r="K62" s="719"/>
      <c r="L62" s="556">
        <f t="shared" si="13"/>
        <v>0</v>
      </c>
      <c r="M62" s="559"/>
      <c r="N62" s="556">
        <v>0</v>
      </c>
      <c r="O62" s="556">
        <v>0</v>
      </c>
      <c r="P62" s="559"/>
      <c r="Q62" s="556"/>
      <c r="R62" s="556"/>
      <c r="S62" s="718">
        <f t="shared" si="12"/>
        <v>0</v>
      </c>
      <c r="T62" s="560" t="str">
        <f t="shared" si="9"/>
        <v/>
      </c>
      <c r="U62" s="720" t="str">
        <f t="shared" si="14"/>
        <v/>
      </c>
      <c r="V62" s="562"/>
      <c r="W62" s="556">
        <f t="shared" si="15"/>
        <v>0</v>
      </c>
      <c r="X62" s="721"/>
      <c r="Z62" s="547"/>
      <c r="AA62" s="548"/>
      <c r="AB62" s="556"/>
      <c r="AC62" s="564"/>
      <c r="AF62" s="556">
        <v>0</v>
      </c>
    </row>
    <row r="63" spans="1:32" ht="18" customHeight="1">
      <c r="B63" s="525" t="s">
        <v>724</v>
      </c>
      <c r="C63" s="565" t="s">
        <v>725</v>
      </c>
      <c r="D63" s="717" t="s">
        <v>726</v>
      </c>
      <c r="E63" s="716" t="s">
        <v>727</v>
      </c>
      <c r="F63" s="556">
        <v>0</v>
      </c>
      <c r="G63" s="557"/>
      <c r="H63" s="557"/>
      <c r="I63" s="558">
        <f t="shared" si="7"/>
        <v>0</v>
      </c>
      <c r="J63" s="718"/>
      <c r="K63" s="719"/>
      <c r="L63" s="556">
        <f t="shared" si="13"/>
        <v>0</v>
      </c>
      <c r="M63" s="559"/>
      <c r="N63" s="556">
        <v>0</v>
      </c>
      <c r="O63" s="556">
        <v>0</v>
      </c>
      <c r="P63" s="559"/>
      <c r="Q63" s="556"/>
      <c r="R63" s="556"/>
      <c r="S63" s="718">
        <f t="shared" si="12"/>
        <v>0</v>
      </c>
      <c r="T63" s="560" t="str">
        <f t="shared" si="9"/>
        <v/>
      </c>
      <c r="U63" s="720" t="str">
        <f t="shared" si="14"/>
        <v/>
      </c>
      <c r="V63" s="562"/>
      <c r="W63" s="556">
        <f t="shared" si="15"/>
        <v>0</v>
      </c>
      <c r="X63" s="721"/>
      <c r="Z63" s="547"/>
      <c r="AA63" s="548"/>
      <c r="AB63" s="556"/>
      <c r="AC63" s="564"/>
      <c r="AF63" s="556">
        <v>0</v>
      </c>
    </row>
    <row r="64" spans="1:32" ht="18" customHeight="1">
      <c r="C64" s="565" t="s">
        <v>728</v>
      </c>
      <c r="D64" s="717" t="s">
        <v>23</v>
      </c>
      <c r="E64" s="716" t="s">
        <v>729</v>
      </c>
      <c r="F64" s="556">
        <v>0</v>
      </c>
      <c r="G64" s="557"/>
      <c r="H64" s="557"/>
      <c r="I64" s="558">
        <f t="shared" si="7"/>
        <v>0</v>
      </c>
      <c r="J64" s="718">
        <f>-SUMIFS('1. Calculator'!$E$127:$E$137,'1. Calculator'!$D$127:$D$137,'3. Monitoring'!$D64)</f>
        <v>0</v>
      </c>
      <c r="K64" s="719"/>
      <c r="L64" s="556">
        <f t="shared" si="13"/>
        <v>0</v>
      </c>
      <c r="M64" s="559"/>
      <c r="N64" s="556">
        <v>0</v>
      </c>
      <c r="O64" s="556">
        <v>0</v>
      </c>
      <c r="P64" s="559"/>
      <c r="Q64" s="556"/>
      <c r="R64" s="556"/>
      <c r="S64" s="718">
        <f t="shared" si="12"/>
        <v>0</v>
      </c>
      <c r="T64" s="560" t="str">
        <f t="shared" si="9"/>
        <v/>
      </c>
      <c r="U64" s="720" t="str">
        <f t="shared" si="14"/>
        <v/>
      </c>
      <c r="V64" s="562"/>
      <c r="W64" s="556">
        <f t="shared" si="15"/>
        <v>0</v>
      </c>
      <c r="X64" s="721"/>
      <c r="Z64" s="547"/>
      <c r="AA64" s="548"/>
      <c r="AB64" s="556"/>
      <c r="AC64" s="564"/>
      <c r="AF64" s="556">
        <v>0</v>
      </c>
    </row>
    <row r="65" spans="1:32" ht="18" customHeight="1">
      <c r="C65" s="565" t="s">
        <v>730</v>
      </c>
      <c r="D65" s="717" t="s">
        <v>731</v>
      </c>
      <c r="E65" s="716" t="s">
        <v>732</v>
      </c>
      <c r="F65" s="556">
        <v>0</v>
      </c>
      <c r="G65" s="557"/>
      <c r="H65" s="557"/>
      <c r="I65" s="558">
        <f t="shared" si="7"/>
        <v>0</v>
      </c>
      <c r="J65" s="718"/>
      <c r="K65" s="719"/>
      <c r="L65" s="556">
        <f t="shared" si="13"/>
        <v>0</v>
      </c>
      <c r="M65" s="559"/>
      <c r="N65" s="556">
        <v>0</v>
      </c>
      <c r="O65" s="556">
        <v>0</v>
      </c>
      <c r="P65" s="559"/>
      <c r="Q65" s="556"/>
      <c r="R65" s="556"/>
      <c r="S65" s="718">
        <f t="shared" si="12"/>
        <v>0</v>
      </c>
      <c r="T65" s="560" t="str">
        <f t="shared" si="9"/>
        <v/>
      </c>
      <c r="U65" s="720" t="str">
        <f t="shared" si="14"/>
        <v/>
      </c>
      <c r="V65" s="562"/>
      <c r="W65" s="556">
        <f t="shared" si="15"/>
        <v>0</v>
      </c>
      <c r="X65" s="721"/>
      <c r="Z65" s="547"/>
      <c r="AA65" s="548"/>
      <c r="AB65" s="556"/>
      <c r="AC65" s="564"/>
      <c r="AF65" s="556">
        <v>0</v>
      </c>
    </row>
    <row r="66" spans="1:32" ht="18" customHeight="1">
      <c r="C66" s="565" t="s">
        <v>733</v>
      </c>
      <c r="D66" s="717" t="s">
        <v>734</v>
      </c>
      <c r="E66" s="716" t="s">
        <v>735</v>
      </c>
      <c r="F66" s="556">
        <v>0</v>
      </c>
      <c r="G66" s="557"/>
      <c r="H66" s="557"/>
      <c r="I66" s="558">
        <f t="shared" si="7"/>
        <v>0</v>
      </c>
      <c r="J66" s="718"/>
      <c r="K66" s="719"/>
      <c r="L66" s="556">
        <f t="shared" si="13"/>
        <v>0</v>
      </c>
      <c r="M66" s="559"/>
      <c r="N66" s="556">
        <v>0</v>
      </c>
      <c r="O66" s="556">
        <v>0</v>
      </c>
      <c r="P66" s="559"/>
      <c r="Q66" s="556"/>
      <c r="R66" s="556"/>
      <c r="S66" s="718">
        <f t="shared" si="12"/>
        <v>0</v>
      </c>
      <c r="T66" s="560" t="str">
        <f t="shared" si="9"/>
        <v/>
      </c>
      <c r="U66" s="720" t="str">
        <f t="shared" si="14"/>
        <v/>
      </c>
      <c r="V66" s="562"/>
      <c r="W66" s="556">
        <f t="shared" si="15"/>
        <v>0</v>
      </c>
      <c r="X66" s="721"/>
      <c r="Z66" s="547"/>
      <c r="AA66" s="548"/>
      <c r="AB66" s="556"/>
      <c r="AC66" s="564"/>
      <c r="AF66" s="556">
        <v>0</v>
      </c>
    </row>
    <row r="67" spans="1:32" ht="18" customHeight="1">
      <c r="A67" s="416" t="s">
        <v>535</v>
      </c>
      <c r="C67" s="565" t="s">
        <v>736</v>
      </c>
      <c r="D67" s="717" t="s">
        <v>737</v>
      </c>
      <c r="E67" s="716" t="s">
        <v>738</v>
      </c>
      <c r="F67" s="556">
        <v>0</v>
      </c>
      <c r="G67" s="557"/>
      <c r="H67" s="557"/>
      <c r="I67" s="558">
        <f t="shared" si="7"/>
        <v>0</v>
      </c>
      <c r="J67" s="718"/>
      <c r="K67" s="719"/>
      <c r="L67" s="556">
        <f t="shared" si="13"/>
        <v>0</v>
      </c>
      <c r="M67" s="559"/>
      <c r="N67" s="556">
        <v>0</v>
      </c>
      <c r="O67" s="556">
        <v>0</v>
      </c>
      <c r="P67" s="559"/>
      <c r="Q67" s="556"/>
      <c r="R67" s="556"/>
      <c r="S67" s="718">
        <f t="shared" si="12"/>
        <v>0</v>
      </c>
      <c r="T67" s="560" t="str">
        <f t="shared" si="9"/>
        <v/>
      </c>
      <c r="U67" s="720" t="str">
        <f t="shared" si="14"/>
        <v/>
      </c>
      <c r="V67" s="562"/>
      <c r="W67" s="556">
        <f t="shared" si="15"/>
        <v>0</v>
      </c>
      <c r="X67" s="721"/>
      <c r="Z67" s="547"/>
      <c r="AA67" s="548"/>
      <c r="AB67" s="556"/>
      <c r="AC67" s="564"/>
      <c r="AF67" s="556">
        <v>0</v>
      </c>
    </row>
    <row r="68" spans="1:32" ht="18" customHeight="1">
      <c r="C68" s="565" t="s">
        <v>739</v>
      </c>
      <c r="D68" s="717" t="s">
        <v>740</v>
      </c>
      <c r="E68" s="716" t="s">
        <v>741</v>
      </c>
      <c r="F68" s="556">
        <v>0</v>
      </c>
      <c r="G68" s="557"/>
      <c r="H68" s="557"/>
      <c r="I68" s="558">
        <f t="shared" si="7"/>
        <v>0</v>
      </c>
      <c r="J68" s="718"/>
      <c r="K68" s="719"/>
      <c r="L68" s="556">
        <f t="shared" si="13"/>
        <v>0</v>
      </c>
      <c r="M68" s="559"/>
      <c r="N68" s="556">
        <v>0</v>
      </c>
      <c r="O68" s="556">
        <v>0</v>
      </c>
      <c r="P68" s="559"/>
      <c r="Q68" s="556"/>
      <c r="R68" s="556"/>
      <c r="S68" s="718">
        <f t="shared" si="12"/>
        <v>0</v>
      </c>
      <c r="T68" s="560" t="str">
        <f t="shared" si="9"/>
        <v/>
      </c>
      <c r="U68" s="720" t="str">
        <f t="shared" si="14"/>
        <v/>
      </c>
      <c r="V68" s="562"/>
      <c r="W68" s="556">
        <f t="shared" si="15"/>
        <v>0</v>
      </c>
      <c r="X68" s="721"/>
      <c r="Z68" s="547"/>
      <c r="AA68" s="548"/>
      <c r="AB68" s="556"/>
      <c r="AC68" s="564"/>
      <c r="AF68" s="556">
        <v>0</v>
      </c>
    </row>
    <row r="69" spans="1:32" ht="18" customHeight="1">
      <c r="D69" s="715" t="s">
        <v>742</v>
      </c>
      <c r="E69" s="715"/>
      <c r="F69" s="543">
        <f t="shared" ref="F69:Q69" si="16">SUM(F32:F68)</f>
        <v>0</v>
      </c>
      <c r="G69" s="543">
        <f t="shared" si="16"/>
        <v>0</v>
      </c>
      <c r="H69" s="543">
        <f t="shared" si="16"/>
        <v>0</v>
      </c>
      <c r="I69" s="543">
        <f t="shared" si="16"/>
        <v>0</v>
      </c>
      <c r="J69" s="714">
        <f t="shared" si="16"/>
        <v>0</v>
      </c>
      <c r="K69" s="714">
        <f t="shared" si="16"/>
        <v>0</v>
      </c>
      <c r="L69" s="714">
        <f t="shared" si="16"/>
        <v>0</v>
      </c>
      <c r="M69" s="714">
        <f t="shared" si="16"/>
        <v>0</v>
      </c>
      <c r="N69" s="714">
        <f t="shared" si="16"/>
        <v>0</v>
      </c>
      <c r="O69" s="714">
        <f t="shared" si="16"/>
        <v>0</v>
      </c>
      <c r="P69" s="714">
        <f t="shared" si="16"/>
        <v>0</v>
      </c>
      <c r="Q69" s="714">
        <f t="shared" si="16"/>
        <v>0</v>
      </c>
      <c r="R69" s="714"/>
      <c r="S69" s="714">
        <f>SUM(S32:S68)</f>
        <v>0</v>
      </c>
      <c r="T69" s="543"/>
      <c r="U69" s="566"/>
      <c r="V69" s="567">
        <f>SUM(V32:V68)</f>
        <v>0</v>
      </c>
      <c r="W69" s="543">
        <f>SUM(W32:W68)</f>
        <v>0</v>
      </c>
      <c r="X69" s="546"/>
      <c r="AA69" s="529"/>
      <c r="AB69" s="543">
        <v>0</v>
      </c>
      <c r="AC69" s="549"/>
      <c r="AF69" s="543">
        <v>0</v>
      </c>
    </row>
    <row r="70" spans="1:32">
      <c r="D70" s="572"/>
      <c r="E70" s="573"/>
      <c r="F70" s="574"/>
      <c r="G70" s="575"/>
      <c r="H70" s="575"/>
      <c r="I70" s="575"/>
      <c r="J70" s="576"/>
      <c r="K70" s="575"/>
      <c r="L70" s="575"/>
      <c r="M70" s="575"/>
      <c r="N70" s="575"/>
      <c r="O70" s="575"/>
      <c r="P70" s="575"/>
      <c r="Q70" s="575"/>
      <c r="R70" s="575"/>
      <c r="S70" s="575"/>
      <c r="T70" s="575"/>
      <c r="U70" s="577"/>
      <c r="V70" s="553"/>
      <c r="W70" s="553"/>
      <c r="X70" s="578"/>
      <c r="Z70" s="547"/>
      <c r="AA70" s="548"/>
      <c r="AB70" s="553"/>
      <c r="AC70" s="553"/>
      <c r="AF70" s="553"/>
    </row>
    <row r="71" spans="1:32" ht="15.75">
      <c r="D71" s="724" t="s">
        <v>743</v>
      </c>
      <c r="E71" s="724"/>
      <c r="F71" s="543">
        <f t="shared" ref="F71:Q71" si="17">F30-F69</f>
        <v>0</v>
      </c>
      <c r="G71" s="543">
        <f t="shared" si="17"/>
        <v>0</v>
      </c>
      <c r="H71" s="543">
        <f t="shared" si="17"/>
        <v>0</v>
      </c>
      <c r="I71" s="543">
        <f t="shared" si="17"/>
        <v>0</v>
      </c>
      <c r="J71" s="714">
        <f t="shared" si="17"/>
        <v>0</v>
      </c>
      <c r="K71" s="714">
        <f t="shared" si="17"/>
        <v>0</v>
      </c>
      <c r="L71" s="714">
        <f t="shared" si="17"/>
        <v>0</v>
      </c>
      <c r="M71" s="714">
        <f t="shared" si="17"/>
        <v>0</v>
      </c>
      <c r="N71" s="714">
        <f t="shared" si="17"/>
        <v>0</v>
      </c>
      <c r="O71" s="714">
        <f t="shared" si="17"/>
        <v>0</v>
      </c>
      <c r="P71" s="714">
        <f t="shared" si="17"/>
        <v>0</v>
      </c>
      <c r="Q71" s="714">
        <f t="shared" si="17"/>
        <v>0</v>
      </c>
      <c r="R71" s="714"/>
      <c r="S71" s="714">
        <f>S30-S69</f>
        <v>0</v>
      </c>
      <c r="T71" s="543"/>
      <c r="U71" s="566"/>
      <c r="V71" s="567">
        <f>V30-V69</f>
        <v>0</v>
      </c>
      <c r="W71" s="543">
        <f>W30-W69</f>
        <v>0</v>
      </c>
      <c r="X71" s="579"/>
      <c r="AA71" s="529"/>
      <c r="AB71" s="543">
        <v>0</v>
      </c>
      <c r="AC71" s="549"/>
      <c r="AF71" s="543">
        <v>0</v>
      </c>
    </row>
    <row r="72" spans="1:32">
      <c r="D72" s="723"/>
      <c r="F72" s="574"/>
      <c r="G72" s="575"/>
      <c r="H72" s="575"/>
      <c r="I72" s="575"/>
      <c r="J72" s="576"/>
      <c r="K72" s="575"/>
      <c r="L72" s="575"/>
      <c r="M72" s="575"/>
      <c r="N72" s="575"/>
      <c r="O72" s="575"/>
      <c r="P72" s="575"/>
      <c r="Q72" s="575"/>
      <c r="R72" s="575"/>
      <c r="S72" s="575"/>
      <c r="T72" s="575"/>
      <c r="U72" s="577"/>
      <c r="V72" s="553"/>
      <c r="W72" s="553"/>
      <c r="X72" s="580"/>
      <c r="Z72" s="547"/>
      <c r="AA72" s="548"/>
      <c r="AB72" s="553"/>
      <c r="AC72" s="553"/>
      <c r="AF72" s="553"/>
    </row>
    <row r="73" spans="1:32" ht="15.75">
      <c r="D73" s="715" t="s">
        <v>744</v>
      </c>
      <c r="E73" s="715"/>
      <c r="F73" s="543">
        <f t="shared" ref="F73:Q73" si="18">F71+F13</f>
        <v>0</v>
      </c>
      <c r="G73" s="543">
        <f t="shared" si="18"/>
        <v>0</v>
      </c>
      <c r="H73" s="543">
        <f t="shared" si="18"/>
        <v>0</v>
      </c>
      <c r="I73" s="543">
        <f t="shared" si="18"/>
        <v>0</v>
      </c>
      <c r="J73" s="714">
        <f t="shared" si="18"/>
        <v>0</v>
      </c>
      <c r="K73" s="714">
        <f t="shared" si="18"/>
        <v>0</v>
      </c>
      <c r="L73" s="714">
        <f t="shared" si="18"/>
        <v>0</v>
      </c>
      <c r="M73" s="714">
        <f t="shared" si="18"/>
        <v>0</v>
      </c>
      <c r="N73" s="714">
        <f t="shared" si="18"/>
        <v>0</v>
      </c>
      <c r="O73" s="714">
        <f t="shared" si="18"/>
        <v>0</v>
      </c>
      <c r="P73" s="714">
        <f t="shared" si="18"/>
        <v>0</v>
      </c>
      <c r="Q73" s="714">
        <f t="shared" si="18"/>
        <v>0</v>
      </c>
      <c r="R73" s="714"/>
      <c r="S73" s="714">
        <f>S71+S13</f>
        <v>0</v>
      </c>
      <c r="T73" s="543">
        <f>T71+T13</f>
        <v>0</v>
      </c>
      <c r="U73" s="566"/>
      <c r="V73" s="567">
        <f>V71+V13</f>
        <v>0</v>
      </c>
      <c r="W73" s="543">
        <f>W71+W13</f>
        <v>0</v>
      </c>
      <c r="X73" s="579"/>
      <c r="AA73" s="529"/>
      <c r="AB73" s="543">
        <v>0</v>
      </c>
      <c r="AC73" s="549"/>
      <c r="AF73" s="543">
        <v>0</v>
      </c>
    </row>
    <row r="74" spans="1:32">
      <c r="D74" s="701"/>
      <c r="E74" s="581"/>
      <c r="F74" s="582"/>
      <c r="G74" s="583"/>
      <c r="H74" s="583"/>
      <c r="I74" s="583"/>
      <c r="J74" s="583"/>
      <c r="K74" s="583"/>
      <c r="L74" s="583"/>
      <c r="M74" s="583"/>
      <c r="N74" s="583"/>
      <c r="O74" s="583"/>
      <c r="P74" s="583"/>
      <c r="Q74" s="583"/>
      <c r="R74" s="583"/>
      <c r="S74" s="583"/>
      <c r="T74" s="583"/>
      <c r="U74" s="584"/>
      <c r="V74" s="583"/>
      <c r="W74" s="583"/>
      <c r="X74" s="578"/>
      <c r="Z74" s="547"/>
      <c r="AA74" s="548"/>
      <c r="AB74" s="583"/>
      <c r="AC74" s="553"/>
      <c r="AF74" s="583"/>
    </row>
    <row r="75" spans="1:32" ht="23.25">
      <c r="D75" s="727" t="s">
        <v>745</v>
      </c>
      <c r="E75" s="581"/>
      <c r="F75" s="582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4"/>
      <c r="V75" s="583"/>
      <c r="W75" s="583"/>
      <c r="X75" s="578"/>
      <c r="Z75" s="547"/>
      <c r="AA75" s="548"/>
      <c r="AB75" s="553"/>
      <c r="AC75" s="553"/>
      <c r="AF75" s="553"/>
    </row>
    <row r="76" spans="1:32" ht="12" customHeight="1">
      <c r="D76" s="585"/>
      <c r="E76" s="586"/>
      <c r="F76" s="587"/>
      <c r="G76" s="588"/>
      <c r="H76" s="588"/>
      <c r="I76" s="588"/>
      <c r="J76" s="588"/>
      <c r="K76" s="588"/>
      <c r="L76" s="588"/>
      <c r="M76" s="588"/>
      <c r="N76" s="588"/>
      <c r="O76" s="588"/>
      <c r="P76" s="588"/>
      <c r="Q76" s="588"/>
      <c r="R76" s="588"/>
      <c r="S76" s="588"/>
      <c r="T76" s="588"/>
      <c r="U76" s="700"/>
      <c r="V76" s="588"/>
      <c r="W76" s="588"/>
      <c r="X76" s="580"/>
      <c r="Z76" s="547"/>
      <c r="AA76" s="548"/>
      <c r="AB76" s="588"/>
      <c r="AC76" s="553"/>
      <c r="AF76" s="588"/>
    </row>
    <row r="77" spans="1:32" ht="18" customHeight="1">
      <c r="D77" s="725" t="s">
        <v>746</v>
      </c>
      <c r="E77" s="712"/>
      <c r="F77" s="542">
        <v>0</v>
      </c>
      <c r="G77" s="542"/>
      <c r="H77" s="542"/>
      <c r="I77" s="542"/>
      <c r="J77" s="865"/>
      <c r="K77" s="543"/>
      <c r="L77" s="543"/>
      <c r="M77" s="543"/>
      <c r="N77" s="543"/>
      <c r="O77" s="543"/>
      <c r="P77" s="543"/>
      <c r="Q77" s="543"/>
      <c r="R77" s="543"/>
      <c r="S77" s="714">
        <f>J77</f>
        <v>0</v>
      </c>
      <c r="T77" s="544"/>
      <c r="U77" s="544"/>
      <c r="V77" s="567"/>
      <c r="W77" s="543"/>
      <c r="X77" s="725"/>
      <c r="Y77" s="864" t="s">
        <v>596</v>
      </c>
      <c r="Z77" s="547"/>
      <c r="AA77" s="548"/>
      <c r="AB77" s="543">
        <v>0</v>
      </c>
      <c r="AC77" s="549"/>
      <c r="AF77" s="543">
        <v>0</v>
      </c>
    </row>
    <row r="78" spans="1:32" ht="18" customHeight="1">
      <c r="D78" s="550"/>
      <c r="E78" s="726" t="s">
        <v>747</v>
      </c>
      <c r="F78" s="589"/>
      <c r="G78" s="589"/>
      <c r="H78" s="589"/>
      <c r="I78" s="589"/>
      <c r="J78" s="589"/>
      <c r="K78" s="589"/>
      <c r="L78" s="589"/>
      <c r="M78" s="589"/>
      <c r="N78" s="589"/>
      <c r="O78" s="589"/>
      <c r="P78" s="589"/>
      <c r="Q78" s="589"/>
      <c r="R78" s="589"/>
      <c r="S78" s="589"/>
      <c r="T78" s="589"/>
      <c r="U78" s="569"/>
      <c r="V78" s="590"/>
      <c r="W78" s="589"/>
      <c r="X78" s="568"/>
      <c r="AA78" s="529"/>
      <c r="AB78" s="589"/>
      <c r="AC78" s="591"/>
      <c r="AF78" s="589"/>
    </row>
    <row r="79" spans="1:32" ht="18" customHeight="1">
      <c r="C79" s="550" t="s">
        <v>748</v>
      </c>
      <c r="D79" s="717" t="s">
        <v>512</v>
      </c>
      <c r="E79" s="716" t="s">
        <v>528</v>
      </c>
      <c r="F79" s="556">
        <v>0</v>
      </c>
      <c r="G79" s="557"/>
      <c r="H79" s="557"/>
      <c r="I79" s="558">
        <f>G79+H79</f>
        <v>0</v>
      </c>
      <c r="J79" s="718">
        <f>SUMIFS('1. Calculator'!$E$127:$E$137,'1. Calculator'!$D$127:$D$137,'3. Monitoring'!$D79)</f>
        <v>0</v>
      </c>
      <c r="K79" s="719"/>
      <c r="L79" s="556">
        <f>J79+K79</f>
        <v>0</v>
      </c>
      <c r="M79" s="556">
        <v>0</v>
      </c>
      <c r="N79" s="559"/>
      <c r="O79" s="559"/>
      <c r="P79" s="556">
        <v>0</v>
      </c>
      <c r="Q79" s="556"/>
      <c r="R79" s="556"/>
      <c r="S79" s="718">
        <f t="shared" ref="S79:S81" si="19">J79+K79</f>
        <v>0</v>
      </c>
      <c r="T79" s="560" t="str">
        <f>IFERROR((S79/G79),"")</f>
        <v/>
      </c>
      <c r="U79" s="720" t="str">
        <f t="shared" ref="U79:U81" si="20">IFERROR(+S79/$S$69,"")</f>
        <v/>
      </c>
      <c r="V79" s="562"/>
      <c r="W79" s="556">
        <f>I79-V79</f>
        <v>0</v>
      </c>
      <c r="X79" s="721"/>
      <c r="Z79" s="547"/>
      <c r="AA79" s="529"/>
      <c r="AB79" s="556"/>
      <c r="AC79" s="564"/>
      <c r="AF79" s="556">
        <v>0</v>
      </c>
    </row>
    <row r="80" spans="1:32" ht="18" customHeight="1">
      <c r="C80" s="550" t="s">
        <v>749</v>
      </c>
      <c r="D80" s="717" t="s">
        <v>750</v>
      </c>
      <c r="E80" s="716" t="s">
        <v>751</v>
      </c>
      <c r="F80" s="556">
        <v>0</v>
      </c>
      <c r="G80" s="557"/>
      <c r="H80" s="557"/>
      <c r="I80" s="558">
        <f>G80+H80</f>
        <v>0</v>
      </c>
      <c r="J80" s="718"/>
      <c r="K80" s="719"/>
      <c r="L80" s="556">
        <f>J80+K80</f>
        <v>0</v>
      </c>
      <c r="M80" s="556">
        <v>0</v>
      </c>
      <c r="N80" s="559"/>
      <c r="O80" s="559"/>
      <c r="P80" s="556">
        <v>0</v>
      </c>
      <c r="Q80" s="556"/>
      <c r="R80" s="556"/>
      <c r="S80" s="718">
        <f t="shared" si="19"/>
        <v>0</v>
      </c>
      <c r="T80" s="560" t="str">
        <f>IFERROR((S80/G80),"")</f>
        <v/>
      </c>
      <c r="U80" s="720" t="str">
        <f t="shared" si="20"/>
        <v/>
      </c>
      <c r="V80" s="562"/>
      <c r="W80" s="556">
        <f>I80-V80</f>
        <v>0</v>
      </c>
      <c r="X80" s="721"/>
      <c r="Z80" s="547"/>
      <c r="AA80" s="529"/>
      <c r="AB80" s="556"/>
      <c r="AC80" s="564"/>
      <c r="AF80" s="556">
        <v>0</v>
      </c>
    </row>
    <row r="81" spans="3:32" ht="18" customHeight="1">
      <c r="C81" s="550" t="s">
        <v>752</v>
      </c>
      <c r="D81" s="717" t="s">
        <v>753</v>
      </c>
      <c r="E81" s="716" t="s">
        <v>754</v>
      </c>
      <c r="F81" s="556">
        <v>0</v>
      </c>
      <c r="G81" s="557"/>
      <c r="H81" s="557"/>
      <c r="I81" s="558">
        <f t="shared" ref="I81" si="21">G81+H81</f>
        <v>0</v>
      </c>
      <c r="J81" s="718"/>
      <c r="K81" s="719"/>
      <c r="L81" s="556">
        <f>J81+K81</f>
        <v>0</v>
      </c>
      <c r="M81" s="556">
        <v>0</v>
      </c>
      <c r="N81" s="559"/>
      <c r="O81" s="559"/>
      <c r="P81" s="556">
        <v>0</v>
      </c>
      <c r="Q81" s="556"/>
      <c r="R81" s="556"/>
      <c r="S81" s="718">
        <f t="shared" si="19"/>
        <v>0</v>
      </c>
      <c r="T81" s="560" t="str">
        <f>IFERROR((S81/G81),"")</f>
        <v/>
      </c>
      <c r="U81" s="720" t="str">
        <f t="shared" si="20"/>
        <v/>
      </c>
      <c r="V81" s="562"/>
      <c r="W81" s="556">
        <f>I81-V81</f>
        <v>0</v>
      </c>
      <c r="X81" s="721"/>
      <c r="Z81" s="547"/>
      <c r="AA81" s="529"/>
      <c r="AB81" s="556"/>
      <c r="AC81" s="564"/>
      <c r="AF81" s="556">
        <v>0</v>
      </c>
    </row>
    <row r="82" spans="3:32" ht="18" customHeight="1">
      <c r="D82" s="724" t="s">
        <v>755</v>
      </c>
      <c r="E82" s="724"/>
      <c r="F82" s="543">
        <f t="shared" ref="F82:Q82" si="22">SUM(F79:F81)</f>
        <v>0</v>
      </c>
      <c r="G82" s="543">
        <f>SUM(G79:G81)</f>
        <v>0</v>
      </c>
      <c r="H82" s="543">
        <f t="shared" si="22"/>
        <v>0</v>
      </c>
      <c r="I82" s="543">
        <f t="shared" si="22"/>
        <v>0</v>
      </c>
      <c r="J82" s="543">
        <f t="shared" si="22"/>
        <v>0</v>
      </c>
      <c r="K82" s="543">
        <f t="shared" si="22"/>
        <v>0</v>
      </c>
      <c r="L82" s="543">
        <f t="shared" si="22"/>
        <v>0</v>
      </c>
      <c r="M82" s="543">
        <f t="shared" si="22"/>
        <v>0</v>
      </c>
      <c r="N82" s="543">
        <f t="shared" si="22"/>
        <v>0</v>
      </c>
      <c r="O82" s="543">
        <f t="shared" si="22"/>
        <v>0</v>
      </c>
      <c r="P82" s="543">
        <f t="shared" si="22"/>
        <v>0</v>
      </c>
      <c r="Q82" s="543">
        <f t="shared" si="22"/>
        <v>0</v>
      </c>
      <c r="R82" s="543"/>
      <c r="S82" s="543">
        <f>SUM(S79:S81)</f>
        <v>0</v>
      </c>
      <c r="T82" s="543">
        <f>SUM(T79:T81)</f>
        <v>0</v>
      </c>
      <c r="U82" s="566"/>
      <c r="V82" s="567">
        <f>SUM(V79:V81)</f>
        <v>0</v>
      </c>
      <c r="W82" s="543">
        <f>SUM(W79:W81)</f>
        <v>0</v>
      </c>
      <c r="X82" s="546"/>
      <c r="AA82" s="529"/>
      <c r="AB82" s="543">
        <v>0</v>
      </c>
      <c r="AC82" s="549"/>
      <c r="AF82" s="543">
        <v>0</v>
      </c>
    </row>
    <row r="83" spans="3:32" ht="18" customHeight="1">
      <c r="D83" s="550"/>
      <c r="E83" s="726" t="s">
        <v>756</v>
      </c>
      <c r="F83" s="568"/>
      <c r="G83" s="568"/>
      <c r="H83" s="568"/>
      <c r="I83" s="568"/>
      <c r="J83" s="568"/>
      <c r="K83" s="568"/>
      <c r="L83" s="568"/>
      <c r="M83" s="568"/>
      <c r="N83" s="568"/>
      <c r="O83" s="568"/>
      <c r="P83" s="568"/>
      <c r="Q83" s="568"/>
      <c r="R83" s="568"/>
      <c r="S83" s="568"/>
      <c r="T83" s="568"/>
      <c r="U83" s="569"/>
      <c r="V83" s="570"/>
      <c r="W83" s="568"/>
      <c r="X83" s="568"/>
      <c r="AA83" s="529"/>
      <c r="AB83" s="568"/>
      <c r="AC83" s="571"/>
      <c r="AF83" s="568"/>
    </row>
    <row r="84" spans="3:32" ht="18" customHeight="1">
      <c r="C84" s="550" t="s">
        <v>757</v>
      </c>
      <c r="D84" s="717" t="s">
        <v>758</v>
      </c>
      <c r="E84" s="716" t="s">
        <v>759</v>
      </c>
      <c r="F84" s="556">
        <v>0</v>
      </c>
      <c r="G84" s="557"/>
      <c r="H84" s="557"/>
      <c r="I84" s="558">
        <f t="shared" ref="I84:I91" si="23">G84+H84</f>
        <v>0</v>
      </c>
      <c r="J84" s="718"/>
      <c r="K84" s="719"/>
      <c r="L84" s="556">
        <f>J84+K84</f>
        <v>0</v>
      </c>
      <c r="M84" s="559"/>
      <c r="N84" s="556">
        <v>0</v>
      </c>
      <c r="O84" s="556">
        <v>0</v>
      </c>
      <c r="P84" s="559"/>
      <c r="Q84" s="556"/>
      <c r="R84" s="556"/>
      <c r="S84" s="718">
        <f t="shared" ref="S84:S91" si="24">J84+K84</f>
        <v>0</v>
      </c>
      <c r="T84" s="560" t="str">
        <f t="shared" ref="T84:T91" si="25">IFERROR((S84/G84),"")</f>
        <v/>
      </c>
      <c r="U84" s="720" t="str">
        <f t="shared" ref="U84:U91" si="26">IFERROR(+S84/$S$69,"")</f>
        <v/>
      </c>
      <c r="V84" s="562"/>
      <c r="W84" s="556">
        <f>I84-V84</f>
        <v>0</v>
      </c>
      <c r="X84" s="721"/>
      <c r="Z84" s="547"/>
      <c r="AA84" s="529"/>
      <c r="AB84" s="556"/>
      <c r="AC84" s="564"/>
      <c r="AF84" s="556">
        <v>0</v>
      </c>
    </row>
    <row r="85" spans="3:32" ht="18" customHeight="1">
      <c r="C85" s="550" t="s">
        <v>760</v>
      </c>
      <c r="D85" s="717" t="s">
        <v>761</v>
      </c>
      <c r="E85" s="716" t="s">
        <v>762</v>
      </c>
      <c r="F85" s="556">
        <v>0</v>
      </c>
      <c r="G85" s="557"/>
      <c r="H85" s="557"/>
      <c r="I85" s="558">
        <f t="shared" si="23"/>
        <v>0</v>
      </c>
      <c r="J85" s="718"/>
      <c r="K85" s="719"/>
      <c r="L85" s="556">
        <f>J85+K85</f>
        <v>0</v>
      </c>
      <c r="M85" s="559"/>
      <c r="N85" s="556">
        <v>0</v>
      </c>
      <c r="O85" s="556">
        <v>0</v>
      </c>
      <c r="P85" s="559"/>
      <c r="Q85" s="556"/>
      <c r="R85" s="556"/>
      <c r="S85" s="718">
        <f t="shared" si="24"/>
        <v>0</v>
      </c>
      <c r="T85" s="560" t="str">
        <f t="shared" si="25"/>
        <v/>
      </c>
      <c r="U85" s="720" t="str">
        <f t="shared" si="26"/>
        <v/>
      </c>
      <c r="V85" s="562"/>
      <c r="W85" s="556">
        <f>I85-V85</f>
        <v>0</v>
      </c>
      <c r="X85" s="721"/>
      <c r="Z85" s="547"/>
      <c r="AA85" s="529"/>
      <c r="AB85" s="556"/>
      <c r="AC85" s="564"/>
      <c r="AF85" s="556">
        <v>0</v>
      </c>
    </row>
    <row r="86" spans="3:32" ht="18" customHeight="1">
      <c r="C86" s="550" t="s">
        <v>763</v>
      </c>
      <c r="D86" s="717" t="s">
        <v>764</v>
      </c>
      <c r="E86" s="716" t="s">
        <v>765</v>
      </c>
      <c r="F86" s="556">
        <v>0</v>
      </c>
      <c r="G86" s="557"/>
      <c r="H86" s="557"/>
      <c r="I86" s="558">
        <f t="shared" si="23"/>
        <v>0</v>
      </c>
      <c r="J86" s="718"/>
      <c r="K86" s="719"/>
      <c r="L86" s="556">
        <f>J86+K86</f>
        <v>0</v>
      </c>
      <c r="M86" s="559"/>
      <c r="N86" s="556">
        <v>0</v>
      </c>
      <c r="O86" s="556">
        <v>0</v>
      </c>
      <c r="P86" s="559"/>
      <c r="Q86" s="556"/>
      <c r="R86" s="556"/>
      <c r="S86" s="718">
        <f t="shared" si="24"/>
        <v>0</v>
      </c>
      <c r="T86" s="560" t="str">
        <f t="shared" si="25"/>
        <v/>
      </c>
      <c r="U86" s="720" t="str">
        <f t="shared" si="26"/>
        <v/>
      </c>
      <c r="V86" s="562"/>
      <c r="W86" s="556">
        <f>I86-V86</f>
        <v>0</v>
      </c>
      <c r="X86" s="721"/>
      <c r="Z86" s="547"/>
      <c r="AA86" s="529"/>
      <c r="AB86" s="556"/>
      <c r="AC86" s="564"/>
      <c r="AF86" s="556">
        <v>0</v>
      </c>
    </row>
    <row r="87" spans="3:32" ht="18" customHeight="1">
      <c r="C87" s="550" t="s">
        <v>766</v>
      </c>
      <c r="D87" s="717" t="s">
        <v>767</v>
      </c>
      <c r="E87" s="716" t="s">
        <v>693</v>
      </c>
      <c r="F87" s="556"/>
      <c r="G87" s="557"/>
      <c r="H87" s="557"/>
      <c r="I87" s="558"/>
      <c r="J87" s="718"/>
      <c r="K87" s="719"/>
      <c r="L87" s="556"/>
      <c r="M87" s="559"/>
      <c r="N87" s="556"/>
      <c r="O87" s="556"/>
      <c r="P87" s="559"/>
      <c r="Q87" s="556"/>
      <c r="R87" s="556"/>
      <c r="S87" s="718">
        <f t="shared" si="24"/>
        <v>0</v>
      </c>
      <c r="T87" s="560" t="str">
        <f t="shared" si="25"/>
        <v/>
      </c>
      <c r="U87" s="720" t="str">
        <f t="shared" si="26"/>
        <v/>
      </c>
      <c r="V87" s="562"/>
      <c r="W87" s="556"/>
      <c r="X87" s="721"/>
      <c r="Z87" s="547"/>
      <c r="AA87" s="529"/>
      <c r="AB87" s="556"/>
      <c r="AC87" s="564"/>
      <c r="AF87" s="556"/>
    </row>
    <row r="88" spans="3:32" ht="18" customHeight="1">
      <c r="C88" s="550" t="s">
        <v>768</v>
      </c>
      <c r="D88" s="717" t="s">
        <v>769</v>
      </c>
      <c r="E88" s="716" t="s">
        <v>696</v>
      </c>
      <c r="F88" s="556"/>
      <c r="G88" s="557"/>
      <c r="H88" s="557"/>
      <c r="I88" s="558"/>
      <c r="J88" s="718"/>
      <c r="K88" s="719"/>
      <c r="L88" s="556"/>
      <c r="M88" s="559"/>
      <c r="N88" s="556"/>
      <c r="O88" s="556"/>
      <c r="P88" s="559"/>
      <c r="Q88" s="556"/>
      <c r="R88" s="556"/>
      <c r="S88" s="718">
        <f t="shared" si="24"/>
        <v>0</v>
      </c>
      <c r="T88" s="560" t="str">
        <f t="shared" si="25"/>
        <v/>
      </c>
      <c r="U88" s="720" t="str">
        <f t="shared" si="26"/>
        <v/>
      </c>
      <c r="V88" s="562"/>
      <c r="W88" s="556"/>
      <c r="X88" s="721"/>
      <c r="Z88" s="547"/>
      <c r="AA88" s="529"/>
      <c r="AB88" s="556"/>
      <c r="AC88" s="564"/>
      <c r="AF88" s="556"/>
    </row>
    <row r="89" spans="3:32" ht="18" customHeight="1">
      <c r="C89" s="550" t="s">
        <v>770</v>
      </c>
      <c r="D89" s="717" t="s">
        <v>771</v>
      </c>
      <c r="E89" s="716" t="s">
        <v>702</v>
      </c>
      <c r="F89" s="556"/>
      <c r="G89" s="557"/>
      <c r="H89" s="557"/>
      <c r="I89" s="558"/>
      <c r="J89" s="718"/>
      <c r="K89" s="719"/>
      <c r="L89" s="556"/>
      <c r="M89" s="559"/>
      <c r="N89" s="556"/>
      <c r="O89" s="556"/>
      <c r="P89" s="559"/>
      <c r="Q89" s="556"/>
      <c r="R89" s="556"/>
      <c r="S89" s="718">
        <f t="shared" si="24"/>
        <v>0</v>
      </c>
      <c r="T89" s="560" t="str">
        <f t="shared" si="25"/>
        <v/>
      </c>
      <c r="U89" s="720" t="str">
        <f t="shared" si="26"/>
        <v/>
      </c>
      <c r="V89" s="562"/>
      <c r="W89" s="556"/>
      <c r="X89" s="721"/>
      <c r="Z89" s="547"/>
      <c r="AA89" s="529"/>
      <c r="AB89" s="556"/>
      <c r="AC89" s="564"/>
      <c r="AF89" s="556"/>
    </row>
    <row r="90" spans="3:32" ht="18" customHeight="1">
      <c r="C90" s="550" t="s">
        <v>772</v>
      </c>
      <c r="D90" s="717" t="s">
        <v>773</v>
      </c>
      <c r="E90" s="716" t="s">
        <v>774</v>
      </c>
      <c r="F90" s="556"/>
      <c r="G90" s="557"/>
      <c r="H90" s="557"/>
      <c r="I90" s="558"/>
      <c r="J90" s="718"/>
      <c r="K90" s="719"/>
      <c r="L90" s="556"/>
      <c r="M90" s="559"/>
      <c r="N90" s="556"/>
      <c r="O90" s="556"/>
      <c r="P90" s="559"/>
      <c r="Q90" s="556"/>
      <c r="R90" s="556"/>
      <c r="S90" s="718">
        <f t="shared" si="24"/>
        <v>0</v>
      </c>
      <c r="T90" s="560" t="str">
        <f t="shared" si="25"/>
        <v/>
      </c>
      <c r="U90" s="720" t="str">
        <f t="shared" si="26"/>
        <v/>
      </c>
      <c r="V90" s="562"/>
      <c r="W90" s="556"/>
      <c r="X90" s="721"/>
      <c r="Z90" s="547"/>
      <c r="AA90" s="529"/>
      <c r="AB90" s="556"/>
      <c r="AC90" s="564"/>
      <c r="AF90" s="556"/>
    </row>
    <row r="91" spans="3:32" ht="18" customHeight="1">
      <c r="C91" s="550" t="s">
        <v>775</v>
      </c>
      <c r="D91" s="717" t="s">
        <v>776</v>
      </c>
      <c r="E91" s="716" t="s">
        <v>708</v>
      </c>
      <c r="F91" s="556">
        <v>0</v>
      </c>
      <c r="G91" s="557"/>
      <c r="H91" s="557"/>
      <c r="I91" s="558">
        <f t="shared" si="23"/>
        <v>0</v>
      </c>
      <c r="J91" s="718"/>
      <c r="K91" s="719"/>
      <c r="L91" s="556">
        <f>J91+K91</f>
        <v>0</v>
      </c>
      <c r="M91" s="559"/>
      <c r="N91" s="556">
        <v>0</v>
      </c>
      <c r="O91" s="556">
        <v>0</v>
      </c>
      <c r="P91" s="559"/>
      <c r="Q91" s="556"/>
      <c r="R91" s="556"/>
      <c r="S91" s="718">
        <f t="shared" si="24"/>
        <v>0</v>
      </c>
      <c r="T91" s="560" t="str">
        <f t="shared" si="25"/>
        <v/>
      </c>
      <c r="U91" s="720" t="str">
        <f t="shared" si="26"/>
        <v/>
      </c>
      <c r="V91" s="562"/>
      <c r="W91" s="556">
        <f>I91-V91</f>
        <v>0</v>
      </c>
      <c r="X91" s="721"/>
      <c r="Z91" s="547"/>
      <c r="AA91" s="529"/>
      <c r="AB91" s="556"/>
      <c r="AC91" s="564"/>
      <c r="AF91" s="556">
        <v>0</v>
      </c>
    </row>
    <row r="92" spans="3:32" ht="18" customHeight="1">
      <c r="D92" s="724" t="s">
        <v>777</v>
      </c>
      <c r="E92" s="724"/>
      <c r="F92" s="543">
        <f t="shared" ref="F92:Q92" si="27">SUM(F84:F91)</f>
        <v>0</v>
      </c>
      <c r="G92" s="543">
        <f t="shared" si="27"/>
        <v>0</v>
      </c>
      <c r="H92" s="543">
        <f t="shared" si="27"/>
        <v>0</v>
      </c>
      <c r="I92" s="543">
        <f t="shared" si="27"/>
        <v>0</v>
      </c>
      <c r="J92" s="714">
        <f t="shared" si="27"/>
        <v>0</v>
      </c>
      <c r="K92" s="543">
        <f t="shared" si="27"/>
        <v>0</v>
      </c>
      <c r="L92" s="543">
        <f t="shared" si="27"/>
        <v>0</v>
      </c>
      <c r="M92" s="543">
        <f t="shared" si="27"/>
        <v>0</v>
      </c>
      <c r="N92" s="543">
        <f t="shared" si="27"/>
        <v>0</v>
      </c>
      <c r="O92" s="543">
        <f t="shared" si="27"/>
        <v>0</v>
      </c>
      <c r="P92" s="543">
        <f t="shared" si="27"/>
        <v>0</v>
      </c>
      <c r="Q92" s="543">
        <f t="shared" si="27"/>
        <v>0</v>
      </c>
      <c r="R92" s="543"/>
      <c r="S92" s="714">
        <f>SUM(S84:S91)</f>
        <v>0</v>
      </c>
      <c r="T92" s="543">
        <f>SUM(T84:T91)</f>
        <v>0</v>
      </c>
      <c r="U92" s="566"/>
      <c r="V92" s="567">
        <f>SUM(V84:V91)</f>
        <v>0</v>
      </c>
      <c r="W92" s="543">
        <f>SUM(W84:W91)</f>
        <v>0</v>
      </c>
      <c r="X92" s="546"/>
      <c r="AA92" s="529"/>
      <c r="AB92" s="543">
        <v>0</v>
      </c>
      <c r="AC92" s="549"/>
      <c r="AF92" s="543">
        <v>0</v>
      </c>
    </row>
    <row r="93" spans="3:32" ht="18" customHeight="1">
      <c r="D93" s="585"/>
      <c r="E93" s="573"/>
      <c r="F93" s="592"/>
      <c r="G93" s="593"/>
      <c r="H93" s="593"/>
      <c r="I93" s="593"/>
      <c r="J93" s="594"/>
      <c r="K93" s="593"/>
      <c r="L93" s="593"/>
      <c r="M93" s="593"/>
      <c r="N93" s="593"/>
      <c r="O93" s="593"/>
      <c r="P93" s="593"/>
      <c r="Q93" s="593"/>
      <c r="R93" s="593"/>
      <c r="S93" s="593"/>
      <c r="T93" s="593"/>
      <c r="U93" s="577"/>
      <c r="V93" s="593"/>
      <c r="W93" s="593"/>
      <c r="X93" s="580"/>
      <c r="Z93" s="547"/>
      <c r="AA93" s="548"/>
      <c r="AB93" s="595"/>
      <c r="AC93" s="595"/>
      <c r="AF93" s="595"/>
    </row>
    <row r="94" spans="3:32" ht="18" customHeight="1">
      <c r="D94" s="724" t="s">
        <v>778</v>
      </c>
      <c r="E94" s="724"/>
      <c r="F94" s="543">
        <f t="shared" ref="F94:Q94" si="28">F82-F92</f>
        <v>0</v>
      </c>
      <c r="G94" s="543">
        <f t="shared" si="28"/>
        <v>0</v>
      </c>
      <c r="H94" s="543">
        <f t="shared" si="28"/>
        <v>0</v>
      </c>
      <c r="I94" s="543">
        <f t="shared" si="28"/>
        <v>0</v>
      </c>
      <c r="J94" s="714">
        <f t="shared" si="28"/>
        <v>0</v>
      </c>
      <c r="K94" s="543">
        <f t="shared" si="28"/>
        <v>0</v>
      </c>
      <c r="L94" s="543">
        <f t="shared" si="28"/>
        <v>0</v>
      </c>
      <c r="M94" s="543">
        <f t="shared" si="28"/>
        <v>0</v>
      </c>
      <c r="N94" s="543">
        <f t="shared" si="28"/>
        <v>0</v>
      </c>
      <c r="O94" s="543">
        <f t="shared" si="28"/>
        <v>0</v>
      </c>
      <c r="P94" s="543">
        <f t="shared" si="28"/>
        <v>0</v>
      </c>
      <c r="Q94" s="543">
        <f t="shared" si="28"/>
        <v>0</v>
      </c>
      <c r="R94" s="543"/>
      <c r="S94" s="714">
        <f>S82-S92</f>
        <v>0</v>
      </c>
      <c r="T94" s="543"/>
      <c r="U94" s="566"/>
      <c r="V94" s="567">
        <f>V82-V92</f>
        <v>0</v>
      </c>
      <c r="W94" s="543">
        <f>W82-W92</f>
        <v>0</v>
      </c>
      <c r="X94" s="579"/>
      <c r="AA94" s="529"/>
      <c r="AB94" s="543">
        <v>0</v>
      </c>
      <c r="AC94" s="549"/>
      <c r="AF94" s="543">
        <v>0</v>
      </c>
    </row>
    <row r="95" spans="3:32" ht="18" customHeight="1">
      <c r="D95" s="565"/>
      <c r="E95" s="573"/>
      <c r="F95" s="590"/>
      <c r="G95" s="596"/>
      <c r="H95" s="593"/>
      <c r="I95" s="593"/>
      <c r="J95" s="594"/>
      <c r="K95" s="593"/>
      <c r="L95" s="593"/>
      <c r="M95" s="593"/>
      <c r="N95" s="593"/>
      <c r="O95" s="593"/>
      <c r="P95" s="593"/>
      <c r="Q95" s="593"/>
      <c r="R95" s="593"/>
      <c r="S95" s="593"/>
      <c r="T95" s="593"/>
      <c r="U95" s="577"/>
      <c r="V95" s="593"/>
      <c r="W95" s="593"/>
      <c r="X95" s="580"/>
      <c r="Z95" s="547"/>
      <c r="AA95" s="548"/>
      <c r="AB95" s="595"/>
      <c r="AC95" s="595"/>
      <c r="AF95" s="595"/>
    </row>
    <row r="96" spans="3:32" ht="18" customHeight="1">
      <c r="D96" s="724" t="s">
        <v>779</v>
      </c>
      <c r="E96" s="724"/>
      <c r="F96" s="543">
        <f t="shared" ref="F96:Q96" si="29">F77+F94</f>
        <v>0</v>
      </c>
      <c r="G96" s="543">
        <f t="shared" si="29"/>
        <v>0</v>
      </c>
      <c r="H96" s="543">
        <f t="shared" si="29"/>
        <v>0</v>
      </c>
      <c r="I96" s="543">
        <f t="shared" si="29"/>
        <v>0</v>
      </c>
      <c r="J96" s="714">
        <f t="shared" si="29"/>
        <v>0</v>
      </c>
      <c r="K96" s="543">
        <f t="shared" si="29"/>
        <v>0</v>
      </c>
      <c r="L96" s="543">
        <f t="shared" si="29"/>
        <v>0</v>
      </c>
      <c r="M96" s="543">
        <f t="shared" si="29"/>
        <v>0</v>
      </c>
      <c r="N96" s="543">
        <f t="shared" si="29"/>
        <v>0</v>
      </c>
      <c r="O96" s="543">
        <f t="shared" si="29"/>
        <v>0</v>
      </c>
      <c r="P96" s="543">
        <f t="shared" si="29"/>
        <v>0</v>
      </c>
      <c r="Q96" s="543">
        <f t="shared" si="29"/>
        <v>0</v>
      </c>
      <c r="R96" s="543"/>
      <c r="S96" s="714">
        <f>S77+S94</f>
        <v>0</v>
      </c>
      <c r="T96" s="543">
        <f>T77+T94</f>
        <v>0</v>
      </c>
      <c r="U96" s="566"/>
      <c r="V96" s="567">
        <f>V77+V94</f>
        <v>0</v>
      </c>
      <c r="W96" s="543">
        <f>W77+W94</f>
        <v>0</v>
      </c>
      <c r="X96" s="579"/>
      <c r="AA96" s="529"/>
      <c r="AB96" s="543">
        <v>0</v>
      </c>
      <c r="AC96" s="549"/>
      <c r="AF96" s="543">
        <v>0</v>
      </c>
    </row>
    <row r="97" spans="3:32">
      <c r="D97" s="701"/>
      <c r="E97" s="581"/>
      <c r="F97" s="582"/>
      <c r="G97" s="583"/>
      <c r="H97" s="583"/>
      <c r="I97" s="583"/>
      <c r="J97" s="583"/>
      <c r="K97" s="583"/>
      <c r="L97" s="583"/>
      <c r="M97" s="583"/>
      <c r="N97" s="583"/>
      <c r="O97" s="583"/>
      <c r="P97" s="583"/>
      <c r="Q97" s="583"/>
      <c r="R97" s="583"/>
      <c r="S97" s="583"/>
      <c r="T97" s="583"/>
      <c r="U97" s="584"/>
      <c r="V97" s="583"/>
      <c r="W97" s="583"/>
      <c r="X97" s="578"/>
      <c r="Z97" s="547"/>
      <c r="AA97" s="548"/>
      <c r="AB97" s="583"/>
      <c r="AC97" s="553"/>
      <c r="AF97" s="583"/>
    </row>
    <row r="98" spans="3:32" ht="23.25">
      <c r="D98" s="727" t="s">
        <v>780</v>
      </c>
      <c r="E98" s="581"/>
      <c r="F98" s="582"/>
      <c r="G98" s="583"/>
      <c r="H98" s="583"/>
      <c r="I98" s="583"/>
      <c r="J98" s="583"/>
      <c r="K98" s="583"/>
      <c r="L98" s="583"/>
      <c r="M98" s="583"/>
      <c r="N98" s="583"/>
      <c r="O98" s="583"/>
      <c r="P98" s="583"/>
      <c r="Q98" s="583"/>
      <c r="R98" s="583"/>
      <c r="S98" s="583"/>
      <c r="T98" s="583"/>
      <c r="U98" s="584"/>
      <c r="V98" s="583"/>
      <c r="W98" s="583"/>
      <c r="X98" s="578"/>
      <c r="Z98" s="547"/>
      <c r="AA98" s="548"/>
      <c r="AB98" s="553"/>
      <c r="AC98" s="553"/>
      <c r="AF98" s="553"/>
    </row>
    <row r="99" spans="3:32" ht="12" customHeight="1">
      <c r="D99" s="585"/>
      <c r="F99" s="599"/>
      <c r="G99" s="575"/>
      <c r="H99" s="575"/>
      <c r="I99" s="575"/>
      <c r="J99" s="575"/>
      <c r="K99" s="575"/>
      <c r="L99" s="575"/>
      <c r="M99" s="575"/>
      <c r="N99" s="575"/>
      <c r="O99" s="575"/>
      <c r="P99" s="575"/>
      <c r="Q99" s="575"/>
      <c r="R99" s="575"/>
      <c r="S99" s="575"/>
      <c r="T99" s="575"/>
      <c r="U99" s="700"/>
      <c r="V99" s="575"/>
      <c r="W99" s="575"/>
      <c r="X99" s="580"/>
      <c r="Z99" s="547"/>
      <c r="AA99" s="548"/>
      <c r="AB99" s="553"/>
      <c r="AC99" s="553"/>
      <c r="AF99" s="553"/>
    </row>
    <row r="100" spans="3:32" ht="18" customHeight="1">
      <c r="D100" s="725" t="s">
        <v>781</v>
      </c>
      <c r="E100" s="712"/>
      <c r="F100" s="542">
        <v>0</v>
      </c>
      <c r="G100" s="542"/>
      <c r="H100" s="542"/>
      <c r="I100" s="542"/>
      <c r="J100" s="865"/>
      <c r="K100" s="543"/>
      <c r="L100" s="543"/>
      <c r="M100" s="543"/>
      <c r="N100" s="543"/>
      <c r="O100" s="543"/>
      <c r="P100" s="543"/>
      <c r="Q100" s="543"/>
      <c r="R100" s="543"/>
      <c r="S100" s="714">
        <f>J100</f>
        <v>0</v>
      </c>
      <c r="T100" s="544"/>
      <c r="U100" s="566"/>
      <c r="V100" s="567"/>
      <c r="W100" s="544"/>
      <c r="X100" s="725" t="s">
        <v>782</v>
      </c>
      <c r="Y100" s="864" t="s">
        <v>596</v>
      </c>
      <c r="AA100" s="529"/>
      <c r="AB100" s="543">
        <v>0</v>
      </c>
      <c r="AC100" s="549"/>
      <c r="AF100" s="543">
        <v>0</v>
      </c>
    </row>
    <row r="101" spans="3:32" ht="18" customHeight="1">
      <c r="D101" s="565"/>
      <c r="E101" s="726" t="s">
        <v>783</v>
      </c>
      <c r="F101" s="600"/>
      <c r="G101" s="600"/>
      <c r="H101" s="600"/>
      <c r="I101" s="600"/>
      <c r="J101" s="600"/>
      <c r="K101" s="600"/>
      <c r="L101" s="600"/>
      <c r="M101" s="600"/>
      <c r="N101" s="600"/>
      <c r="O101" s="600"/>
      <c r="P101" s="600"/>
      <c r="Q101" s="600"/>
      <c r="R101" s="600"/>
      <c r="S101" s="600"/>
      <c r="T101" s="560"/>
      <c r="U101" s="561"/>
      <c r="V101" s="601"/>
      <c r="W101" s="560"/>
      <c r="X101" s="551"/>
      <c r="Z101" s="547"/>
      <c r="AA101" s="548"/>
      <c r="AB101" s="600"/>
      <c r="AC101" s="595"/>
      <c r="AF101" s="600"/>
    </row>
    <row r="102" spans="3:32" ht="18" customHeight="1">
      <c r="C102" s="565" t="s">
        <v>784</v>
      </c>
      <c r="D102" s="717" t="s">
        <v>785</v>
      </c>
      <c r="E102" s="716" t="s">
        <v>786</v>
      </c>
      <c r="F102" s="556">
        <v>0</v>
      </c>
      <c r="G102" s="557"/>
      <c r="H102" s="557"/>
      <c r="I102" s="558">
        <f t="shared" ref="I102:I103" si="30">G102+H102</f>
        <v>0</v>
      </c>
      <c r="J102" s="718"/>
      <c r="K102" s="719"/>
      <c r="L102" s="556">
        <f>J102+K102</f>
        <v>0</v>
      </c>
      <c r="M102" s="556">
        <v>0</v>
      </c>
      <c r="N102" s="559"/>
      <c r="O102" s="559"/>
      <c r="P102" s="556">
        <v>0</v>
      </c>
      <c r="Q102" s="556"/>
      <c r="R102" s="556"/>
      <c r="S102" s="718">
        <f t="shared" ref="S102:S103" si="31">J102+K102</f>
        <v>0</v>
      </c>
      <c r="T102" s="560" t="str">
        <f>IFERROR((S102/G102),"")</f>
        <v/>
      </c>
      <c r="U102" s="720" t="str">
        <f t="shared" ref="U102:U103" si="32">IFERROR(+S102/$S$69,"")</f>
        <v/>
      </c>
      <c r="V102" s="562"/>
      <c r="W102" s="556">
        <f>I102-V102</f>
        <v>0</v>
      </c>
      <c r="X102" s="721"/>
      <c r="Z102" s="547"/>
      <c r="AA102" s="548"/>
      <c r="AB102" s="556"/>
      <c r="AC102" s="564"/>
      <c r="AF102" s="556">
        <v>0</v>
      </c>
    </row>
    <row r="103" spans="3:32" ht="18" customHeight="1">
      <c r="C103" s="565" t="s">
        <v>787</v>
      </c>
      <c r="D103" s="717" t="s">
        <v>788</v>
      </c>
      <c r="E103" s="716" t="s">
        <v>789</v>
      </c>
      <c r="F103" s="556">
        <v>0</v>
      </c>
      <c r="G103" s="557"/>
      <c r="H103" s="557"/>
      <c r="I103" s="558">
        <f t="shared" si="30"/>
        <v>0</v>
      </c>
      <c r="J103" s="718"/>
      <c r="K103" s="719"/>
      <c r="L103" s="556">
        <f>J103+K103</f>
        <v>0</v>
      </c>
      <c r="M103" s="556">
        <v>0</v>
      </c>
      <c r="N103" s="559"/>
      <c r="O103" s="559"/>
      <c r="P103" s="556">
        <v>0</v>
      </c>
      <c r="Q103" s="556"/>
      <c r="R103" s="556"/>
      <c r="S103" s="718">
        <f t="shared" si="31"/>
        <v>0</v>
      </c>
      <c r="T103" s="560" t="str">
        <f>IFERROR((S103/G103),"")</f>
        <v/>
      </c>
      <c r="U103" s="720" t="str">
        <f t="shared" si="32"/>
        <v/>
      </c>
      <c r="V103" s="562"/>
      <c r="W103" s="556">
        <f>I103-V103</f>
        <v>0</v>
      </c>
      <c r="X103" s="721"/>
      <c r="Z103" s="547"/>
      <c r="AA103" s="548"/>
      <c r="AB103" s="556"/>
      <c r="AC103" s="564"/>
      <c r="AF103" s="556">
        <v>0</v>
      </c>
    </row>
    <row r="104" spans="3:32" ht="18" customHeight="1">
      <c r="D104" s="724" t="s">
        <v>790</v>
      </c>
      <c r="E104" s="724"/>
      <c r="F104" s="543">
        <f>SUM(F102:F103)</f>
        <v>0</v>
      </c>
      <c r="G104" s="543">
        <f>SUM(G102:G103)</f>
        <v>0</v>
      </c>
      <c r="H104" s="543">
        <f>SUM(H102:H103)</f>
        <v>0</v>
      </c>
      <c r="I104" s="543"/>
      <c r="J104" s="543">
        <f t="shared" ref="J104:Q104" si="33">SUM(J102:J103)</f>
        <v>0</v>
      </c>
      <c r="K104" s="543">
        <f t="shared" si="33"/>
        <v>0</v>
      </c>
      <c r="L104" s="543">
        <f t="shared" si="33"/>
        <v>0</v>
      </c>
      <c r="M104" s="543">
        <f t="shared" si="33"/>
        <v>0</v>
      </c>
      <c r="N104" s="543">
        <f t="shared" si="33"/>
        <v>0</v>
      </c>
      <c r="O104" s="543">
        <f t="shared" si="33"/>
        <v>0</v>
      </c>
      <c r="P104" s="543">
        <f t="shared" si="33"/>
        <v>0</v>
      </c>
      <c r="Q104" s="543">
        <f t="shared" si="33"/>
        <v>0</v>
      </c>
      <c r="R104" s="543"/>
      <c r="S104" s="543">
        <f>SUM(S102:S103)</f>
        <v>0</v>
      </c>
      <c r="T104" s="543">
        <f>SUM(T102:T103)</f>
        <v>0</v>
      </c>
      <c r="U104" s="566"/>
      <c r="V104" s="567">
        <f>SUM(V102:V103)</f>
        <v>0</v>
      </c>
      <c r="W104" s="543"/>
      <c r="X104" s="546"/>
      <c r="AA104" s="529"/>
      <c r="AB104" s="543">
        <v>0</v>
      </c>
      <c r="AC104" s="549"/>
      <c r="AF104" s="543">
        <v>0</v>
      </c>
    </row>
    <row r="105" spans="3:32" ht="18" customHeight="1">
      <c r="D105" s="565"/>
      <c r="E105" s="726" t="s">
        <v>791</v>
      </c>
      <c r="F105" s="600"/>
      <c r="G105" s="600"/>
      <c r="H105" s="600"/>
      <c r="I105" s="600"/>
      <c r="J105" s="600"/>
      <c r="K105" s="600"/>
      <c r="L105" s="600"/>
      <c r="M105" s="600"/>
      <c r="N105" s="600"/>
      <c r="O105" s="600"/>
      <c r="P105" s="600"/>
      <c r="Q105" s="600"/>
      <c r="R105" s="600"/>
      <c r="S105" s="600"/>
      <c r="T105" s="600" t="str">
        <f>IFERROR((S105/I105),"")</f>
        <v/>
      </c>
      <c r="U105" s="602"/>
      <c r="V105" s="601"/>
      <c r="W105" s="600"/>
      <c r="X105" s="551"/>
      <c r="AA105" s="529"/>
      <c r="AB105" s="600"/>
      <c r="AC105" s="595"/>
      <c r="AF105" s="600"/>
    </row>
    <row r="106" spans="3:32" ht="18" customHeight="1">
      <c r="C106" s="565" t="s">
        <v>792</v>
      </c>
      <c r="D106" s="717" t="s">
        <v>793</v>
      </c>
      <c r="E106" s="716" t="s">
        <v>794</v>
      </c>
      <c r="F106" s="556">
        <v>0</v>
      </c>
      <c r="G106" s="557"/>
      <c r="H106" s="557"/>
      <c r="I106" s="558">
        <f t="shared" ref="I106:I107" si="34">G106+H106</f>
        <v>0</v>
      </c>
      <c r="J106" s="718"/>
      <c r="K106" s="719"/>
      <c r="L106" s="556">
        <f>J106+K106</f>
        <v>0</v>
      </c>
      <c r="M106" s="559"/>
      <c r="N106" s="556">
        <v>0</v>
      </c>
      <c r="O106" s="556">
        <v>0</v>
      </c>
      <c r="P106" s="559"/>
      <c r="Q106" s="556"/>
      <c r="R106" s="556"/>
      <c r="S106" s="718">
        <f t="shared" ref="S106:S107" si="35">J106+K106</f>
        <v>0</v>
      </c>
      <c r="T106" s="560" t="str">
        <f>IFERROR((S106/G106),"")</f>
        <v/>
      </c>
      <c r="U106" s="720" t="str">
        <f t="shared" ref="U106:U107" si="36">IFERROR(+S106/$S$69,"")</f>
        <v/>
      </c>
      <c r="V106" s="562"/>
      <c r="W106" s="556">
        <f>I106-V106</f>
        <v>0</v>
      </c>
      <c r="X106" s="721"/>
      <c r="Z106" s="547"/>
      <c r="AA106" s="548"/>
      <c r="AB106" s="556"/>
      <c r="AC106" s="564"/>
      <c r="AF106" s="556">
        <v>0</v>
      </c>
    </row>
    <row r="107" spans="3:32" ht="18" customHeight="1">
      <c r="C107" s="565" t="s">
        <v>795</v>
      </c>
      <c r="D107" s="717" t="s">
        <v>796</v>
      </c>
      <c r="E107" s="716" t="s">
        <v>797</v>
      </c>
      <c r="F107" s="556">
        <v>0</v>
      </c>
      <c r="G107" s="557"/>
      <c r="H107" s="557"/>
      <c r="I107" s="558">
        <f t="shared" si="34"/>
        <v>0</v>
      </c>
      <c r="J107" s="718"/>
      <c r="K107" s="719"/>
      <c r="L107" s="556">
        <f>J107+K107</f>
        <v>0</v>
      </c>
      <c r="M107" s="559"/>
      <c r="N107" s="556">
        <v>0</v>
      </c>
      <c r="O107" s="556">
        <v>0</v>
      </c>
      <c r="P107" s="559"/>
      <c r="Q107" s="556"/>
      <c r="R107" s="556"/>
      <c r="S107" s="718">
        <f t="shared" si="35"/>
        <v>0</v>
      </c>
      <c r="T107" s="560" t="str">
        <f>IFERROR((S107/G107),"")</f>
        <v/>
      </c>
      <c r="U107" s="720" t="str">
        <f t="shared" si="36"/>
        <v/>
      </c>
      <c r="V107" s="562"/>
      <c r="W107" s="556">
        <f>I107-V107</f>
        <v>0</v>
      </c>
      <c r="X107" s="721"/>
      <c r="Z107" s="547"/>
      <c r="AA107" s="548"/>
      <c r="AB107" s="556"/>
      <c r="AC107" s="564"/>
      <c r="AF107" s="556">
        <v>0</v>
      </c>
    </row>
    <row r="108" spans="3:32" ht="18" customHeight="1">
      <c r="D108" s="724" t="s">
        <v>798</v>
      </c>
      <c r="E108" s="724"/>
      <c r="F108" s="543">
        <f t="shared" ref="F108:Q108" si="37">SUM(F106:F107)</f>
        <v>0</v>
      </c>
      <c r="G108" s="543">
        <f t="shared" si="37"/>
        <v>0</v>
      </c>
      <c r="H108" s="543">
        <f t="shared" si="37"/>
        <v>0</v>
      </c>
      <c r="I108" s="543">
        <f t="shared" si="37"/>
        <v>0</v>
      </c>
      <c r="J108" s="714">
        <f t="shared" si="37"/>
        <v>0</v>
      </c>
      <c r="K108" s="543">
        <f t="shared" si="37"/>
        <v>0</v>
      </c>
      <c r="L108" s="543">
        <f t="shared" si="37"/>
        <v>0</v>
      </c>
      <c r="M108" s="543">
        <f t="shared" si="37"/>
        <v>0</v>
      </c>
      <c r="N108" s="543">
        <f t="shared" si="37"/>
        <v>0</v>
      </c>
      <c r="O108" s="543">
        <f t="shared" si="37"/>
        <v>0</v>
      </c>
      <c r="P108" s="543">
        <f t="shared" si="37"/>
        <v>0</v>
      </c>
      <c r="Q108" s="543">
        <f t="shared" si="37"/>
        <v>0</v>
      </c>
      <c r="R108" s="543"/>
      <c r="S108" s="714">
        <f>SUM(S106:S107)</f>
        <v>0</v>
      </c>
      <c r="T108" s="543">
        <f>SUM(T106:T107)</f>
        <v>0</v>
      </c>
      <c r="U108" s="566"/>
      <c r="V108" s="567">
        <f>SUM(V106:V107)</f>
        <v>0</v>
      </c>
      <c r="W108" s="543">
        <f>SUM(W106:W107)</f>
        <v>0</v>
      </c>
      <c r="X108" s="546"/>
      <c r="AA108" s="529"/>
      <c r="AB108" s="543">
        <v>0</v>
      </c>
      <c r="AC108" s="549"/>
      <c r="AF108" s="543">
        <v>0</v>
      </c>
    </row>
    <row r="109" spans="3:32" ht="18" customHeight="1">
      <c r="D109" s="603"/>
      <c r="F109" s="604"/>
      <c r="G109" s="604"/>
      <c r="H109" s="604"/>
      <c r="I109" s="604"/>
      <c r="U109" s="605"/>
      <c r="X109" s="627"/>
    </row>
    <row r="110" spans="3:32" ht="18" customHeight="1">
      <c r="D110" s="724" t="s">
        <v>799</v>
      </c>
      <c r="E110" s="724"/>
      <c r="F110" s="543">
        <f t="shared" ref="F110:Q110" si="38">F104-F108</f>
        <v>0</v>
      </c>
      <c r="G110" s="543">
        <f t="shared" si="38"/>
        <v>0</v>
      </c>
      <c r="H110" s="543">
        <f t="shared" si="38"/>
        <v>0</v>
      </c>
      <c r="I110" s="543">
        <f t="shared" si="38"/>
        <v>0</v>
      </c>
      <c r="J110" s="714">
        <f t="shared" si="38"/>
        <v>0</v>
      </c>
      <c r="K110" s="543">
        <f t="shared" si="38"/>
        <v>0</v>
      </c>
      <c r="L110" s="543">
        <f t="shared" si="38"/>
        <v>0</v>
      </c>
      <c r="M110" s="543">
        <f t="shared" si="38"/>
        <v>0</v>
      </c>
      <c r="N110" s="543">
        <f t="shared" si="38"/>
        <v>0</v>
      </c>
      <c r="O110" s="543">
        <f t="shared" si="38"/>
        <v>0</v>
      </c>
      <c r="P110" s="543">
        <f t="shared" si="38"/>
        <v>0</v>
      </c>
      <c r="Q110" s="543">
        <f t="shared" si="38"/>
        <v>0</v>
      </c>
      <c r="R110" s="543"/>
      <c r="S110" s="714">
        <f>S104-S108</f>
        <v>0</v>
      </c>
      <c r="T110" s="543">
        <f>T104-T108</f>
        <v>0</v>
      </c>
      <c r="U110" s="566"/>
      <c r="V110" s="567">
        <f>V104-V108</f>
        <v>0</v>
      </c>
      <c r="W110" s="543">
        <f>W104-W108</f>
        <v>0</v>
      </c>
      <c r="X110" s="579"/>
      <c r="AA110" s="529"/>
      <c r="AB110" s="543">
        <v>0</v>
      </c>
      <c r="AC110" s="549"/>
      <c r="AF110" s="543">
        <v>0</v>
      </c>
    </row>
    <row r="111" spans="3:32" ht="18" customHeight="1">
      <c r="D111" s="565"/>
      <c r="E111" s="555"/>
      <c r="F111" s="589"/>
      <c r="G111" s="589"/>
      <c r="H111" s="589"/>
      <c r="I111" s="589"/>
      <c r="J111" s="589"/>
      <c r="K111" s="589"/>
      <c r="L111" s="589"/>
      <c r="M111" s="589"/>
      <c r="N111" s="589"/>
      <c r="O111" s="589"/>
      <c r="P111" s="589"/>
      <c r="Q111" s="589"/>
      <c r="R111" s="589"/>
      <c r="S111" s="589"/>
      <c r="T111" s="589"/>
      <c r="U111" s="569"/>
      <c r="V111" s="590"/>
      <c r="W111" s="589"/>
      <c r="X111" s="551"/>
      <c r="Z111" s="547"/>
      <c r="AA111" s="548"/>
      <c r="AB111" s="589"/>
      <c r="AC111" s="591"/>
      <c r="AF111" s="589"/>
    </row>
    <row r="112" spans="3:32" ht="18" customHeight="1">
      <c r="D112" s="724" t="s">
        <v>800</v>
      </c>
      <c r="E112" s="724"/>
      <c r="F112" s="543">
        <f t="shared" ref="F112:Q112" si="39">F100+F110</f>
        <v>0</v>
      </c>
      <c r="G112" s="543">
        <f t="shared" si="39"/>
        <v>0</v>
      </c>
      <c r="H112" s="543">
        <f t="shared" si="39"/>
        <v>0</v>
      </c>
      <c r="I112" s="543">
        <f t="shared" si="39"/>
        <v>0</v>
      </c>
      <c r="J112" s="714">
        <f t="shared" si="39"/>
        <v>0</v>
      </c>
      <c r="K112" s="543">
        <f t="shared" si="39"/>
        <v>0</v>
      </c>
      <c r="L112" s="543">
        <f t="shared" si="39"/>
        <v>0</v>
      </c>
      <c r="M112" s="543">
        <f t="shared" si="39"/>
        <v>0</v>
      </c>
      <c r="N112" s="543">
        <f t="shared" si="39"/>
        <v>0</v>
      </c>
      <c r="O112" s="543">
        <f t="shared" si="39"/>
        <v>0</v>
      </c>
      <c r="P112" s="543">
        <f t="shared" si="39"/>
        <v>0</v>
      </c>
      <c r="Q112" s="543">
        <f t="shared" si="39"/>
        <v>0</v>
      </c>
      <c r="R112" s="543"/>
      <c r="S112" s="714">
        <f>S100+S110</f>
        <v>0</v>
      </c>
      <c r="T112" s="543">
        <f>T100+T110</f>
        <v>0</v>
      </c>
      <c r="U112" s="566"/>
      <c r="V112" s="567">
        <f>V100+V110</f>
        <v>0</v>
      </c>
      <c r="W112" s="543">
        <f>W100+W110</f>
        <v>0</v>
      </c>
      <c r="X112" s="579"/>
      <c r="AA112" s="529"/>
      <c r="AB112" s="543">
        <v>0</v>
      </c>
      <c r="AC112" s="549"/>
      <c r="AF112" s="543">
        <v>0</v>
      </c>
    </row>
    <row r="113" spans="1:34">
      <c r="U113" s="598"/>
    </row>
    <row r="114" spans="1:34">
      <c r="U114" s="598"/>
    </row>
    <row r="115" spans="1:34" ht="23.25">
      <c r="D115" s="727" t="s">
        <v>801</v>
      </c>
      <c r="E115" s="581"/>
      <c r="F115" s="607"/>
      <c r="G115" s="607"/>
      <c r="H115" s="607"/>
      <c r="I115" s="607"/>
      <c r="J115" s="581"/>
      <c r="K115" s="581"/>
      <c r="L115" s="581"/>
      <c r="M115" s="581"/>
      <c r="N115" s="581"/>
      <c r="O115" s="581"/>
      <c r="P115" s="581"/>
      <c r="Q115" s="581"/>
      <c r="R115" s="581"/>
      <c r="S115" s="581"/>
      <c r="T115" s="581"/>
      <c r="U115" s="699"/>
      <c r="V115" s="581"/>
      <c r="W115" s="581"/>
      <c r="X115" s="687"/>
    </row>
    <row r="116" spans="1:34" ht="12" customHeight="1">
      <c r="D116" s="585"/>
      <c r="E116" s="586"/>
      <c r="F116" s="587"/>
      <c r="G116" s="588"/>
      <c r="H116" s="588"/>
      <c r="I116" s="588"/>
      <c r="J116" s="588"/>
      <c r="K116" s="588"/>
      <c r="L116" s="588"/>
      <c r="M116" s="588"/>
      <c r="N116" s="588"/>
      <c r="O116" s="588"/>
      <c r="P116" s="588"/>
      <c r="Q116" s="588"/>
      <c r="R116" s="588"/>
      <c r="S116" s="588"/>
      <c r="T116" s="588"/>
      <c r="U116" s="700"/>
      <c r="V116" s="588"/>
      <c r="W116" s="588"/>
      <c r="X116" s="580"/>
      <c r="Z116" s="547"/>
      <c r="AA116" s="548"/>
      <c r="AB116" s="588"/>
      <c r="AC116" s="553"/>
      <c r="AF116" s="588"/>
    </row>
    <row r="117" spans="1:34" ht="18" hidden="1">
      <c r="D117" s="585"/>
      <c r="E117" s="523"/>
      <c r="F117" s="575"/>
      <c r="G117" s="575"/>
      <c r="H117" s="575"/>
      <c r="I117" s="575"/>
      <c r="J117" s="575"/>
      <c r="K117" s="575"/>
      <c r="L117" s="575"/>
      <c r="M117" s="575"/>
      <c r="N117" s="575"/>
      <c r="O117" s="575"/>
      <c r="P117" s="575"/>
      <c r="Q117" s="575"/>
      <c r="R117" s="575"/>
      <c r="S117" s="575"/>
      <c r="T117" s="575"/>
      <c r="U117" s="577"/>
      <c r="V117" s="575"/>
      <c r="W117" s="575"/>
      <c r="X117" s="580"/>
      <c r="AA117" s="529"/>
      <c r="AB117" s="553"/>
      <c r="AC117" s="553"/>
      <c r="AF117" s="553"/>
    </row>
    <row r="118" spans="1:34" ht="18" customHeight="1">
      <c r="D118" s="608"/>
      <c r="E118" s="726" t="s">
        <v>802</v>
      </c>
      <c r="F118" s="609"/>
      <c r="G118" s="610"/>
      <c r="H118" s="609"/>
      <c r="I118" s="609"/>
      <c r="J118" s="609"/>
      <c r="K118" s="609"/>
      <c r="L118" s="609"/>
      <c r="M118" s="609"/>
      <c r="N118" s="609"/>
      <c r="O118" s="609"/>
      <c r="P118" s="609"/>
      <c r="Q118" s="609"/>
      <c r="R118" s="609"/>
      <c r="S118" s="609"/>
      <c r="T118" s="609"/>
      <c r="U118" s="611"/>
      <c r="V118" s="612"/>
      <c r="W118" s="609"/>
      <c r="X118" s="609"/>
      <c r="AA118" s="529"/>
      <c r="AB118" s="613"/>
      <c r="AC118" s="599"/>
      <c r="AF118" s="613"/>
    </row>
    <row r="119" spans="1:34" ht="18" customHeight="1">
      <c r="C119" s="565"/>
      <c r="D119" s="717" t="s">
        <v>803</v>
      </c>
      <c r="E119" s="716" t="s">
        <v>804</v>
      </c>
      <c r="F119" s="556">
        <f>F73</f>
        <v>0</v>
      </c>
      <c r="G119" s="557"/>
      <c r="H119" s="557"/>
      <c r="I119" s="557"/>
      <c r="J119" s="718">
        <f>J73</f>
        <v>0</v>
      </c>
      <c r="K119" s="718">
        <f>K73</f>
        <v>0</v>
      </c>
      <c r="L119" s="556">
        <f>J119+K119</f>
        <v>0</v>
      </c>
      <c r="M119" s="556"/>
      <c r="N119" s="556"/>
      <c r="O119" s="556"/>
      <c r="P119" s="556"/>
      <c r="Q119" s="556" t="e">
        <f>SUMIF(#REF!,D119,#REF!)</f>
        <v>#REF!</v>
      </c>
      <c r="R119" s="556"/>
      <c r="S119" s="718">
        <f>S73</f>
        <v>0</v>
      </c>
      <c r="T119" s="560" t="str">
        <f>IFERROR((S119/G119),"")</f>
        <v/>
      </c>
      <c r="U119" s="720" t="str">
        <f>IFERROR(+S119/S30,"")</f>
        <v/>
      </c>
      <c r="V119" s="552">
        <f>V73</f>
        <v>0</v>
      </c>
      <c r="W119" s="558">
        <f>I119-V119</f>
        <v>0</v>
      </c>
      <c r="X119" s="721"/>
      <c r="AA119" s="529"/>
      <c r="AB119" s="556">
        <v>0</v>
      </c>
      <c r="AC119" s="564"/>
      <c r="AF119" s="556">
        <v>0</v>
      </c>
    </row>
    <row r="120" spans="1:34" ht="18" customHeight="1">
      <c r="C120" s="565"/>
      <c r="D120" s="717" t="s">
        <v>805</v>
      </c>
      <c r="E120" s="716" t="s">
        <v>806</v>
      </c>
      <c r="F120" s="556"/>
      <c r="G120" s="557"/>
      <c r="H120" s="557"/>
      <c r="I120" s="557"/>
      <c r="J120" s="556"/>
      <c r="K120" s="511"/>
      <c r="L120" s="556">
        <f>J120+K120</f>
        <v>0</v>
      </c>
      <c r="M120" s="556"/>
      <c r="N120" s="556"/>
      <c r="O120" s="556"/>
      <c r="P120" s="556"/>
      <c r="Q120" s="556" t="e">
        <f>SUMIF(#REF!,D120,#REF!)</f>
        <v>#REF!</v>
      </c>
      <c r="R120" s="556"/>
      <c r="S120" s="718"/>
      <c r="T120" s="560" t="str">
        <f>IFERROR((S120/G120),"")</f>
        <v/>
      </c>
      <c r="U120" s="720"/>
      <c r="V120" s="552"/>
      <c r="W120" s="558">
        <f>I120-V120</f>
        <v>0</v>
      </c>
      <c r="X120" s="721"/>
      <c r="AA120" s="529"/>
      <c r="AB120" s="556"/>
      <c r="AC120" s="564"/>
      <c r="AF120" s="556">
        <v>0</v>
      </c>
    </row>
    <row r="121" spans="1:34" ht="18" customHeight="1">
      <c r="C121" s="565"/>
      <c r="D121" s="717" t="s">
        <v>807</v>
      </c>
      <c r="E121" s="716" t="s">
        <v>808</v>
      </c>
      <c r="F121" s="556">
        <f>F96</f>
        <v>0</v>
      </c>
      <c r="G121" s="557"/>
      <c r="H121" s="614"/>
      <c r="I121" s="614"/>
      <c r="J121" s="718">
        <f>J96</f>
        <v>0</v>
      </c>
      <c r="K121" s="718">
        <f>K96</f>
        <v>0</v>
      </c>
      <c r="L121" s="556">
        <f>J121+K121</f>
        <v>0</v>
      </c>
      <c r="M121" s="556"/>
      <c r="N121" s="556"/>
      <c r="O121" s="556"/>
      <c r="P121" s="556"/>
      <c r="Q121" s="556" t="e">
        <f>SUMIF(#REF!,D121,#REF!)</f>
        <v>#REF!</v>
      </c>
      <c r="R121" s="556"/>
      <c r="S121" s="718">
        <f>S96</f>
        <v>0</v>
      </c>
      <c r="T121" s="560" t="str">
        <f>IFERROR((S121/G121),"")</f>
        <v/>
      </c>
      <c r="U121" s="720" t="str">
        <f>IFERROR(+S121/S82,"")</f>
        <v/>
      </c>
      <c r="V121" s="552">
        <f>V96</f>
        <v>0</v>
      </c>
      <c r="W121" s="558">
        <f>I121-V121</f>
        <v>0</v>
      </c>
      <c r="X121" s="721"/>
      <c r="AA121" s="529"/>
      <c r="AB121" s="556">
        <v>0</v>
      </c>
      <c r="AC121" s="564"/>
      <c r="AF121" s="556">
        <v>0</v>
      </c>
    </row>
    <row r="122" spans="1:34" ht="18" customHeight="1">
      <c r="C122" s="565"/>
      <c r="D122" s="717" t="s">
        <v>809</v>
      </c>
      <c r="E122" s="716" t="s">
        <v>810</v>
      </c>
      <c r="F122" s="556"/>
      <c r="G122" s="557"/>
      <c r="H122" s="557"/>
      <c r="I122" s="557"/>
      <c r="J122" s="556"/>
      <c r="K122" s="511"/>
      <c r="L122" s="556">
        <f>J122+K122</f>
        <v>0</v>
      </c>
      <c r="M122" s="556"/>
      <c r="N122" s="556"/>
      <c r="O122" s="556"/>
      <c r="P122" s="556"/>
      <c r="Q122" s="556" t="e">
        <f>SUMIF(#REF!,D122,#REF!)</f>
        <v>#REF!</v>
      </c>
      <c r="R122" s="556"/>
      <c r="S122" s="718"/>
      <c r="T122" s="560" t="str">
        <f>IFERROR((S122/G122),"")</f>
        <v/>
      </c>
      <c r="U122" s="720"/>
      <c r="V122" s="552"/>
      <c r="W122" s="558">
        <f>I122-V122</f>
        <v>0</v>
      </c>
      <c r="X122" s="721"/>
      <c r="AA122" s="529"/>
      <c r="AB122" s="556"/>
      <c r="AC122" s="564"/>
      <c r="AF122" s="556"/>
    </row>
    <row r="123" spans="1:34" ht="18" customHeight="1">
      <c r="C123" s="565"/>
      <c r="D123" s="717" t="s">
        <v>811</v>
      </c>
      <c r="E123" s="716" t="s">
        <v>812</v>
      </c>
      <c r="F123" s="556">
        <f>F112</f>
        <v>0</v>
      </c>
      <c r="G123" s="557"/>
      <c r="H123" s="614"/>
      <c r="I123" s="614"/>
      <c r="J123" s="556"/>
      <c r="K123" s="511"/>
      <c r="L123" s="556"/>
      <c r="M123" s="556"/>
      <c r="N123" s="556"/>
      <c r="O123" s="556"/>
      <c r="P123" s="614"/>
      <c r="Q123" s="614"/>
      <c r="R123" s="614"/>
      <c r="S123" s="718">
        <f>S112</f>
        <v>0</v>
      </c>
      <c r="T123" s="560" t="str">
        <f>IFERROR((S123/G123),"")</f>
        <v/>
      </c>
      <c r="U123" s="720"/>
      <c r="V123" s="552">
        <f>V112</f>
        <v>0</v>
      </c>
      <c r="W123" s="558">
        <f>I123-V123</f>
        <v>0</v>
      </c>
      <c r="X123" s="721"/>
      <c r="AA123" s="529"/>
      <c r="AB123" s="556">
        <v>0</v>
      </c>
      <c r="AC123" s="564"/>
      <c r="AF123" s="556">
        <v>0</v>
      </c>
    </row>
    <row r="124" spans="1:34" ht="18" customHeight="1">
      <c r="D124" s="724" t="s">
        <v>813</v>
      </c>
      <c r="E124" s="724"/>
      <c r="F124" s="543">
        <f>SUM(F119:F123)</f>
        <v>0</v>
      </c>
      <c r="G124" s="543">
        <f>SUM(G119:G123)</f>
        <v>0</v>
      </c>
      <c r="H124" s="543">
        <f t="shared" ref="H124:W124" si="40">SUM(H119:H123)</f>
        <v>0</v>
      </c>
      <c r="I124" s="543">
        <f t="shared" si="40"/>
        <v>0</v>
      </c>
      <c r="J124" s="714">
        <f t="shared" si="40"/>
        <v>0</v>
      </c>
      <c r="K124" s="714">
        <f t="shared" si="40"/>
        <v>0</v>
      </c>
      <c r="L124" s="714">
        <f t="shared" si="40"/>
        <v>0</v>
      </c>
      <c r="M124" s="714">
        <f t="shared" si="40"/>
        <v>0</v>
      </c>
      <c r="N124" s="714">
        <f t="shared" si="40"/>
        <v>0</v>
      </c>
      <c r="O124" s="714">
        <f t="shared" si="40"/>
        <v>0</v>
      </c>
      <c r="P124" s="714">
        <f t="shared" si="40"/>
        <v>0</v>
      </c>
      <c r="Q124" s="714" t="e">
        <f t="shared" si="40"/>
        <v>#REF!</v>
      </c>
      <c r="R124" s="714"/>
      <c r="S124" s="714">
        <f t="shared" si="40"/>
        <v>0</v>
      </c>
      <c r="T124" s="543"/>
      <c r="U124" s="566"/>
      <c r="V124" s="567">
        <f>SUM(V119:V123)</f>
        <v>0</v>
      </c>
      <c r="W124" s="543">
        <f t="shared" si="40"/>
        <v>0</v>
      </c>
      <c r="X124" s="579"/>
      <c r="AA124" s="529"/>
      <c r="AB124" s="543">
        <v>0</v>
      </c>
      <c r="AC124" s="549"/>
      <c r="AF124" s="543">
        <v>0</v>
      </c>
      <c r="AG124" s="549"/>
      <c r="AH124" s="549"/>
    </row>
    <row r="125" spans="1:34">
      <c r="D125" s="702"/>
      <c r="E125" s="581"/>
      <c r="F125" s="607"/>
      <c r="G125" s="607"/>
      <c r="H125" s="607"/>
      <c r="I125" s="607"/>
      <c r="J125" s="607"/>
      <c r="K125" s="607"/>
      <c r="L125" s="607"/>
      <c r="M125" s="607"/>
      <c r="N125" s="607"/>
      <c r="O125" s="607"/>
      <c r="P125" s="607"/>
      <c r="Q125" s="607"/>
      <c r="R125" s="607"/>
      <c r="S125" s="607"/>
      <c r="T125" s="607"/>
      <c r="U125" s="607"/>
      <c r="V125" s="607"/>
      <c r="W125" s="607"/>
      <c r="X125" s="581"/>
      <c r="AA125" s="529"/>
      <c r="AB125" s="607"/>
      <c r="AC125" s="591"/>
      <c r="AF125" s="607">
        <v>0</v>
      </c>
      <c r="AG125" s="591"/>
      <c r="AH125" s="591"/>
    </row>
    <row r="126" spans="1:34" s="547" customFormat="1">
      <c r="A126" s="416"/>
      <c r="D126" s="606"/>
      <c r="E126" s="615"/>
      <c r="F126" s="616"/>
      <c r="G126" s="617"/>
      <c r="H126" s="617"/>
      <c r="I126" s="617"/>
      <c r="J126" s="618"/>
      <c r="K126" s="618"/>
      <c r="L126" s="618"/>
      <c r="M126" s="618"/>
      <c r="N126" s="618"/>
      <c r="O126" s="618"/>
      <c r="P126" s="618"/>
      <c r="Q126" s="618"/>
      <c r="R126" s="618"/>
      <c r="S126" s="618"/>
      <c r="T126" s="616"/>
      <c r="U126" s="616"/>
      <c r="V126" s="616"/>
      <c r="W126" s="616"/>
      <c r="X126" s="619"/>
      <c r="Z126" s="516"/>
      <c r="AA126" s="529"/>
      <c r="AB126" s="549"/>
      <c r="AC126" s="549"/>
      <c r="AD126" s="525"/>
      <c r="AE126" s="525"/>
      <c r="AF126" s="549"/>
      <c r="AG126" s="549"/>
      <c r="AH126" s="549"/>
    </row>
    <row r="127" spans="1:34" s="547" customFormat="1" ht="8.4499999999999993" customHeight="1">
      <c r="A127" s="416"/>
      <c r="D127" s="603"/>
      <c r="E127" s="622"/>
      <c r="F127" s="620"/>
      <c r="G127" s="623"/>
      <c r="H127" s="623"/>
      <c r="I127" s="623"/>
      <c r="J127" s="624"/>
      <c r="K127" s="624"/>
      <c r="L127" s="624"/>
      <c r="M127" s="624"/>
      <c r="N127" s="624"/>
      <c r="O127" s="624"/>
      <c r="P127" s="624"/>
      <c r="Q127" s="624"/>
      <c r="R127" s="624"/>
      <c r="S127" s="624"/>
      <c r="T127" s="620"/>
      <c r="U127" s="620"/>
      <c r="V127" s="620"/>
      <c r="W127" s="620"/>
      <c r="X127" s="621"/>
      <c r="Z127" s="516"/>
      <c r="AA127" s="529"/>
      <c r="AB127" s="549"/>
      <c r="AC127" s="549"/>
      <c r="AD127" s="525"/>
      <c r="AE127" s="525"/>
      <c r="AF127" s="549"/>
      <c r="AG127" s="549"/>
      <c r="AH127" s="549"/>
    </row>
    <row r="128" spans="1:34" s="547" customFormat="1" ht="29.1" customHeight="1">
      <c r="A128" s="416"/>
      <c r="D128" s="603"/>
      <c r="E128" s="729" t="s">
        <v>814</v>
      </c>
      <c r="F128" s="620"/>
      <c r="G128" s="623"/>
      <c r="H128" s="623"/>
      <c r="I128" s="623"/>
      <c r="J128" s="624"/>
      <c r="K128" s="733" t="s">
        <v>815</v>
      </c>
      <c r="L128" s="734"/>
      <c r="M128" s="734"/>
      <c r="N128" s="734"/>
      <c r="O128" s="734"/>
      <c r="P128" s="734"/>
      <c r="Q128" s="734"/>
      <c r="R128" s="734"/>
      <c r="S128" s="733" t="s">
        <v>816</v>
      </c>
      <c r="T128" s="620"/>
      <c r="U128" s="620"/>
      <c r="V128" s="625" t="s">
        <v>817</v>
      </c>
      <c r="W128" s="625"/>
      <c r="X128" s="621"/>
      <c r="Z128" s="516"/>
      <c r="AA128" s="529"/>
      <c r="AB128" s="626" t="s">
        <v>818</v>
      </c>
      <c r="AD128" s="626" t="s">
        <v>819</v>
      </c>
      <c r="AE128" s="626"/>
      <c r="AF128" s="626" t="s">
        <v>820</v>
      </c>
      <c r="AG128" s="626"/>
      <c r="AH128" s="626" t="s">
        <v>821</v>
      </c>
    </row>
    <row r="129" spans="1:34">
      <c r="D129" s="603"/>
      <c r="F129" s="604"/>
      <c r="G129" s="604"/>
      <c r="H129" s="604"/>
      <c r="I129" s="604"/>
      <c r="X129" s="627"/>
    </row>
    <row r="130" spans="1:34" s="547" customFormat="1" ht="18" customHeight="1">
      <c r="A130" s="416"/>
      <c r="D130" s="628"/>
      <c r="E130" s="724" t="s">
        <v>822</v>
      </c>
      <c r="F130" s="620"/>
      <c r="H130" s="620"/>
      <c r="I130" s="620"/>
      <c r="J130" s="620"/>
      <c r="K130" s="735"/>
      <c r="L130" s="631"/>
      <c r="M130" s="631"/>
      <c r="N130" s="631"/>
      <c r="O130" s="631"/>
      <c r="P130" s="631"/>
      <c r="Q130" s="631"/>
      <c r="R130" s="631"/>
      <c r="S130" s="735"/>
      <c r="T130" s="620"/>
      <c r="U130" s="621"/>
      <c r="V130" s="721"/>
      <c r="W130" s="721"/>
      <c r="X130" s="722"/>
      <c r="Z130" s="632"/>
      <c r="AA130" s="529"/>
      <c r="AB130" s="630"/>
      <c r="AC130" s="556"/>
      <c r="AD130" s="630"/>
      <c r="AE130" s="556"/>
      <c r="AF130" s="630">
        <v>0</v>
      </c>
      <c r="AG130" s="556"/>
      <c r="AH130" s="630">
        <v>0</v>
      </c>
    </row>
    <row r="131" spans="1:34" s="547" customFormat="1" ht="18" customHeight="1">
      <c r="A131" s="416"/>
      <c r="D131" s="628"/>
      <c r="E131" s="633"/>
      <c r="F131" s="620"/>
      <c r="H131" s="620"/>
      <c r="I131" s="620"/>
      <c r="J131" s="620"/>
      <c r="K131" s="620"/>
      <c r="L131" s="620"/>
      <c r="M131" s="620"/>
      <c r="N131" s="620"/>
      <c r="O131" s="620"/>
      <c r="P131" s="620"/>
      <c r="Q131" s="620"/>
      <c r="R131" s="620"/>
      <c r="S131" s="620"/>
      <c r="T131" s="620"/>
      <c r="U131" s="620"/>
      <c r="V131" s="620"/>
      <c r="W131" s="620"/>
      <c r="X131" s="619"/>
      <c r="Z131" s="516"/>
      <c r="AA131" s="529"/>
      <c r="AB131" s="620"/>
      <c r="AC131" s="620"/>
      <c r="AD131" s="620"/>
      <c r="AE131" s="620"/>
      <c r="AF131" s="620"/>
      <c r="AG131" s="620"/>
      <c r="AH131" s="620"/>
    </row>
    <row r="132" spans="1:34" s="547" customFormat="1" ht="18" customHeight="1">
      <c r="A132" s="416"/>
      <c r="D132" s="628"/>
      <c r="E132" s="728" t="s">
        <v>823</v>
      </c>
      <c r="F132" s="620"/>
      <c r="H132" s="620"/>
      <c r="I132" s="620"/>
      <c r="J132" s="620"/>
      <c r="K132" s="620"/>
      <c r="L132" s="620"/>
      <c r="M132" s="620"/>
      <c r="N132" s="620"/>
      <c r="O132" s="620"/>
      <c r="P132" s="620"/>
      <c r="Q132" s="620"/>
      <c r="R132" s="620"/>
      <c r="S132" s="620"/>
      <c r="T132" s="620"/>
      <c r="U132" s="620"/>
      <c r="V132" s="620"/>
      <c r="W132" s="620"/>
      <c r="X132" s="658"/>
      <c r="Z132" s="516"/>
      <c r="AA132" s="529"/>
      <c r="AB132" s="620"/>
      <c r="AC132" s="620"/>
      <c r="AD132" s="620"/>
      <c r="AE132" s="620"/>
      <c r="AF132" s="620"/>
      <c r="AG132" s="620"/>
      <c r="AH132" s="620"/>
    </row>
    <row r="133" spans="1:34" s="547" customFormat="1" ht="18" customHeight="1">
      <c r="A133" s="416"/>
      <c r="D133" s="628"/>
      <c r="E133" s="730" t="s">
        <v>824</v>
      </c>
      <c r="F133" s="620"/>
      <c r="H133" s="620"/>
      <c r="I133" s="620"/>
      <c r="J133" s="623"/>
      <c r="K133" s="735"/>
      <c r="L133" s="735"/>
      <c r="M133" s="735"/>
      <c r="N133" s="735"/>
      <c r="O133" s="735"/>
      <c r="P133" s="735"/>
      <c r="Q133" s="735"/>
      <c r="R133" s="735"/>
      <c r="S133" s="735"/>
      <c r="T133" s="620"/>
      <c r="U133" s="621"/>
      <c r="V133" s="722"/>
      <c r="W133" s="722"/>
      <c r="X133" s="722"/>
      <c r="Z133" s="516"/>
      <c r="AA133" s="529"/>
      <c r="AB133" s="630"/>
      <c r="AC133" s="556"/>
      <c r="AD133" s="630"/>
      <c r="AE133" s="556"/>
      <c r="AF133" s="630">
        <v>0</v>
      </c>
      <c r="AG133" s="556"/>
      <c r="AH133" s="630">
        <v>0</v>
      </c>
    </row>
    <row r="134" spans="1:34" s="547" customFormat="1" ht="18" customHeight="1">
      <c r="A134" s="416"/>
      <c r="D134" s="628"/>
      <c r="E134" s="730" t="s">
        <v>825</v>
      </c>
      <c r="F134" s="620"/>
      <c r="H134" s="623"/>
      <c r="I134" s="623"/>
      <c r="J134" s="623"/>
      <c r="K134" s="735"/>
      <c r="L134" s="735"/>
      <c r="M134" s="735"/>
      <c r="N134" s="735"/>
      <c r="O134" s="735"/>
      <c r="P134" s="735"/>
      <c r="Q134" s="735"/>
      <c r="R134" s="735"/>
      <c r="S134" s="735"/>
      <c r="T134" s="620"/>
      <c r="U134" s="621"/>
      <c r="V134" s="722"/>
      <c r="W134" s="722"/>
      <c r="X134" s="722"/>
      <c r="Z134" s="516"/>
      <c r="AA134" s="529"/>
      <c r="AB134" s="630"/>
      <c r="AC134" s="556"/>
      <c r="AD134" s="630"/>
      <c r="AE134" s="556"/>
      <c r="AF134" s="630">
        <v>0</v>
      </c>
      <c r="AG134" s="556"/>
      <c r="AH134" s="630">
        <v>0</v>
      </c>
    </row>
    <row r="135" spans="1:34" s="547" customFormat="1" ht="18" customHeight="1">
      <c r="A135" s="416"/>
      <c r="D135" s="628"/>
      <c r="E135" s="633"/>
      <c r="F135" s="620"/>
      <c r="H135" s="623"/>
      <c r="I135" s="623"/>
      <c r="J135" s="623"/>
      <c r="K135" s="623"/>
      <c r="L135" s="623"/>
      <c r="M135" s="623"/>
      <c r="N135" s="623"/>
      <c r="O135" s="623"/>
      <c r="P135" s="623"/>
      <c r="Q135" s="623"/>
      <c r="R135" s="623"/>
      <c r="S135" s="623"/>
      <c r="T135" s="620"/>
      <c r="U135" s="620"/>
      <c r="V135" s="620"/>
      <c r="W135" s="620"/>
      <c r="X135" s="621"/>
      <c r="Z135" s="516"/>
      <c r="AA135" s="529"/>
      <c r="AB135" s="623"/>
      <c r="AC135" s="623"/>
      <c r="AD135" s="623"/>
      <c r="AE135" s="623"/>
      <c r="AF135" s="623"/>
      <c r="AG135" s="623"/>
      <c r="AH135" s="623"/>
    </row>
    <row r="136" spans="1:34" s="547" customFormat="1" ht="18" customHeight="1">
      <c r="A136" s="416"/>
      <c r="D136" s="628"/>
      <c r="E136" s="724" t="s">
        <v>826</v>
      </c>
      <c r="F136" s="620"/>
      <c r="H136" s="623"/>
      <c r="I136" s="623"/>
      <c r="J136" s="620"/>
      <c r="K136" s="714">
        <f>K130-K133+K134</f>
        <v>0</v>
      </c>
      <c r="L136" s="736"/>
      <c r="M136" s="736"/>
      <c r="N136" s="736"/>
      <c r="O136" s="736"/>
      <c r="P136" s="736"/>
      <c r="Q136" s="736"/>
      <c r="R136" s="736"/>
      <c r="S136" s="714">
        <f>S130-S133+S134</f>
        <v>0</v>
      </c>
      <c r="T136" s="620"/>
      <c r="U136" s="620"/>
      <c r="V136" s="620"/>
      <c r="W136" s="620"/>
      <c r="X136" s="621"/>
      <c r="Z136" s="516"/>
      <c r="AA136" s="529"/>
      <c r="AB136" s="543">
        <v>0</v>
      </c>
      <c r="AC136" s="635"/>
      <c r="AD136" s="543">
        <v>0</v>
      </c>
      <c r="AE136" s="635"/>
      <c r="AF136" s="543">
        <v>0</v>
      </c>
      <c r="AG136" s="635"/>
      <c r="AH136" s="543">
        <v>0</v>
      </c>
    </row>
    <row r="137" spans="1:34" s="547" customFormat="1" ht="18" customHeight="1">
      <c r="A137" s="416"/>
      <c r="D137" s="628"/>
      <c r="E137" s="633"/>
      <c r="F137" s="620"/>
      <c r="H137" s="620"/>
      <c r="I137" s="620"/>
      <c r="J137" s="623"/>
      <c r="K137" s="620"/>
      <c r="L137" s="620"/>
      <c r="M137" s="620"/>
      <c r="N137" s="620"/>
      <c r="O137" s="620"/>
      <c r="P137" s="620"/>
      <c r="Q137" s="620"/>
      <c r="R137" s="620"/>
      <c r="S137" s="620"/>
      <c r="T137" s="620"/>
      <c r="U137" s="620"/>
      <c r="V137" s="620"/>
      <c r="W137" s="620"/>
      <c r="X137" s="621"/>
      <c r="Z137" s="516"/>
      <c r="AA137" s="529"/>
      <c r="AB137" s="620"/>
      <c r="AC137" s="620"/>
      <c r="AD137" s="620"/>
      <c r="AE137" s="620"/>
      <c r="AF137" s="620"/>
      <c r="AG137" s="620"/>
      <c r="AH137" s="620"/>
    </row>
    <row r="138" spans="1:34" s="547" customFormat="1" ht="18" customHeight="1">
      <c r="A138" s="416"/>
      <c r="D138" s="628"/>
      <c r="E138" s="730" t="s">
        <v>827</v>
      </c>
      <c r="F138" s="620"/>
      <c r="H138" s="623"/>
      <c r="I138" s="623"/>
      <c r="J138" s="623"/>
      <c r="K138" s="735"/>
      <c r="L138" s="631"/>
      <c r="M138" s="631"/>
      <c r="N138" s="631"/>
      <c r="O138" s="631"/>
      <c r="P138" s="631"/>
      <c r="Q138" s="631"/>
      <c r="R138" s="631"/>
      <c r="S138" s="636"/>
      <c r="T138" s="620"/>
      <c r="U138" s="621"/>
      <c r="V138" s="722"/>
      <c r="W138" s="722"/>
      <c r="X138" s="722"/>
      <c r="Z138" s="516"/>
      <c r="AA138" s="529"/>
      <c r="AB138" s="630"/>
      <c r="AC138" s="556"/>
      <c r="AD138" s="636"/>
      <c r="AE138" s="556"/>
      <c r="AF138" s="630">
        <v>0</v>
      </c>
      <c r="AG138" s="556"/>
      <c r="AH138" s="636"/>
    </row>
    <row r="139" spans="1:34" s="547" customFormat="1" ht="18" customHeight="1">
      <c r="A139" s="416"/>
      <c r="D139" s="628"/>
      <c r="E139" s="730" t="s">
        <v>828</v>
      </c>
      <c r="F139" s="620"/>
      <c r="H139" s="623"/>
      <c r="I139" s="623"/>
      <c r="J139" s="623"/>
      <c r="K139" s="735"/>
      <c r="L139" s="631"/>
      <c r="M139" s="631"/>
      <c r="N139" s="631"/>
      <c r="O139" s="631"/>
      <c r="P139" s="631"/>
      <c r="Q139" s="631"/>
      <c r="R139" s="631"/>
      <c r="S139" s="636"/>
      <c r="T139" s="620"/>
      <c r="U139" s="621"/>
      <c r="V139" s="722"/>
      <c r="W139" s="722"/>
      <c r="X139" s="722"/>
      <c r="Z139" s="516"/>
      <c r="AA139" s="529"/>
      <c r="AB139" s="630"/>
      <c r="AC139" s="556"/>
      <c r="AD139" s="636"/>
      <c r="AE139" s="556"/>
      <c r="AF139" s="630">
        <v>0</v>
      </c>
      <c r="AG139" s="556"/>
      <c r="AH139" s="636"/>
    </row>
    <row r="140" spans="1:34" s="547" customFormat="1" ht="18" customHeight="1">
      <c r="A140" s="416"/>
      <c r="D140" s="628"/>
      <c r="E140" s="730" t="s">
        <v>829</v>
      </c>
      <c r="F140" s="620"/>
      <c r="H140" s="623"/>
      <c r="I140" s="623"/>
      <c r="J140" s="623"/>
      <c r="K140" s="735"/>
      <c r="L140" s="631"/>
      <c r="M140" s="631"/>
      <c r="N140" s="631"/>
      <c r="O140" s="631"/>
      <c r="P140" s="631"/>
      <c r="Q140" s="631"/>
      <c r="R140" s="631"/>
      <c r="S140" s="636"/>
      <c r="T140" s="620"/>
      <c r="U140" s="621"/>
      <c r="V140" s="722"/>
      <c r="W140" s="722"/>
      <c r="X140" s="722"/>
      <c r="Z140" s="516"/>
      <c r="AA140" s="529"/>
      <c r="AB140" s="630"/>
      <c r="AC140" s="556"/>
      <c r="AD140" s="636"/>
      <c r="AE140" s="556"/>
      <c r="AF140" s="630">
        <v>0</v>
      </c>
      <c r="AG140" s="556"/>
      <c r="AH140" s="636"/>
    </row>
    <row r="141" spans="1:34" s="547" customFormat="1" ht="18" customHeight="1">
      <c r="A141" s="416"/>
      <c r="D141" s="628"/>
      <c r="E141" s="730" t="s">
        <v>830</v>
      </c>
      <c r="F141" s="620"/>
      <c r="H141" s="623"/>
      <c r="I141" s="623"/>
      <c r="J141" s="623"/>
      <c r="K141" s="735"/>
      <c r="L141" s="631"/>
      <c r="M141" s="631"/>
      <c r="N141" s="631"/>
      <c r="O141" s="631"/>
      <c r="P141" s="631"/>
      <c r="Q141" s="631"/>
      <c r="R141" s="631"/>
      <c r="S141" s="863" t="e">
        <f>VLOOKUP(E4,'Cash Advances'!A:V,22,FALSE)</f>
        <v>#N/A</v>
      </c>
      <c r="T141" s="620"/>
      <c r="U141" s="621"/>
      <c r="V141" s="918" t="s">
        <v>831</v>
      </c>
      <c r="W141" s="919"/>
      <c r="X141" s="920"/>
      <c r="Z141" s="516"/>
      <c r="AA141" s="529"/>
      <c r="AB141" s="630"/>
      <c r="AC141" s="556"/>
      <c r="AD141" s="630">
        <v>0</v>
      </c>
      <c r="AE141" s="556"/>
      <c r="AF141" s="630">
        <v>0</v>
      </c>
      <c r="AG141" s="556"/>
      <c r="AH141" s="630">
        <v>0</v>
      </c>
    </row>
    <row r="142" spans="1:34" s="547" customFormat="1" ht="18" customHeight="1">
      <c r="A142" s="416"/>
      <c r="D142" s="628"/>
      <c r="E142" s="633"/>
      <c r="F142" s="620"/>
      <c r="H142" s="620"/>
      <c r="I142" s="620"/>
      <c r="J142" s="623"/>
      <c r="K142" s="620"/>
      <c r="L142" s="620"/>
      <c r="M142" s="620"/>
      <c r="N142" s="620"/>
      <c r="O142" s="620"/>
      <c r="P142" s="620"/>
      <c r="Q142" s="620"/>
      <c r="R142" s="620"/>
      <c r="S142" s="620"/>
      <c r="T142" s="620"/>
      <c r="U142" s="620"/>
      <c r="V142" s="620"/>
      <c r="W142" s="620"/>
      <c r="X142" s="621"/>
      <c r="Z142" s="516"/>
      <c r="AA142" s="529"/>
      <c r="AB142" s="620"/>
      <c r="AC142" s="620"/>
      <c r="AD142" s="620"/>
      <c r="AE142" s="620"/>
      <c r="AF142" s="620"/>
      <c r="AG142" s="620"/>
      <c r="AH142" s="620"/>
    </row>
    <row r="143" spans="1:34" s="547" customFormat="1" ht="18" customHeight="1">
      <c r="A143" s="416"/>
      <c r="D143" s="628"/>
      <c r="E143" s="724" t="s">
        <v>832</v>
      </c>
      <c r="F143" s="620"/>
      <c r="H143" s="620"/>
      <c r="I143" s="620"/>
      <c r="J143" s="623"/>
      <c r="K143" s="714">
        <f>SUM(K136:K141)</f>
        <v>0</v>
      </c>
      <c r="L143" s="736"/>
      <c r="M143" s="736"/>
      <c r="N143" s="736"/>
      <c r="O143" s="736"/>
      <c r="P143" s="736"/>
      <c r="Q143" s="736"/>
      <c r="R143" s="736"/>
      <c r="S143" s="714" t="e">
        <f>SUM(S136:S141)</f>
        <v>#N/A</v>
      </c>
      <c r="T143" s="620"/>
      <c r="U143" s="620"/>
      <c r="V143" s="620"/>
      <c r="W143" s="620"/>
      <c r="X143" s="621"/>
      <c r="Z143" s="516"/>
      <c r="AA143" s="529"/>
      <c r="AB143" s="543">
        <v>0</v>
      </c>
      <c r="AC143" s="635"/>
      <c r="AD143" s="543">
        <v>0</v>
      </c>
      <c r="AE143" s="635"/>
      <c r="AF143" s="543">
        <v>0</v>
      </c>
      <c r="AG143" s="635"/>
      <c r="AH143" s="543">
        <v>0</v>
      </c>
    </row>
    <row r="144" spans="1:34" ht="18" customHeight="1">
      <c r="D144" s="603"/>
      <c r="F144" s="604"/>
      <c r="G144" s="604"/>
      <c r="H144" s="604"/>
      <c r="I144" s="604"/>
      <c r="X144" s="627"/>
    </row>
    <row r="145" spans="1:32" ht="18" hidden="1" customHeight="1">
      <c r="D145" s="603"/>
      <c r="F145" s="604"/>
      <c r="G145" s="604"/>
      <c r="H145" s="604"/>
      <c r="I145" s="604"/>
      <c r="X145" s="627"/>
    </row>
    <row r="146" spans="1:32" s="547" customFormat="1" ht="18" hidden="1" customHeight="1">
      <c r="A146" s="416"/>
      <c r="D146" s="628"/>
      <c r="E146" s="637" t="s">
        <v>833</v>
      </c>
      <c r="F146" s="620"/>
      <c r="H146" s="620"/>
      <c r="I146" s="620"/>
      <c r="J146" s="623"/>
      <c r="K146" s="624"/>
      <c r="L146" s="638"/>
      <c r="M146" s="638"/>
      <c r="N146" s="638"/>
      <c r="O146" s="638"/>
      <c r="P146" s="638"/>
      <c r="Q146" s="638"/>
      <c r="R146" s="638"/>
      <c r="S146" s="639"/>
      <c r="T146" s="620"/>
      <c r="U146" s="620"/>
      <c r="V146" s="620"/>
      <c r="W146" s="620"/>
      <c r="X146" s="621"/>
      <c r="Z146" s="516"/>
      <c r="AA146" s="529"/>
      <c r="AB146" s="640"/>
      <c r="AC146" s="549"/>
      <c r="AD146" s="525"/>
      <c r="AE146" s="525"/>
      <c r="AF146" s="640"/>
    </row>
    <row r="147" spans="1:32" s="547" customFormat="1" ht="18" hidden="1" customHeight="1">
      <c r="A147" s="416"/>
      <c r="D147" s="628"/>
      <c r="E147" s="634" t="s">
        <v>834</v>
      </c>
      <c r="F147" s="620"/>
      <c r="H147" s="620"/>
      <c r="I147" s="620"/>
      <c r="J147" s="623"/>
      <c r="K147" s="624"/>
      <c r="L147" s="641" t="s">
        <v>835</v>
      </c>
      <c r="M147" s="638"/>
      <c r="N147" s="638"/>
      <c r="O147" s="638"/>
      <c r="P147" s="638"/>
      <c r="Q147" s="638"/>
      <c r="R147" s="638"/>
      <c r="S147" s="642"/>
      <c r="V147" s="912"/>
      <c r="W147" s="913"/>
      <c r="X147" s="913"/>
      <c r="Z147" s="516"/>
      <c r="AA147" s="529"/>
      <c r="AB147" s="630"/>
      <c r="AC147" s="643"/>
      <c r="AD147" s="525"/>
      <c r="AE147" s="525"/>
      <c r="AF147" s="630">
        <v>0</v>
      </c>
    </row>
    <row r="148" spans="1:32" s="547" customFormat="1" ht="18" hidden="1" customHeight="1">
      <c r="A148" s="416"/>
      <c r="D148" s="628"/>
      <c r="E148" s="634" t="s">
        <v>836</v>
      </c>
      <c r="F148" s="620"/>
      <c r="H148" s="620"/>
      <c r="I148" s="620"/>
      <c r="J148" s="623"/>
      <c r="K148" s="624"/>
      <c r="L148" s="641" t="s">
        <v>835</v>
      </c>
      <c r="M148" s="638"/>
      <c r="N148" s="638"/>
      <c r="O148" s="638"/>
      <c r="P148" s="638"/>
      <c r="Q148" s="638"/>
      <c r="R148" s="638"/>
      <c r="S148" s="642"/>
      <c r="V148" s="912"/>
      <c r="W148" s="913"/>
      <c r="X148" s="913"/>
      <c r="Z148" s="516"/>
      <c r="AA148" s="529"/>
      <c r="AB148" s="630"/>
      <c r="AC148" s="643"/>
      <c r="AD148" s="525"/>
      <c r="AE148" s="525"/>
      <c r="AF148" s="630">
        <v>0</v>
      </c>
    </row>
    <row r="149" spans="1:32" s="547" customFormat="1" ht="18" hidden="1" customHeight="1">
      <c r="A149" s="416"/>
      <c r="D149" s="628"/>
      <c r="E149" s="634" t="s">
        <v>837</v>
      </c>
      <c r="F149" s="620"/>
      <c r="H149" s="620"/>
      <c r="I149" s="620"/>
      <c r="J149" s="623"/>
      <c r="K149" s="624"/>
      <c r="L149" s="641" t="s">
        <v>835</v>
      </c>
      <c r="M149" s="638"/>
      <c r="N149" s="638"/>
      <c r="O149" s="638"/>
      <c r="P149" s="638"/>
      <c r="Q149" s="638"/>
      <c r="R149" s="638"/>
      <c r="S149" s="642"/>
      <c r="V149" s="912"/>
      <c r="W149" s="913"/>
      <c r="X149" s="913"/>
      <c r="Z149" s="516"/>
      <c r="AA149" s="529"/>
      <c r="AB149" s="630"/>
      <c r="AC149" s="643"/>
      <c r="AD149" s="525"/>
      <c r="AE149" s="525"/>
      <c r="AF149" s="630">
        <v>0</v>
      </c>
    </row>
    <row r="150" spans="1:32" s="547" customFormat="1" ht="18" hidden="1" customHeight="1">
      <c r="A150" s="416"/>
      <c r="D150" s="628"/>
      <c r="E150" s="634" t="s">
        <v>838</v>
      </c>
      <c r="F150" s="620"/>
      <c r="H150" s="620"/>
      <c r="I150" s="620"/>
      <c r="J150" s="623"/>
      <c r="K150" s="624"/>
      <c r="L150" s="641" t="s">
        <v>835</v>
      </c>
      <c r="M150" s="638"/>
      <c r="N150" s="638"/>
      <c r="O150" s="638"/>
      <c r="P150" s="638"/>
      <c r="Q150" s="638"/>
      <c r="R150" s="638"/>
      <c r="S150" s="642"/>
      <c r="V150" s="912"/>
      <c r="W150" s="913"/>
      <c r="X150" s="913"/>
      <c r="Z150" s="516"/>
      <c r="AA150" s="529"/>
      <c r="AB150" s="630"/>
      <c r="AC150" s="643"/>
      <c r="AD150" s="525"/>
      <c r="AE150" s="525"/>
      <c r="AF150" s="630">
        <v>0</v>
      </c>
    </row>
    <row r="151" spans="1:32" s="547" customFormat="1" ht="18" hidden="1" customHeight="1">
      <c r="A151" s="416"/>
      <c r="D151" s="628"/>
      <c r="E151" s="634" t="s">
        <v>839</v>
      </c>
      <c r="F151" s="620"/>
      <c r="H151" s="620"/>
      <c r="I151" s="620"/>
      <c r="J151" s="623"/>
      <c r="K151" s="624"/>
      <c r="L151" s="641" t="s">
        <v>840</v>
      </c>
      <c r="M151" s="638"/>
      <c r="N151" s="638"/>
      <c r="O151" s="638"/>
      <c r="P151" s="638"/>
      <c r="Q151" s="638"/>
      <c r="R151" s="638"/>
      <c r="S151" s="642"/>
      <c r="V151" s="912"/>
      <c r="W151" s="913"/>
      <c r="X151" s="913"/>
      <c r="Z151" s="516"/>
      <c r="AA151" s="529"/>
      <c r="AB151" s="630"/>
      <c r="AC151" s="643"/>
      <c r="AD151" s="525"/>
      <c r="AE151" s="525"/>
      <c r="AF151" s="630">
        <v>0</v>
      </c>
    </row>
    <row r="152" spans="1:32" s="547" customFormat="1" ht="18" hidden="1" customHeight="1">
      <c r="A152" s="416"/>
      <c r="D152" s="628"/>
      <c r="E152" s="634" t="s">
        <v>841</v>
      </c>
      <c r="F152" s="620"/>
      <c r="H152" s="620"/>
      <c r="I152" s="620"/>
      <c r="J152" s="623"/>
      <c r="K152" s="624"/>
      <c r="L152" s="641" t="s">
        <v>840</v>
      </c>
      <c r="M152" s="638"/>
      <c r="N152" s="638"/>
      <c r="O152" s="638"/>
      <c r="P152" s="638"/>
      <c r="Q152" s="638"/>
      <c r="R152" s="638"/>
      <c r="S152" s="642"/>
      <c r="V152" s="912"/>
      <c r="W152" s="913"/>
      <c r="X152" s="913"/>
      <c r="Z152" s="516"/>
      <c r="AA152" s="529"/>
      <c r="AB152" s="630"/>
      <c r="AC152" s="643"/>
      <c r="AD152" s="525"/>
      <c r="AE152" s="525"/>
      <c r="AF152" s="630">
        <v>0</v>
      </c>
    </row>
    <row r="153" spans="1:32" s="547" customFormat="1" ht="18" hidden="1" customHeight="1">
      <c r="A153" s="416"/>
      <c r="D153" s="628"/>
      <c r="E153" s="634" t="s">
        <v>842</v>
      </c>
      <c r="F153" s="620"/>
      <c r="H153" s="620"/>
      <c r="I153" s="620"/>
      <c r="J153" s="623"/>
      <c r="K153" s="624"/>
      <c r="L153" s="641" t="s">
        <v>840</v>
      </c>
      <c r="M153" s="638"/>
      <c r="N153" s="638"/>
      <c r="O153" s="638"/>
      <c r="P153" s="638"/>
      <c r="Q153" s="638"/>
      <c r="R153" s="638"/>
      <c r="S153" s="642"/>
      <c r="V153" s="912"/>
      <c r="W153" s="913"/>
      <c r="X153" s="913"/>
      <c r="Z153" s="516"/>
      <c r="AA153" s="529"/>
      <c r="AB153" s="630"/>
      <c r="AC153" s="643"/>
      <c r="AD153" s="525"/>
      <c r="AE153" s="525"/>
      <c r="AF153" s="630">
        <v>0</v>
      </c>
    </row>
    <row r="154" spans="1:32" s="547" customFormat="1" ht="18" hidden="1" customHeight="1">
      <c r="A154" s="416"/>
      <c r="D154" s="628"/>
      <c r="E154" s="634" t="s">
        <v>843</v>
      </c>
      <c r="F154" s="620"/>
      <c r="H154" s="620"/>
      <c r="I154" s="620"/>
      <c r="J154" s="623"/>
      <c r="K154" s="624"/>
      <c r="L154" s="641" t="s">
        <v>840</v>
      </c>
      <c r="M154" s="638"/>
      <c r="N154" s="638"/>
      <c r="O154" s="638"/>
      <c r="P154" s="638"/>
      <c r="Q154" s="638"/>
      <c r="R154" s="638"/>
      <c r="S154" s="642"/>
      <c r="V154" s="912"/>
      <c r="W154" s="913"/>
      <c r="X154" s="913"/>
      <c r="Z154" s="516"/>
      <c r="AA154" s="529"/>
      <c r="AB154" s="630"/>
      <c r="AC154" s="643"/>
      <c r="AD154" s="525"/>
      <c r="AE154" s="525"/>
      <c r="AF154" s="630">
        <v>0</v>
      </c>
    </row>
    <row r="155" spans="1:32" ht="18" hidden="1" customHeight="1">
      <c r="D155" s="603"/>
      <c r="F155" s="604"/>
      <c r="G155" s="604"/>
      <c r="H155" s="604"/>
      <c r="I155" s="604"/>
      <c r="X155" s="627"/>
    </row>
    <row r="156" spans="1:32" s="547" customFormat="1" ht="18" hidden="1" customHeight="1">
      <c r="A156" s="416"/>
      <c r="D156" s="628"/>
      <c r="E156" s="629" t="s">
        <v>844</v>
      </c>
      <c r="F156" s="620"/>
      <c r="H156" s="620"/>
      <c r="I156" s="620"/>
      <c r="J156" s="623"/>
      <c r="K156" s="624"/>
      <c r="L156" s="620"/>
      <c r="M156" s="624"/>
      <c r="N156" s="624"/>
      <c r="O156" s="624"/>
      <c r="P156" s="624"/>
      <c r="Q156" s="624"/>
      <c r="R156" s="624"/>
      <c r="S156" s="644">
        <f>SUM(S147:S154)</f>
        <v>0</v>
      </c>
      <c r="X156" s="621"/>
      <c r="Z156" s="516"/>
      <c r="AA156" s="529"/>
      <c r="AB156" s="644">
        <v>0</v>
      </c>
      <c r="AC156" s="645"/>
      <c r="AD156" s="525"/>
      <c r="AE156" s="525"/>
      <c r="AF156" s="644">
        <v>0</v>
      </c>
    </row>
    <row r="157" spans="1:32" s="547" customFormat="1" ht="18" hidden="1" customHeight="1">
      <c r="A157" s="416"/>
      <c r="D157" s="628"/>
      <c r="E157" s="646"/>
      <c r="F157" s="620"/>
      <c r="H157" s="620"/>
      <c r="I157" s="620"/>
      <c r="J157" s="623"/>
      <c r="K157" s="624"/>
      <c r="L157" s="620"/>
      <c r="M157" s="624"/>
      <c r="N157" s="624"/>
      <c r="O157" s="624"/>
      <c r="P157" s="624"/>
      <c r="Q157" s="624"/>
      <c r="R157" s="624"/>
      <c r="S157" s="643"/>
      <c r="X157" s="621"/>
      <c r="Z157" s="516"/>
      <c r="AA157" s="529"/>
      <c r="AB157" s="643"/>
      <c r="AC157" s="643"/>
      <c r="AD157" s="525"/>
      <c r="AE157" s="525"/>
      <c r="AF157" s="643"/>
    </row>
    <row r="158" spans="1:32" s="547" customFormat="1" ht="18" customHeight="1">
      <c r="A158" s="416"/>
      <c r="D158" s="628"/>
      <c r="E158" s="646"/>
      <c r="F158" s="620"/>
      <c r="H158" s="620"/>
      <c r="I158" s="620"/>
      <c r="J158" s="623"/>
      <c r="K158" s="624"/>
      <c r="L158" s="620"/>
      <c r="M158" s="624"/>
      <c r="N158" s="624"/>
      <c r="O158" s="624"/>
      <c r="P158" s="624"/>
      <c r="Q158" s="624"/>
      <c r="R158" s="624"/>
      <c r="S158" s="643"/>
      <c r="X158" s="621"/>
      <c r="Z158" s="516"/>
      <c r="AA158" s="529"/>
      <c r="AB158" s="643"/>
      <c r="AC158" s="643"/>
      <c r="AD158" s="525"/>
      <c r="AE158" s="525"/>
      <c r="AF158" s="643"/>
    </row>
    <row r="159" spans="1:32" s="547" customFormat="1" ht="18" customHeight="1">
      <c r="A159" s="416"/>
      <c r="D159" s="628"/>
      <c r="E159" s="724" t="s">
        <v>845</v>
      </c>
      <c r="F159" s="620"/>
      <c r="H159" s="620"/>
      <c r="I159" s="620"/>
      <c r="J159" s="623"/>
      <c r="K159" s="624"/>
      <c r="L159" s="620"/>
      <c r="M159" s="624"/>
      <c r="N159" s="624"/>
      <c r="O159" s="624"/>
      <c r="P159" s="624"/>
      <c r="Q159" s="624"/>
      <c r="R159" s="624"/>
      <c r="S159" s="643"/>
      <c r="X159" s="621"/>
      <c r="Z159" s="516"/>
      <c r="AA159" s="529"/>
      <c r="AB159" s="643"/>
      <c r="AC159" s="643"/>
      <c r="AD159" s="525"/>
      <c r="AE159" s="525"/>
      <c r="AF159" s="643"/>
    </row>
    <row r="160" spans="1:32" s="547" customFormat="1" ht="18" customHeight="1">
      <c r="A160" s="416"/>
      <c r="D160" s="628"/>
      <c r="E160" s="730" t="s">
        <v>834</v>
      </c>
      <c r="F160" s="620"/>
      <c r="H160" s="620"/>
      <c r="I160" s="620"/>
      <c r="J160" s="623"/>
      <c r="K160" s="624"/>
      <c r="L160" s="620" t="s">
        <v>846</v>
      </c>
      <c r="M160" s="624"/>
      <c r="N160" s="624"/>
      <c r="O160" s="624"/>
      <c r="P160" s="624"/>
      <c r="Q160" s="624"/>
      <c r="R160" s="624"/>
      <c r="S160" s="735"/>
      <c r="U160" s="627"/>
      <c r="V160" s="722"/>
      <c r="W160" s="722"/>
      <c r="X160" s="722"/>
      <c r="Z160" s="516"/>
      <c r="AA160" s="529"/>
      <c r="AB160" s="630"/>
      <c r="AC160" s="564"/>
      <c r="AD160" s="525"/>
      <c r="AE160" s="525"/>
      <c r="AF160" s="630">
        <v>0</v>
      </c>
    </row>
    <row r="161" spans="1:32" s="547" customFormat="1" ht="18" customHeight="1">
      <c r="A161" s="416"/>
      <c r="D161" s="628"/>
      <c r="E161" s="730" t="s">
        <v>836</v>
      </c>
      <c r="F161" s="620"/>
      <c r="H161" s="620"/>
      <c r="I161" s="620"/>
      <c r="J161" s="623"/>
      <c r="K161" s="624"/>
      <c r="L161" s="620" t="s">
        <v>846</v>
      </c>
      <c r="M161" s="624"/>
      <c r="N161" s="624"/>
      <c r="O161" s="624"/>
      <c r="P161" s="624"/>
      <c r="Q161" s="624"/>
      <c r="R161" s="624"/>
      <c r="S161" s="735"/>
      <c r="U161" s="627"/>
      <c r="V161" s="722"/>
      <c r="W161" s="722"/>
      <c r="X161" s="722"/>
      <c r="Z161" s="516"/>
      <c r="AA161" s="529"/>
      <c r="AB161" s="630"/>
      <c r="AC161" s="564"/>
      <c r="AD161" s="525"/>
      <c r="AE161" s="525"/>
      <c r="AF161" s="630">
        <v>0</v>
      </c>
    </row>
    <row r="162" spans="1:32" s="547" customFormat="1" ht="18" customHeight="1">
      <c r="A162" s="416"/>
      <c r="D162" s="628"/>
      <c r="E162" s="646"/>
      <c r="F162" s="620"/>
      <c r="H162" s="620"/>
      <c r="I162" s="620"/>
      <c r="J162" s="623"/>
      <c r="K162" s="624"/>
      <c r="L162" s="620"/>
      <c r="M162" s="624"/>
      <c r="N162" s="624"/>
      <c r="O162" s="624"/>
      <c r="P162" s="624"/>
      <c r="Q162" s="624"/>
      <c r="R162" s="624"/>
      <c r="S162" s="643"/>
      <c r="X162" s="619"/>
      <c r="Z162" s="516"/>
      <c r="AA162" s="529"/>
      <c r="AB162" s="643"/>
      <c r="AC162" s="643"/>
      <c r="AD162" s="525"/>
      <c r="AE162" s="525"/>
      <c r="AF162" s="643"/>
    </row>
    <row r="163" spans="1:32" s="547" customFormat="1" ht="18" customHeight="1">
      <c r="A163" s="416"/>
      <c r="D163" s="628"/>
      <c r="E163" s="724" t="s">
        <v>847</v>
      </c>
      <c r="F163" s="620"/>
      <c r="H163" s="620"/>
      <c r="I163" s="620"/>
      <c r="J163" s="623"/>
      <c r="K163" s="624"/>
      <c r="L163" s="620"/>
      <c r="M163" s="624"/>
      <c r="N163" s="624"/>
      <c r="O163" s="624"/>
      <c r="P163" s="624"/>
      <c r="Q163" s="624"/>
      <c r="R163" s="624"/>
      <c r="S163" s="643"/>
      <c r="X163" s="658"/>
      <c r="Z163" s="516"/>
      <c r="AA163" s="529"/>
      <c r="AB163" s="643"/>
      <c r="AC163" s="643"/>
      <c r="AD163" s="525"/>
      <c r="AE163" s="525"/>
      <c r="AF163" s="643"/>
    </row>
    <row r="164" spans="1:32" s="547" customFormat="1" ht="18" customHeight="1">
      <c r="A164" s="416"/>
      <c r="D164" s="628"/>
      <c r="E164" s="730" t="s">
        <v>839</v>
      </c>
      <c r="F164" s="620"/>
      <c r="H164" s="620"/>
      <c r="I164" s="620"/>
      <c r="J164" s="623"/>
      <c r="K164" s="624"/>
      <c r="L164" s="620" t="s">
        <v>848</v>
      </c>
      <c r="M164" s="624"/>
      <c r="N164" s="624"/>
      <c r="O164" s="624"/>
      <c r="P164" s="624"/>
      <c r="Q164" s="624"/>
      <c r="R164" s="624"/>
      <c r="S164" s="735"/>
      <c r="U164" s="627"/>
      <c r="V164" s="722"/>
      <c r="W164" s="722"/>
      <c r="X164" s="722"/>
      <c r="Z164" s="516"/>
      <c r="AA164" s="529"/>
      <c r="AB164" s="630"/>
      <c r="AC164" s="564"/>
      <c r="AD164" s="525"/>
      <c r="AE164" s="525"/>
      <c r="AF164" s="630">
        <v>0</v>
      </c>
    </row>
    <row r="165" spans="1:32" s="547" customFormat="1" ht="18" customHeight="1">
      <c r="A165" s="416"/>
      <c r="D165" s="628"/>
      <c r="E165" s="730" t="s">
        <v>841</v>
      </c>
      <c r="F165" s="620"/>
      <c r="H165" s="620"/>
      <c r="I165" s="620"/>
      <c r="J165" s="623"/>
      <c r="K165" s="624"/>
      <c r="L165" s="620" t="s">
        <v>848</v>
      </c>
      <c r="M165" s="624"/>
      <c r="N165" s="624"/>
      <c r="O165" s="624"/>
      <c r="P165" s="624"/>
      <c r="Q165" s="624"/>
      <c r="R165" s="624"/>
      <c r="S165" s="735"/>
      <c r="U165" s="627"/>
      <c r="V165" s="722"/>
      <c r="W165" s="722"/>
      <c r="X165" s="722"/>
      <c r="Z165" s="516"/>
      <c r="AA165" s="529"/>
      <c r="AB165" s="630"/>
      <c r="AC165" s="564"/>
      <c r="AD165" s="525"/>
      <c r="AE165" s="525"/>
      <c r="AF165" s="630"/>
    </row>
    <row r="166" spans="1:32" s="547" customFormat="1" ht="18" customHeight="1">
      <c r="A166" s="416"/>
      <c r="D166" s="628"/>
      <c r="E166" s="647"/>
      <c r="F166" s="620"/>
      <c r="H166" s="620"/>
      <c r="I166" s="620"/>
      <c r="J166" s="623"/>
      <c r="K166" s="624"/>
      <c r="L166" s="620"/>
      <c r="M166" s="624"/>
      <c r="N166" s="624"/>
      <c r="O166" s="624"/>
      <c r="P166" s="624"/>
      <c r="Q166" s="624"/>
      <c r="R166" s="624"/>
      <c r="S166" s="648"/>
      <c r="X166" s="703"/>
      <c r="Z166" s="516"/>
      <c r="AA166" s="529"/>
      <c r="AB166" s="648"/>
      <c r="AC166" s="564"/>
      <c r="AD166" s="525"/>
      <c r="AE166" s="525"/>
      <c r="AF166" s="648"/>
    </row>
    <row r="167" spans="1:32" s="547" customFormat="1" ht="18" customHeight="1">
      <c r="A167" s="416"/>
      <c r="D167" s="628"/>
      <c r="E167" s="730" t="s">
        <v>849</v>
      </c>
      <c r="F167" s="620"/>
      <c r="H167" s="620"/>
      <c r="I167" s="620"/>
      <c r="J167" s="623"/>
      <c r="K167" s="624"/>
      <c r="L167" s="620" t="s">
        <v>848</v>
      </c>
      <c r="M167" s="624"/>
      <c r="N167" s="624"/>
      <c r="O167" s="624"/>
      <c r="P167" s="624"/>
      <c r="Q167" s="624"/>
      <c r="R167" s="624"/>
      <c r="S167" s="735"/>
      <c r="U167" s="627"/>
      <c r="V167" s="722"/>
      <c r="W167" s="722"/>
      <c r="X167" s="722"/>
      <c r="Z167" s="516"/>
      <c r="AA167" s="529"/>
      <c r="AB167" s="630"/>
      <c r="AC167" s="564"/>
      <c r="AD167" s="525"/>
      <c r="AE167" s="525"/>
      <c r="AF167" s="630">
        <v>0</v>
      </c>
    </row>
    <row r="168" spans="1:32" s="547" customFormat="1" ht="18" customHeight="1">
      <c r="A168" s="416"/>
      <c r="D168" s="628"/>
      <c r="E168" s="646"/>
      <c r="F168" s="620"/>
      <c r="H168" s="620"/>
      <c r="I168" s="620"/>
      <c r="J168" s="623"/>
      <c r="K168" s="624"/>
      <c r="L168" s="624"/>
      <c r="M168" s="624"/>
      <c r="N168" s="624"/>
      <c r="O168" s="624"/>
      <c r="P168" s="624"/>
      <c r="Q168" s="624"/>
      <c r="R168" s="624"/>
      <c r="S168" s="643"/>
      <c r="T168" s="620"/>
      <c r="U168" s="620"/>
      <c r="V168" s="620"/>
      <c r="W168" s="620"/>
      <c r="X168" s="621"/>
      <c r="Z168" s="516"/>
      <c r="AA168" s="529"/>
      <c r="AB168" s="643"/>
      <c r="AC168" s="643"/>
      <c r="AD168" s="525"/>
      <c r="AE168" s="525"/>
      <c r="AF168" s="643"/>
    </row>
    <row r="169" spans="1:32" s="547" customFormat="1" ht="18" customHeight="1">
      <c r="A169" s="416"/>
      <c r="D169" s="628"/>
      <c r="E169" s="732" t="s">
        <v>850</v>
      </c>
      <c r="F169" s="620"/>
      <c r="H169" s="620"/>
      <c r="I169" s="620"/>
      <c r="J169" s="623"/>
      <c r="K169" s="624"/>
      <c r="L169" s="624"/>
      <c r="M169" s="624"/>
      <c r="N169" s="624"/>
      <c r="O169" s="624"/>
      <c r="P169" s="624"/>
      <c r="Q169" s="624"/>
      <c r="R169" s="624"/>
      <c r="S169" s="714" t="e">
        <f>+K143+S143+S156+S160+S161+S164+S165+S167</f>
        <v>#N/A</v>
      </c>
      <c r="T169" s="620"/>
      <c r="U169" s="620"/>
      <c r="V169" s="620"/>
      <c r="W169" s="620"/>
      <c r="X169" s="621"/>
      <c r="Z169" s="516"/>
      <c r="AA169" s="529"/>
      <c r="AB169" s="543">
        <v>0</v>
      </c>
      <c r="AC169" s="549"/>
      <c r="AD169" s="525"/>
      <c r="AE169" s="525"/>
      <c r="AF169" s="649">
        <v>0</v>
      </c>
    </row>
    <row r="170" spans="1:32" ht="18" customHeight="1">
      <c r="D170" s="603"/>
      <c r="F170" s="604"/>
      <c r="G170" s="604"/>
      <c r="H170" s="604"/>
      <c r="I170" s="604"/>
      <c r="X170" s="627"/>
    </row>
    <row r="171" spans="1:32" s="650" customFormat="1" ht="18" customHeight="1">
      <c r="A171" s="416"/>
      <c r="D171" s="651"/>
      <c r="E171" s="731" t="s">
        <v>851</v>
      </c>
      <c r="F171" s="620"/>
      <c r="H171" s="620"/>
      <c r="I171" s="620"/>
      <c r="J171" s="620"/>
      <c r="K171" s="624"/>
      <c r="L171" s="624"/>
      <c r="M171" s="624"/>
      <c r="N171" s="624"/>
      <c r="O171" s="624"/>
      <c r="P171" s="624"/>
      <c r="Q171" s="624"/>
      <c r="R171" s="624"/>
      <c r="S171" s="714" t="e">
        <f>+S124-S169</f>
        <v>#N/A</v>
      </c>
      <c r="U171" s="737" t="s">
        <v>852</v>
      </c>
      <c r="V171" s="620"/>
      <c r="W171" s="620"/>
      <c r="X171" s="621"/>
      <c r="Z171" s="652"/>
      <c r="AA171" s="524"/>
      <c r="AB171" s="543">
        <v>0</v>
      </c>
      <c r="AC171" s="549"/>
      <c r="AD171" s="523"/>
      <c r="AE171" s="523"/>
      <c r="AF171" s="543">
        <v>0</v>
      </c>
    </row>
    <row r="172" spans="1:32" s="547" customFormat="1" ht="5.45" customHeight="1">
      <c r="A172" s="416"/>
      <c r="D172" s="628"/>
      <c r="F172" s="620"/>
      <c r="H172" s="620"/>
      <c r="I172" s="620"/>
      <c r="J172" s="623"/>
      <c r="K172" s="624"/>
      <c r="L172" s="624"/>
      <c r="M172" s="624"/>
      <c r="N172" s="624"/>
      <c r="O172" s="624"/>
      <c r="P172" s="624"/>
      <c r="Q172" s="624"/>
      <c r="R172" s="624"/>
      <c r="S172" s="624"/>
      <c r="T172" s="620"/>
      <c r="U172" s="620"/>
      <c r="V172" s="620"/>
      <c r="W172" s="620"/>
      <c r="X172" s="621"/>
      <c r="Z172" s="516"/>
      <c r="AA172" s="529"/>
      <c r="AB172" s="525"/>
      <c r="AC172" s="525"/>
      <c r="AD172" s="525"/>
      <c r="AE172" s="525"/>
      <c r="AF172" s="525"/>
    </row>
    <row r="173" spans="1:32" s="547" customFormat="1" hidden="1">
      <c r="A173" s="416"/>
      <c r="D173" s="628"/>
      <c r="E173" s="547" t="s">
        <v>853</v>
      </c>
      <c r="F173" s="620"/>
      <c r="H173" s="620"/>
      <c r="I173" s="620"/>
      <c r="J173" s="623"/>
      <c r="K173" s="624"/>
      <c r="L173" s="624"/>
      <c r="M173" s="624"/>
      <c r="N173" s="624"/>
      <c r="O173" s="624"/>
      <c r="P173" s="624"/>
      <c r="Q173" s="624"/>
      <c r="R173" s="624"/>
      <c r="S173" s="624"/>
      <c r="T173" s="620"/>
      <c r="U173" s="620"/>
      <c r="V173" s="620"/>
      <c r="W173" s="620"/>
      <c r="X173" s="621"/>
      <c r="Z173" s="516"/>
      <c r="AA173" s="529"/>
      <c r="AB173" s="525"/>
      <c r="AC173" s="525"/>
      <c r="AD173" s="525"/>
      <c r="AE173" s="525"/>
      <c r="AF173" s="525"/>
    </row>
    <row r="174" spans="1:32" s="547" customFormat="1" ht="6" customHeight="1">
      <c r="A174" s="416"/>
      <c r="D174" s="653"/>
      <c r="E174" s="654"/>
      <c r="F174" s="655"/>
      <c r="G174" s="656"/>
      <c r="H174" s="656"/>
      <c r="I174" s="656"/>
      <c r="J174" s="657"/>
      <c r="K174" s="657"/>
      <c r="L174" s="657"/>
      <c r="M174" s="657"/>
      <c r="N174" s="657"/>
      <c r="O174" s="657"/>
      <c r="P174" s="657"/>
      <c r="Q174" s="657"/>
      <c r="R174" s="657"/>
      <c r="S174" s="657"/>
      <c r="T174" s="655"/>
      <c r="U174" s="655"/>
      <c r="V174" s="655"/>
      <c r="W174" s="655"/>
      <c r="X174" s="658"/>
      <c r="Z174" s="516"/>
      <c r="AA174" s="529"/>
      <c r="AB174" s="525"/>
      <c r="AC174" s="525"/>
      <c r="AD174" s="525"/>
      <c r="AE174" s="525"/>
      <c r="AF174" s="525"/>
    </row>
    <row r="175" spans="1:32" s="547" customFormat="1" hidden="1">
      <c r="A175" s="416"/>
      <c r="E175" s="659" t="s">
        <v>854</v>
      </c>
      <c r="F175" s="620"/>
      <c r="G175" s="623"/>
      <c r="H175" s="623"/>
      <c r="I175" s="623"/>
      <c r="J175" s="631"/>
      <c r="K175" s="624"/>
      <c r="L175" s="624"/>
      <c r="M175" s="624"/>
      <c r="N175" s="624"/>
      <c r="O175" s="624"/>
      <c r="P175" s="624"/>
      <c r="Q175" s="624"/>
      <c r="R175" s="624"/>
      <c r="S175" s="624"/>
      <c r="T175" s="620"/>
      <c r="U175" s="620"/>
      <c r="V175" s="620"/>
      <c r="W175" s="620"/>
      <c r="X175" s="621"/>
      <c r="Z175" s="516"/>
      <c r="AA175" s="529"/>
      <c r="AB175" s="525"/>
      <c r="AC175" s="525"/>
      <c r="AD175" s="525"/>
      <c r="AE175" s="525"/>
      <c r="AF175" s="525"/>
    </row>
    <row r="176" spans="1:32" hidden="1"/>
    <row r="177" spans="1:9" s="547" customFormat="1" ht="39" hidden="1" customHeight="1">
      <c r="A177" s="416"/>
      <c r="D177" s="603"/>
      <c r="E177" s="660" t="s">
        <v>855</v>
      </c>
      <c r="F177" s="620"/>
      <c r="G177" s="623"/>
      <c r="H177" s="661">
        <f>SUM(S32:S39,S106)</f>
        <v>0</v>
      </c>
      <c r="I177" s="620"/>
    </row>
    <row r="178" spans="1:9" s="547" customFormat="1" hidden="1">
      <c r="A178" s="416"/>
      <c r="D178" s="603"/>
      <c r="E178" s="662" t="s">
        <v>856</v>
      </c>
      <c r="F178" s="620"/>
      <c r="G178" s="623"/>
      <c r="H178" s="661" t="e">
        <v>#N/A</v>
      </c>
      <c r="I178" s="620"/>
    </row>
    <row r="179" spans="1:9" s="547" customFormat="1" hidden="1">
      <c r="A179" s="416"/>
      <c r="D179" s="603"/>
      <c r="E179" s="662" t="s">
        <v>857</v>
      </c>
      <c r="F179" s="620"/>
      <c r="G179" s="623"/>
      <c r="H179" s="661" t="e">
        <f>H177-H178</f>
        <v>#N/A</v>
      </c>
      <c r="I179" s="663" t="s">
        <v>858</v>
      </c>
    </row>
    <row r="180" spans="1:9" s="547" customFormat="1" ht="13.5" hidden="1" customHeight="1">
      <c r="A180" s="416"/>
      <c r="D180" s="603"/>
      <c r="F180" s="620"/>
      <c r="G180" s="623"/>
      <c r="H180" s="624"/>
      <c r="I180" s="547" t="s">
        <v>859</v>
      </c>
    </row>
    <row r="181" spans="1:9" s="547" customFormat="1" ht="6" hidden="1" customHeight="1">
      <c r="A181" s="416"/>
      <c r="D181" s="603"/>
    </row>
    <row r="182" spans="1:9" s="547" customFormat="1" ht="1.5" hidden="1" customHeight="1">
      <c r="A182" s="416"/>
      <c r="D182" s="603"/>
      <c r="E182" s="622"/>
      <c r="F182" s="620"/>
      <c r="G182" s="623"/>
      <c r="H182" s="624"/>
      <c r="I182" s="664"/>
    </row>
    <row r="183" spans="1:9" s="547" customFormat="1" hidden="1">
      <c r="A183" s="416"/>
      <c r="D183" s="603">
        <v>2</v>
      </c>
      <c r="E183" s="661" t="s">
        <v>860</v>
      </c>
      <c r="F183" s="620"/>
      <c r="G183" s="623"/>
    </row>
    <row r="184" spans="1:9" s="547" customFormat="1" hidden="1">
      <c r="A184" s="416"/>
      <c r="D184" s="603"/>
      <c r="E184" s="661"/>
      <c r="F184" s="620"/>
      <c r="G184" s="623"/>
    </row>
    <row r="185" spans="1:9" s="547" customFormat="1" hidden="1">
      <c r="A185" s="416"/>
      <c r="D185" s="603"/>
      <c r="E185" s="662" t="s">
        <v>861</v>
      </c>
      <c r="F185" s="620"/>
      <c r="G185" s="623"/>
      <c r="H185" s="661">
        <f>+S156</f>
        <v>0</v>
      </c>
      <c r="I185" s="620"/>
    </row>
    <row r="186" spans="1:9" s="547" customFormat="1" hidden="1">
      <c r="A186" s="416"/>
      <c r="D186" s="603"/>
      <c r="E186" s="662" t="s">
        <v>862</v>
      </c>
      <c r="F186" s="620"/>
      <c r="G186" s="623"/>
      <c r="H186" s="661">
        <f>Q71+Q94+Q110</f>
        <v>0</v>
      </c>
      <c r="I186" s="620"/>
    </row>
    <row r="187" spans="1:9" s="547" customFormat="1" hidden="1">
      <c r="A187" s="416"/>
      <c r="D187" s="603"/>
      <c r="E187" s="662" t="s">
        <v>857</v>
      </c>
      <c r="F187" s="620"/>
      <c r="G187" s="623"/>
      <c r="H187" s="661">
        <v>0</v>
      </c>
    </row>
    <row r="188" spans="1:9" s="547" customFormat="1" ht="6.95" hidden="1" customHeight="1">
      <c r="A188" s="416"/>
      <c r="D188" s="603"/>
      <c r="E188" s="622"/>
      <c r="F188" s="620"/>
      <c r="G188" s="623"/>
      <c r="H188" s="624"/>
    </row>
    <row r="189" spans="1:9" s="547" customFormat="1" hidden="1">
      <c r="A189" s="416"/>
      <c r="D189" s="603">
        <v>3</v>
      </c>
      <c r="E189" s="622" t="s">
        <v>863</v>
      </c>
      <c r="F189" s="620"/>
      <c r="G189" s="623"/>
      <c r="H189" s="661">
        <v>0</v>
      </c>
    </row>
    <row r="190" spans="1:9" s="547" customFormat="1" hidden="1">
      <c r="A190" s="416"/>
      <c r="D190" s="603"/>
      <c r="E190" s="665" t="s">
        <v>864</v>
      </c>
      <c r="F190" s="620"/>
      <c r="G190" s="623"/>
      <c r="H190" s="624"/>
    </row>
    <row r="191" spans="1:9" hidden="1"/>
    <row r="192" spans="1:9" s="547" customFormat="1" hidden="1">
      <c r="A192" s="416"/>
      <c r="D192" s="603">
        <v>4</v>
      </c>
      <c r="E192" s="622" t="s">
        <v>865</v>
      </c>
      <c r="F192" s="620"/>
      <c r="G192" s="623"/>
      <c r="H192" s="661">
        <v>0</v>
      </c>
    </row>
    <row r="193" spans="1:26" s="547" customFormat="1" hidden="1">
      <c r="A193" s="416"/>
      <c r="D193" s="603"/>
      <c r="E193" s="665" t="s">
        <v>864</v>
      </c>
      <c r="F193" s="620"/>
      <c r="G193" s="623"/>
      <c r="H193" s="624"/>
    </row>
    <row r="194" spans="1:26" s="547" customFormat="1" hidden="1">
      <c r="A194" s="416"/>
      <c r="D194" s="603"/>
      <c r="E194" s="622"/>
      <c r="F194" s="620"/>
      <c r="G194" s="623"/>
      <c r="H194" s="624"/>
    </row>
    <row r="195" spans="1:26" s="547" customFormat="1" hidden="1">
      <c r="A195" s="416"/>
      <c r="D195" s="603"/>
      <c r="E195" s="622" t="s">
        <v>866</v>
      </c>
      <c r="F195" s="620"/>
      <c r="G195" s="623"/>
      <c r="H195" s="666">
        <v>45565</v>
      </c>
    </row>
    <row r="196" spans="1:26" s="547" customFormat="1" hidden="1">
      <c r="A196" s="416"/>
      <c r="D196" s="603"/>
      <c r="E196" s="622"/>
      <c r="F196" s="620"/>
      <c r="G196" s="623"/>
      <c r="H196" s="667"/>
    </row>
    <row r="197" spans="1:26" s="547" customFormat="1" hidden="1">
      <c r="A197" s="416"/>
      <c r="D197" s="603"/>
      <c r="E197" s="622"/>
      <c r="F197" s="620"/>
      <c r="G197" s="623"/>
      <c r="H197" s="667"/>
    </row>
    <row r="198" spans="1:26" s="547" customFormat="1" hidden="1">
      <c r="A198" s="416"/>
      <c r="D198" s="603"/>
      <c r="E198" s="668" t="s">
        <v>867</v>
      </c>
      <c r="F198" s="669"/>
      <c r="G198" s="670"/>
      <c r="H198" s="667"/>
    </row>
    <row r="199" spans="1:26" s="547" customFormat="1" hidden="1">
      <c r="A199" s="416"/>
      <c r="D199" s="603"/>
      <c r="E199" s="671"/>
      <c r="F199" s="672" t="s">
        <v>868</v>
      </c>
      <c r="G199" s="673"/>
      <c r="H199" s="667"/>
    </row>
    <row r="200" spans="1:26" s="547" customFormat="1" hidden="1">
      <c r="A200" s="416"/>
      <c r="D200" s="603"/>
      <c r="E200" s="671"/>
      <c r="F200" s="623"/>
      <c r="G200" s="673"/>
      <c r="H200" s="667"/>
    </row>
    <row r="201" spans="1:26" s="547" customFormat="1" hidden="1">
      <c r="A201" s="416"/>
      <c r="D201" s="603"/>
      <c r="E201" s="674" t="s">
        <v>869</v>
      </c>
      <c r="F201" s="675">
        <f>S30</f>
        <v>0</v>
      </c>
      <c r="G201" s="673"/>
      <c r="H201" s="667"/>
    </row>
    <row r="202" spans="1:26" s="547" customFormat="1" hidden="1">
      <c r="A202" s="416"/>
      <c r="D202" s="603"/>
      <c r="E202" s="674" t="s">
        <v>870</v>
      </c>
      <c r="F202" s="675">
        <f>S69</f>
        <v>0</v>
      </c>
      <c r="G202" s="673"/>
      <c r="H202" s="667"/>
    </row>
    <row r="203" spans="1:26" s="547" customFormat="1" hidden="1">
      <c r="A203" s="416"/>
      <c r="D203" s="628"/>
      <c r="E203" s="676" t="s">
        <v>871</v>
      </c>
      <c r="F203" s="677">
        <f>F201-F202</f>
        <v>0</v>
      </c>
      <c r="G203" s="678"/>
    </row>
    <row r="204" spans="1:26" s="547" customFormat="1" hidden="1">
      <c r="A204" s="416"/>
      <c r="D204" s="628"/>
      <c r="E204" s="679"/>
      <c r="F204" s="677"/>
      <c r="G204" s="678"/>
    </row>
    <row r="205" spans="1:26" s="547" customFormat="1" hidden="1">
      <c r="A205" s="416"/>
      <c r="D205" s="628"/>
      <c r="E205" s="680"/>
      <c r="F205" s="677"/>
      <c r="G205" s="678"/>
    </row>
    <row r="206" spans="1:26" s="547" customFormat="1" ht="15.75" hidden="1" thickBot="1">
      <c r="A206" s="416"/>
      <c r="D206" s="628"/>
      <c r="E206" s="681" t="s">
        <v>872</v>
      </c>
      <c r="F206" s="682">
        <f>F203</f>
        <v>0</v>
      </c>
      <c r="G206" s="678"/>
    </row>
    <row r="207" spans="1:26" s="591" customFormat="1" hidden="1">
      <c r="A207" s="416"/>
      <c r="B207" s="525"/>
      <c r="C207" s="525"/>
      <c r="D207" s="597"/>
      <c r="E207" s="525"/>
      <c r="J207" s="525"/>
      <c r="K207" s="525"/>
      <c r="L207" s="525"/>
      <c r="M207" s="525"/>
      <c r="N207" s="525"/>
      <c r="O207" s="525"/>
      <c r="P207" s="525"/>
      <c r="Q207" s="525"/>
      <c r="R207" s="525"/>
      <c r="S207" s="525"/>
      <c r="T207" s="525"/>
      <c r="U207" s="525"/>
      <c r="V207" s="525"/>
      <c r="W207" s="525"/>
      <c r="X207" s="547"/>
      <c r="Y207" s="547"/>
      <c r="Z207" s="516"/>
    </row>
    <row r="208" spans="1:26" s="547" customFormat="1" hidden="1">
      <c r="A208" s="416"/>
      <c r="D208" s="628"/>
      <c r="E208" s="676" t="s">
        <v>873</v>
      </c>
      <c r="F208" s="677">
        <f>S13</f>
        <v>0</v>
      </c>
      <c r="G208" s="678"/>
    </row>
    <row r="209" spans="1:26" s="547" customFormat="1" hidden="1">
      <c r="A209" s="416"/>
      <c r="D209" s="628"/>
      <c r="E209" s="680"/>
      <c r="F209" s="677"/>
      <c r="G209" s="678"/>
    </row>
    <row r="210" spans="1:26" s="547" customFormat="1" ht="15.75" hidden="1" thickBot="1">
      <c r="A210" s="416"/>
      <c r="D210" s="628"/>
      <c r="E210" s="681" t="s">
        <v>874</v>
      </c>
      <c r="F210" s="682">
        <f>F206+F208</f>
        <v>0</v>
      </c>
      <c r="G210" s="678"/>
    </row>
    <row r="211" spans="1:26" s="547" customFormat="1" hidden="1">
      <c r="A211" s="416"/>
      <c r="D211" s="628"/>
      <c r="E211" s="680"/>
      <c r="F211" s="677"/>
      <c r="G211" s="678"/>
    </row>
    <row r="212" spans="1:26" s="547" customFormat="1" hidden="1">
      <c r="A212" s="416"/>
      <c r="D212" s="628"/>
      <c r="E212" s="683" t="s">
        <v>875</v>
      </c>
      <c r="F212" s="675">
        <f>K143</f>
        <v>0</v>
      </c>
      <c r="G212" s="678"/>
    </row>
    <row r="213" spans="1:26" s="547" customFormat="1" hidden="1">
      <c r="A213" s="416"/>
      <c r="D213" s="628"/>
      <c r="E213" s="683"/>
      <c r="F213" s="675"/>
      <c r="G213" s="678"/>
    </row>
    <row r="214" spans="1:26" s="547" customFormat="1" hidden="1">
      <c r="A214" s="416"/>
      <c r="D214" s="628"/>
      <c r="E214" s="683" t="s">
        <v>876</v>
      </c>
      <c r="F214" s="675">
        <f>F210-F212</f>
        <v>0</v>
      </c>
      <c r="G214" s="678"/>
    </row>
    <row r="215" spans="1:26" s="547" customFormat="1" hidden="1">
      <c r="A215" s="416"/>
      <c r="D215" s="628"/>
      <c r="E215" s="683"/>
      <c r="F215" s="675"/>
      <c r="G215" s="678"/>
    </row>
    <row r="216" spans="1:26" s="547" customFormat="1" hidden="1">
      <c r="A216" s="416"/>
      <c r="D216" s="628"/>
      <c r="E216" s="683" t="s">
        <v>877</v>
      </c>
      <c r="F216" s="675">
        <f>S96</f>
        <v>0</v>
      </c>
      <c r="G216" s="678"/>
    </row>
    <row r="217" spans="1:26" s="547" customFormat="1" hidden="1">
      <c r="A217" s="416"/>
      <c r="D217" s="628"/>
      <c r="E217" s="683"/>
      <c r="F217" s="675"/>
      <c r="G217" s="678"/>
    </row>
    <row r="218" spans="1:26" s="547" customFormat="1" ht="15.75" hidden="1" thickBot="1">
      <c r="A218" s="416"/>
      <c r="D218" s="628"/>
      <c r="E218" s="681" t="s">
        <v>878</v>
      </c>
      <c r="F218" s="682">
        <f>F214+F216</f>
        <v>0</v>
      </c>
      <c r="G218" s="684"/>
    </row>
    <row r="219" spans="1:26" s="591" customFormat="1" hidden="1">
      <c r="A219" s="416"/>
      <c r="B219" s="525"/>
      <c r="C219" s="525"/>
      <c r="D219" s="603"/>
      <c r="E219" s="525"/>
      <c r="F219" s="604"/>
      <c r="G219" s="604"/>
      <c r="H219" s="604"/>
      <c r="J219" s="525"/>
      <c r="K219" s="525"/>
      <c r="L219" s="525"/>
      <c r="M219" s="525"/>
      <c r="N219" s="525"/>
      <c r="O219" s="525"/>
      <c r="P219" s="525"/>
      <c r="Q219" s="525"/>
      <c r="R219" s="525"/>
      <c r="S219" s="525"/>
      <c r="T219" s="525"/>
      <c r="U219" s="525"/>
      <c r="V219" s="525"/>
      <c r="W219" s="525"/>
      <c r="X219" s="547"/>
      <c r="Y219" s="547"/>
      <c r="Z219" s="516"/>
    </row>
    <row r="220" spans="1:26" s="591" customFormat="1" hidden="1">
      <c r="A220" s="416"/>
      <c r="B220" s="525"/>
      <c r="C220" s="525"/>
      <c r="D220" s="603"/>
      <c r="E220" s="525"/>
      <c r="F220" s="604"/>
      <c r="G220" s="604"/>
      <c r="H220" s="604"/>
      <c r="J220" s="525"/>
      <c r="K220" s="525"/>
      <c r="L220" s="525"/>
      <c r="M220" s="525"/>
      <c r="N220" s="525"/>
      <c r="O220" s="525"/>
      <c r="P220" s="525"/>
      <c r="Q220" s="525"/>
      <c r="R220" s="525"/>
      <c r="S220" s="525"/>
      <c r="T220" s="525"/>
      <c r="U220" s="525"/>
      <c r="V220" s="525"/>
      <c r="W220" s="525"/>
      <c r="X220" s="547"/>
      <c r="Y220" s="547"/>
      <c r="Z220" s="516"/>
    </row>
    <row r="221" spans="1:26" s="591" customFormat="1" hidden="1">
      <c r="A221" s="416"/>
      <c r="B221" s="525"/>
      <c r="C221" s="525"/>
      <c r="D221" s="603"/>
      <c r="E221" s="525"/>
      <c r="F221" s="604"/>
      <c r="G221" s="604"/>
      <c r="H221" s="604"/>
      <c r="J221" s="525"/>
      <c r="K221" s="525"/>
      <c r="L221" s="525"/>
      <c r="M221" s="525"/>
      <c r="N221" s="525"/>
      <c r="O221" s="525"/>
      <c r="P221" s="525"/>
      <c r="Q221" s="525"/>
      <c r="R221" s="525"/>
      <c r="S221" s="525"/>
      <c r="T221" s="525"/>
      <c r="U221" s="525"/>
      <c r="V221" s="525"/>
      <c r="W221" s="525"/>
      <c r="X221" s="547"/>
      <c r="Y221" s="547"/>
      <c r="Z221" s="516"/>
    </row>
    <row r="222" spans="1:26" s="591" customFormat="1" hidden="1">
      <c r="A222" s="416"/>
      <c r="B222" s="525"/>
      <c r="C222" s="525"/>
      <c r="D222" s="603"/>
      <c r="E222" s="525"/>
      <c r="F222" s="604"/>
      <c r="G222" s="604"/>
      <c r="H222" s="604"/>
      <c r="J222" s="525"/>
      <c r="K222" s="525"/>
      <c r="L222" s="525"/>
      <c r="M222" s="525"/>
      <c r="N222" s="525"/>
      <c r="O222" s="525"/>
      <c r="P222" s="525"/>
      <c r="Q222" s="525"/>
      <c r="R222" s="525"/>
      <c r="S222" s="525"/>
      <c r="T222" s="525"/>
      <c r="U222" s="525"/>
      <c r="V222" s="525"/>
      <c r="W222" s="525"/>
      <c r="X222" s="547"/>
      <c r="Y222" s="547"/>
      <c r="Z222" s="516"/>
    </row>
    <row r="223" spans="1:26" s="547" customFormat="1" hidden="1">
      <c r="A223" s="416"/>
      <c r="D223" s="603">
        <v>7</v>
      </c>
      <c r="E223" s="622" t="s">
        <v>879</v>
      </c>
      <c r="F223" s="620"/>
      <c r="G223" s="623"/>
      <c r="H223" s="685">
        <v>0</v>
      </c>
    </row>
    <row r="224" spans="1:26" s="547" customFormat="1" hidden="1">
      <c r="A224" s="416"/>
      <c r="D224" s="603"/>
      <c r="E224" s="665" t="s">
        <v>864</v>
      </c>
      <c r="F224" s="620"/>
      <c r="G224" s="623"/>
      <c r="H224" s="623"/>
    </row>
    <row r="225" spans="1:26" s="547" customFormat="1" ht="6.6" hidden="1" customHeight="1">
      <c r="A225" s="416"/>
      <c r="D225" s="603"/>
      <c r="E225" s="665"/>
      <c r="F225" s="620"/>
      <c r="G225" s="623"/>
      <c r="H225" s="623"/>
    </row>
    <row r="226" spans="1:26" s="547" customFormat="1" hidden="1">
      <c r="A226" s="416"/>
      <c r="D226" s="603">
        <v>6</v>
      </c>
      <c r="E226" s="622" t="s">
        <v>880</v>
      </c>
      <c r="F226" s="620"/>
      <c r="G226" s="623"/>
      <c r="H226" s="685">
        <v>0</v>
      </c>
    </row>
    <row r="227" spans="1:26" s="547" customFormat="1" hidden="1">
      <c r="A227" s="416"/>
      <c r="D227" s="603"/>
      <c r="E227" s="665" t="s">
        <v>864</v>
      </c>
      <c r="F227" s="620"/>
      <c r="G227" s="623"/>
      <c r="H227" s="623"/>
    </row>
    <row r="228" spans="1:26" s="547" customFormat="1" hidden="1">
      <c r="A228" s="416"/>
      <c r="B228" s="525"/>
      <c r="C228" s="525"/>
      <c r="D228" s="606"/>
      <c r="E228" s="581"/>
      <c r="F228" s="607"/>
      <c r="G228" s="686"/>
      <c r="H228" s="686"/>
      <c r="I228" s="607"/>
      <c r="J228" s="581"/>
      <c r="K228" s="581"/>
      <c r="L228" s="581"/>
      <c r="M228" s="581"/>
      <c r="N228" s="581"/>
      <c r="O228" s="581"/>
      <c r="P228" s="581"/>
      <c r="Q228" s="581"/>
      <c r="R228" s="581"/>
      <c r="S228" s="581"/>
      <c r="T228" s="581"/>
      <c r="U228" s="581"/>
      <c r="V228" s="581"/>
      <c r="W228" s="581"/>
      <c r="X228" s="687"/>
      <c r="Z228" s="516"/>
    </row>
    <row r="229" spans="1:26" s="547" customFormat="1" ht="18" hidden="1">
      <c r="A229" s="416"/>
      <c r="B229" s="525"/>
      <c r="C229" s="525"/>
      <c r="D229" s="585" t="s">
        <v>881</v>
      </c>
      <c r="E229" s="525"/>
      <c r="F229" s="604"/>
      <c r="G229" s="688"/>
      <c r="H229" s="688"/>
      <c r="I229" s="604"/>
      <c r="J229" s="525"/>
      <c r="K229" s="525"/>
      <c r="L229" s="525"/>
      <c r="M229" s="525"/>
      <c r="N229" s="525"/>
      <c r="O229" s="525"/>
      <c r="P229" s="525"/>
      <c r="Q229" s="525"/>
      <c r="R229" s="525"/>
      <c r="S229" s="525"/>
      <c r="T229" s="525"/>
      <c r="U229" s="525"/>
      <c r="V229" s="525"/>
      <c r="W229" s="525"/>
      <c r="X229" s="627"/>
      <c r="Z229" s="516"/>
    </row>
    <row r="230" spans="1:26" s="547" customFormat="1" ht="10.5" hidden="1" customHeight="1">
      <c r="A230" s="416"/>
      <c r="B230" s="525"/>
      <c r="C230" s="525"/>
      <c r="D230" s="585"/>
      <c r="E230" s="525"/>
      <c r="F230" s="604"/>
      <c r="G230" s="688"/>
      <c r="H230" s="688"/>
      <c r="I230" s="604"/>
      <c r="J230" s="525"/>
      <c r="K230" s="525"/>
      <c r="L230" s="525"/>
      <c r="M230" s="525"/>
      <c r="N230" s="525"/>
      <c r="O230" s="525"/>
      <c r="P230" s="525"/>
      <c r="Q230" s="525"/>
      <c r="R230" s="525"/>
      <c r="S230" s="525"/>
      <c r="T230" s="525"/>
      <c r="U230" s="525"/>
      <c r="V230" s="525"/>
      <c r="W230" s="525"/>
      <c r="X230" s="627"/>
      <c r="Z230" s="516"/>
    </row>
    <row r="231" spans="1:26" s="547" customFormat="1" ht="10.5" hidden="1" customHeight="1">
      <c r="A231" s="416"/>
      <c r="D231" s="603"/>
      <c r="E231" s="914" t="s">
        <v>882</v>
      </c>
      <c r="F231" s="914"/>
      <c r="G231" s="689"/>
      <c r="H231" s="689"/>
      <c r="X231" s="627"/>
    </row>
    <row r="232" spans="1:26" s="547" customFormat="1" hidden="1">
      <c r="A232" s="416"/>
      <c r="B232" s="525"/>
      <c r="C232" s="525"/>
      <c r="D232" s="603"/>
      <c r="E232" s="525"/>
      <c r="F232" s="604"/>
      <c r="G232" s="604"/>
      <c r="H232" s="604"/>
      <c r="I232" s="604"/>
      <c r="J232" s="525"/>
      <c r="K232" s="525"/>
      <c r="L232" s="525"/>
      <c r="M232" s="525"/>
      <c r="N232" s="525"/>
      <c r="O232" s="525"/>
      <c r="P232" s="525"/>
      <c r="Q232" s="525"/>
      <c r="R232" s="525"/>
      <c r="S232" s="525"/>
      <c r="T232" s="525"/>
      <c r="U232" s="525"/>
      <c r="V232" s="525"/>
      <c r="W232" s="525"/>
      <c r="X232" s="627"/>
      <c r="Z232" s="516"/>
    </row>
    <row r="233" spans="1:26" s="547" customFormat="1" hidden="1">
      <c r="A233" s="416"/>
      <c r="B233" s="525"/>
      <c r="C233" s="525"/>
      <c r="D233" s="603"/>
      <c r="E233" s="525"/>
      <c r="F233" s="604"/>
      <c r="G233" s="604"/>
      <c r="H233" s="604"/>
      <c r="I233" s="604"/>
      <c r="J233" s="525"/>
      <c r="K233" s="525"/>
      <c r="L233" s="525"/>
      <c r="M233" s="525"/>
      <c r="N233" s="525"/>
      <c r="O233" s="525"/>
      <c r="P233" s="525"/>
      <c r="Q233" s="525"/>
      <c r="R233" s="525"/>
      <c r="S233" s="525"/>
      <c r="T233" s="525"/>
      <c r="U233" s="525"/>
      <c r="V233" s="525"/>
      <c r="W233" s="525"/>
      <c r="X233" s="627"/>
      <c r="Z233" s="516"/>
    </row>
    <row r="234" spans="1:26" s="547" customFormat="1" hidden="1">
      <c r="A234" s="416"/>
      <c r="B234" s="525"/>
      <c r="C234" s="525"/>
      <c r="D234" s="603"/>
      <c r="E234" s="525"/>
      <c r="F234" s="604"/>
      <c r="G234" s="604"/>
      <c r="H234" s="604"/>
      <c r="I234" s="604"/>
      <c r="J234" s="525"/>
      <c r="K234" s="525"/>
      <c r="L234" s="525"/>
      <c r="M234" s="525"/>
      <c r="N234" s="525"/>
      <c r="O234" s="525"/>
      <c r="P234" s="525"/>
      <c r="Q234" s="525"/>
      <c r="R234" s="525"/>
      <c r="S234" s="525"/>
      <c r="T234" s="525"/>
      <c r="U234" s="525"/>
      <c r="V234" s="525"/>
      <c r="W234" s="525"/>
      <c r="X234" s="627"/>
      <c r="Z234" s="516"/>
    </row>
    <row r="235" spans="1:26" s="547" customFormat="1" ht="15" hidden="1" customHeight="1">
      <c r="A235" s="416"/>
      <c r="D235" s="628"/>
      <c r="E235" s="690" t="s">
        <v>883</v>
      </c>
      <c r="F235" s="915" t="s">
        <v>884</v>
      </c>
      <c r="G235" s="915"/>
      <c r="H235" s="915"/>
      <c r="I235" s="915"/>
      <c r="J235" s="915"/>
      <c r="K235" s="915"/>
      <c r="L235" s="915"/>
      <c r="M235" s="915"/>
      <c r="N235" s="915"/>
      <c r="O235" s="915"/>
      <c r="P235" s="915"/>
      <c r="Q235" s="915"/>
      <c r="R235" s="915"/>
      <c r="S235" s="915"/>
      <c r="T235" s="915"/>
      <c r="U235" s="915"/>
      <c r="V235" s="915"/>
      <c r="X235" s="627"/>
    </row>
    <row r="236" spans="1:26" s="547" customFormat="1" hidden="1">
      <c r="A236" s="416"/>
      <c r="D236" s="628"/>
      <c r="E236" s="691"/>
      <c r="F236" s="691"/>
      <c r="G236" s="691"/>
      <c r="H236" s="691"/>
      <c r="I236" s="691"/>
      <c r="J236" s="525"/>
      <c r="K236" s="525"/>
      <c r="L236" s="525"/>
      <c r="M236" s="525"/>
      <c r="N236" s="525"/>
      <c r="O236" s="525"/>
      <c r="P236" s="525"/>
      <c r="Q236" s="525"/>
      <c r="R236" s="525"/>
      <c r="S236" s="525"/>
      <c r="T236" s="525"/>
      <c r="U236" s="525"/>
      <c r="V236" s="525"/>
      <c r="X236" s="627"/>
    </row>
    <row r="237" spans="1:26" s="547" customFormat="1" hidden="1">
      <c r="A237" s="416"/>
      <c r="D237" s="628"/>
      <c r="E237" s="691"/>
      <c r="F237" s="691"/>
      <c r="G237" s="691"/>
      <c r="H237" s="691"/>
      <c r="I237" s="691"/>
      <c r="J237" s="525"/>
      <c r="K237" s="525"/>
      <c r="L237" s="525"/>
      <c r="M237" s="525"/>
      <c r="N237" s="525"/>
      <c r="O237" s="525"/>
      <c r="P237" s="525"/>
      <c r="Q237" s="525"/>
      <c r="R237" s="525"/>
      <c r="S237" s="525"/>
      <c r="T237" s="525"/>
      <c r="U237" s="525"/>
      <c r="V237" s="525"/>
      <c r="X237" s="627"/>
    </row>
    <row r="238" spans="1:26" s="547" customFormat="1" ht="15" hidden="1" customHeight="1">
      <c r="A238" s="416"/>
      <c r="D238" s="628"/>
      <c r="E238" s="690" t="s">
        <v>885</v>
      </c>
      <c r="F238" s="911"/>
      <c r="G238" s="911"/>
      <c r="H238" s="911"/>
      <c r="I238" s="911"/>
      <c r="J238" s="911"/>
      <c r="K238" s="911"/>
      <c r="L238" s="911"/>
      <c r="M238" s="911"/>
      <c r="N238" s="911"/>
      <c r="O238" s="911"/>
      <c r="P238" s="911"/>
      <c r="Q238" s="911"/>
      <c r="R238" s="911"/>
      <c r="S238" s="911"/>
      <c r="T238" s="911"/>
      <c r="U238" s="911"/>
      <c r="V238" s="911"/>
      <c r="X238" s="627"/>
    </row>
    <row r="239" spans="1:26" s="547" customFormat="1" hidden="1">
      <c r="A239" s="416"/>
      <c r="B239" s="525"/>
      <c r="C239" s="525"/>
      <c r="D239" s="603"/>
      <c r="E239" s="525"/>
      <c r="F239" s="604"/>
      <c r="G239" s="604"/>
      <c r="H239" s="604"/>
      <c r="I239" s="604"/>
      <c r="J239" s="525"/>
      <c r="K239" s="525"/>
      <c r="L239" s="525"/>
      <c r="M239" s="525"/>
      <c r="N239" s="525"/>
      <c r="O239" s="525"/>
      <c r="P239" s="525"/>
      <c r="Q239" s="525"/>
      <c r="R239" s="525"/>
      <c r="S239" s="525"/>
      <c r="T239" s="525"/>
      <c r="U239" s="525"/>
      <c r="V239" s="525"/>
      <c r="W239" s="525"/>
      <c r="X239" s="627"/>
      <c r="Z239" s="516"/>
    </row>
    <row r="240" spans="1:26" s="547" customFormat="1" hidden="1">
      <c r="A240" s="416"/>
      <c r="B240" s="525"/>
      <c r="C240" s="525"/>
      <c r="D240" s="603"/>
      <c r="E240" s="525"/>
      <c r="F240" s="604"/>
      <c r="G240" s="604"/>
      <c r="H240" s="604"/>
      <c r="I240" s="604"/>
      <c r="J240" s="525"/>
      <c r="K240" s="525"/>
      <c r="L240" s="525"/>
      <c r="M240" s="525"/>
      <c r="N240" s="525"/>
      <c r="O240" s="525"/>
      <c r="P240" s="525"/>
      <c r="Q240" s="525"/>
      <c r="R240" s="525"/>
      <c r="S240" s="525"/>
      <c r="T240" s="525"/>
      <c r="U240" s="525"/>
      <c r="V240" s="525"/>
      <c r="W240" s="525"/>
      <c r="X240" s="627"/>
      <c r="Z240" s="516"/>
    </row>
    <row r="241" spans="1:26" s="547" customFormat="1" ht="15" hidden="1" customHeight="1">
      <c r="A241" s="416"/>
      <c r="D241" s="628"/>
      <c r="E241" s="690" t="s">
        <v>886</v>
      </c>
      <c r="F241" s="910"/>
      <c r="G241" s="911"/>
      <c r="H241" s="911"/>
      <c r="I241" s="911"/>
      <c r="J241" s="911"/>
      <c r="K241" s="911"/>
      <c r="L241" s="911"/>
      <c r="M241" s="911"/>
      <c r="N241" s="911"/>
      <c r="O241" s="911"/>
      <c r="P241" s="911"/>
      <c r="Q241" s="911"/>
      <c r="R241" s="911"/>
      <c r="S241" s="911"/>
      <c r="T241" s="911"/>
      <c r="U241" s="911"/>
      <c r="V241" s="911"/>
      <c r="X241" s="627"/>
    </row>
    <row r="242" spans="1:26" s="547" customFormat="1" hidden="1">
      <c r="A242" s="416"/>
      <c r="B242" s="525"/>
      <c r="C242" s="525"/>
      <c r="D242" s="603"/>
      <c r="E242" s="525"/>
      <c r="F242" s="604"/>
      <c r="G242" s="604"/>
      <c r="H242" s="604"/>
      <c r="I242" s="604"/>
      <c r="J242" s="525"/>
      <c r="K242" s="525"/>
      <c r="L242" s="525"/>
      <c r="M242" s="525"/>
      <c r="N242" s="525"/>
      <c r="O242" s="525"/>
      <c r="P242" s="525"/>
      <c r="Q242" s="525"/>
      <c r="R242" s="525"/>
      <c r="S242" s="525"/>
      <c r="T242" s="525"/>
      <c r="U242" s="525"/>
      <c r="V242" s="525"/>
      <c r="W242" s="525"/>
      <c r="X242" s="627"/>
      <c r="Z242" s="516"/>
    </row>
    <row r="243" spans="1:26" s="547" customFormat="1" hidden="1">
      <c r="A243" s="416"/>
      <c r="B243" s="525"/>
      <c r="C243" s="525"/>
      <c r="D243" s="603"/>
      <c r="E243" s="525"/>
      <c r="F243" s="604"/>
      <c r="G243" s="604"/>
      <c r="H243" s="604"/>
      <c r="I243" s="604"/>
      <c r="J243" s="525"/>
      <c r="K243" s="525"/>
      <c r="L243" s="525"/>
      <c r="M243" s="525"/>
      <c r="N243" s="525"/>
      <c r="O243" s="525"/>
      <c r="P243" s="525"/>
      <c r="Q243" s="525"/>
      <c r="R243" s="525"/>
      <c r="S243" s="525"/>
      <c r="T243" s="525"/>
      <c r="U243" s="525"/>
      <c r="V243" s="525"/>
      <c r="W243" s="525"/>
      <c r="X243" s="627"/>
      <c r="Z243" s="516"/>
    </row>
    <row r="244" spans="1:26" s="547" customFormat="1" hidden="1">
      <c r="A244" s="416"/>
      <c r="B244" s="525"/>
      <c r="C244" s="525"/>
      <c r="D244" s="603"/>
      <c r="E244" s="525"/>
      <c r="F244" s="604"/>
      <c r="G244" s="604"/>
      <c r="H244" s="604"/>
      <c r="I244" s="604"/>
      <c r="J244" s="525"/>
      <c r="K244" s="525"/>
      <c r="L244" s="525"/>
      <c r="M244" s="525"/>
      <c r="N244" s="525"/>
      <c r="O244" s="525"/>
      <c r="P244" s="525"/>
      <c r="Q244" s="525"/>
      <c r="R244" s="525"/>
      <c r="S244" s="525"/>
      <c r="T244" s="525"/>
      <c r="U244" s="525"/>
      <c r="V244" s="525"/>
      <c r="W244" s="525"/>
      <c r="X244" s="627"/>
      <c r="Z244" s="516"/>
    </row>
    <row r="245" spans="1:26" s="547" customFormat="1" hidden="1">
      <c r="A245" s="416"/>
      <c r="B245" s="525"/>
      <c r="C245" s="525"/>
      <c r="D245" s="603"/>
      <c r="E245" s="525"/>
      <c r="F245" s="604"/>
      <c r="G245" s="604"/>
      <c r="H245" s="604"/>
      <c r="I245" s="604"/>
      <c r="J245" s="525"/>
      <c r="K245" s="525"/>
      <c r="L245" s="525"/>
      <c r="M245" s="525"/>
      <c r="N245" s="525"/>
      <c r="O245" s="525"/>
      <c r="P245" s="525"/>
      <c r="Q245" s="525"/>
      <c r="R245" s="525"/>
      <c r="S245" s="525"/>
      <c r="T245" s="525"/>
      <c r="U245" s="525"/>
      <c r="V245" s="525"/>
      <c r="W245" s="525"/>
      <c r="X245" s="627"/>
      <c r="Z245" s="516"/>
    </row>
    <row r="246" spans="1:26" s="547" customFormat="1" hidden="1">
      <c r="A246" s="416"/>
      <c r="B246" s="525"/>
      <c r="C246" s="525"/>
      <c r="D246" s="692"/>
      <c r="E246" s="586"/>
      <c r="F246" s="693"/>
      <c r="G246" s="693"/>
      <c r="H246" s="693"/>
      <c r="I246" s="693"/>
      <c r="J246" s="586"/>
      <c r="K246" s="586"/>
      <c r="L246" s="586"/>
      <c r="M246" s="586"/>
      <c r="N246" s="586"/>
      <c r="O246" s="586"/>
      <c r="P246" s="586"/>
      <c r="Q246" s="586"/>
      <c r="R246" s="586"/>
      <c r="S246" s="586"/>
      <c r="T246" s="586"/>
      <c r="U246" s="586"/>
      <c r="V246" s="586"/>
      <c r="W246" s="586"/>
      <c r="X246" s="694"/>
      <c r="Z246" s="516"/>
    </row>
    <row r="247" spans="1:26" hidden="1"/>
  </sheetData>
  <sheetProtection algorithmName="SHA-512" hashValue="R6WVdTsHhS6Dj4JGyG5vTeBqwWsp12amMdKOSo9n9IDLnnfBBWvuEIaPmSf6ing4bY3ento1PwV4YJq1OTfasQ==" saltValue="qDtDHmv72nFL4cJu6i8/3w==" spinCount="100000" sheet="1" objects="1" scenarios="1"/>
  <dataConsolidate/>
  <mergeCells count="14">
    <mergeCell ref="D8:V8"/>
    <mergeCell ref="V151:X151"/>
    <mergeCell ref="V141:X141"/>
    <mergeCell ref="V147:X147"/>
    <mergeCell ref="V148:X148"/>
    <mergeCell ref="V149:X149"/>
    <mergeCell ref="V150:X150"/>
    <mergeCell ref="F241:V241"/>
    <mergeCell ref="V152:X152"/>
    <mergeCell ref="V153:X153"/>
    <mergeCell ref="V154:X154"/>
    <mergeCell ref="E231:F231"/>
    <mergeCell ref="F235:V235"/>
    <mergeCell ref="F238:V238"/>
  </mergeCells>
  <conditionalFormatting sqref="D8:E8">
    <cfRule type="containsText" dxfId="59" priority="55" operator="containsText" text="THE FOLLOWING STATEMENT RECONCILES">
      <formula>NOT(ISERROR(SEARCH("THE FOLLOWING STATEMENT RECONCILES",D8)))</formula>
    </cfRule>
    <cfRule type="containsText" dxfId="58" priority="56" operator="containsText" text="&quot;THE FOLLOWING STATEMENT DOES NOT RECONCILE&quot;">
      <formula>NOT(ISERROR(SEARCH("""THE FOLLOWING STATEMENT DOES NOT RECONCILE""",D8)))</formula>
    </cfRule>
  </conditionalFormatting>
  <conditionalFormatting sqref="D8:W8">
    <cfRule type="containsText" dxfId="57" priority="54" operator="containsText" text="THE FOLLOWING STATEMENT DOES NOT RECONCILE">
      <formula>NOT(ISERROR(SEARCH("THE FOLLOWING STATEMENT DOES NOT RECONCILE",D8)))</formula>
    </cfRule>
  </conditionalFormatting>
  <conditionalFormatting sqref="F13:W13 F15:U29 W15:W29 F30:W30 F32:W73 F77:W96 F100:W112 H119:W123 F124:W124 J126:S127 K138:S141 AB138:AH141 J174:S174 E175:E179 J220:S226">
    <cfRule type="cellIs" dxfId="56" priority="44" operator="lessThan">
      <formula>-1</formula>
    </cfRule>
  </conditionalFormatting>
  <conditionalFormatting sqref="F70:W70 F72:W72">
    <cfRule type="cellIs" dxfId="55" priority="13" operator="lessThan">
      <formula>0</formula>
    </cfRule>
  </conditionalFormatting>
  <conditionalFormatting sqref="G118:G123">
    <cfRule type="cellIs" dxfId="54" priority="10" operator="lessThan">
      <formula>-1</formula>
    </cfRule>
  </conditionalFormatting>
  <conditionalFormatting sqref="H177:I180">
    <cfRule type="cellIs" dxfId="53" priority="43" operator="lessThan">
      <formula>-1</formula>
    </cfRule>
  </conditionalFormatting>
  <conditionalFormatting sqref="H182:I182 L183:S186 E183:E187">
    <cfRule type="cellIs" dxfId="52" priority="51" operator="lessThan">
      <formula>-1</formula>
    </cfRule>
  </conditionalFormatting>
  <conditionalFormatting sqref="H185:I219">
    <cfRule type="cellIs" dxfId="51" priority="37" operator="lessThan">
      <formula>-1</formula>
    </cfRule>
  </conditionalFormatting>
  <conditionalFormatting sqref="H223:I223">
    <cfRule type="cellIs" dxfId="50" priority="40" operator="lessThan">
      <formula>-1</formula>
    </cfRule>
  </conditionalFormatting>
  <conditionalFormatting sqref="H226:I226">
    <cfRule type="cellIs" dxfId="49" priority="39" operator="lessThan">
      <formula>-1</formula>
    </cfRule>
  </conditionalFormatting>
  <conditionalFormatting sqref="I179">
    <cfRule type="cellIs" dxfId="48" priority="15" operator="lessThan">
      <formula>-1</formula>
    </cfRule>
  </conditionalFormatting>
  <conditionalFormatting sqref="J128:J129 K175:S178 M179:P179 S179 K180:S182">
    <cfRule type="cellIs" dxfId="47" priority="50" operator="lessThan">
      <formula>-1</formula>
    </cfRule>
  </conditionalFormatting>
  <conditionalFormatting sqref="J175:J176">
    <cfRule type="cellIs" dxfId="46" priority="45" operator="lessThan">
      <formula>-1</formula>
    </cfRule>
  </conditionalFormatting>
  <conditionalFormatting sqref="K130:S130 K133:S134 K136:S136 K143:S143 K144:R173">
    <cfRule type="cellIs" dxfId="45" priority="47" operator="lessThan">
      <formula>-1</formula>
    </cfRule>
  </conditionalFormatting>
  <conditionalFormatting sqref="K187:S219">
    <cfRule type="cellIs" dxfId="44" priority="38" operator="lessThan">
      <formula>-1</formula>
    </cfRule>
  </conditionalFormatting>
  <conditionalFormatting sqref="S144:S146">
    <cfRule type="cellIs" dxfId="43" priority="46" operator="lessThan">
      <formula>-1</formula>
    </cfRule>
  </conditionalFormatting>
  <conditionalFormatting sqref="S152:S154">
    <cfRule type="top10" dxfId="42" priority="42" percent="1" rank="10"/>
  </conditionalFormatting>
  <conditionalFormatting sqref="S160:S161">
    <cfRule type="cellIs" dxfId="41" priority="5" operator="lessThan">
      <formula>-1</formula>
    </cfRule>
  </conditionalFormatting>
  <conditionalFormatting sqref="S164:S167">
    <cfRule type="cellIs" dxfId="40" priority="3" operator="lessThan">
      <formula>-1</formula>
    </cfRule>
  </conditionalFormatting>
  <conditionalFormatting sqref="S169:S173">
    <cfRule type="cellIs" dxfId="39" priority="1" operator="lessThan">
      <formula>-1</formula>
    </cfRule>
  </conditionalFormatting>
  <conditionalFormatting sqref="T100:U100">
    <cfRule type="cellIs" dxfId="38" priority="52" operator="lessThan">
      <formula>0</formula>
    </cfRule>
  </conditionalFormatting>
  <conditionalFormatting sqref="V14:V29">
    <cfRule type="cellIs" dxfId="37" priority="8" operator="lessThan">
      <formula>-1</formula>
    </cfRule>
  </conditionalFormatting>
  <conditionalFormatting sqref="W100">
    <cfRule type="cellIs" dxfId="36" priority="12" operator="lessThan">
      <formula>0</formula>
    </cfRule>
  </conditionalFormatting>
  <conditionalFormatting sqref="AB147:AB154">
    <cfRule type="cellIs" dxfId="35" priority="20" operator="lessThan">
      <formula>-1</formula>
    </cfRule>
  </conditionalFormatting>
  <conditionalFormatting sqref="AB13:AC13">
    <cfRule type="cellIs" dxfId="34" priority="35" operator="lessThan">
      <formula>-1</formula>
    </cfRule>
  </conditionalFormatting>
  <conditionalFormatting sqref="AB15:AC30 AF15:AH30 F119:F123">
    <cfRule type="cellIs" dxfId="33" priority="49" operator="lessThan">
      <formula>-1</formula>
    </cfRule>
  </conditionalFormatting>
  <conditionalFormatting sqref="AB32:AC73 AF32:AH73 AB77:AC96 AF77:AH96 AB100:AC112 AF100:AH112 AB119:AC124 AF119:AH124">
    <cfRule type="cellIs" dxfId="32" priority="14" operator="lessThan">
      <formula>-1</formula>
    </cfRule>
  </conditionalFormatting>
  <conditionalFormatting sqref="AB70:AC70 AB72:AC72">
    <cfRule type="cellIs" dxfId="31" priority="36" operator="lessThan">
      <formula>0</formula>
    </cfRule>
  </conditionalFormatting>
  <conditionalFormatting sqref="AB126:AC127">
    <cfRule type="cellIs" dxfId="30" priority="34" operator="lessThan">
      <formula>-1</formula>
    </cfRule>
  </conditionalFormatting>
  <conditionalFormatting sqref="AB143:AC146">
    <cfRule type="cellIs" dxfId="29" priority="32" operator="lessThan">
      <formula>-1</formula>
    </cfRule>
  </conditionalFormatting>
  <conditionalFormatting sqref="AB160:AC161">
    <cfRule type="cellIs" dxfId="28" priority="30" operator="lessThan">
      <formula>-1</formula>
    </cfRule>
  </conditionalFormatting>
  <conditionalFormatting sqref="AB164:AC167">
    <cfRule type="cellIs" dxfId="27" priority="29" operator="lessThan">
      <formula>-1</formula>
    </cfRule>
  </conditionalFormatting>
  <conditionalFormatting sqref="AB169:AC171">
    <cfRule type="cellIs" dxfId="26" priority="33" operator="lessThan">
      <formula>-1</formula>
    </cfRule>
  </conditionalFormatting>
  <conditionalFormatting sqref="AB130:AH130 AB133:AH134 AB136:AH136 AD143:AH143">
    <cfRule type="cellIs" dxfId="25" priority="22" operator="lessThan">
      <formula>-1</formula>
    </cfRule>
  </conditionalFormatting>
  <conditionalFormatting sqref="AC152:AC154">
    <cfRule type="top10" dxfId="24" priority="31" percent="1" rank="10"/>
  </conditionalFormatting>
  <conditionalFormatting sqref="AF147:AF154">
    <cfRule type="cellIs" dxfId="23" priority="19" operator="lessThan">
      <formula>-1</formula>
    </cfRule>
  </conditionalFormatting>
  <conditionalFormatting sqref="AF13:AH13">
    <cfRule type="cellIs" dxfId="22" priority="27" operator="lessThan">
      <formula>-1</formula>
    </cfRule>
  </conditionalFormatting>
  <conditionalFormatting sqref="AF70:AH70 AF72:AH72">
    <cfRule type="cellIs" dxfId="21" priority="28" operator="lessThan">
      <formula>0</formula>
    </cfRule>
  </conditionalFormatting>
  <conditionalFormatting sqref="AF126:AH127">
    <cfRule type="cellIs" dxfId="20" priority="26" operator="lessThan">
      <formula>-1</formula>
    </cfRule>
  </conditionalFormatting>
  <conditionalFormatting sqref="AF144:AH146">
    <cfRule type="cellIs" dxfId="19" priority="24" operator="lessThan">
      <formula>-1</formula>
    </cfRule>
  </conditionalFormatting>
  <conditionalFormatting sqref="AF160:AH161">
    <cfRule type="cellIs" dxfId="18" priority="18" operator="lessThan">
      <formula>-1</formula>
    </cfRule>
  </conditionalFormatting>
  <conditionalFormatting sqref="AF164:AH167">
    <cfRule type="cellIs" dxfId="17" priority="17" operator="lessThan">
      <formula>-1</formula>
    </cfRule>
  </conditionalFormatting>
  <conditionalFormatting sqref="AF169:AH171">
    <cfRule type="cellIs" dxfId="16" priority="25" operator="lessThan">
      <formula>-1</formula>
    </cfRule>
  </conditionalFormatting>
  <conditionalFormatting sqref="AG152:AH154">
    <cfRule type="top10" dxfId="15" priority="23" percent="1" rank="10"/>
  </conditionalFormatting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headerFooter>
    <oddFooter>&amp;C_x000D_&amp;1#&amp;"Calibri"&amp;10&amp;K000000 OFFICIAL</oddFooter>
  </headerFooter>
  <rowBreaks count="2" manualBreakCount="2">
    <brk id="69" min="2" max="19" man="1"/>
    <brk id="12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B0D9D-094F-41C9-BE75-C0CC6FF66015}">
  <sheetPr codeName="Sheet14"/>
  <dimension ref="A1:P195"/>
  <sheetViews>
    <sheetView workbookViewId="0">
      <selection activeCell="A8" sqref="A8:XFD195"/>
    </sheetView>
  </sheetViews>
  <sheetFormatPr defaultRowHeight="15"/>
  <cols>
    <col min="1" max="1" width="13.140625" bestFit="1" customWidth="1"/>
    <col min="2" max="2" width="26.85546875" bestFit="1" customWidth="1"/>
    <col min="3" max="3" width="9.42578125" customWidth="1"/>
    <col min="6" max="6" width="11.5703125" bestFit="1" customWidth="1"/>
    <col min="7" max="7" width="21.28515625" customWidth="1"/>
    <col min="8" max="9" width="11.5703125" bestFit="1" customWidth="1"/>
    <col min="10" max="10" width="10.5703125" bestFit="1" customWidth="1"/>
    <col min="11" max="12" width="9.5703125" bestFit="1" customWidth="1"/>
    <col min="13" max="13" width="13.28515625" bestFit="1" customWidth="1"/>
  </cols>
  <sheetData>
    <row r="1" spans="1:16">
      <c r="A1" s="738" t="s">
        <v>887</v>
      </c>
      <c r="B1" t="s">
        <v>888</v>
      </c>
    </row>
    <row r="2" spans="1:16">
      <c r="A2" s="5" t="s">
        <v>889</v>
      </c>
      <c r="B2" s="396">
        <v>0</v>
      </c>
    </row>
    <row r="3" spans="1:16">
      <c r="A3" s="5" t="s">
        <v>890</v>
      </c>
      <c r="B3" s="396">
        <v>40353902.303474523</v>
      </c>
    </row>
    <row r="4" spans="1:16">
      <c r="A4" s="5" t="s">
        <v>891</v>
      </c>
      <c r="B4" s="396">
        <v>40353902.303474523</v>
      </c>
    </row>
    <row r="8" spans="1:16" hidden="1">
      <c r="A8" t="s">
        <v>16</v>
      </c>
      <c r="B8" t="s">
        <v>17</v>
      </c>
      <c r="C8" t="s">
        <v>18</v>
      </c>
      <c r="D8" t="s">
        <v>19</v>
      </c>
      <c r="E8" t="s">
        <v>20</v>
      </c>
      <c r="F8" t="s">
        <v>21</v>
      </c>
      <c r="G8" t="s">
        <v>892</v>
      </c>
      <c r="H8" t="s">
        <v>436</v>
      </c>
      <c r="I8" t="s">
        <v>893</v>
      </c>
      <c r="J8" t="s">
        <v>437</v>
      </c>
      <c r="K8" t="s">
        <v>13</v>
      </c>
      <c r="L8" t="s">
        <v>894</v>
      </c>
      <c r="M8" t="s">
        <v>895</v>
      </c>
      <c r="N8" t="s">
        <v>9</v>
      </c>
      <c r="O8" t="s">
        <v>10</v>
      </c>
      <c r="P8" t="s">
        <v>896</v>
      </c>
    </row>
    <row r="9" spans="1:16" hidden="1">
      <c r="A9">
        <v>1027</v>
      </c>
      <c r="B9">
        <v>103140</v>
      </c>
      <c r="C9" t="s">
        <v>34</v>
      </c>
      <c r="D9" t="s">
        <v>35</v>
      </c>
      <c r="E9" t="s">
        <v>36</v>
      </c>
      <c r="F9" t="s">
        <v>890</v>
      </c>
      <c r="G9">
        <v>0</v>
      </c>
      <c r="H9">
        <v>0</v>
      </c>
      <c r="I9">
        <v>0</v>
      </c>
      <c r="J9">
        <v>0</v>
      </c>
      <c r="K9">
        <v>0</v>
      </c>
      <c r="L9">
        <v>2830.1666666666665</v>
      </c>
      <c r="M9">
        <v>0</v>
      </c>
      <c r="N9">
        <v>0</v>
      </c>
      <c r="O9">
        <v>0</v>
      </c>
      <c r="P9">
        <v>2830.1666666666665</v>
      </c>
    </row>
    <row r="10" spans="1:16" hidden="1">
      <c r="A10">
        <v>2010</v>
      </c>
      <c r="B10">
        <v>103159</v>
      </c>
      <c r="C10" t="s">
        <v>37</v>
      </c>
      <c r="D10" t="s">
        <v>38</v>
      </c>
      <c r="E10" t="s">
        <v>39</v>
      </c>
      <c r="F10" t="s">
        <v>890</v>
      </c>
      <c r="G10">
        <v>196994.16964298498</v>
      </c>
      <c r="H10">
        <v>0</v>
      </c>
      <c r="I10">
        <v>0</v>
      </c>
      <c r="J10">
        <v>0</v>
      </c>
      <c r="K10">
        <v>0</v>
      </c>
      <c r="L10">
        <v>1414.1316666666669</v>
      </c>
      <c r="M10">
        <v>0</v>
      </c>
      <c r="N10">
        <v>-722.09999999999991</v>
      </c>
      <c r="O10">
        <v>-4994.6260000000002</v>
      </c>
      <c r="P10">
        <v>192691.57530965164</v>
      </c>
    </row>
    <row r="11" spans="1:16" hidden="1">
      <c r="A11">
        <v>5949</v>
      </c>
      <c r="B11">
        <v>131465</v>
      </c>
      <c r="C11" t="s">
        <v>40</v>
      </c>
      <c r="D11" t="s">
        <v>41</v>
      </c>
      <c r="E11" t="s">
        <v>39</v>
      </c>
      <c r="F11" t="s">
        <v>890</v>
      </c>
      <c r="G11">
        <v>312168.10868507967</v>
      </c>
      <c r="H11">
        <v>0</v>
      </c>
      <c r="I11">
        <v>0</v>
      </c>
      <c r="J11">
        <v>0</v>
      </c>
      <c r="K11">
        <v>0</v>
      </c>
      <c r="L11">
        <v>5463.354166666667</v>
      </c>
      <c r="M11">
        <v>0</v>
      </c>
      <c r="N11">
        <v>-1303.0999999999999</v>
      </c>
      <c r="O11">
        <v>-936.49237499999992</v>
      </c>
      <c r="P11">
        <v>315391.87047674641</v>
      </c>
    </row>
    <row r="12" spans="1:16" hidden="1">
      <c r="A12">
        <v>1017</v>
      </c>
      <c r="B12">
        <v>103130</v>
      </c>
      <c r="C12" t="s">
        <v>42</v>
      </c>
      <c r="D12" t="s">
        <v>43</v>
      </c>
      <c r="E12" t="s">
        <v>36</v>
      </c>
      <c r="F12" t="s">
        <v>890</v>
      </c>
      <c r="G12">
        <v>0</v>
      </c>
      <c r="H12">
        <v>0</v>
      </c>
      <c r="I12">
        <v>-3000</v>
      </c>
      <c r="J12">
        <v>0</v>
      </c>
      <c r="K12">
        <v>0</v>
      </c>
      <c r="L12">
        <v>0</v>
      </c>
      <c r="M12">
        <v>5001.416666666667</v>
      </c>
      <c r="N12">
        <v>0</v>
      </c>
      <c r="O12">
        <v>0</v>
      </c>
      <c r="P12">
        <v>2001.416666666667</v>
      </c>
    </row>
    <row r="13" spans="1:16" hidden="1">
      <c r="A13">
        <v>2153</v>
      </c>
      <c r="B13">
        <v>103243</v>
      </c>
      <c r="C13" t="s">
        <v>44</v>
      </c>
      <c r="D13" t="s">
        <v>45</v>
      </c>
      <c r="E13" t="s">
        <v>39</v>
      </c>
      <c r="F13" t="s">
        <v>890</v>
      </c>
      <c r="G13">
        <v>210713.23352591635</v>
      </c>
      <c r="H13">
        <v>0</v>
      </c>
      <c r="I13">
        <v>23000</v>
      </c>
      <c r="J13">
        <v>0</v>
      </c>
      <c r="K13">
        <v>0</v>
      </c>
      <c r="L13">
        <v>0</v>
      </c>
      <c r="M13">
        <v>44233.652499999997</v>
      </c>
      <c r="N13">
        <v>-792.65</v>
      </c>
      <c r="O13">
        <v>-778.00905</v>
      </c>
      <c r="P13">
        <v>276376.2269759163</v>
      </c>
    </row>
    <row r="14" spans="1:16" hidden="1">
      <c r="A14">
        <v>2062</v>
      </c>
      <c r="B14">
        <v>103192</v>
      </c>
      <c r="C14" t="s">
        <v>46</v>
      </c>
      <c r="D14" t="s">
        <v>47</v>
      </c>
      <c r="E14" t="s">
        <v>39</v>
      </c>
      <c r="F14" t="s">
        <v>890</v>
      </c>
      <c r="G14">
        <v>210461.62594001935</v>
      </c>
      <c r="H14">
        <v>0</v>
      </c>
      <c r="I14">
        <v>0</v>
      </c>
      <c r="J14">
        <v>0</v>
      </c>
      <c r="K14">
        <v>0</v>
      </c>
      <c r="L14">
        <v>11810.735833333334</v>
      </c>
      <c r="M14">
        <v>0</v>
      </c>
      <c r="N14">
        <v>-763.59999999999991</v>
      </c>
      <c r="O14">
        <v>-3313.7422499999998</v>
      </c>
      <c r="P14">
        <v>218195.01952335268</v>
      </c>
    </row>
    <row r="15" spans="1:16" hidden="1">
      <c r="A15">
        <v>2479</v>
      </c>
      <c r="B15">
        <v>132074</v>
      </c>
      <c r="C15" t="s">
        <v>48</v>
      </c>
      <c r="D15" t="s">
        <v>49</v>
      </c>
      <c r="E15" t="s">
        <v>39</v>
      </c>
      <c r="F15" t="s">
        <v>890</v>
      </c>
      <c r="G15">
        <v>348140.77399849525</v>
      </c>
      <c r="H15">
        <v>0</v>
      </c>
      <c r="I15">
        <v>6666.666666666667</v>
      </c>
      <c r="J15">
        <v>0</v>
      </c>
      <c r="K15">
        <v>0</v>
      </c>
      <c r="L15">
        <v>0</v>
      </c>
      <c r="M15">
        <v>20265.258333333335</v>
      </c>
      <c r="N15">
        <v>-1284.425</v>
      </c>
      <c r="O15">
        <v>-1865.3763583333332</v>
      </c>
      <c r="P15">
        <v>371922.89764016197</v>
      </c>
    </row>
    <row r="16" spans="1:16" hidden="1">
      <c r="A16">
        <v>2300</v>
      </c>
      <c r="B16">
        <v>103324</v>
      </c>
      <c r="C16" t="s">
        <v>50</v>
      </c>
      <c r="D16" t="s">
        <v>51</v>
      </c>
      <c r="E16" t="s">
        <v>39</v>
      </c>
      <c r="F16" t="s">
        <v>890</v>
      </c>
      <c r="G16">
        <v>332172.30221615004</v>
      </c>
      <c r="H16">
        <v>0</v>
      </c>
      <c r="I16">
        <v>0</v>
      </c>
      <c r="J16">
        <v>0</v>
      </c>
      <c r="K16">
        <v>0</v>
      </c>
      <c r="L16">
        <v>10079.368333333334</v>
      </c>
      <c r="M16">
        <v>0</v>
      </c>
      <c r="N16">
        <v>-1294.8</v>
      </c>
      <c r="O16">
        <v>-7636.0147499999994</v>
      </c>
      <c r="P16">
        <v>333320.85579948343</v>
      </c>
    </row>
    <row r="17" spans="1:16" hidden="1">
      <c r="A17">
        <v>2014</v>
      </c>
      <c r="B17">
        <v>103162</v>
      </c>
      <c r="C17" t="s">
        <v>52</v>
      </c>
      <c r="D17" t="s">
        <v>53</v>
      </c>
      <c r="E17" t="s">
        <v>39</v>
      </c>
      <c r="F17" t="s">
        <v>890</v>
      </c>
      <c r="G17">
        <v>210064.87085380885</v>
      </c>
      <c r="H17">
        <v>0</v>
      </c>
      <c r="I17">
        <v>0</v>
      </c>
      <c r="J17">
        <v>0</v>
      </c>
      <c r="K17">
        <v>0</v>
      </c>
      <c r="L17">
        <v>6244.083333333333</v>
      </c>
      <c r="M17">
        <v>0</v>
      </c>
      <c r="N17">
        <v>-794.72499999999991</v>
      </c>
      <c r="O17">
        <v>-3409.7927500000001</v>
      </c>
      <c r="P17">
        <v>212104.4364371422</v>
      </c>
    </row>
    <row r="18" spans="1:16" hidden="1">
      <c r="A18">
        <v>7016</v>
      </c>
      <c r="B18">
        <v>103606</v>
      </c>
      <c r="C18" t="s">
        <v>54</v>
      </c>
      <c r="D18" t="s">
        <v>55</v>
      </c>
      <c r="E18" t="s">
        <v>56</v>
      </c>
      <c r="F18" t="s">
        <v>890</v>
      </c>
      <c r="G18">
        <v>0</v>
      </c>
      <c r="H18">
        <v>103333.33333333333</v>
      </c>
      <c r="I18">
        <v>0</v>
      </c>
      <c r="J18">
        <v>53333.333333333336</v>
      </c>
      <c r="K18">
        <v>0</v>
      </c>
      <c r="L18">
        <v>307510.67166666663</v>
      </c>
      <c r="M18">
        <v>0</v>
      </c>
      <c r="N18">
        <v>0</v>
      </c>
      <c r="O18">
        <v>0</v>
      </c>
      <c r="P18">
        <v>464177.33833333326</v>
      </c>
    </row>
    <row r="19" spans="1:16" hidden="1">
      <c r="A19">
        <v>7052</v>
      </c>
      <c r="B19">
        <v>103627</v>
      </c>
      <c r="C19" t="s">
        <v>57</v>
      </c>
      <c r="D19" t="s">
        <v>58</v>
      </c>
      <c r="E19" t="s">
        <v>56</v>
      </c>
      <c r="F19" t="s">
        <v>890</v>
      </c>
      <c r="G19">
        <v>0</v>
      </c>
      <c r="H19">
        <v>78333.333333333328</v>
      </c>
      <c r="I19">
        <v>0</v>
      </c>
      <c r="J19">
        <v>0</v>
      </c>
      <c r="K19">
        <v>0</v>
      </c>
      <c r="L19">
        <v>147457.23083333336</v>
      </c>
      <c r="M19">
        <v>0</v>
      </c>
      <c r="N19">
        <v>0</v>
      </c>
      <c r="O19">
        <v>0</v>
      </c>
      <c r="P19">
        <v>225790.56416666671</v>
      </c>
    </row>
    <row r="20" spans="1:16" hidden="1">
      <c r="A20">
        <v>2017</v>
      </c>
      <c r="B20">
        <v>103164</v>
      </c>
      <c r="C20" t="s">
        <v>59</v>
      </c>
      <c r="D20" t="s">
        <v>60</v>
      </c>
      <c r="E20" t="s">
        <v>39</v>
      </c>
      <c r="F20" t="s">
        <v>890</v>
      </c>
      <c r="G20">
        <v>146956.4376932022</v>
      </c>
      <c r="H20">
        <v>0</v>
      </c>
      <c r="I20">
        <v>0</v>
      </c>
      <c r="J20">
        <v>0</v>
      </c>
      <c r="K20">
        <v>0</v>
      </c>
      <c r="L20">
        <v>5520.625</v>
      </c>
      <c r="M20">
        <v>0</v>
      </c>
      <c r="N20">
        <v>-516.67499999999995</v>
      </c>
      <c r="O20">
        <v>-1507.9928499999999</v>
      </c>
      <c r="P20">
        <v>150452.3948432022</v>
      </c>
    </row>
    <row r="21" spans="1:16" hidden="1">
      <c r="A21">
        <v>2016</v>
      </c>
      <c r="B21">
        <v>103163</v>
      </c>
      <c r="C21" t="s">
        <v>61</v>
      </c>
      <c r="D21" t="s">
        <v>62</v>
      </c>
      <c r="E21" t="s">
        <v>39</v>
      </c>
      <c r="F21" t="s">
        <v>890</v>
      </c>
      <c r="G21">
        <v>199302.04464082597</v>
      </c>
      <c r="H21">
        <v>0</v>
      </c>
      <c r="I21">
        <v>0</v>
      </c>
      <c r="J21">
        <v>0</v>
      </c>
      <c r="K21">
        <v>0</v>
      </c>
      <c r="L21">
        <v>9462.3608333333341</v>
      </c>
      <c r="M21">
        <v>0</v>
      </c>
      <c r="N21">
        <v>-749.07499999999993</v>
      </c>
      <c r="O21">
        <v>-735.17774166666675</v>
      </c>
      <c r="P21">
        <v>207280.15273249263</v>
      </c>
    </row>
    <row r="22" spans="1:16" hidden="1">
      <c r="A22">
        <v>2239</v>
      </c>
      <c r="B22">
        <v>103289</v>
      </c>
      <c r="C22" t="s">
        <v>63</v>
      </c>
      <c r="D22" t="s">
        <v>64</v>
      </c>
      <c r="E22" t="s">
        <v>39</v>
      </c>
      <c r="F22" t="s">
        <v>890</v>
      </c>
      <c r="G22">
        <v>82349.71122385771</v>
      </c>
      <c r="H22">
        <v>0</v>
      </c>
      <c r="I22">
        <v>0</v>
      </c>
      <c r="J22">
        <v>0</v>
      </c>
      <c r="K22">
        <v>0</v>
      </c>
      <c r="L22">
        <v>6283.916666666667</v>
      </c>
      <c r="M22">
        <v>0</v>
      </c>
      <c r="N22">
        <v>-288.42500000000001</v>
      </c>
      <c r="O22">
        <v>-976.83006666666677</v>
      </c>
      <c r="P22">
        <v>87368.372823857717</v>
      </c>
    </row>
    <row r="23" spans="1:16" hidden="1">
      <c r="A23">
        <v>2241</v>
      </c>
      <c r="B23">
        <v>103291</v>
      </c>
      <c r="C23" t="s">
        <v>65</v>
      </c>
      <c r="D23" t="s">
        <v>66</v>
      </c>
      <c r="E23" t="s">
        <v>39</v>
      </c>
      <c r="F23" t="s">
        <v>890</v>
      </c>
      <c r="G23">
        <v>127942.43799801118</v>
      </c>
      <c r="H23">
        <v>0</v>
      </c>
      <c r="I23">
        <v>10000</v>
      </c>
      <c r="J23">
        <v>0</v>
      </c>
      <c r="K23">
        <v>0</v>
      </c>
      <c r="L23">
        <v>0</v>
      </c>
      <c r="M23">
        <v>6436.25</v>
      </c>
      <c r="N23">
        <v>-479.32499999999999</v>
      </c>
      <c r="O23">
        <v>-1294.868925</v>
      </c>
      <c r="P23">
        <v>142604.49407301118</v>
      </c>
    </row>
    <row r="24" spans="1:16" hidden="1">
      <c r="A24">
        <v>2456</v>
      </c>
      <c r="B24">
        <v>103383</v>
      </c>
      <c r="C24" t="s">
        <v>67</v>
      </c>
      <c r="D24" t="s">
        <v>68</v>
      </c>
      <c r="E24" t="s">
        <v>39</v>
      </c>
      <c r="F24" t="s">
        <v>890</v>
      </c>
      <c r="G24">
        <v>110894.54447486547</v>
      </c>
      <c r="H24">
        <v>0</v>
      </c>
      <c r="I24">
        <v>0</v>
      </c>
      <c r="J24">
        <v>0</v>
      </c>
      <c r="K24">
        <v>0</v>
      </c>
      <c r="L24">
        <v>7391.416666666667</v>
      </c>
      <c r="M24">
        <v>0</v>
      </c>
      <c r="N24">
        <v>-408.77499999999992</v>
      </c>
      <c r="O24">
        <v>-1909.2675666666667</v>
      </c>
      <c r="P24">
        <v>115967.91857486549</v>
      </c>
    </row>
    <row r="25" spans="1:16" hidden="1">
      <c r="A25">
        <v>5413</v>
      </c>
      <c r="B25">
        <v>103560</v>
      </c>
      <c r="C25" t="s">
        <v>69</v>
      </c>
      <c r="D25" t="s">
        <v>70</v>
      </c>
      <c r="E25" t="s">
        <v>71</v>
      </c>
      <c r="F25" t="s">
        <v>890</v>
      </c>
      <c r="G25">
        <v>647123.16323008994</v>
      </c>
      <c r="H25">
        <v>0</v>
      </c>
      <c r="I25">
        <v>0</v>
      </c>
      <c r="J25">
        <v>0</v>
      </c>
      <c r="K25">
        <v>132581.83333333334</v>
      </c>
      <c r="L25">
        <v>8978.9166666666661</v>
      </c>
      <c r="M25">
        <v>0</v>
      </c>
      <c r="N25">
        <v>-1620.125</v>
      </c>
      <c r="O25">
        <v>-2977.5655000000002</v>
      </c>
      <c r="P25">
        <v>784086.22273008991</v>
      </c>
    </row>
    <row r="26" spans="1:16" hidden="1">
      <c r="A26">
        <v>2254</v>
      </c>
      <c r="B26">
        <v>103300</v>
      </c>
      <c r="C26" t="s">
        <v>72</v>
      </c>
      <c r="D26" t="s">
        <v>73</v>
      </c>
      <c r="E26" t="s">
        <v>39</v>
      </c>
      <c r="F26" t="s">
        <v>890</v>
      </c>
      <c r="G26">
        <v>260444.68513134503</v>
      </c>
      <c r="H26">
        <v>0</v>
      </c>
      <c r="I26">
        <v>7500</v>
      </c>
      <c r="J26">
        <v>0</v>
      </c>
      <c r="K26">
        <v>0</v>
      </c>
      <c r="L26">
        <v>0</v>
      </c>
      <c r="M26">
        <v>20750.444166666668</v>
      </c>
      <c r="N26">
        <v>-962.79999999999984</v>
      </c>
      <c r="O26">
        <v>-8116.2672499999999</v>
      </c>
      <c r="P26">
        <v>279616.06204801175</v>
      </c>
    </row>
    <row r="27" spans="1:16" hidden="1">
      <c r="A27">
        <v>1025</v>
      </c>
      <c r="B27">
        <v>103138</v>
      </c>
      <c r="C27" t="s">
        <v>74</v>
      </c>
      <c r="D27" t="s">
        <v>75</v>
      </c>
      <c r="E27" t="s">
        <v>36</v>
      </c>
      <c r="F27" t="s">
        <v>890</v>
      </c>
      <c r="G27">
        <v>0</v>
      </c>
      <c r="H27">
        <v>0</v>
      </c>
      <c r="I27">
        <v>0</v>
      </c>
      <c r="J27">
        <v>0</v>
      </c>
      <c r="K27">
        <v>0</v>
      </c>
      <c r="L27">
        <v>-8168.75</v>
      </c>
      <c r="M27">
        <v>0</v>
      </c>
      <c r="N27">
        <v>0</v>
      </c>
      <c r="O27">
        <v>0</v>
      </c>
      <c r="P27">
        <v>-8168.75</v>
      </c>
    </row>
    <row r="28" spans="1:16" hidden="1">
      <c r="A28">
        <v>2402</v>
      </c>
      <c r="B28">
        <v>103342</v>
      </c>
      <c r="C28" t="s">
        <v>76</v>
      </c>
      <c r="D28" t="s">
        <v>77</v>
      </c>
      <c r="E28" t="s">
        <v>39</v>
      </c>
      <c r="F28" t="s">
        <v>890</v>
      </c>
      <c r="G28">
        <v>119557.29451489016</v>
      </c>
      <c r="H28">
        <v>0</v>
      </c>
      <c r="I28">
        <v>10166.666666666666</v>
      </c>
      <c r="J28">
        <v>0</v>
      </c>
      <c r="K28">
        <v>0</v>
      </c>
      <c r="L28">
        <v>0</v>
      </c>
      <c r="M28">
        <v>30085.318333333333</v>
      </c>
      <c r="N28">
        <v>-562.32499999999993</v>
      </c>
      <c r="O28">
        <v>-1986.0771750000001</v>
      </c>
      <c r="P28">
        <v>157260.87733989014</v>
      </c>
    </row>
    <row r="29" spans="1:16" hidden="1">
      <c r="A29">
        <v>2401</v>
      </c>
      <c r="B29">
        <v>103341</v>
      </c>
      <c r="C29" t="s">
        <v>78</v>
      </c>
      <c r="D29" t="s">
        <v>79</v>
      </c>
      <c r="E29" t="s">
        <v>39</v>
      </c>
      <c r="F29" t="s">
        <v>890</v>
      </c>
      <c r="G29">
        <v>164616.38875000001</v>
      </c>
      <c r="H29">
        <v>0</v>
      </c>
      <c r="I29">
        <v>0</v>
      </c>
      <c r="J29">
        <v>0</v>
      </c>
      <c r="K29">
        <v>0</v>
      </c>
      <c r="L29">
        <v>4069.7158333333332</v>
      </c>
      <c r="M29">
        <v>0</v>
      </c>
      <c r="N29">
        <v>-788.5</v>
      </c>
      <c r="O29">
        <v>-2641.3887500000001</v>
      </c>
      <c r="P29">
        <v>165256.21583333332</v>
      </c>
    </row>
    <row r="30" spans="1:16" hidden="1">
      <c r="A30">
        <v>1001</v>
      </c>
      <c r="B30">
        <v>103120</v>
      </c>
      <c r="C30" t="s">
        <v>80</v>
      </c>
      <c r="D30" t="s">
        <v>81</v>
      </c>
      <c r="E30" t="s">
        <v>36</v>
      </c>
      <c r="F30" t="s">
        <v>890</v>
      </c>
      <c r="G30">
        <v>0</v>
      </c>
      <c r="H30">
        <v>0</v>
      </c>
      <c r="I30">
        <v>0</v>
      </c>
      <c r="J30">
        <v>0</v>
      </c>
      <c r="K30">
        <v>0</v>
      </c>
      <c r="L30">
        <v>461.45833333333331</v>
      </c>
      <c r="M30">
        <v>0</v>
      </c>
      <c r="N30">
        <v>0</v>
      </c>
      <c r="O30">
        <v>0</v>
      </c>
      <c r="P30">
        <v>461.45833333333331</v>
      </c>
    </row>
    <row r="31" spans="1:16" hidden="1">
      <c r="A31">
        <v>4115</v>
      </c>
      <c r="B31">
        <v>103493</v>
      </c>
      <c r="C31" t="s">
        <v>82</v>
      </c>
      <c r="D31" t="s">
        <v>83</v>
      </c>
      <c r="E31" t="s">
        <v>71</v>
      </c>
      <c r="F31" t="s">
        <v>890</v>
      </c>
      <c r="G31">
        <v>459999.44624522794</v>
      </c>
      <c r="H31">
        <v>0</v>
      </c>
      <c r="I31">
        <v>6000</v>
      </c>
      <c r="J31">
        <v>0</v>
      </c>
      <c r="K31">
        <v>197073.33333333334</v>
      </c>
      <c r="L31">
        <v>0</v>
      </c>
      <c r="M31">
        <v>25313.668333333335</v>
      </c>
      <c r="N31">
        <v>-1004.25</v>
      </c>
      <c r="O31">
        <v>-2809.4771249999999</v>
      </c>
      <c r="P31">
        <v>684572.72078689467</v>
      </c>
    </row>
    <row r="32" spans="1:16" hidden="1">
      <c r="A32">
        <v>2030</v>
      </c>
      <c r="B32">
        <v>103172</v>
      </c>
      <c r="C32" t="s">
        <v>84</v>
      </c>
      <c r="D32" t="s">
        <v>85</v>
      </c>
      <c r="E32" t="s">
        <v>39</v>
      </c>
      <c r="F32" t="s">
        <v>890</v>
      </c>
      <c r="G32">
        <v>324087.1681666089</v>
      </c>
      <c r="H32">
        <v>0</v>
      </c>
      <c r="I32">
        <v>0</v>
      </c>
      <c r="J32">
        <v>0</v>
      </c>
      <c r="K32">
        <v>0</v>
      </c>
      <c r="L32">
        <v>3227.75</v>
      </c>
      <c r="M32">
        <v>0</v>
      </c>
      <c r="N32">
        <v>-1265.75</v>
      </c>
      <c r="O32">
        <v>-1027.74035</v>
      </c>
      <c r="P32">
        <v>325021.42781660892</v>
      </c>
    </row>
    <row r="33" spans="1:16" hidden="1">
      <c r="A33">
        <v>3353</v>
      </c>
      <c r="B33">
        <v>103445</v>
      </c>
      <c r="C33" t="s">
        <v>86</v>
      </c>
      <c r="D33" t="s">
        <v>87</v>
      </c>
      <c r="E33" t="s">
        <v>39</v>
      </c>
      <c r="F33" t="s">
        <v>890</v>
      </c>
      <c r="G33">
        <v>276653.007025</v>
      </c>
      <c r="H33">
        <v>0</v>
      </c>
      <c r="I33">
        <v>0</v>
      </c>
      <c r="J33">
        <v>0</v>
      </c>
      <c r="K33">
        <v>0</v>
      </c>
      <c r="L33">
        <v>9411.2433333333338</v>
      </c>
      <c r="M33">
        <v>0</v>
      </c>
      <c r="N33">
        <v>-1342.5249999999999</v>
      </c>
      <c r="O33">
        <v>-869.257025</v>
      </c>
      <c r="P33">
        <v>283852.46833333332</v>
      </c>
    </row>
    <row r="34" spans="1:16" hidden="1">
      <c r="A34">
        <v>7030</v>
      </c>
      <c r="B34">
        <v>103611</v>
      </c>
      <c r="C34" t="s">
        <v>88</v>
      </c>
      <c r="D34" t="s">
        <v>89</v>
      </c>
      <c r="E34" t="s">
        <v>56</v>
      </c>
      <c r="F34" t="s">
        <v>890</v>
      </c>
      <c r="G34">
        <v>0</v>
      </c>
      <c r="H34">
        <v>52083.333333333336</v>
      </c>
      <c r="I34">
        <v>0</v>
      </c>
      <c r="J34">
        <v>14166.666666666666</v>
      </c>
      <c r="K34">
        <v>0</v>
      </c>
      <c r="L34">
        <v>85860.150000000009</v>
      </c>
      <c r="M34">
        <v>0</v>
      </c>
      <c r="N34">
        <v>0</v>
      </c>
      <c r="O34">
        <v>0</v>
      </c>
      <c r="P34">
        <v>152110.15000000002</v>
      </c>
    </row>
    <row r="35" spans="1:16" hidden="1">
      <c r="A35">
        <v>1002</v>
      </c>
      <c r="B35">
        <v>103121</v>
      </c>
      <c r="C35" t="s">
        <v>90</v>
      </c>
      <c r="D35" t="s">
        <v>91</v>
      </c>
      <c r="E35" t="s">
        <v>36</v>
      </c>
      <c r="F35" t="s">
        <v>890</v>
      </c>
      <c r="G35">
        <v>0</v>
      </c>
      <c r="H35">
        <v>0</v>
      </c>
      <c r="I35">
        <v>0</v>
      </c>
      <c r="J35">
        <v>0</v>
      </c>
      <c r="K35">
        <v>0</v>
      </c>
      <c r="L35">
        <v>-6664.25</v>
      </c>
      <c r="M35">
        <v>0</v>
      </c>
      <c r="N35">
        <v>0</v>
      </c>
      <c r="O35">
        <v>0</v>
      </c>
      <c r="P35">
        <v>-6664.25</v>
      </c>
    </row>
    <row r="36" spans="1:16" hidden="1">
      <c r="A36">
        <v>2465</v>
      </c>
      <c r="B36">
        <v>103391</v>
      </c>
      <c r="C36" t="s">
        <v>92</v>
      </c>
      <c r="D36" t="s">
        <v>93</v>
      </c>
      <c r="E36" t="s">
        <v>39</v>
      </c>
      <c r="F36" t="s">
        <v>890</v>
      </c>
      <c r="G36">
        <v>234925.1604261926</v>
      </c>
      <c r="H36">
        <v>0</v>
      </c>
      <c r="I36">
        <v>0</v>
      </c>
      <c r="J36">
        <v>0</v>
      </c>
      <c r="K36">
        <v>0</v>
      </c>
      <c r="L36">
        <v>10491.833333333334</v>
      </c>
      <c r="M36">
        <v>0</v>
      </c>
      <c r="N36">
        <v>-854.9</v>
      </c>
      <c r="O36">
        <v>-3553.8685</v>
      </c>
      <c r="P36">
        <v>241008.22525952593</v>
      </c>
    </row>
    <row r="37" spans="1:16" hidden="1">
      <c r="A37">
        <v>4801</v>
      </c>
      <c r="B37">
        <v>103539</v>
      </c>
      <c r="C37" t="s">
        <v>94</v>
      </c>
      <c r="D37" t="s">
        <v>95</v>
      </c>
      <c r="E37" t="s">
        <v>71</v>
      </c>
      <c r="F37" t="s">
        <v>890</v>
      </c>
      <c r="G37">
        <v>557647.18449650588</v>
      </c>
      <c r="H37">
        <v>0</v>
      </c>
      <c r="I37">
        <v>0</v>
      </c>
      <c r="J37">
        <v>0</v>
      </c>
      <c r="K37">
        <v>0</v>
      </c>
      <c r="L37">
        <v>6081.8058333333329</v>
      </c>
      <c r="M37">
        <v>0</v>
      </c>
      <c r="N37">
        <v>-1291.875</v>
      </c>
      <c r="O37">
        <v>-1738.51405</v>
      </c>
      <c r="P37">
        <v>560698.60127983917</v>
      </c>
    </row>
    <row r="38" spans="1:16" hidden="1">
      <c r="A38">
        <v>1048</v>
      </c>
      <c r="B38">
        <v>103144</v>
      </c>
      <c r="C38" t="s">
        <v>96</v>
      </c>
      <c r="D38" t="s">
        <v>97</v>
      </c>
      <c r="E38" t="s">
        <v>36</v>
      </c>
      <c r="F38" t="s">
        <v>890</v>
      </c>
      <c r="G38">
        <v>0</v>
      </c>
      <c r="H38">
        <v>0</v>
      </c>
      <c r="I38">
        <v>0</v>
      </c>
      <c r="J38">
        <v>0</v>
      </c>
      <c r="K38">
        <v>0</v>
      </c>
      <c r="L38">
        <v>2246.1041666666665</v>
      </c>
      <c r="M38">
        <v>0</v>
      </c>
      <c r="N38">
        <v>0</v>
      </c>
      <c r="O38">
        <v>0</v>
      </c>
      <c r="P38">
        <v>2246.1041666666665</v>
      </c>
    </row>
    <row r="39" spans="1:16" hidden="1">
      <c r="A39">
        <v>2312</v>
      </c>
      <c r="B39">
        <v>103332</v>
      </c>
      <c r="C39" t="s">
        <v>98</v>
      </c>
      <c r="D39" t="s">
        <v>99</v>
      </c>
      <c r="E39" t="s">
        <v>39</v>
      </c>
      <c r="F39" t="s">
        <v>890</v>
      </c>
      <c r="G39">
        <v>185051.77505285092</v>
      </c>
      <c r="H39">
        <v>0</v>
      </c>
      <c r="I39">
        <v>0</v>
      </c>
      <c r="J39">
        <v>0</v>
      </c>
      <c r="K39">
        <v>0</v>
      </c>
      <c r="L39">
        <v>16719.742499999997</v>
      </c>
      <c r="M39">
        <v>0</v>
      </c>
      <c r="N39">
        <v>-859.04999999999984</v>
      </c>
      <c r="O39">
        <v>-3265.7170000000001</v>
      </c>
      <c r="P39">
        <v>197646.75055285092</v>
      </c>
    </row>
    <row r="40" spans="1:16" hidden="1">
      <c r="A40">
        <v>7051</v>
      </c>
      <c r="B40">
        <v>103626</v>
      </c>
      <c r="C40" t="s">
        <v>100</v>
      </c>
      <c r="D40" t="s">
        <v>101</v>
      </c>
      <c r="E40" t="s">
        <v>56</v>
      </c>
      <c r="F40" t="s">
        <v>890</v>
      </c>
      <c r="G40">
        <v>0</v>
      </c>
      <c r="H40">
        <v>92500</v>
      </c>
      <c r="I40">
        <v>0</v>
      </c>
      <c r="J40">
        <v>0</v>
      </c>
      <c r="K40">
        <v>0</v>
      </c>
      <c r="L40">
        <v>155946.62666666668</v>
      </c>
      <c r="M40">
        <v>0</v>
      </c>
      <c r="N40">
        <v>0</v>
      </c>
      <c r="O40">
        <v>0</v>
      </c>
      <c r="P40">
        <v>248446.62666666668</v>
      </c>
    </row>
    <row r="41" spans="1:16" hidden="1">
      <c r="A41">
        <v>2040</v>
      </c>
      <c r="B41">
        <v>103178</v>
      </c>
      <c r="C41" t="s">
        <v>102</v>
      </c>
      <c r="D41" t="s">
        <v>103</v>
      </c>
      <c r="E41" t="s">
        <v>39</v>
      </c>
      <c r="F41" t="s">
        <v>890</v>
      </c>
      <c r="G41">
        <v>204913.31008882684</v>
      </c>
      <c r="H41">
        <v>0</v>
      </c>
      <c r="I41">
        <v>8000</v>
      </c>
      <c r="J41">
        <v>0</v>
      </c>
      <c r="K41">
        <v>0</v>
      </c>
      <c r="L41">
        <v>0</v>
      </c>
      <c r="M41">
        <v>25848.095833333336</v>
      </c>
      <c r="N41">
        <v>-873.57499999999993</v>
      </c>
      <c r="O41">
        <v>-3433.8053749999999</v>
      </c>
      <c r="P41">
        <v>234454.02554716016</v>
      </c>
    </row>
    <row r="42" spans="1:16" hidden="1">
      <c r="A42">
        <v>2251</v>
      </c>
      <c r="B42">
        <v>103298</v>
      </c>
      <c r="C42" t="s">
        <v>104</v>
      </c>
      <c r="D42" t="s">
        <v>105</v>
      </c>
      <c r="E42" t="s">
        <v>39</v>
      </c>
      <c r="F42" t="s">
        <v>890</v>
      </c>
      <c r="G42">
        <v>181273.97595712729</v>
      </c>
      <c r="H42">
        <v>0</v>
      </c>
      <c r="I42">
        <v>0</v>
      </c>
      <c r="J42">
        <v>0</v>
      </c>
      <c r="K42">
        <v>0</v>
      </c>
      <c r="L42">
        <v>5873.4241666666667</v>
      </c>
      <c r="M42">
        <v>0</v>
      </c>
      <c r="N42">
        <v>-867.34999999999991</v>
      </c>
      <c r="O42">
        <v>-1287.0767000000001</v>
      </c>
      <c r="P42">
        <v>184992.97342379394</v>
      </c>
    </row>
    <row r="43" spans="1:16" hidden="1">
      <c r="A43">
        <v>3002</v>
      </c>
      <c r="B43">
        <v>103397</v>
      </c>
      <c r="C43" t="s">
        <v>106</v>
      </c>
      <c r="D43" t="s">
        <v>107</v>
      </c>
      <c r="E43" t="s">
        <v>39</v>
      </c>
      <c r="F43" t="s">
        <v>890</v>
      </c>
      <c r="G43">
        <v>105615.31294783537</v>
      </c>
      <c r="H43">
        <v>0</v>
      </c>
      <c r="I43">
        <v>0</v>
      </c>
      <c r="J43">
        <v>0</v>
      </c>
      <c r="K43">
        <v>0</v>
      </c>
      <c r="L43">
        <v>3765.5</v>
      </c>
      <c r="M43">
        <v>0</v>
      </c>
      <c r="N43">
        <v>-371.42499999999995</v>
      </c>
      <c r="O43">
        <v>-1656.8931166666669</v>
      </c>
      <c r="P43">
        <v>107352.49483116869</v>
      </c>
    </row>
    <row r="44" spans="1:16" hidden="1">
      <c r="A44">
        <v>3319</v>
      </c>
      <c r="B44">
        <v>103423</v>
      </c>
      <c r="C44" t="s">
        <v>108</v>
      </c>
      <c r="D44" t="s">
        <v>109</v>
      </c>
      <c r="E44" t="s">
        <v>39</v>
      </c>
      <c r="F44" t="s">
        <v>890</v>
      </c>
      <c r="G44">
        <v>186631.24560635202</v>
      </c>
      <c r="H44">
        <v>0</v>
      </c>
      <c r="I44">
        <v>0</v>
      </c>
      <c r="J44">
        <v>0</v>
      </c>
      <c r="K44">
        <v>0</v>
      </c>
      <c r="L44">
        <v>10592.791666666666</v>
      </c>
      <c r="M44">
        <v>0</v>
      </c>
      <c r="N44">
        <v>-755.30000000000007</v>
      </c>
      <c r="O44">
        <v>-590.71057499999995</v>
      </c>
      <c r="P44">
        <v>195878.02669801869</v>
      </c>
    </row>
    <row r="45" spans="1:16" hidden="1">
      <c r="A45">
        <v>1100</v>
      </c>
      <c r="B45">
        <v>103146</v>
      </c>
      <c r="C45" t="s">
        <v>110</v>
      </c>
      <c r="D45" t="s">
        <v>111</v>
      </c>
      <c r="E45" t="s">
        <v>112</v>
      </c>
      <c r="F45" t="s">
        <v>890</v>
      </c>
      <c r="G45">
        <v>0</v>
      </c>
      <c r="H45">
        <v>500000</v>
      </c>
      <c r="I45">
        <v>0</v>
      </c>
      <c r="J45">
        <v>0</v>
      </c>
      <c r="K45">
        <v>0</v>
      </c>
      <c r="L45">
        <v>725171.5</v>
      </c>
      <c r="M45">
        <v>0</v>
      </c>
      <c r="N45">
        <v>0</v>
      </c>
      <c r="O45">
        <v>0</v>
      </c>
      <c r="P45">
        <v>1225171.5</v>
      </c>
    </row>
    <row r="46" spans="1:16" hidden="1">
      <c r="A46">
        <v>3432</v>
      </c>
      <c r="B46">
        <v>134840</v>
      </c>
      <c r="C46" t="s">
        <v>113</v>
      </c>
      <c r="D46" t="s">
        <v>114</v>
      </c>
      <c r="E46" t="s">
        <v>39</v>
      </c>
      <c r="F46" t="s">
        <v>890</v>
      </c>
      <c r="G46">
        <v>490535.05372144585</v>
      </c>
      <c r="H46">
        <v>0</v>
      </c>
      <c r="I46">
        <v>0</v>
      </c>
      <c r="J46">
        <v>0</v>
      </c>
      <c r="K46">
        <v>0</v>
      </c>
      <c r="L46">
        <v>21586.069166666668</v>
      </c>
      <c r="M46">
        <v>0</v>
      </c>
      <c r="N46">
        <v>-1693.1999999999998</v>
      </c>
      <c r="O46">
        <v>-1997.8504</v>
      </c>
      <c r="P46">
        <v>508430.07248811249</v>
      </c>
    </row>
    <row r="47" spans="1:16" hidden="1">
      <c r="A47">
        <v>2289</v>
      </c>
      <c r="B47">
        <v>103315</v>
      </c>
      <c r="C47" t="s">
        <v>115</v>
      </c>
      <c r="D47" t="s">
        <v>116</v>
      </c>
      <c r="E47" t="s">
        <v>39</v>
      </c>
      <c r="F47" t="s">
        <v>890</v>
      </c>
      <c r="G47">
        <v>196139.40094152547</v>
      </c>
      <c r="H47">
        <v>0</v>
      </c>
      <c r="I47">
        <v>0</v>
      </c>
      <c r="J47">
        <v>0</v>
      </c>
      <c r="K47">
        <v>0</v>
      </c>
      <c r="L47">
        <v>10074.458333333334</v>
      </c>
      <c r="M47">
        <v>0</v>
      </c>
      <c r="N47">
        <v>-852.82499999999993</v>
      </c>
      <c r="O47">
        <v>-1669.6989666666666</v>
      </c>
      <c r="P47">
        <v>203691.33530819212</v>
      </c>
    </row>
    <row r="48" spans="1:16" hidden="1">
      <c r="A48">
        <v>2185</v>
      </c>
      <c r="B48">
        <v>103263</v>
      </c>
      <c r="C48" t="s">
        <v>117</v>
      </c>
      <c r="D48" t="s">
        <v>118</v>
      </c>
      <c r="E48" t="s">
        <v>39</v>
      </c>
      <c r="F48" t="s">
        <v>890</v>
      </c>
      <c r="G48">
        <v>210797.75287455579</v>
      </c>
      <c r="H48">
        <v>0</v>
      </c>
      <c r="I48">
        <v>0</v>
      </c>
      <c r="J48">
        <v>0</v>
      </c>
      <c r="K48">
        <v>0</v>
      </c>
      <c r="L48">
        <v>8763.2775000000001</v>
      </c>
      <c r="M48">
        <v>0</v>
      </c>
      <c r="N48">
        <v>-873.57499999999993</v>
      </c>
      <c r="O48">
        <v>-2833.4897500000002</v>
      </c>
      <c r="P48">
        <v>215853.96562455577</v>
      </c>
    </row>
    <row r="49" spans="1:16" hidden="1">
      <c r="A49">
        <v>5416</v>
      </c>
      <c r="B49">
        <v>103563</v>
      </c>
      <c r="C49" t="s">
        <v>119</v>
      </c>
      <c r="D49" t="s">
        <v>120</v>
      </c>
      <c r="E49" t="s">
        <v>71</v>
      </c>
      <c r="F49" t="s">
        <v>890</v>
      </c>
      <c r="G49">
        <v>767039.06380669249</v>
      </c>
      <c r="H49">
        <v>0</v>
      </c>
      <c r="I49">
        <v>0</v>
      </c>
      <c r="J49">
        <v>0</v>
      </c>
      <c r="K49">
        <v>28396.166666666668</v>
      </c>
      <c r="L49">
        <v>12365.312499999998</v>
      </c>
      <c r="M49">
        <v>0</v>
      </c>
      <c r="N49">
        <v>-1753.375</v>
      </c>
      <c r="O49">
        <v>-3313.7422499999998</v>
      </c>
      <c r="P49">
        <v>802733.42572335911</v>
      </c>
    </row>
    <row r="50" spans="1:16" hidden="1">
      <c r="A50">
        <v>2054</v>
      </c>
      <c r="B50">
        <v>103189</v>
      </c>
      <c r="C50" t="s">
        <v>121</v>
      </c>
      <c r="D50" t="s">
        <v>122</v>
      </c>
      <c r="E50" t="s">
        <v>39</v>
      </c>
      <c r="F50" t="s">
        <v>890</v>
      </c>
      <c r="G50">
        <v>162232.4909580833</v>
      </c>
      <c r="H50">
        <v>0</v>
      </c>
      <c r="I50">
        <v>0</v>
      </c>
      <c r="J50">
        <v>0</v>
      </c>
      <c r="K50">
        <v>0</v>
      </c>
      <c r="L50">
        <v>4273.520833333333</v>
      </c>
      <c r="M50">
        <v>0</v>
      </c>
      <c r="N50">
        <v>-747</v>
      </c>
      <c r="O50">
        <v>-1251.9171166666667</v>
      </c>
      <c r="P50">
        <v>164507.09467474997</v>
      </c>
    </row>
    <row r="51" spans="1:16" hidden="1">
      <c r="A51">
        <v>2053</v>
      </c>
      <c r="B51">
        <v>103188</v>
      </c>
      <c r="C51" t="s">
        <v>123</v>
      </c>
      <c r="D51" t="s">
        <v>124</v>
      </c>
      <c r="E51" t="s">
        <v>39</v>
      </c>
      <c r="F51" t="s">
        <v>890</v>
      </c>
      <c r="G51">
        <v>214394.03844284976</v>
      </c>
      <c r="H51">
        <v>0</v>
      </c>
      <c r="I51">
        <v>0</v>
      </c>
      <c r="J51">
        <v>0</v>
      </c>
      <c r="K51">
        <v>0</v>
      </c>
      <c r="L51">
        <v>7412.1116666666667</v>
      </c>
      <c r="M51">
        <v>0</v>
      </c>
      <c r="N51">
        <v>-987.69999999999993</v>
      </c>
      <c r="O51">
        <v>-1801.5388333333333</v>
      </c>
      <c r="P51">
        <v>219016.91127618309</v>
      </c>
    </row>
    <row r="52" spans="1:16" hidden="1">
      <c r="A52">
        <v>2464</v>
      </c>
      <c r="B52">
        <v>103390</v>
      </c>
      <c r="C52" t="s">
        <v>125</v>
      </c>
      <c r="D52" t="s">
        <v>126</v>
      </c>
      <c r="E52" t="s">
        <v>39</v>
      </c>
      <c r="F52" t="s">
        <v>890</v>
      </c>
      <c r="G52">
        <v>178861.61725000001</v>
      </c>
      <c r="H52">
        <v>0</v>
      </c>
      <c r="I52">
        <v>0</v>
      </c>
      <c r="J52">
        <v>0</v>
      </c>
      <c r="K52">
        <v>0</v>
      </c>
      <c r="L52">
        <v>2720.25</v>
      </c>
      <c r="M52">
        <v>0</v>
      </c>
      <c r="N52">
        <v>-856.97499999999991</v>
      </c>
      <c r="O52">
        <v>-2820.3672499999998</v>
      </c>
      <c r="P52">
        <v>177904.52499999999</v>
      </c>
    </row>
    <row r="53" spans="1:16" hidden="1">
      <c r="A53">
        <v>3320</v>
      </c>
      <c r="B53">
        <v>103424</v>
      </c>
      <c r="C53" t="s">
        <v>127</v>
      </c>
      <c r="D53" t="s">
        <v>128</v>
      </c>
      <c r="E53" t="s">
        <v>39</v>
      </c>
      <c r="F53" t="s">
        <v>890</v>
      </c>
      <c r="G53">
        <v>209271.04480615995</v>
      </c>
      <c r="H53">
        <v>0</v>
      </c>
      <c r="I53">
        <v>0</v>
      </c>
      <c r="J53">
        <v>0</v>
      </c>
      <c r="K53">
        <v>0</v>
      </c>
      <c r="L53">
        <v>5283.7775000000001</v>
      </c>
      <c r="M53">
        <v>0</v>
      </c>
      <c r="N53">
        <v>-815.47499999999991</v>
      </c>
      <c r="O53">
        <v>-629.13077499999997</v>
      </c>
      <c r="P53">
        <v>213110.21653115994</v>
      </c>
    </row>
    <row r="54" spans="1:16" hidden="1">
      <c r="A54">
        <v>2055</v>
      </c>
      <c r="B54">
        <v>103190</v>
      </c>
      <c r="C54" t="s">
        <v>129</v>
      </c>
      <c r="D54" t="s">
        <v>130</v>
      </c>
      <c r="E54" t="s">
        <v>39</v>
      </c>
      <c r="F54" t="s">
        <v>890</v>
      </c>
      <c r="G54">
        <v>189958.45667863774</v>
      </c>
      <c r="H54">
        <v>0</v>
      </c>
      <c r="I54">
        <v>0</v>
      </c>
      <c r="J54">
        <v>0</v>
      </c>
      <c r="K54">
        <v>0</v>
      </c>
      <c r="L54">
        <v>8624.125</v>
      </c>
      <c r="M54">
        <v>0</v>
      </c>
      <c r="N54">
        <v>-854.9</v>
      </c>
      <c r="O54">
        <v>-3265.7170000000001</v>
      </c>
      <c r="P54">
        <v>194461.96467863774</v>
      </c>
    </row>
    <row r="55" spans="1:16" hidden="1">
      <c r="A55">
        <v>1802</v>
      </c>
      <c r="B55">
        <v>103150</v>
      </c>
      <c r="C55" t="s">
        <v>131</v>
      </c>
      <c r="D55" t="s">
        <v>132</v>
      </c>
      <c r="E55" t="s">
        <v>36</v>
      </c>
      <c r="F55" t="s">
        <v>890</v>
      </c>
      <c r="G55">
        <v>0</v>
      </c>
      <c r="H55">
        <v>0</v>
      </c>
      <c r="I55">
        <v>0</v>
      </c>
      <c r="J55">
        <v>0</v>
      </c>
      <c r="K55">
        <v>0</v>
      </c>
      <c r="L55">
        <v>-1192.1666666666667</v>
      </c>
      <c r="M55">
        <v>0</v>
      </c>
      <c r="N55">
        <v>0</v>
      </c>
      <c r="O55">
        <v>0</v>
      </c>
      <c r="P55">
        <v>-1192.1666666666667</v>
      </c>
    </row>
    <row r="56" spans="1:16" hidden="1">
      <c r="A56">
        <v>2454</v>
      </c>
      <c r="B56">
        <v>103381</v>
      </c>
      <c r="C56" t="s">
        <v>133</v>
      </c>
      <c r="D56" t="s">
        <v>134</v>
      </c>
      <c r="E56" t="s">
        <v>39</v>
      </c>
      <c r="F56" t="s">
        <v>890</v>
      </c>
      <c r="G56">
        <v>213323.3899900215</v>
      </c>
      <c r="H56">
        <v>0</v>
      </c>
      <c r="I56">
        <v>0</v>
      </c>
      <c r="J56">
        <v>0</v>
      </c>
      <c r="K56">
        <v>0</v>
      </c>
      <c r="L56">
        <v>4829.666666666667</v>
      </c>
      <c r="M56">
        <v>0</v>
      </c>
      <c r="N56">
        <v>-798.875</v>
      </c>
      <c r="O56">
        <v>-2617.3761250000002</v>
      </c>
      <c r="P56">
        <v>214736.80553168815</v>
      </c>
    </row>
    <row r="57" spans="1:16" hidden="1">
      <c r="A57">
        <v>3321</v>
      </c>
      <c r="B57">
        <v>103425</v>
      </c>
      <c r="C57" t="s">
        <v>135</v>
      </c>
      <c r="D57" t="s">
        <v>136</v>
      </c>
      <c r="E57" t="s">
        <v>39</v>
      </c>
      <c r="F57" t="s">
        <v>890</v>
      </c>
      <c r="G57">
        <v>160587.73786070125</v>
      </c>
      <c r="H57">
        <v>0</v>
      </c>
      <c r="I57">
        <v>0</v>
      </c>
      <c r="J57">
        <v>0</v>
      </c>
      <c r="K57">
        <v>0</v>
      </c>
      <c r="L57">
        <v>6841.6108333333332</v>
      </c>
      <c r="M57">
        <v>0</v>
      </c>
      <c r="N57">
        <v>-626.65</v>
      </c>
      <c r="O57">
        <v>-434.52296666666666</v>
      </c>
      <c r="P57">
        <v>166368.17572736792</v>
      </c>
    </row>
    <row r="58" spans="1:16" hidden="1">
      <c r="A58">
        <v>1026</v>
      </c>
      <c r="B58">
        <v>103139</v>
      </c>
      <c r="C58" t="s">
        <v>137</v>
      </c>
      <c r="D58" t="s">
        <v>138</v>
      </c>
      <c r="E58" t="s">
        <v>36</v>
      </c>
      <c r="F58" t="s">
        <v>890</v>
      </c>
      <c r="G58">
        <v>0</v>
      </c>
      <c r="H58">
        <v>0</v>
      </c>
      <c r="I58">
        <v>0</v>
      </c>
      <c r="J58">
        <v>0</v>
      </c>
      <c r="K58">
        <v>0</v>
      </c>
      <c r="L58">
        <v>-6017.5</v>
      </c>
      <c r="M58">
        <v>0</v>
      </c>
      <c r="N58">
        <v>0</v>
      </c>
      <c r="O58">
        <v>0</v>
      </c>
      <c r="P58">
        <v>-6017.5</v>
      </c>
    </row>
    <row r="59" spans="1:16" hidden="1">
      <c r="A59">
        <v>2294</v>
      </c>
      <c r="B59">
        <v>103318</v>
      </c>
      <c r="C59" t="s">
        <v>139</v>
      </c>
      <c r="D59" t="s">
        <v>140</v>
      </c>
      <c r="E59" t="s">
        <v>39</v>
      </c>
      <c r="F59" t="s">
        <v>890</v>
      </c>
      <c r="G59">
        <v>221246.6320991627</v>
      </c>
      <c r="H59">
        <v>0</v>
      </c>
      <c r="I59">
        <v>0</v>
      </c>
      <c r="J59">
        <v>0</v>
      </c>
      <c r="K59">
        <v>0</v>
      </c>
      <c r="L59">
        <v>18983.208333333332</v>
      </c>
      <c r="M59">
        <v>0</v>
      </c>
      <c r="N59">
        <v>-869.42499999999984</v>
      </c>
      <c r="O59">
        <v>-4212.5057750000005</v>
      </c>
      <c r="P59">
        <v>235147.90965749606</v>
      </c>
    </row>
    <row r="60" spans="1:16" hidden="1">
      <c r="A60">
        <v>2486</v>
      </c>
      <c r="B60">
        <v>133759</v>
      </c>
      <c r="C60" t="s">
        <v>141</v>
      </c>
      <c r="D60" t="s">
        <v>142</v>
      </c>
      <c r="E60" t="s">
        <v>39</v>
      </c>
      <c r="F60" t="s">
        <v>890</v>
      </c>
      <c r="G60">
        <v>114821.22299031907</v>
      </c>
      <c r="H60">
        <v>0</v>
      </c>
      <c r="I60">
        <v>0</v>
      </c>
      <c r="J60">
        <v>0</v>
      </c>
      <c r="K60">
        <v>0</v>
      </c>
      <c r="L60">
        <v>9313.9166666666661</v>
      </c>
      <c r="M60">
        <v>0</v>
      </c>
      <c r="N60">
        <v>-390.09999999999997</v>
      </c>
      <c r="O60">
        <v>-348.93510833333335</v>
      </c>
      <c r="P60">
        <v>123396.10454865241</v>
      </c>
    </row>
    <row r="61" spans="1:16" hidden="1">
      <c r="A61">
        <v>3435</v>
      </c>
      <c r="B61">
        <v>131920</v>
      </c>
      <c r="C61" t="s">
        <v>143</v>
      </c>
      <c r="D61" t="s">
        <v>144</v>
      </c>
      <c r="E61" t="s">
        <v>39</v>
      </c>
      <c r="F61" t="s">
        <v>890</v>
      </c>
      <c r="G61">
        <v>179697.3535</v>
      </c>
      <c r="H61">
        <v>0</v>
      </c>
      <c r="I61">
        <v>0</v>
      </c>
      <c r="J61">
        <v>0</v>
      </c>
      <c r="K61">
        <v>0</v>
      </c>
      <c r="L61">
        <v>12632.1875</v>
      </c>
      <c r="M61">
        <v>0</v>
      </c>
      <c r="N61">
        <v>-871.5</v>
      </c>
      <c r="O61">
        <v>-672.35350000000005</v>
      </c>
      <c r="P61">
        <v>190785.6875</v>
      </c>
    </row>
    <row r="62" spans="1:16" hidden="1">
      <c r="A62">
        <v>7050</v>
      </c>
      <c r="B62">
        <v>103625</v>
      </c>
      <c r="C62" t="s">
        <v>145</v>
      </c>
      <c r="D62" t="s">
        <v>146</v>
      </c>
      <c r="E62" t="s">
        <v>56</v>
      </c>
      <c r="F62" t="s">
        <v>890</v>
      </c>
      <c r="G62">
        <v>0</v>
      </c>
      <c r="H62">
        <v>60000</v>
      </c>
      <c r="I62">
        <v>0</v>
      </c>
      <c r="J62">
        <v>32500</v>
      </c>
      <c r="K62">
        <v>0</v>
      </c>
      <c r="L62">
        <v>170202.37</v>
      </c>
      <c r="M62">
        <v>0</v>
      </c>
      <c r="N62">
        <v>0</v>
      </c>
      <c r="O62">
        <v>0</v>
      </c>
      <c r="P62">
        <v>262702.37</v>
      </c>
    </row>
    <row r="63" spans="1:16" hidden="1">
      <c r="A63">
        <v>1006</v>
      </c>
      <c r="B63">
        <v>103122</v>
      </c>
      <c r="C63" t="s">
        <v>147</v>
      </c>
      <c r="D63" t="s">
        <v>148</v>
      </c>
      <c r="E63" t="s">
        <v>36</v>
      </c>
      <c r="F63" t="s">
        <v>890</v>
      </c>
      <c r="G63">
        <v>0</v>
      </c>
      <c r="H63">
        <v>0</v>
      </c>
      <c r="I63">
        <v>1000</v>
      </c>
      <c r="J63">
        <v>0</v>
      </c>
      <c r="K63">
        <v>0</v>
      </c>
      <c r="L63">
        <v>0</v>
      </c>
      <c r="M63">
        <v>9229.6666666666661</v>
      </c>
      <c r="N63">
        <v>0</v>
      </c>
      <c r="O63">
        <v>0</v>
      </c>
      <c r="P63">
        <v>10229.666666666666</v>
      </c>
    </row>
    <row r="64" spans="1:16" hidden="1">
      <c r="A64">
        <v>2079</v>
      </c>
      <c r="B64">
        <v>103200</v>
      </c>
      <c r="C64" t="s">
        <v>149</v>
      </c>
      <c r="D64" t="s">
        <v>150</v>
      </c>
      <c r="E64" t="s">
        <v>39</v>
      </c>
      <c r="F64" t="s">
        <v>890</v>
      </c>
      <c r="G64">
        <v>148360.58865958411</v>
      </c>
      <c r="H64">
        <v>0</v>
      </c>
      <c r="I64">
        <v>0</v>
      </c>
      <c r="J64">
        <v>0</v>
      </c>
      <c r="K64">
        <v>0</v>
      </c>
      <c r="L64">
        <v>8717.6391666666659</v>
      </c>
      <c r="M64">
        <v>0</v>
      </c>
      <c r="N64">
        <v>-587.22500000000002</v>
      </c>
      <c r="O64">
        <v>-2905.5276250000002</v>
      </c>
      <c r="P64">
        <v>153585.47520125078</v>
      </c>
    </row>
    <row r="65" spans="1:16" hidden="1">
      <c r="A65">
        <v>2081</v>
      </c>
      <c r="B65">
        <v>103201</v>
      </c>
      <c r="C65" t="s">
        <v>151</v>
      </c>
      <c r="D65" t="s">
        <v>152</v>
      </c>
      <c r="E65" t="s">
        <v>39</v>
      </c>
      <c r="F65" t="s">
        <v>890</v>
      </c>
      <c r="G65">
        <v>193198.65215077702</v>
      </c>
      <c r="H65">
        <v>0</v>
      </c>
      <c r="I65">
        <v>0</v>
      </c>
      <c r="J65">
        <v>0</v>
      </c>
      <c r="K65">
        <v>0</v>
      </c>
      <c r="L65">
        <v>9149.7083333333339</v>
      </c>
      <c r="M65">
        <v>0</v>
      </c>
      <c r="N65">
        <v>-852.82499999999993</v>
      </c>
      <c r="O65">
        <v>-4442.3356249999997</v>
      </c>
      <c r="P65">
        <v>197053.19985911035</v>
      </c>
    </row>
    <row r="66" spans="1:16" hidden="1">
      <c r="A66">
        <v>2296</v>
      </c>
      <c r="B66">
        <v>103320</v>
      </c>
      <c r="C66" t="s">
        <v>153</v>
      </c>
      <c r="D66" t="s">
        <v>154</v>
      </c>
      <c r="E66" t="s">
        <v>39</v>
      </c>
      <c r="F66" t="s">
        <v>897</v>
      </c>
      <c r="G66">
        <v>133600.42211665059</v>
      </c>
      <c r="H66">
        <v>0</v>
      </c>
      <c r="I66">
        <v>0</v>
      </c>
      <c r="J66">
        <v>0</v>
      </c>
      <c r="K66">
        <v>0</v>
      </c>
      <c r="L66">
        <v>8229.1666666666661</v>
      </c>
      <c r="M66">
        <v>0</v>
      </c>
      <c r="N66">
        <v>-543.65</v>
      </c>
      <c r="O66">
        <v>-2545.3382500000002</v>
      </c>
      <c r="P66">
        <v>138740.60053331725</v>
      </c>
    </row>
    <row r="67" spans="1:16" hidden="1">
      <c r="A67">
        <v>1015</v>
      </c>
      <c r="B67">
        <v>103128</v>
      </c>
      <c r="C67" t="s">
        <v>155</v>
      </c>
      <c r="D67" t="s">
        <v>156</v>
      </c>
      <c r="E67" t="s">
        <v>36</v>
      </c>
      <c r="F67" t="s">
        <v>890</v>
      </c>
      <c r="G67">
        <v>0</v>
      </c>
      <c r="H67">
        <v>0</v>
      </c>
      <c r="I67">
        <v>0</v>
      </c>
      <c r="J67">
        <v>0</v>
      </c>
      <c r="K67">
        <v>0</v>
      </c>
      <c r="L67">
        <v>1107.5</v>
      </c>
      <c r="M67">
        <v>0</v>
      </c>
      <c r="N67">
        <v>0</v>
      </c>
      <c r="O67">
        <v>0</v>
      </c>
      <c r="P67">
        <v>1107.5</v>
      </c>
    </row>
    <row r="68" spans="1:16" hidden="1">
      <c r="A68">
        <v>1022</v>
      </c>
      <c r="B68">
        <v>103135</v>
      </c>
      <c r="C68" t="s">
        <v>157</v>
      </c>
      <c r="D68" t="s">
        <v>158</v>
      </c>
      <c r="E68" t="s">
        <v>36</v>
      </c>
      <c r="F68" t="s">
        <v>890</v>
      </c>
      <c r="G68">
        <v>0</v>
      </c>
      <c r="H68">
        <v>0</v>
      </c>
      <c r="I68">
        <v>0</v>
      </c>
      <c r="J68">
        <v>0</v>
      </c>
      <c r="K68">
        <v>0</v>
      </c>
      <c r="L68">
        <v>1107.5</v>
      </c>
      <c r="M68">
        <v>0</v>
      </c>
      <c r="N68">
        <v>0</v>
      </c>
      <c r="O68">
        <v>0</v>
      </c>
      <c r="P68">
        <v>1107.5</v>
      </c>
    </row>
    <row r="69" spans="1:16" hidden="1">
      <c r="A69">
        <v>2087</v>
      </c>
      <c r="B69">
        <v>103205</v>
      </c>
      <c r="C69" t="s">
        <v>159</v>
      </c>
      <c r="D69" t="s">
        <v>160</v>
      </c>
      <c r="E69" t="s">
        <v>39</v>
      </c>
      <c r="F69" t="s">
        <v>890</v>
      </c>
      <c r="G69">
        <v>170193.02788151853</v>
      </c>
      <c r="H69">
        <v>0</v>
      </c>
      <c r="I69">
        <v>0</v>
      </c>
      <c r="J69">
        <v>0</v>
      </c>
      <c r="K69">
        <v>0</v>
      </c>
      <c r="L69">
        <v>10445.583333333334</v>
      </c>
      <c r="M69">
        <v>0</v>
      </c>
      <c r="N69">
        <v>-637.02499999999998</v>
      </c>
      <c r="O69">
        <v>-2905.5276250000002</v>
      </c>
      <c r="P69">
        <v>177096.05858985189</v>
      </c>
    </row>
    <row r="70" spans="1:16" hidden="1">
      <c r="A70">
        <v>2466</v>
      </c>
      <c r="B70">
        <v>103392</v>
      </c>
      <c r="C70" t="s">
        <v>161</v>
      </c>
      <c r="D70" t="s">
        <v>162</v>
      </c>
      <c r="E70" t="s">
        <v>39</v>
      </c>
      <c r="F70" t="s">
        <v>890</v>
      </c>
      <c r="G70">
        <v>308564.41189295426</v>
      </c>
      <c r="H70">
        <v>0</v>
      </c>
      <c r="I70">
        <v>0</v>
      </c>
      <c r="J70">
        <v>0</v>
      </c>
      <c r="K70">
        <v>0</v>
      </c>
      <c r="L70">
        <v>5820.6941666666671</v>
      </c>
      <c r="M70">
        <v>0</v>
      </c>
      <c r="N70">
        <v>-1182.75</v>
      </c>
      <c r="O70">
        <v>-3337.7548750000001</v>
      </c>
      <c r="P70">
        <v>309864.60118462093</v>
      </c>
    </row>
    <row r="71" spans="1:16" hidden="1">
      <c r="A71">
        <v>2091</v>
      </c>
      <c r="B71">
        <v>103208</v>
      </c>
      <c r="C71" t="s">
        <v>163</v>
      </c>
      <c r="D71" t="s">
        <v>164</v>
      </c>
      <c r="E71" t="s">
        <v>39</v>
      </c>
      <c r="F71" t="s">
        <v>890</v>
      </c>
      <c r="G71">
        <v>108292.55300836709</v>
      </c>
      <c r="H71">
        <v>0</v>
      </c>
      <c r="I71">
        <v>0</v>
      </c>
      <c r="J71">
        <v>0</v>
      </c>
      <c r="K71">
        <v>0</v>
      </c>
      <c r="L71">
        <v>10324.770833333334</v>
      </c>
      <c r="M71">
        <v>0</v>
      </c>
      <c r="N71">
        <v>-392.17499999999995</v>
      </c>
      <c r="O71">
        <v>-1799.5395416666668</v>
      </c>
      <c r="P71">
        <v>116425.60930003374</v>
      </c>
    </row>
    <row r="72" spans="1:16" hidden="1">
      <c r="A72">
        <v>2093</v>
      </c>
      <c r="B72">
        <v>103210</v>
      </c>
      <c r="C72" t="s">
        <v>165</v>
      </c>
      <c r="D72" t="s">
        <v>166</v>
      </c>
      <c r="E72" t="s">
        <v>39</v>
      </c>
      <c r="F72" t="s">
        <v>890</v>
      </c>
      <c r="G72">
        <v>168387.17261711307</v>
      </c>
      <c r="H72">
        <v>0</v>
      </c>
      <c r="I72">
        <v>0</v>
      </c>
      <c r="J72">
        <v>0</v>
      </c>
      <c r="K72">
        <v>0</v>
      </c>
      <c r="L72">
        <v>6718.104166666667</v>
      </c>
      <c r="M72">
        <v>0</v>
      </c>
      <c r="N72">
        <v>-742.84999999999991</v>
      </c>
      <c r="O72">
        <v>-1931.2131666666667</v>
      </c>
      <c r="P72">
        <v>172431.21361711307</v>
      </c>
    </row>
    <row r="73" spans="1:16" hidden="1">
      <c r="A73">
        <v>2092</v>
      </c>
      <c r="B73">
        <v>103209</v>
      </c>
      <c r="C73" t="s">
        <v>167</v>
      </c>
      <c r="D73" t="s">
        <v>168</v>
      </c>
      <c r="E73" t="s">
        <v>39</v>
      </c>
      <c r="F73" t="s">
        <v>890</v>
      </c>
      <c r="G73">
        <v>221878.50414985835</v>
      </c>
      <c r="H73">
        <v>0</v>
      </c>
      <c r="I73">
        <v>0</v>
      </c>
      <c r="J73">
        <v>0</v>
      </c>
      <c r="K73">
        <v>0</v>
      </c>
      <c r="L73">
        <v>6613.5275000000001</v>
      </c>
      <c r="M73">
        <v>0</v>
      </c>
      <c r="N73">
        <v>-1008.4499999999999</v>
      </c>
      <c r="O73">
        <v>-2713.4266250000001</v>
      </c>
      <c r="P73">
        <v>224770.15502485834</v>
      </c>
    </row>
    <row r="74" spans="1:16" hidden="1">
      <c r="A74">
        <v>7006</v>
      </c>
      <c r="B74">
        <v>103600</v>
      </c>
      <c r="C74" t="s">
        <v>169</v>
      </c>
      <c r="D74" t="s">
        <v>170</v>
      </c>
      <c r="E74" t="s">
        <v>56</v>
      </c>
      <c r="F74" t="s">
        <v>890</v>
      </c>
      <c r="G74">
        <v>0</v>
      </c>
      <c r="H74">
        <v>177500</v>
      </c>
      <c r="I74">
        <v>0</v>
      </c>
      <c r="J74">
        <v>0</v>
      </c>
      <c r="K74">
        <v>0</v>
      </c>
      <c r="L74">
        <v>302082.30666666664</v>
      </c>
      <c r="M74">
        <v>0</v>
      </c>
      <c r="N74">
        <v>0</v>
      </c>
      <c r="O74">
        <v>0</v>
      </c>
      <c r="P74">
        <v>479582.30666666664</v>
      </c>
    </row>
    <row r="75" spans="1:16" hidden="1">
      <c r="A75">
        <v>2477</v>
      </c>
      <c r="B75">
        <v>132261</v>
      </c>
      <c r="C75" t="s">
        <v>171</v>
      </c>
      <c r="D75" t="s">
        <v>172</v>
      </c>
      <c r="E75" t="s">
        <v>39</v>
      </c>
      <c r="F75" t="s">
        <v>890</v>
      </c>
      <c r="G75">
        <v>354616.82191666664</v>
      </c>
      <c r="H75">
        <v>0</v>
      </c>
      <c r="I75">
        <v>0</v>
      </c>
      <c r="J75">
        <v>0</v>
      </c>
      <c r="K75">
        <v>0</v>
      </c>
      <c r="L75">
        <v>11525.055833333332</v>
      </c>
      <c r="M75">
        <v>0</v>
      </c>
      <c r="N75">
        <v>-1674.5249999999999</v>
      </c>
      <c r="O75">
        <v>-3890.0452499999997</v>
      </c>
      <c r="P75">
        <v>360577.30749999994</v>
      </c>
    </row>
    <row r="76" spans="1:16" hidden="1">
      <c r="A76">
        <v>3436</v>
      </c>
      <c r="B76">
        <v>136440</v>
      </c>
      <c r="C76" t="s">
        <v>173</v>
      </c>
      <c r="D76" t="s">
        <v>174</v>
      </c>
      <c r="E76" t="s">
        <v>39</v>
      </c>
      <c r="F76" t="s">
        <v>890</v>
      </c>
      <c r="G76">
        <v>81725.870715503363</v>
      </c>
      <c r="H76">
        <v>0</v>
      </c>
      <c r="I76">
        <v>0</v>
      </c>
      <c r="J76">
        <v>0</v>
      </c>
      <c r="K76">
        <v>0</v>
      </c>
      <c r="L76">
        <v>3609.8333333333335</v>
      </c>
      <c r="M76">
        <v>0</v>
      </c>
      <c r="N76">
        <v>-290.5</v>
      </c>
      <c r="O76">
        <v>-344.54598333333337</v>
      </c>
      <c r="P76">
        <v>84700.658065503361</v>
      </c>
    </row>
    <row r="77" spans="1:16" hidden="1">
      <c r="A77">
        <v>2099</v>
      </c>
      <c r="B77">
        <v>103214</v>
      </c>
      <c r="C77" t="s">
        <v>175</v>
      </c>
      <c r="D77" t="s">
        <v>176</v>
      </c>
      <c r="E77" t="s">
        <v>39</v>
      </c>
      <c r="F77" t="s">
        <v>890</v>
      </c>
      <c r="G77">
        <v>122341.92831137501</v>
      </c>
      <c r="H77">
        <v>0</v>
      </c>
      <c r="I77">
        <v>6000</v>
      </c>
      <c r="J77">
        <v>0</v>
      </c>
      <c r="K77">
        <v>0</v>
      </c>
      <c r="L77">
        <v>0</v>
      </c>
      <c r="M77">
        <v>11992.594999999999</v>
      </c>
      <c r="N77">
        <v>-433.67499999999995</v>
      </c>
      <c r="O77">
        <v>-1744.6755333333333</v>
      </c>
      <c r="P77">
        <v>138156.17277804168</v>
      </c>
    </row>
    <row r="78" spans="1:16" hidden="1">
      <c r="A78">
        <v>1010</v>
      </c>
      <c r="B78">
        <v>103125</v>
      </c>
      <c r="C78" t="s">
        <v>177</v>
      </c>
      <c r="D78" t="s">
        <v>178</v>
      </c>
      <c r="E78" t="s">
        <v>36</v>
      </c>
      <c r="F78" t="s">
        <v>890</v>
      </c>
      <c r="G78">
        <v>0</v>
      </c>
      <c r="H78">
        <v>0</v>
      </c>
      <c r="I78">
        <v>0</v>
      </c>
      <c r="J78">
        <v>0</v>
      </c>
      <c r="K78">
        <v>0</v>
      </c>
      <c r="L78">
        <v>886</v>
      </c>
      <c r="M78">
        <v>0</v>
      </c>
      <c r="N78">
        <v>0</v>
      </c>
      <c r="O78">
        <v>0</v>
      </c>
      <c r="P78">
        <v>886</v>
      </c>
    </row>
    <row r="79" spans="1:16" hidden="1">
      <c r="A79">
        <v>1021</v>
      </c>
      <c r="B79">
        <v>103134</v>
      </c>
      <c r="C79" t="s">
        <v>179</v>
      </c>
      <c r="D79" t="s">
        <v>180</v>
      </c>
      <c r="E79" t="s">
        <v>36</v>
      </c>
      <c r="F79" t="s">
        <v>890</v>
      </c>
      <c r="G79">
        <v>0</v>
      </c>
      <c r="H79">
        <v>0</v>
      </c>
      <c r="I79">
        <v>0</v>
      </c>
      <c r="J79">
        <v>0</v>
      </c>
      <c r="K79">
        <v>0</v>
      </c>
      <c r="L79">
        <v>443</v>
      </c>
      <c r="M79">
        <v>0</v>
      </c>
      <c r="N79">
        <v>0</v>
      </c>
      <c r="O79">
        <v>0</v>
      </c>
      <c r="P79">
        <v>443</v>
      </c>
    </row>
    <row r="80" spans="1:16" hidden="1">
      <c r="A80">
        <v>4201</v>
      </c>
      <c r="B80">
        <v>103503</v>
      </c>
      <c r="C80" t="s">
        <v>181</v>
      </c>
      <c r="D80" t="s">
        <v>182</v>
      </c>
      <c r="E80" t="s">
        <v>71</v>
      </c>
      <c r="F80" t="s">
        <v>890</v>
      </c>
      <c r="G80">
        <v>836082.79254419834</v>
      </c>
      <c r="H80">
        <v>0</v>
      </c>
      <c r="I80">
        <v>0</v>
      </c>
      <c r="J80">
        <v>0</v>
      </c>
      <c r="K80">
        <v>0</v>
      </c>
      <c r="L80">
        <v>9058.1741666666658</v>
      </c>
      <c r="M80">
        <v>0</v>
      </c>
      <c r="N80">
        <v>-1927.25</v>
      </c>
      <c r="O80">
        <v>-12366.501875</v>
      </c>
      <c r="P80">
        <v>830847.21483586507</v>
      </c>
    </row>
    <row r="81" spans="1:16" hidden="1">
      <c r="A81">
        <v>4015</v>
      </c>
      <c r="B81">
        <v>103483</v>
      </c>
      <c r="C81" t="s">
        <v>183</v>
      </c>
      <c r="D81" t="s">
        <v>184</v>
      </c>
      <c r="E81" t="s">
        <v>71</v>
      </c>
      <c r="F81" t="s">
        <v>890</v>
      </c>
      <c r="G81">
        <v>527375.80091701262</v>
      </c>
      <c r="H81">
        <v>0</v>
      </c>
      <c r="I81">
        <v>0</v>
      </c>
      <c r="J81">
        <v>0</v>
      </c>
      <c r="K81">
        <v>0</v>
      </c>
      <c r="L81">
        <v>4424.416666666667</v>
      </c>
      <c r="M81">
        <v>0</v>
      </c>
      <c r="N81">
        <v>-1218.75</v>
      </c>
      <c r="O81">
        <v>-7876.1409999999996</v>
      </c>
      <c r="P81">
        <v>522705.32658367924</v>
      </c>
    </row>
    <row r="82" spans="1:16" hidden="1">
      <c r="A82">
        <v>3411</v>
      </c>
      <c r="B82">
        <v>103479</v>
      </c>
      <c r="C82" t="s">
        <v>185</v>
      </c>
      <c r="D82" t="s">
        <v>186</v>
      </c>
      <c r="E82" t="s">
        <v>39</v>
      </c>
      <c r="F82" t="s">
        <v>890</v>
      </c>
      <c r="G82">
        <v>92328.450952870771</v>
      </c>
      <c r="H82">
        <v>0</v>
      </c>
      <c r="I82">
        <v>0</v>
      </c>
      <c r="J82">
        <v>0</v>
      </c>
      <c r="K82">
        <v>0</v>
      </c>
      <c r="L82">
        <v>15895.604166666666</v>
      </c>
      <c r="M82">
        <v>0</v>
      </c>
      <c r="N82">
        <v>-307.09999999999997</v>
      </c>
      <c r="O82">
        <v>-355.51879166666663</v>
      </c>
      <c r="P82">
        <v>107561.43632787078</v>
      </c>
    </row>
    <row r="83" spans="1:16" hidden="1">
      <c r="A83">
        <v>2474</v>
      </c>
      <c r="B83">
        <v>131672</v>
      </c>
      <c r="C83" t="s">
        <v>187</v>
      </c>
      <c r="D83" t="s">
        <v>188</v>
      </c>
      <c r="E83" t="s">
        <v>39</v>
      </c>
      <c r="F83" t="s">
        <v>890</v>
      </c>
      <c r="G83">
        <v>185608.33958864791</v>
      </c>
      <c r="H83">
        <v>0</v>
      </c>
      <c r="I83">
        <v>0</v>
      </c>
      <c r="J83">
        <v>0</v>
      </c>
      <c r="K83">
        <v>0</v>
      </c>
      <c r="L83">
        <v>2165.6666666666665</v>
      </c>
      <c r="M83">
        <v>0</v>
      </c>
      <c r="N83">
        <v>-830</v>
      </c>
      <c r="O83">
        <v>-3097.6286249999998</v>
      </c>
      <c r="P83">
        <v>183846.37763031456</v>
      </c>
    </row>
    <row r="84" spans="1:16" hidden="1">
      <c r="A84">
        <v>4223</v>
      </c>
      <c r="B84">
        <v>103509</v>
      </c>
      <c r="C84" t="s">
        <v>189</v>
      </c>
      <c r="D84" t="s">
        <v>190</v>
      </c>
      <c r="E84" t="s">
        <v>71</v>
      </c>
      <c r="F84" t="s">
        <v>890</v>
      </c>
      <c r="G84">
        <v>727608.54168791417</v>
      </c>
      <c r="H84">
        <v>0</v>
      </c>
      <c r="I84">
        <v>0</v>
      </c>
      <c r="J84">
        <v>0</v>
      </c>
      <c r="K84">
        <v>105956.08333333333</v>
      </c>
      <c r="L84">
        <v>12988.979166666666</v>
      </c>
      <c r="M84">
        <v>0</v>
      </c>
      <c r="N84">
        <v>-1553.5</v>
      </c>
      <c r="O84">
        <v>-16405.304899999999</v>
      </c>
      <c r="P84">
        <v>828594.79928791418</v>
      </c>
    </row>
    <row r="85" spans="1:16" hidden="1">
      <c r="A85">
        <v>3317</v>
      </c>
      <c r="B85">
        <v>103421</v>
      </c>
      <c r="C85" t="s">
        <v>191</v>
      </c>
      <c r="D85" t="s">
        <v>192</v>
      </c>
      <c r="E85" t="s">
        <v>39</v>
      </c>
      <c r="F85" t="s">
        <v>890</v>
      </c>
      <c r="G85">
        <v>109738.48773859719</v>
      </c>
      <c r="H85">
        <v>0</v>
      </c>
      <c r="I85">
        <v>0</v>
      </c>
      <c r="J85">
        <v>0</v>
      </c>
      <c r="K85">
        <v>0</v>
      </c>
      <c r="L85">
        <v>3412.375</v>
      </c>
      <c r="M85">
        <v>0</v>
      </c>
      <c r="N85">
        <v>-385.95</v>
      </c>
      <c r="O85">
        <v>-381.85351666666662</v>
      </c>
      <c r="P85">
        <v>112383.05922193053</v>
      </c>
    </row>
    <row r="86" spans="1:16" hidden="1">
      <c r="A86">
        <v>1023</v>
      </c>
      <c r="B86">
        <v>103136</v>
      </c>
      <c r="C86" t="s">
        <v>193</v>
      </c>
      <c r="D86" t="s">
        <v>194</v>
      </c>
      <c r="E86" t="s">
        <v>36</v>
      </c>
      <c r="F86" t="s">
        <v>890</v>
      </c>
      <c r="G86">
        <v>0</v>
      </c>
      <c r="H86">
        <v>0</v>
      </c>
      <c r="I86">
        <v>0</v>
      </c>
      <c r="J86">
        <v>0</v>
      </c>
      <c r="K86">
        <v>0</v>
      </c>
      <c r="L86">
        <v>1107.5</v>
      </c>
      <c r="M86">
        <v>0</v>
      </c>
      <c r="N86">
        <v>0</v>
      </c>
      <c r="O86">
        <v>0</v>
      </c>
      <c r="P86">
        <v>1107.5</v>
      </c>
    </row>
    <row r="87" spans="1:16" hidden="1">
      <c r="A87">
        <v>2015</v>
      </c>
      <c r="B87">
        <v>134102</v>
      </c>
      <c r="C87" t="s">
        <v>195</v>
      </c>
      <c r="D87" t="s">
        <v>196</v>
      </c>
      <c r="E87" t="s">
        <v>39</v>
      </c>
      <c r="F87" t="s">
        <v>890</v>
      </c>
      <c r="G87">
        <v>214091.38181044083</v>
      </c>
      <c r="H87">
        <v>0</v>
      </c>
      <c r="I87">
        <v>0</v>
      </c>
      <c r="J87">
        <v>0</v>
      </c>
      <c r="K87">
        <v>0</v>
      </c>
      <c r="L87">
        <v>4703.1525000000001</v>
      </c>
      <c r="M87">
        <v>0</v>
      </c>
      <c r="N87">
        <v>-805.09999999999991</v>
      </c>
      <c r="O87">
        <v>-3313.7422499999998</v>
      </c>
      <c r="P87">
        <v>214675.69206044081</v>
      </c>
    </row>
    <row r="88" spans="1:16" hidden="1">
      <c r="A88">
        <v>3352</v>
      </c>
      <c r="B88">
        <v>103444</v>
      </c>
      <c r="C88" t="s">
        <v>197</v>
      </c>
      <c r="D88" t="s">
        <v>198</v>
      </c>
      <c r="E88" t="s">
        <v>39</v>
      </c>
      <c r="F88" t="s">
        <v>890</v>
      </c>
      <c r="G88">
        <v>67442.161761229712</v>
      </c>
      <c r="H88">
        <v>0</v>
      </c>
      <c r="I88">
        <v>0</v>
      </c>
      <c r="J88">
        <v>0</v>
      </c>
      <c r="K88">
        <v>0</v>
      </c>
      <c r="L88">
        <v>2102.1941666666667</v>
      </c>
      <c r="M88">
        <v>0</v>
      </c>
      <c r="N88">
        <v>-246.92499999999998</v>
      </c>
      <c r="O88">
        <v>-377.46439166666664</v>
      </c>
      <c r="P88">
        <v>68919.966536229709</v>
      </c>
    </row>
    <row r="89" spans="1:16" hidden="1">
      <c r="A89">
        <v>2005</v>
      </c>
      <c r="B89">
        <v>134098</v>
      </c>
      <c r="C89" t="s">
        <v>199</v>
      </c>
      <c r="D89" t="s">
        <v>200</v>
      </c>
      <c r="E89" t="s">
        <v>39</v>
      </c>
      <c r="F89" t="s">
        <v>890</v>
      </c>
      <c r="G89">
        <v>273442.33438868541</v>
      </c>
      <c r="H89">
        <v>0</v>
      </c>
      <c r="I89">
        <v>-4000</v>
      </c>
      <c r="J89">
        <v>0</v>
      </c>
      <c r="K89">
        <v>0</v>
      </c>
      <c r="L89">
        <v>0</v>
      </c>
      <c r="M89">
        <v>12076.536666666667</v>
      </c>
      <c r="N89">
        <v>-1282.3499999999999</v>
      </c>
      <c r="O89">
        <v>-5715.0047500000001</v>
      </c>
      <c r="P89">
        <v>274521.5163053521</v>
      </c>
    </row>
    <row r="90" spans="1:16" hidden="1">
      <c r="A90">
        <v>4063</v>
      </c>
      <c r="B90">
        <v>103486</v>
      </c>
      <c r="C90" t="s">
        <v>201</v>
      </c>
      <c r="D90" t="s">
        <v>202</v>
      </c>
      <c r="E90" t="s">
        <v>71</v>
      </c>
      <c r="F90" t="s">
        <v>890</v>
      </c>
      <c r="G90">
        <v>574504.36745855771</v>
      </c>
      <c r="H90">
        <v>0</v>
      </c>
      <c r="I90">
        <v>0</v>
      </c>
      <c r="J90">
        <v>0</v>
      </c>
      <c r="K90">
        <v>0</v>
      </c>
      <c r="L90">
        <v>14421.486666666666</v>
      </c>
      <c r="M90">
        <v>0</v>
      </c>
      <c r="N90">
        <v>-1291.875</v>
      </c>
      <c r="O90">
        <v>-9220.848</v>
      </c>
      <c r="P90">
        <v>578413.1311252244</v>
      </c>
    </row>
    <row r="91" spans="1:16" hidden="1">
      <c r="A91">
        <v>1016</v>
      </c>
      <c r="B91">
        <v>103129</v>
      </c>
      <c r="C91" t="s">
        <v>203</v>
      </c>
      <c r="D91" t="s">
        <v>204</v>
      </c>
      <c r="E91" t="s">
        <v>36</v>
      </c>
      <c r="F91" t="s">
        <v>890</v>
      </c>
      <c r="G91">
        <v>0</v>
      </c>
      <c r="H91">
        <v>0</v>
      </c>
      <c r="I91">
        <v>0</v>
      </c>
      <c r="J91">
        <v>0</v>
      </c>
      <c r="K91">
        <v>0</v>
      </c>
      <c r="L91">
        <v>1107.5</v>
      </c>
      <c r="M91">
        <v>0</v>
      </c>
      <c r="N91">
        <v>0</v>
      </c>
      <c r="O91">
        <v>0</v>
      </c>
      <c r="P91">
        <v>1107.5</v>
      </c>
    </row>
    <row r="92" spans="1:16" hidden="1">
      <c r="A92">
        <v>2115</v>
      </c>
      <c r="B92">
        <v>103221</v>
      </c>
      <c r="C92" t="s">
        <v>205</v>
      </c>
      <c r="D92" t="s">
        <v>206</v>
      </c>
      <c r="E92" t="s">
        <v>39</v>
      </c>
      <c r="F92" t="s">
        <v>890</v>
      </c>
      <c r="G92">
        <v>143502.87023756377</v>
      </c>
      <c r="H92">
        <v>0</v>
      </c>
      <c r="I92">
        <v>0</v>
      </c>
      <c r="J92">
        <v>0</v>
      </c>
      <c r="K92">
        <v>0</v>
      </c>
      <c r="L92">
        <v>14286</v>
      </c>
      <c r="M92">
        <v>0</v>
      </c>
      <c r="N92">
        <v>-535.35</v>
      </c>
      <c r="O92">
        <v>-4778.5123750000002</v>
      </c>
      <c r="P92">
        <v>152475.00786256377</v>
      </c>
    </row>
    <row r="93" spans="1:16" hidden="1">
      <c r="A93">
        <v>2441</v>
      </c>
      <c r="B93">
        <v>103368</v>
      </c>
      <c r="C93" t="s">
        <v>207</v>
      </c>
      <c r="D93" t="s">
        <v>208</v>
      </c>
      <c r="E93" t="s">
        <v>39</v>
      </c>
      <c r="F93" t="s">
        <v>890</v>
      </c>
      <c r="G93">
        <v>173047.06484754555</v>
      </c>
      <c r="H93">
        <v>0</v>
      </c>
      <c r="I93">
        <v>0</v>
      </c>
      <c r="J93">
        <v>0</v>
      </c>
      <c r="K93">
        <v>0</v>
      </c>
      <c r="L93">
        <v>6745.8474999999999</v>
      </c>
      <c r="M93">
        <v>0</v>
      </c>
      <c r="N93">
        <v>-639.1</v>
      </c>
      <c r="O93">
        <v>-523.47522500000002</v>
      </c>
      <c r="P93">
        <v>178630.33712254555</v>
      </c>
    </row>
    <row r="94" spans="1:16" hidden="1">
      <c r="A94">
        <v>2321</v>
      </c>
      <c r="B94">
        <v>103339</v>
      </c>
      <c r="C94" t="s">
        <v>209</v>
      </c>
      <c r="D94" t="s">
        <v>210</v>
      </c>
      <c r="E94" t="s">
        <v>39</v>
      </c>
      <c r="F94" t="s">
        <v>890</v>
      </c>
      <c r="G94">
        <v>103936.33446042566</v>
      </c>
      <c r="H94">
        <v>0</v>
      </c>
      <c r="I94">
        <v>0</v>
      </c>
      <c r="J94">
        <v>0</v>
      </c>
      <c r="K94">
        <v>0</v>
      </c>
      <c r="L94">
        <v>10795.375</v>
      </c>
      <c r="M94">
        <v>0</v>
      </c>
      <c r="N94">
        <v>-354.82499999999999</v>
      </c>
      <c r="O94">
        <v>-1316.7362499999999</v>
      </c>
      <c r="P94">
        <v>113060.14821042566</v>
      </c>
    </row>
    <row r="95" spans="1:16" hidden="1">
      <c r="A95">
        <v>2189</v>
      </c>
      <c r="B95">
        <v>103265</v>
      </c>
      <c r="C95" t="s">
        <v>211</v>
      </c>
      <c r="D95" t="s">
        <v>212</v>
      </c>
      <c r="E95" t="s">
        <v>39</v>
      </c>
      <c r="F95" t="s">
        <v>890</v>
      </c>
      <c r="G95">
        <v>127097.60271698929</v>
      </c>
      <c r="H95">
        <v>0</v>
      </c>
      <c r="I95">
        <v>0</v>
      </c>
      <c r="J95">
        <v>0</v>
      </c>
      <c r="K95">
        <v>0</v>
      </c>
      <c r="L95">
        <v>2163.9933333333333</v>
      </c>
      <c r="M95">
        <v>0</v>
      </c>
      <c r="N95">
        <v>-431.59999999999997</v>
      </c>
      <c r="O95">
        <v>-2809.4771249999999</v>
      </c>
      <c r="P95">
        <v>126020.51892532261</v>
      </c>
    </row>
    <row r="96" spans="1:16" hidden="1">
      <c r="A96">
        <v>7060</v>
      </c>
      <c r="B96">
        <v>103630</v>
      </c>
      <c r="C96" t="s">
        <v>213</v>
      </c>
      <c r="D96" t="s">
        <v>214</v>
      </c>
      <c r="E96" t="s">
        <v>56</v>
      </c>
      <c r="F96" t="s">
        <v>890</v>
      </c>
      <c r="G96">
        <v>0</v>
      </c>
      <c r="H96">
        <v>104166.66666666667</v>
      </c>
      <c r="I96">
        <v>0</v>
      </c>
      <c r="J96">
        <v>0</v>
      </c>
      <c r="K96">
        <v>0</v>
      </c>
      <c r="L96">
        <v>194284.44833333333</v>
      </c>
      <c r="M96">
        <v>0</v>
      </c>
      <c r="N96">
        <v>0</v>
      </c>
      <c r="O96">
        <v>0</v>
      </c>
      <c r="P96">
        <v>298451.11499999999</v>
      </c>
    </row>
    <row r="97" spans="1:16" hidden="1">
      <c r="A97">
        <v>1024</v>
      </c>
      <c r="B97">
        <v>103137</v>
      </c>
      <c r="C97" t="s">
        <v>215</v>
      </c>
      <c r="D97" t="s">
        <v>216</v>
      </c>
      <c r="E97" t="s">
        <v>36</v>
      </c>
      <c r="F97" t="s">
        <v>890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</row>
    <row r="98" spans="1:16" hidden="1">
      <c r="A98">
        <v>7062</v>
      </c>
      <c r="B98">
        <v>103632</v>
      </c>
      <c r="C98" t="s">
        <v>217</v>
      </c>
      <c r="D98" t="s">
        <v>218</v>
      </c>
      <c r="E98" t="s">
        <v>56</v>
      </c>
      <c r="F98" t="s">
        <v>890</v>
      </c>
      <c r="G98">
        <v>0</v>
      </c>
      <c r="H98">
        <v>127083.33333333333</v>
      </c>
      <c r="I98">
        <v>0</v>
      </c>
      <c r="J98">
        <v>0</v>
      </c>
      <c r="K98">
        <v>0</v>
      </c>
      <c r="L98">
        <v>293242.03499999997</v>
      </c>
      <c r="M98">
        <v>0</v>
      </c>
      <c r="N98">
        <v>0</v>
      </c>
      <c r="O98">
        <v>0</v>
      </c>
      <c r="P98">
        <v>420325.36833333329</v>
      </c>
    </row>
    <row r="99" spans="1:16" hidden="1">
      <c r="A99">
        <v>2462</v>
      </c>
      <c r="B99">
        <v>103388</v>
      </c>
      <c r="C99" t="s">
        <v>219</v>
      </c>
      <c r="D99" t="s">
        <v>220</v>
      </c>
      <c r="E99" t="s">
        <v>39</v>
      </c>
      <c r="F99" t="s">
        <v>890</v>
      </c>
      <c r="G99">
        <v>182146.64125000002</v>
      </c>
      <c r="H99">
        <v>0</v>
      </c>
      <c r="I99">
        <v>0</v>
      </c>
      <c r="J99">
        <v>0</v>
      </c>
      <c r="K99">
        <v>0</v>
      </c>
      <c r="L99">
        <v>2676.4583333333335</v>
      </c>
      <c r="M99">
        <v>0</v>
      </c>
      <c r="N99">
        <v>-871.5</v>
      </c>
      <c r="O99">
        <v>-3121.6412500000001</v>
      </c>
      <c r="P99">
        <v>180829.95833333337</v>
      </c>
    </row>
    <row r="100" spans="1:16" hidden="1">
      <c r="A100">
        <v>7012</v>
      </c>
      <c r="B100">
        <v>103603</v>
      </c>
      <c r="C100" t="s">
        <v>221</v>
      </c>
      <c r="D100" t="s">
        <v>222</v>
      </c>
      <c r="E100" t="s">
        <v>56</v>
      </c>
      <c r="F100" t="s">
        <v>890</v>
      </c>
      <c r="G100">
        <v>0</v>
      </c>
      <c r="H100">
        <v>54166.666666666664</v>
      </c>
      <c r="I100">
        <v>0</v>
      </c>
      <c r="J100">
        <v>0</v>
      </c>
      <c r="K100">
        <v>0</v>
      </c>
      <c r="L100">
        <v>72043.688333333339</v>
      </c>
      <c r="M100">
        <v>0</v>
      </c>
      <c r="N100">
        <v>0</v>
      </c>
      <c r="O100">
        <v>0</v>
      </c>
      <c r="P100">
        <v>126210.35500000001</v>
      </c>
    </row>
    <row r="101" spans="1:16" hidden="1">
      <c r="A101">
        <v>2127</v>
      </c>
      <c r="B101">
        <v>103227</v>
      </c>
      <c r="C101" t="s">
        <v>223</v>
      </c>
      <c r="D101" t="s">
        <v>224</v>
      </c>
      <c r="E101" t="s">
        <v>39</v>
      </c>
      <c r="F101" t="s">
        <v>890</v>
      </c>
      <c r="G101">
        <v>233923.51477175122</v>
      </c>
      <c r="H101">
        <v>0</v>
      </c>
      <c r="I101">
        <v>0</v>
      </c>
      <c r="J101">
        <v>0</v>
      </c>
      <c r="K101">
        <v>0</v>
      </c>
      <c r="L101">
        <v>17101.4375</v>
      </c>
      <c r="M101">
        <v>0</v>
      </c>
      <c r="N101">
        <v>-859.04999999999984</v>
      </c>
      <c r="O101">
        <v>-6435.3834999999999</v>
      </c>
      <c r="P101">
        <v>243730.51877175123</v>
      </c>
    </row>
    <row r="102" spans="1:16" hidden="1">
      <c r="A102">
        <v>2129</v>
      </c>
      <c r="B102">
        <v>103229</v>
      </c>
      <c r="C102" t="s">
        <v>225</v>
      </c>
      <c r="D102" t="s">
        <v>226</v>
      </c>
      <c r="E102" t="s">
        <v>39</v>
      </c>
      <c r="F102" t="s">
        <v>890</v>
      </c>
      <c r="G102">
        <v>117296.56416201848</v>
      </c>
      <c r="H102">
        <v>0</v>
      </c>
      <c r="I102">
        <v>6333.333333333333</v>
      </c>
      <c r="J102">
        <v>0</v>
      </c>
      <c r="K102">
        <v>0</v>
      </c>
      <c r="L102">
        <v>0</v>
      </c>
      <c r="M102">
        <v>11594.053333333335</v>
      </c>
      <c r="N102">
        <v>-491.77499999999992</v>
      </c>
      <c r="O102">
        <v>-1543.9766083333334</v>
      </c>
      <c r="P102">
        <v>133188.19922035182</v>
      </c>
    </row>
    <row r="103" spans="1:16" hidden="1">
      <c r="A103">
        <v>2128</v>
      </c>
      <c r="B103">
        <v>103228</v>
      </c>
      <c r="C103" t="s">
        <v>227</v>
      </c>
      <c r="D103" t="s">
        <v>228</v>
      </c>
      <c r="E103" t="s">
        <v>39</v>
      </c>
      <c r="F103" t="s">
        <v>890</v>
      </c>
      <c r="G103">
        <v>176009.43601456188</v>
      </c>
      <c r="H103">
        <v>0</v>
      </c>
      <c r="I103">
        <v>5166.666666666667</v>
      </c>
      <c r="J103">
        <v>0</v>
      </c>
      <c r="K103">
        <v>0</v>
      </c>
      <c r="L103">
        <v>0</v>
      </c>
      <c r="M103">
        <v>11386.281666666668</v>
      </c>
      <c r="N103">
        <v>-761.52499999999998</v>
      </c>
      <c r="O103">
        <v>-1672.6402916666666</v>
      </c>
      <c r="P103">
        <v>190128.21905622855</v>
      </c>
    </row>
    <row r="104" spans="1:16" hidden="1">
      <c r="A104">
        <v>2420</v>
      </c>
      <c r="B104">
        <v>103353</v>
      </c>
      <c r="C104" t="s">
        <v>229</v>
      </c>
      <c r="D104" t="s">
        <v>230</v>
      </c>
      <c r="E104" t="s">
        <v>39</v>
      </c>
      <c r="F104" t="s">
        <v>890</v>
      </c>
      <c r="G104">
        <v>182834.72913333334</v>
      </c>
      <c r="H104">
        <v>0</v>
      </c>
      <c r="I104">
        <v>0</v>
      </c>
      <c r="J104">
        <v>0</v>
      </c>
      <c r="K104">
        <v>0</v>
      </c>
      <c r="L104">
        <v>4729.4724999999999</v>
      </c>
      <c r="M104">
        <v>0</v>
      </c>
      <c r="N104">
        <v>-873.57499999999993</v>
      </c>
      <c r="O104">
        <v>-3383.4791333333337</v>
      </c>
      <c r="P104">
        <v>183307.14749999999</v>
      </c>
    </row>
    <row r="105" spans="1:16" hidden="1">
      <c r="A105">
        <v>2004</v>
      </c>
      <c r="B105">
        <v>134094</v>
      </c>
      <c r="C105" t="s">
        <v>231</v>
      </c>
      <c r="D105" t="s">
        <v>232</v>
      </c>
      <c r="E105" t="s">
        <v>39</v>
      </c>
      <c r="F105" t="s">
        <v>890</v>
      </c>
      <c r="G105">
        <v>150418.27457361008</v>
      </c>
      <c r="H105">
        <v>0</v>
      </c>
      <c r="I105">
        <v>0</v>
      </c>
      <c r="J105">
        <v>0</v>
      </c>
      <c r="K105">
        <v>0</v>
      </c>
      <c r="L105">
        <v>4931.4858333333332</v>
      </c>
      <c r="M105">
        <v>0</v>
      </c>
      <c r="N105">
        <v>-607.97500000000002</v>
      </c>
      <c r="O105">
        <v>-2473.3003750000003</v>
      </c>
      <c r="P105">
        <v>152268.48503194342</v>
      </c>
    </row>
    <row r="106" spans="1:16" hidden="1">
      <c r="A106">
        <v>1012</v>
      </c>
      <c r="B106">
        <v>103126</v>
      </c>
      <c r="C106" t="s">
        <v>233</v>
      </c>
      <c r="D106" t="s">
        <v>234</v>
      </c>
      <c r="E106" t="s">
        <v>36</v>
      </c>
      <c r="F106" t="s">
        <v>890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</row>
    <row r="107" spans="1:16" hidden="1">
      <c r="A107">
        <v>2133</v>
      </c>
      <c r="B107">
        <v>103233</v>
      </c>
      <c r="C107" t="s">
        <v>235</v>
      </c>
      <c r="D107" t="s">
        <v>236</v>
      </c>
      <c r="E107" t="s">
        <v>39</v>
      </c>
      <c r="F107" t="s">
        <v>890</v>
      </c>
      <c r="G107">
        <v>239721.49913057903</v>
      </c>
      <c r="H107">
        <v>0</v>
      </c>
      <c r="I107">
        <v>0</v>
      </c>
      <c r="J107">
        <v>0</v>
      </c>
      <c r="K107">
        <v>0</v>
      </c>
      <c r="L107">
        <v>5409.5</v>
      </c>
      <c r="M107">
        <v>0</v>
      </c>
      <c r="N107">
        <v>-867.34999999999991</v>
      </c>
      <c r="O107">
        <v>-4994.6260000000002</v>
      </c>
      <c r="P107">
        <v>239269.02313057904</v>
      </c>
    </row>
    <row r="108" spans="1:16" hidden="1">
      <c r="A108">
        <v>2406</v>
      </c>
      <c r="B108">
        <v>103345</v>
      </c>
      <c r="C108" t="s">
        <v>237</v>
      </c>
      <c r="D108" t="s">
        <v>238</v>
      </c>
      <c r="E108" t="s">
        <v>39</v>
      </c>
      <c r="F108" t="s">
        <v>890</v>
      </c>
      <c r="G108">
        <v>107938.07392974421</v>
      </c>
      <c r="H108">
        <v>0</v>
      </c>
      <c r="I108">
        <v>0</v>
      </c>
      <c r="J108">
        <v>0</v>
      </c>
      <c r="K108">
        <v>0</v>
      </c>
      <c r="L108">
        <v>2676.4583333333335</v>
      </c>
      <c r="M108">
        <v>0</v>
      </c>
      <c r="N108">
        <v>-415</v>
      </c>
      <c r="O108">
        <v>-1130.1986166666668</v>
      </c>
      <c r="P108">
        <v>109069.33364641087</v>
      </c>
    </row>
    <row r="109" spans="1:16" hidden="1">
      <c r="A109">
        <v>2416</v>
      </c>
      <c r="B109">
        <v>103351</v>
      </c>
      <c r="C109" t="s">
        <v>239</v>
      </c>
      <c r="D109" t="s">
        <v>240</v>
      </c>
      <c r="E109" t="s">
        <v>39</v>
      </c>
      <c r="F109" t="s">
        <v>890</v>
      </c>
      <c r="G109">
        <v>186084.91899999999</v>
      </c>
      <c r="H109">
        <v>0</v>
      </c>
      <c r="I109">
        <v>0</v>
      </c>
      <c r="J109">
        <v>0</v>
      </c>
      <c r="K109">
        <v>0</v>
      </c>
      <c r="L109">
        <v>3412.375</v>
      </c>
      <c r="M109">
        <v>0</v>
      </c>
      <c r="N109">
        <v>-888.09999999999991</v>
      </c>
      <c r="O109">
        <v>-3649.9189999999999</v>
      </c>
      <c r="P109">
        <v>184959.27499999999</v>
      </c>
    </row>
    <row r="110" spans="1:16" hidden="1">
      <c r="A110">
        <v>3003</v>
      </c>
      <c r="B110">
        <v>103398</v>
      </c>
      <c r="C110" t="s">
        <v>241</v>
      </c>
      <c r="D110" t="s">
        <v>242</v>
      </c>
      <c r="E110" t="s">
        <v>39</v>
      </c>
      <c r="F110" t="s">
        <v>890</v>
      </c>
      <c r="G110">
        <v>97304.266454934419</v>
      </c>
      <c r="H110">
        <v>0</v>
      </c>
      <c r="I110">
        <v>0</v>
      </c>
      <c r="J110">
        <v>0</v>
      </c>
      <c r="K110">
        <v>0</v>
      </c>
      <c r="L110">
        <v>3261.5833333333335</v>
      </c>
      <c r="M110">
        <v>0</v>
      </c>
      <c r="N110">
        <v>-437.82499999999999</v>
      </c>
      <c r="O110">
        <v>-1986.0771750000001</v>
      </c>
      <c r="P110">
        <v>98141.947613267752</v>
      </c>
    </row>
    <row r="111" spans="1:16" hidden="1">
      <c r="A111">
        <v>4245</v>
      </c>
      <c r="B111">
        <v>103519</v>
      </c>
      <c r="C111" t="s">
        <v>243</v>
      </c>
      <c r="D111" t="s">
        <v>244</v>
      </c>
      <c r="E111" t="s">
        <v>71</v>
      </c>
      <c r="F111" t="s">
        <v>890</v>
      </c>
      <c r="G111">
        <v>899023.65492932394</v>
      </c>
      <c r="H111">
        <v>0</v>
      </c>
      <c r="I111">
        <v>0</v>
      </c>
      <c r="J111">
        <v>0</v>
      </c>
      <c r="K111">
        <v>117252.25</v>
      </c>
      <c r="L111">
        <v>10358.653333333334</v>
      </c>
      <c r="M111">
        <v>0</v>
      </c>
      <c r="N111">
        <v>-1987.375</v>
      </c>
      <c r="O111">
        <v>-4802.5250000000005</v>
      </c>
      <c r="P111">
        <v>1019844.6582626572</v>
      </c>
    </row>
    <row r="112" spans="1:16" hidden="1">
      <c r="A112">
        <v>2457</v>
      </c>
      <c r="B112">
        <v>103384</v>
      </c>
      <c r="C112" t="s">
        <v>245</v>
      </c>
      <c r="D112" t="s">
        <v>246</v>
      </c>
      <c r="E112" t="s">
        <v>39</v>
      </c>
      <c r="F112" t="s">
        <v>890</v>
      </c>
      <c r="G112">
        <v>215876.66523611938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14375.875833333334</v>
      </c>
      <c r="N112">
        <v>-838.29999999999984</v>
      </c>
      <c r="O112">
        <v>-883.66460000000006</v>
      </c>
      <c r="P112">
        <v>228530.57646945273</v>
      </c>
    </row>
    <row r="113" spans="1:16" hidden="1">
      <c r="A113">
        <v>2142</v>
      </c>
      <c r="B113">
        <v>103237</v>
      </c>
      <c r="C113" t="s">
        <v>247</v>
      </c>
      <c r="D113" t="s">
        <v>248</v>
      </c>
      <c r="E113" t="s">
        <v>39</v>
      </c>
      <c r="F113" t="s">
        <v>890</v>
      </c>
      <c r="G113">
        <v>230602.33916156401</v>
      </c>
      <c r="H113">
        <v>0</v>
      </c>
      <c r="I113">
        <v>0</v>
      </c>
      <c r="J113">
        <v>0</v>
      </c>
      <c r="K113">
        <v>0</v>
      </c>
      <c r="L113">
        <v>12759.979166666666</v>
      </c>
      <c r="M113">
        <v>0</v>
      </c>
      <c r="N113">
        <v>-871.5</v>
      </c>
      <c r="O113">
        <v>-2434.7491166666664</v>
      </c>
      <c r="P113">
        <v>240056.069211564</v>
      </c>
    </row>
    <row r="114" spans="1:16" hidden="1">
      <c r="A114">
        <v>2469</v>
      </c>
      <c r="B114">
        <v>103395</v>
      </c>
      <c r="C114" t="s">
        <v>249</v>
      </c>
      <c r="D114" t="s">
        <v>250</v>
      </c>
      <c r="E114" t="s">
        <v>39</v>
      </c>
      <c r="F114" t="s">
        <v>890</v>
      </c>
      <c r="G114">
        <v>157078.74862234891</v>
      </c>
      <c r="H114">
        <v>0</v>
      </c>
      <c r="I114">
        <v>0</v>
      </c>
      <c r="J114">
        <v>0</v>
      </c>
      <c r="K114">
        <v>0</v>
      </c>
      <c r="L114">
        <v>7820.1875</v>
      </c>
      <c r="M114">
        <v>0</v>
      </c>
      <c r="N114">
        <v>-628.72500000000002</v>
      </c>
      <c r="O114">
        <v>-720.37874999999997</v>
      </c>
      <c r="P114">
        <v>163549.8323723489</v>
      </c>
    </row>
    <row r="115" spans="1:16" hidden="1">
      <c r="A115">
        <v>1028</v>
      </c>
      <c r="B115">
        <v>103141</v>
      </c>
      <c r="C115" t="s">
        <v>251</v>
      </c>
      <c r="D115" t="s">
        <v>252</v>
      </c>
      <c r="E115" t="s">
        <v>36</v>
      </c>
      <c r="F115" t="s">
        <v>890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1766.4166666666667</v>
      </c>
      <c r="M115">
        <v>0</v>
      </c>
      <c r="N115">
        <v>0</v>
      </c>
      <c r="O115">
        <v>0</v>
      </c>
      <c r="P115">
        <v>1766.4166666666667</v>
      </c>
    </row>
    <row r="116" spans="1:16" hidden="1">
      <c r="A116">
        <v>1049</v>
      </c>
      <c r="B116">
        <v>103145</v>
      </c>
      <c r="C116" t="s">
        <v>253</v>
      </c>
      <c r="D116" t="s">
        <v>254</v>
      </c>
      <c r="E116" t="s">
        <v>36</v>
      </c>
      <c r="F116" t="s">
        <v>890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906.31916666666666</v>
      </c>
      <c r="M116">
        <v>0</v>
      </c>
      <c r="N116">
        <v>0</v>
      </c>
      <c r="O116">
        <v>0</v>
      </c>
      <c r="P116">
        <v>906.31916666666666</v>
      </c>
    </row>
    <row r="117" spans="1:16" hidden="1">
      <c r="A117">
        <v>3351</v>
      </c>
      <c r="B117">
        <v>103443</v>
      </c>
      <c r="C117" t="s">
        <v>255</v>
      </c>
      <c r="D117" t="s">
        <v>256</v>
      </c>
      <c r="E117" t="s">
        <v>39</v>
      </c>
      <c r="F117" t="s">
        <v>890</v>
      </c>
      <c r="G117">
        <v>110685.06506748717</v>
      </c>
      <c r="H117">
        <v>0</v>
      </c>
      <c r="I117">
        <v>0</v>
      </c>
      <c r="J117">
        <v>0</v>
      </c>
      <c r="K117">
        <v>0</v>
      </c>
      <c r="L117">
        <v>3630.5208333333335</v>
      </c>
      <c r="M117">
        <v>0</v>
      </c>
      <c r="N117">
        <v>-427.45</v>
      </c>
      <c r="O117">
        <v>-355.51879166666663</v>
      </c>
      <c r="P117">
        <v>113532.61710915384</v>
      </c>
    </row>
    <row r="118" spans="1:16" hidden="1">
      <c r="A118">
        <v>3328</v>
      </c>
      <c r="B118">
        <v>103430</v>
      </c>
      <c r="C118" t="s">
        <v>257</v>
      </c>
      <c r="D118" t="s">
        <v>258</v>
      </c>
      <c r="E118" t="s">
        <v>39</v>
      </c>
      <c r="F118" t="s">
        <v>890</v>
      </c>
      <c r="G118">
        <v>101233.13284949283</v>
      </c>
      <c r="H118">
        <v>0</v>
      </c>
      <c r="I118">
        <v>0</v>
      </c>
      <c r="J118">
        <v>0</v>
      </c>
      <c r="K118">
        <v>0</v>
      </c>
      <c r="L118">
        <v>3806.5074999999997</v>
      </c>
      <c r="M118">
        <v>0</v>
      </c>
      <c r="N118">
        <v>-431.59999999999997</v>
      </c>
      <c r="O118">
        <v>-340.15686666666664</v>
      </c>
      <c r="P118">
        <v>104267.88348282616</v>
      </c>
    </row>
    <row r="119" spans="1:16" hidden="1">
      <c r="A119">
        <v>2150</v>
      </c>
      <c r="B119">
        <v>103241</v>
      </c>
      <c r="C119" t="s">
        <v>259</v>
      </c>
      <c r="D119" t="s">
        <v>260</v>
      </c>
      <c r="E119" t="s">
        <v>39</v>
      </c>
      <c r="F119" t="s">
        <v>890</v>
      </c>
      <c r="G119">
        <v>122791.92601979578</v>
      </c>
      <c r="H119">
        <v>0</v>
      </c>
      <c r="I119">
        <v>0</v>
      </c>
      <c r="J119">
        <v>0</v>
      </c>
      <c r="K119">
        <v>0</v>
      </c>
      <c r="L119">
        <v>6062.9025000000001</v>
      </c>
      <c r="M119">
        <v>0</v>
      </c>
      <c r="N119">
        <v>-462.72499999999997</v>
      </c>
      <c r="O119">
        <v>-3049.6033750000001</v>
      </c>
      <c r="P119">
        <v>125342.50014479576</v>
      </c>
    </row>
    <row r="120" spans="1:16" hidden="1">
      <c r="A120">
        <v>2425</v>
      </c>
      <c r="B120">
        <v>103356</v>
      </c>
      <c r="C120" t="s">
        <v>261</v>
      </c>
      <c r="D120" t="s">
        <v>262</v>
      </c>
      <c r="E120" t="s">
        <v>39</v>
      </c>
      <c r="F120" t="s">
        <v>890</v>
      </c>
      <c r="G120">
        <v>95447.082345034069</v>
      </c>
      <c r="H120">
        <v>0</v>
      </c>
      <c r="I120">
        <v>0</v>
      </c>
      <c r="J120">
        <v>0</v>
      </c>
      <c r="K120">
        <v>0</v>
      </c>
      <c r="L120">
        <v>3937.6666666666665</v>
      </c>
      <c r="M120">
        <v>0</v>
      </c>
      <c r="N120">
        <v>-421.22499999999997</v>
      </c>
      <c r="O120">
        <v>-1404.5186666666666</v>
      </c>
      <c r="P120">
        <v>97559.005345034064</v>
      </c>
    </row>
    <row r="121" spans="1:16" hidden="1">
      <c r="A121">
        <v>1008</v>
      </c>
      <c r="B121">
        <v>103123</v>
      </c>
      <c r="C121" t="s">
        <v>263</v>
      </c>
      <c r="D121" t="s">
        <v>264</v>
      </c>
      <c r="E121" t="s">
        <v>36</v>
      </c>
      <c r="F121" t="s">
        <v>890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</row>
    <row r="122" spans="1:16" hidden="1">
      <c r="A122">
        <v>7034</v>
      </c>
      <c r="B122">
        <v>103614</v>
      </c>
      <c r="C122" t="s">
        <v>265</v>
      </c>
      <c r="D122" t="s">
        <v>266</v>
      </c>
      <c r="E122" t="s">
        <v>56</v>
      </c>
      <c r="F122" t="s">
        <v>890</v>
      </c>
      <c r="G122">
        <v>0</v>
      </c>
      <c r="H122">
        <v>57500</v>
      </c>
      <c r="I122">
        <v>0</v>
      </c>
      <c r="J122">
        <v>17500</v>
      </c>
      <c r="K122">
        <v>0</v>
      </c>
      <c r="L122">
        <v>131208.67833333334</v>
      </c>
      <c r="M122">
        <v>0</v>
      </c>
      <c r="N122">
        <v>0</v>
      </c>
      <c r="O122">
        <v>0</v>
      </c>
      <c r="P122">
        <v>206208.67833333334</v>
      </c>
    </row>
    <row r="123" spans="1:16" hidden="1">
      <c r="A123">
        <v>4173</v>
      </c>
      <c r="B123">
        <v>103497</v>
      </c>
      <c r="C123" t="s">
        <v>267</v>
      </c>
      <c r="D123" t="s">
        <v>268</v>
      </c>
      <c r="E123" t="s">
        <v>71</v>
      </c>
      <c r="F123" t="s">
        <v>890</v>
      </c>
      <c r="G123">
        <v>588875.8760303387</v>
      </c>
      <c r="H123">
        <v>0</v>
      </c>
      <c r="I123">
        <v>0</v>
      </c>
      <c r="J123">
        <v>0</v>
      </c>
      <c r="K123">
        <v>0</v>
      </c>
      <c r="L123">
        <v>19835.9725</v>
      </c>
      <c r="M123">
        <v>0</v>
      </c>
      <c r="N123">
        <v>-1486.875</v>
      </c>
      <c r="O123">
        <v>-2007.4554500000002</v>
      </c>
      <c r="P123">
        <v>605217.51808033872</v>
      </c>
    </row>
    <row r="124" spans="1:16" hidden="1">
      <c r="A124">
        <v>2157</v>
      </c>
      <c r="B124">
        <v>103246</v>
      </c>
      <c r="C124" t="s">
        <v>269</v>
      </c>
      <c r="D124" t="s">
        <v>270</v>
      </c>
      <c r="E124" t="s">
        <v>39</v>
      </c>
      <c r="F124" t="s">
        <v>890</v>
      </c>
      <c r="G124">
        <v>170590.1126601416</v>
      </c>
      <c r="H124">
        <v>0</v>
      </c>
      <c r="I124">
        <v>0</v>
      </c>
      <c r="J124">
        <v>0</v>
      </c>
      <c r="K124">
        <v>0</v>
      </c>
      <c r="L124">
        <v>1672.7358333333334</v>
      </c>
      <c r="M124">
        <v>0</v>
      </c>
      <c r="N124">
        <v>-763.59999999999991</v>
      </c>
      <c r="O124">
        <v>-3457.8179999999998</v>
      </c>
      <c r="P124">
        <v>168041.43049347494</v>
      </c>
    </row>
    <row r="125" spans="1:16" hidden="1">
      <c r="A125">
        <v>2159</v>
      </c>
      <c r="B125">
        <v>103247</v>
      </c>
      <c r="C125" t="s">
        <v>271</v>
      </c>
      <c r="D125" t="s">
        <v>272</v>
      </c>
      <c r="E125" t="s">
        <v>39</v>
      </c>
      <c r="F125" t="s">
        <v>890</v>
      </c>
      <c r="G125">
        <v>117322.55682387359</v>
      </c>
      <c r="H125">
        <v>0</v>
      </c>
      <c r="I125">
        <v>0</v>
      </c>
      <c r="J125">
        <v>0</v>
      </c>
      <c r="K125">
        <v>0</v>
      </c>
      <c r="L125">
        <v>3326.8199999999997</v>
      </c>
      <c r="M125">
        <v>0</v>
      </c>
      <c r="N125">
        <v>-421.22499999999997</v>
      </c>
      <c r="O125">
        <v>-1667.8659166666666</v>
      </c>
      <c r="P125">
        <v>118560.28590720691</v>
      </c>
    </row>
    <row r="126" spans="1:16" hidden="1">
      <c r="A126">
        <v>2161</v>
      </c>
      <c r="B126">
        <v>103249</v>
      </c>
      <c r="C126" t="s">
        <v>273</v>
      </c>
      <c r="D126" t="s">
        <v>274</v>
      </c>
      <c r="E126" t="s">
        <v>39</v>
      </c>
      <c r="F126" t="s">
        <v>890</v>
      </c>
      <c r="G126">
        <v>114521.13330993662</v>
      </c>
      <c r="H126">
        <v>0</v>
      </c>
      <c r="I126">
        <v>0</v>
      </c>
      <c r="J126">
        <v>0</v>
      </c>
      <c r="K126">
        <v>0</v>
      </c>
      <c r="L126">
        <v>7744.0349999999999</v>
      </c>
      <c r="M126">
        <v>0</v>
      </c>
      <c r="N126">
        <v>-450.27499999999992</v>
      </c>
      <c r="O126">
        <v>-1248.1867999999999</v>
      </c>
      <c r="P126">
        <v>120566.70650993663</v>
      </c>
    </row>
    <row r="127" spans="1:16" hidden="1">
      <c r="A127">
        <v>2160</v>
      </c>
      <c r="B127">
        <v>103248</v>
      </c>
      <c r="C127" t="s">
        <v>275</v>
      </c>
      <c r="D127" t="s">
        <v>276</v>
      </c>
      <c r="E127" t="s">
        <v>39</v>
      </c>
      <c r="F127" t="s">
        <v>890</v>
      </c>
      <c r="G127">
        <v>168274.82293868327</v>
      </c>
      <c r="H127">
        <v>0</v>
      </c>
      <c r="I127">
        <v>0</v>
      </c>
      <c r="J127">
        <v>0</v>
      </c>
      <c r="K127">
        <v>0</v>
      </c>
      <c r="L127">
        <v>2676.4583333333335</v>
      </c>
      <c r="M127">
        <v>0</v>
      </c>
      <c r="N127">
        <v>-678.52499999999998</v>
      </c>
      <c r="O127">
        <v>-1085.3706500000001</v>
      </c>
      <c r="P127">
        <v>169187.38562201662</v>
      </c>
    </row>
    <row r="128" spans="1:16" hidden="1">
      <c r="A128">
        <v>2063</v>
      </c>
      <c r="B128">
        <v>103193</v>
      </c>
      <c r="C128" t="s">
        <v>277</v>
      </c>
      <c r="D128" t="s">
        <v>278</v>
      </c>
      <c r="E128" t="s">
        <v>39</v>
      </c>
      <c r="F128" t="s">
        <v>890</v>
      </c>
      <c r="G128">
        <v>216935.19392671064</v>
      </c>
      <c r="H128">
        <v>0</v>
      </c>
      <c r="I128">
        <v>0</v>
      </c>
      <c r="J128">
        <v>0</v>
      </c>
      <c r="K128">
        <v>0</v>
      </c>
      <c r="L128">
        <v>3624.6666666666665</v>
      </c>
      <c r="M128">
        <v>0</v>
      </c>
      <c r="N128">
        <v>-763.59999999999991</v>
      </c>
      <c r="O128">
        <v>-5474.8784999999998</v>
      </c>
      <c r="P128">
        <v>214321.38209337729</v>
      </c>
    </row>
    <row r="129" spans="1:16" hidden="1">
      <c r="A129">
        <v>1018</v>
      </c>
      <c r="B129">
        <v>103131</v>
      </c>
      <c r="C129" t="s">
        <v>279</v>
      </c>
      <c r="D129" t="s">
        <v>280</v>
      </c>
      <c r="E129" t="s">
        <v>36</v>
      </c>
      <c r="F129" t="s">
        <v>890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-3830.1666666666665</v>
      </c>
      <c r="M129">
        <v>0</v>
      </c>
      <c r="N129">
        <v>0</v>
      </c>
      <c r="O129">
        <v>0</v>
      </c>
      <c r="P129">
        <v>-3830.1666666666665</v>
      </c>
    </row>
    <row r="130" spans="1:16" hidden="1">
      <c r="A130">
        <v>1000</v>
      </c>
      <c r="B130">
        <v>137796</v>
      </c>
      <c r="C130" t="s">
        <v>281</v>
      </c>
      <c r="D130" t="s">
        <v>282</v>
      </c>
      <c r="E130" t="s">
        <v>36</v>
      </c>
      <c r="F130" t="s">
        <v>890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-1651.25</v>
      </c>
      <c r="M130">
        <v>0</v>
      </c>
      <c r="N130">
        <v>0</v>
      </c>
      <c r="O130">
        <v>0</v>
      </c>
      <c r="P130">
        <v>-1651.25</v>
      </c>
    </row>
    <row r="131" spans="1:16" hidden="1">
      <c r="A131">
        <v>7033</v>
      </c>
      <c r="B131">
        <v>103613</v>
      </c>
      <c r="C131" t="s">
        <v>283</v>
      </c>
      <c r="D131" t="s">
        <v>284</v>
      </c>
      <c r="E131" t="s">
        <v>56</v>
      </c>
      <c r="F131" t="s">
        <v>890</v>
      </c>
      <c r="G131">
        <v>0</v>
      </c>
      <c r="H131">
        <v>240000</v>
      </c>
      <c r="I131">
        <v>0</v>
      </c>
      <c r="J131">
        <v>89166.666666666672</v>
      </c>
      <c r="K131">
        <v>0</v>
      </c>
      <c r="L131">
        <v>374265.84250000003</v>
      </c>
      <c r="M131">
        <v>0</v>
      </c>
      <c r="N131">
        <v>0</v>
      </c>
      <c r="O131">
        <v>0</v>
      </c>
      <c r="P131">
        <v>703432.50916666677</v>
      </c>
    </row>
    <row r="132" spans="1:16" hidden="1">
      <c r="A132">
        <v>4177</v>
      </c>
      <c r="B132">
        <v>103498</v>
      </c>
      <c r="C132" t="s">
        <v>285</v>
      </c>
      <c r="D132" t="s">
        <v>286</v>
      </c>
      <c r="E132" t="s">
        <v>71</v>
      </c>
      <c r="F132" t="s">
        <v>890</v>
      </c>
      <c r="G132">
        <v>578995.71816565283</v>
      </c>
      <c r="H132">
        <v>0</v>
      </c>
      <c r="I132">
        <v>0</v>
      </c>
      <c r="J132">
        <v>0</v>
      </c>
      <c r="K132">
        <v>0</v>
      </c>
      <c r="L132">
        <v>7611.9441666666671</v>
      </c>
      <c r="M132">
        <v>0</v>
      </c>
      <c r="N132">
        <v>-1303.25</v>
      </c>
      <c r="O132">
        <v>-8308.3682499999995</v>
      </c>
      <c r="P132">
        <v>576996.0440823196</v>
      </c>
    </row>
    <row r="133" spans="1:16" hidden="1">
      <c r="A133">
        <v>2169</v>
      </c>
      <c r="B133">
        <v>103252</v>
      </c>
      <c r="C133" t="s">
        <v>287</v>
      </c>
      <c r="D133" t="s">
        <v>288</v>
      </c>
      <c r="E133" t="s">
        <v>39</v>
      </c>
      <c r="F133" t="s">
        <v>890</v>
      </c>
      <c r="G133">
        <v>205323.61078364018</v>
      </c>
      <c r="H133">
        <v>0</v>
      </c>
      <c r="I133">
        <v>0</v>
      </c>
      <c r="J133">
        <v>0</v>
      </c>
      <c r="K133">
        <v>0</v>
      </c>
      <c r="L133">
        <v>692.16666666666663</v>
      </c>
      <c r="M133">
        <v>0</v>
      </c>
      <c r="N133">
        <v>-749.07499999999993</v>
      </c>
      <c r="O133">
        <v>-3193.6791250000001</v>
      </c>
      <c r="P133">
        <v>202073.02332530683</v>
      </c>
    </row>
    <row r="134" spans="1:16" hidden="1">
      <c r="A134">
        <v>2008</v>
      </c>
      <c r="B134">
        <v>103157</v>
      </c>
      <c r="C134" t="s">
        <v>289</v>
      </c>
      <c r="D134" t="s">
        <v>290</v>
      </c>
      <c r="E134" t="s">
        <v>39</v>
      </c>
      <c r="F134" t="s">
        <v>890</v>
      </c>
      <c r="G134">
        <v>224965.38540825111</v>
      </c>
      <c r="H134">
        <v>0</v>
      </c>
      <c r="I134">
        <v>0</v>
      </c>
      <c r="J134">
        <v>0</v>
      </c>
      <c r="K134">
        <v>0</v>
      </c>
      <c r="L134">
        <v>6517.0908333333327</v>
      </c>
      <c r="M134">
        <v>0</v>
      </c>
      <c r="N134">
        <v>-881.875</v>
      </c>
      <c r="O134">
        <v>-3457.8179999999998</v>
      </c>
      <c r="P134">
        <v>227142.78324158443</v>
      </c>
    </row>
    <row r="135" spans="1:16" hidden="1">
      <c r="A135">
        <v>1038</v>
      </c>
      <c r="B135">
        <v>103142</v>
      </c>
      <c r="C135" t="s">
        <v>291</v>
      </c>
      <c r="D135" t="s">
        <v>292</v>
      </c>
      <c r="E135" t="s">
        <v>36</v>
      </c>
      <c r="F135" t="s">
        <v>890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768.09</v>
      </c>
      <c r="M135">
        <v>0</v>
      </c>
      <c r="N135">
        <v>0</v>
      </c>
      <c r="O135">
        <v>0</v>
      </c>
      <c r="P135">
        <v>768.09</v>
      </c>
    </row>
    <row r="136" spans="1:16" hidden="1">
      <c r="A136">
        <v>2174</v>
      </c>
      <c r="B136">
        <v>103255</v>
      </c>
      <c r="C136" t="s">
        <v>293</v>
      </c>
      <c r="D136" t="s">
        <v>294</v>
      </c>
      <c r="E136" t="s">
        <v>39</v>
      </c>
      <c r="F136" t="s">
        <v>890</v>
      </c>
      <c r="G136">
        <v>139626.48578446987</v>
      </c>
      <c r="H136">
        <v>0</v>
      </c>
      <c r="I136">
        <v>0</v>
      </c>
      <c r="J136">
        <v>0</v>
      </c>
      <c r="K136">
        <v>0</v>
      </c>
      <c r="L136">
        <v>6665.4441666666671</v>
      </c>
      <c r="M136">
        <v>0</v>
      </c>
      <c r="N136">
        <v>-556.1</v>
      </c>
      <c r="O136">
        <v>-2569.3508750000001</v>
      </c>
      <c r="P136">
        <v>143166.47907613651</v>
      </c>
    </row>
    <row r="137" spans="1:16" hidden="1">
      <c r="A137">
        <v>2176</v>
      </c>
      <c r="B137">
        <v>103256</v>
      </c>
      <c r="C137" t="s">
        <v>295</v>
      </c>
      <c r="D137" t="s">
        <v>296</v>
      </c>
      <c r="E137" t="s">
        <v>39</v>
      </c>
      <c r="F137" t="s">
        <v>890</v>
      </c>
      <c r="G137">
        <v>355285.46194521588</v>
      </c>
      <c r="H137">
        <v>0</v>
      </c>
      <c r="I137">
        <v>0</v>
      </c>
      <c r="J137">
        <v>0</v>
      </c>
      <c r="K137">
        <v>0</v>
      </c>
      <c r="L137">
        <v>14941.645833333334</v>
      </c>
      <c r="M137">
        <v>0</v>
      </c>
      <c r="N137">
        <v>-1346.675</v>
      </c>
      <c r="O137">
        <v>-6531.4340000000002</v>
      </c>
      <c r="P137">
        <v>362348.9987785492</v>
      </c>
    </row>
    <row r="138" spans="1:16" hidden="1">
      <c r="A138">
        <v>7047</v>
      </c>
      <c r="B138">
        <v>103623</v>
      </c>
      <c r="C138" t="s">
        <v>297</v>
      </c>
      <c r="D138" t="s">
        <v>298</v>
      </c>
      <c r="E138" t="s">
        <v>56</v>
      </c>
      <c r="F138" t="s">
        <v>890</v>
      </c>
      <c r="G138">
        <v>0</v>
      </c>
      <c r="H138">
        <v>95833.333333333328</v>
      </c>
      <c r="I138">
        <v>0</v>
      </c>
      <c r="J138">
        <v>0</v>
      </c>
      <c r="K138">
        <v>0</v>
      </c>
      <c r="L138">
        <v>159059.57499999998</v>
      </c>
      <c r="M138">
        <v>0</v>
      </c>
      <c r="N138">
        <v>0</v>
      </c>
      <c r="O138">
        <v>0</v>
      </c>
      <c r="P138">
        <v>254892.90833333333</v>
      </c>
    </row>
    <row r="139" spans="1:16" hidden="1">
      <c r="A139">
        <v>3410</v>
      </c>
      <c r="B139">
        <v>103478</v>
      </c>
      <c r="C139" t="s">
        <v>299</v>
      </c>
      <c r="D139" t="s">
        <v>300</v>
      </c>
      <c r="E139" t="s">
        <v>39</v>
      </c>
      <c r="F139" t="s">
        <v>890</v>
      </c>
      <c r="G139">
        <v>102986.45252737537</v>
      </c>
      <c r="H139">
        <v>0</v>
      </c>
      <c r="I139">
        <v>0</v>
      </c>
      <c r="J139">
        <v>0</v>
      </c>
      <c r="K139">
        <v>0</v>
      </c>
      <c r="L139">
        <v>13722.1325</v>
      </c>
      <c r="M139">
        <v>0</v>
      </c>
      <c r="N139">
        <v>-415</v>
      </c>
      <c r="O139">
        <v>-348.93510833333335</v>
      </c>
      <c r="P139">
        <v>115944.64991904204</v>
      </c>
    </row>
    <row r="140" spans="1:16" hidden="1">
      <c r="A140">
        <v>3381</v>
      </c>
      <c r="B140">
        <v>103466</v>
      </c>
      <c r="C140" t="s">
        <v>301</v>
      </c>
      <c r="D140" t="s">
        <v>302</v>
      </c>
      <c r="E140" t="s">
        <v>39</v>
      </c>
      <c r="F140" t="s">
        <v>890</v>
      </c>
      <c r="G140">
        <v>103594.61516645506</v>
      </c>
      <c r="H140">
        <v>0</v>
      </c>
      <c r="I140">
        <v>0</v>
      </c>
      <c r="J140">
        <v>0</v>
      </c>
      <c r="K140">
        <v>0</v>
      </c>
      <c r="L140">
        <v>4421.270833333333</v>
      </c>
      <c r="M140">
        <v>0</v>
      </c>
      <c r="N140">
        <v>-429.52499999999992</v>
      </c>
      <c r="O140">
        <v>-305.04390000000001</v>
      </c>
      <c r="P140">
        <v>107281.31709978839</v>
      </c>
    </row>
    <row r="141" spans="1:16" hidden="1">
      <c r="A141">
        <v>3335</v>
      </c>
      <c r="B141">
        <v>103434</v>
      </c>
      <c r="C141" t="s">
        <v>303</v>
      </c>
      <c r="D141" t="s">
        <v>304</v>
      </c>
      <c r="E141" t="s">
        <v>39</v>
      </c>
      <c r="F141" t="s">
        <v>890</v>
      </c>
      <c r="G141">
        <v>113272.53461680455</v>
      </c>
      <c r="H141">
        <v>0</v>
      </c>
      <c r="I141">
        <v>0</v>
      </c>
      <c r="J141">
        <v>0</v>
      </c>
      <c r="K141">
        <v>0</v>
      </c>
      <c r="L141">
        <v>6403.3191666666671</v>
      </c>
      <c r="M141">
        <v>0</v>
      </c>
      <c r="N141">
        <v>-404.625</v>
      </c>
      <c r="O141">
        <v>-390.63175833333338</v>
      </c>
      <c r="P141">
        <v>118880.59702513789</v>
      </c>
    </row>
    <row r="142" spans="1:16" hidden="1">
      <c r="A142">
        <v>2183</v>
      </c>
      <c r="B142">
        <v>103261</v>
      </c>
      <c r="C142" t="s">
        <v>305</v>
      </c>
      <c r="D142" t="s">
        <v>306</v>
      </c>
      <c r="E142" t="s">
        <v>39</v>
      </c>
      <c r="F142" t="s">
        <v>890</v>
      </c>
      <c r="G142">
        <v>175417.06040164689</v>
      </c>
      <c r="H142">
        <v>0</v>
      </c>
      <c r="I142">
        <v>13666.666666666666</v>
      </c>
      <c r="J142">
        <v>0</v>
      </c>
      <c r="K142">
        <v>0</v>
      </c>
      <c r="L142">
        <v>0</v>
      </c>
      <c r="M142">
        <v>26568.944166666664</v>
      </c>
      <c r="N142">
        <v>-637.02499999999998</v>
      </c>
      <c r="O142">
        <v>-3121.6412500000001</v>
      </c>
      <c r="P142">
        <v>211894.00498498022</v>
      </c>
    </row>
    <row r="143" spans="1:16" hidden="1">
      <c r="A143">
        <v>3372</v>
      </c>
      <c r="B143">
        <v>103460</v>
      </c>
      <c r="C143" t="s">
        <v>307</v>
      </c>
      <c r="D143" t="s">
        <v>308</v>
      </c>
      <c r="E143" t="s">
        <v>39</v>
      </c>
      <c r="F143" t="s">
        <v>890</v>
      </c>
      <c r="G143">
        <v>259920.44845273322</v>
      </c>
      <c r="H143">
        <v>0</v>
      </c>
      <c r="I143">
        <v>0</v>
      </c>
      <c r="J143">
        <v>0</v>
      </c>
      <c r="K143">
        <v>0</v>
      </c>
      <c r="L143">
        <v>11228.833333333334</v>
      </c>
      <c r="M143">
        <v>0</v>
      </c>
      <c r="N143">
        <v>-1070.7</v>
      </c>
      <c r="O143">
        <v>-917.28227500000003</v>
      </c>
      <c r="P143">
        <v>269161.29951106652</v>
      </c>
    </row>
    <row r="144" spans="1:16" hidden="1">
      <c r="A144">
        <v>3375</v>
      </c>
      <c r="B144">
        <v>103462</v>
      </c>
      <c r="C144" t="s">
        <v>309</v>
      </c>
      <c r="D144" t="s">
        <v>310</v>
      </c>
      <c r="E144" t="s">
        <v>39</v>
      </c>
      <c r="F144" t="s">
        <v>890</v>
      </c>
      <c r="G144">
        <v>193846.2745972207</v>
      </c>
      <c r="H144">
        <v>0</v>
      </c>
      <c r="I144">
        <v>0</v>
      </c>
      <c r="J144">
        <v>0</v>
      </c>
      <c r="K144">
        <v>0</v>
      </c>
      <c r="L144">
        <v>7962.833333333333</v>
      </c>
      <c r="M144">
        <v>0</v>
      </c>
      <c r="N144">
        <v>-834.15</v>
      </c>
      <c r="O144">
        <v>-581.10552500000006</v>
      </c>
      <c r="P144">
        <v>200393.85240555406</v>
      </c>
    </row>
    <row r="145" spans="1:16" hidden="1">
      <c r="A145">
        <v>3331</v>
      </c>
      <c r="B145">
        <v>103433</v>
      </c>
      <c r="C145" t="s">
        <v>311</v>
      </c>
      <c r="D145" t="s">
        <v>312</v>
      </c>
      <c r="E145" t="s">
        <v>39</v>
      </c>
      <c r="F145" t="s">
        <v>890</v>
      </c>
      <c r="G145">
        <v>112188.45837979169</v>
      </c>
      <c r="H145">
        <v>0</v>
      </c>
      <c r="I145">
        <v>0</v>
      </c>
      <c r="J145">
        <v>0</v>
      </c>
      <c r="K145">
        <v>0</v>
      </c>
      <c r="L145">
        <v>5337.4858333333332</v>
      </c>
      <c r="M145">
        <v>0</v>
      </c>
      <c r="N145">
        <v>-437.82499999999999</v>
      </c>
      <c r="O145">
        <v>-307.23845833333331</v>
      </c>
      <c r="P145">
        <v>116780.88075479169</v>
      </c>
    </row>
    <row r="146" spans="1:16" hidden="1">
      <c r="A146">
        <v>3386</v>
      </c>
      <c r="B146">
        <v>103470</v>
      </c>
      <c r="C146" t="s">
        <v>313</v>
      </c>
      <c r="D146" t="s">
        <v>314</v>
      </c>
      <c r="E146" t="s">
        <v>39</v>
      </c>
      <c r="F146" t="s">
        <v>890</v>
      </c>
      <c r="G146">
        <v>119416.06418803988</v>
      </c>
      <c r="H146">
        <v>0</v>
      </c>
      <c r="I146">
        <v>0</v>
      </c>
      <c r="J146">
        <v>0</v>
      </c>
      <c r="K146">
        <v>0</v>
      </c>
      <c r="L146">
        <v>7223.4858333333332</v>
      </c>
      <c r="M146">
        <v>0</v>
      </c>
      <c r="N146">
        <v>-427.45</v>
      </c>
      <c r="O146">
        <v>-357.71334999999999</v>
      </c>
      <c r="P146">
        <v>125854.38667137321</v>
      </c>
    </row>
    <row r="147" spans="1:16" hidden="1">
      <c r="A147">
        <v>3363</v>
      </c>
      <c r="B147">
        <v>103455</v>
      </c>
      <c r="C147" t="s">
        <v>315</v>
      </c>
      <c r="D147" t="s">
        <v>316</v>
      </c>
      <c r="E147" t="s">
        <v>39</v>
      </c>
      <c r="F147" t="s">
        <v>890</v>
      </c>
      <c r="G147">
        <v>129376.71434660257</v>
      </c>
      <c r="H147">
        <v>0</v>
      </c>
      <c r="I147">
        <v>0</v>
      </c>
      <c r="J147">
        <v>0</v>
      </c>
      <c r="K147">
        <v>0</v>
      </c>
      <c r="L147">
        <v>2720.2083333333335</v>
      </c>
      <c r="M147">
        <v>0</v>
      </c>
      <c r="N147">
        <v>-547.79999999999995</v>
      </c>
      <c r="O147">
        <v>-806.82420000000002</v>
      </c>
      <c r="P147">
        <v>130742.29847993591</v>
      </c>
    </row>
    <row r="148" spans="1:16" hidden="1">
      <c r="A148">
        <v>3355</v>
      </c>
      <c r="B148">
        <v>103447</v>
      </c>
      <c r="C148" t="s">
        <v>317</v>
      </c>
      <c r="D148" t="s">
        <v>318</v>
      </c>
      <c r="E148" t="s">
        <v>39</v>
      </c>
      <c r="F148" t="s">
        <v>890</v>
      </c>
      <c r="G148">
        <v>178553.49659753955</v>
      </c>
      <c r="H148">
        <v>0</v>
      </c>
      <c r="I148">
        <v>0</v>
      </c>
      <c r="J148">
        <v>0</v>
      </c>
      <c r="K148">
        <v>0</v>
      </c>
      <c r="L148">
        <v>4535.4508333333333</v>
      </c>
      <c r="M148">
        <v>0</v>
      </c>
      <c r="N148">
        <v>-765.67500000000007</v>
      </c>
      <c r="O148">
        <v>-758.79894999999999</v>
      </c>
      <c r="P148">
        <v>181564.4734808729</v>
      </c>
    </row>
    <row r="149" spans="1:16" hidden="1">
      <c r="A149">
        <v>3367</v>
      </c>
      <c r="B149">
        <v>103458</v>
      </c>
      <c r="C149" t="s">
        <v>319</v>
      </c>
      <c r="D149" t="s">
        <v>320</v>
      </c>
      <c r="E149" t="s">
        <v>39</v>
      </c>
      <c r="F149" t="s">
        <v>890</v>
      </c>
      <c r="G149">
        <v>111077.9090921243</v>
      </c>
      <c r="H149">
        <v>0</v>
      </c>
      <c r="I149">
        <v>0</v>
      </c>
      <c r="J149">
        <v>0</v>
      </c>
      <c r="K149">
        <v>0</v>
      </c>
      <c r="L149">
        <v>1107.5</v>
      </c>
      <c r="M149">
        <v>0</v>
      </c>
      <c r="N149">
        <v>-433.67499999999995</v>
      </c>
      <c r="O149">
        <v>-333.57318333333336</v>
      </c>
      <c r="P149">
        <v>111418.16090879097</v>
      </c>
    </row>
    <row r="150" spans="1:16" hidden="1">
      <c r="A150">
        <v>3010</v>
      </c>
      <c r="B150">
        <v>103401</v>
      </c>
      <c r="C150" t="s">
        <v>321</v>
      </c>
      <c r="D150" t="s">
        <v>322</v>
      </c>
      <c r="E150" t="s">
        <v>39</v>
      </c>
      <c r="F150" t="s">
        <v>890</v>
      </c>
      <c r="G150">
        <v>225159.4631466459</v>
      </c>
      <c r="H150">
        <v>0</v>
      </c>
      <c r="I150">
        <v>0</v>
      </c>
      <c r="J150">
        <v>0</v>
      </c>
      <c r="K150">
        <v>0</v>
      </c>
      <c r="L150">
        <v>8788.625</v>
      </c>
      <c r="M150">
        <v>0</v>
      </c>
      <c r="N150">
        <v>-852.82499999999993</v>
      </c>
      <c r="O150">
        <v>-1162.2110500000001</v>
      </c>
      <c r="P150">
        <v>231933.05209664587</v>
      </c>
    </row>
    <row r="151" spans="1:16" hidden="1">
      <c r="A151">
        <v>4625</v>
      </c>
      <c r="B151">
        <v>103534</v>
      </c>
      <c r="C151" t="s">
        <v>323</v>
      </c>
      <c r="D151" t="s">
        <v>324</v>
      </c>
      <c r="E151" t="s">
        <v>71</v>
      </c>
      <c r="F151" t="s">
        <v>890</v>
      </c>
      <c r="G151">
        <v>442813.08331378945</v>
      </c>
      <c r="H151">
        <v>0</v>
      </c>
      <c r="I151">
        <v>0</v>
      </c>
      <c r="J151">
        <v>0</v>
      </c>
      <c r="K151">
        <v>0</v>
      </c>
      <c r="L151">
        <v>10123.014166666666</v>
      </c>
      <c r="M151">
        <v>0</v>
      </c>
      <c r="N151">
        <v>-966.875</v>
      </c>
      <c r="O151">
        <v>-1440.7574999999999</v>
      </c>
      <c r="P151">
        <v>450528.4649804561</v>
      </c>
    </row>
    <row r="152" spans="1:16" hidden="1">
      <c r="A152">
        <v>3377</v>
      </c>
      <c r="B152">
        <v>103463</v>
      </c>
      <c r="C152" t="s">
        <v>325</v>
      </c>
      <c r="D152" t="s">
        <v>326</v>
      </c>
      <c r="E152" t="s">
        <v>39</v>
      </c>
      <c r="F152" t="s">
        <v>890</v>
      </c>
      <c r="G152">
        <v>108060.95201264246</v>
      </c>
      <c r="H152">
        <v>0</v>
      </c>
      <c r="I152">
        <v>0</v>
      </c>
      <c r="J152">
        <v>0</v>
      </c>
      <c r="K152">
        <v>0</v>
      </c>
      <c r="L152">
        <v>2976.5275000000001</v>
      </c>
      <c r="M152">
        <v>0</v>
      </c>
      <c r="N152">
        <v>-390.09999999999997</v>
      </c>
      <c r="O152">
        <v>-357.71334999999999</v>
      </c>
      <c r="P152">
        <v>110289.66616264245</v>
      </c>
    </row>
    <row r="153" spans="1:16" hidden="1">
      <c r="A153">
        <v>3361</v>
      </c>
      <c r="B153">
        <v>103453</v>
      </c>
      <c r="C153" t="s">
        <v>331</v>
      </c>
      <c r="D153" t="s">
        <v>332</v>
      </c>
      <c r="E153" t="s">
        <v>39</v>
      </c>
      <c r="F153" t="s">
        <v>890</v>
      </c>
      <c r="G153">
        <v>173465.74797849843</v>
      </c>
      <c r="H153">
        <v>0</v>
      </c>
      <c r="I153">
        <v>0</v>
      </c>
      <c r="J153">
        <v>0</v>
      </c>
      <c r="K153">
        <v>0</v>
      </c>
      <c r="L153">
        <v>3437.1666666666665</v>
      </c>
      <c r="M153">
        <v>0</v>
      </c>
      <c r="N153">
        <v>-695.125</v>
      </c>
      <c r="O153">
        <v>-739.58884999999998</v>
      </c>
      <c r="P153">
        <v>175468.20079516509</v>
      </c>
    </row>
    <row r="154" spans="1:16" hidden="1">
      <c r="A154">
        <v>3382</v>
      </c>
      <c r="B154">
        <v>103467</v>
      </c>
      <c r="C154" t="s">
        <v>333</v>
      </c>
      <c r="D154" t="s">
        <v>334</v>
      </c>
      <c r="E154" t="s">
        <v>39</v>
      </c>
      <c r="F154" t="s">
        <v>890</v>
      </c>
      <c r="G154">
        <v>105147.17402878923</v>
      </c>
      <c r="H154">
        <v>0</v>
      </c>
      <c r="I154">
        <v>0</v>
      </c>
      <c r="J154">
        <v>0</v>
      </c>
      <c r="K154">
        <v>0</v>
      </c>
      <c r="L154">
        <v>7794.9025000000001</v>
      </c>
      <c r="M154">
        <v>0</v>
      </c>
      <c r="N154">
        <v>-419.14999999999992</v>
      </c>
      <c r="O154">
        <v>-348.93510833333335</v>
      </c>
      <c r="P154">
        <v>112173.9914204559</v>
      </c>
    </row>
    <row r="155" spans="1:16" hidden="1">
      <c r="A155">
        <v>3344</v>
      </c>
      <c r="B155">
        <v>103438</v>
      </c>
      <c r="C155" t="s">
        <v>335</v>
      </c>
      <c r="D155" t="s">
        <v>336</v>
      </c>
      <c r="E155" t="s">
        <v>39</v>
      </c>
      <c r="F155" t="s">
        <v>890</v>
      </c>
      <c r="G155">
        <v>189425.43011715994</v>
      </c>
      <c r="H155">
        <v>0</v>
      </c>
      <c r="I155">
        <v>0</v>
      </c>
      <c r="J155">
        <v>0</v>
      </c>
      <c r="K155">
        <v>0</v>
      </c>
      <c r="L155">
        <v>8989.0833333333339</v>
      </c>
      <c r="M155">
        <v>0</v>
      </c>
      <c r="N155">
        <v>-869.42499999999984</v>
      </c>
      <c r="O155">
        <v>-850.04692499999999</v>
      </c>
      <c r="P155">
        <v>196695.04152549329</v>
      </c>
    </row>
    <row r="156" spans="1:16" hidden="1">
      <c r="A156">
        <v>3025</v>
      </c>
      <c r="B156">
        <v>103410</v>
      </c>
      <c r="C156" t="s">
        <v>337</v>
      </c>
      <c r="D156" t="s">
        <v>338</v>
      </c>
      <c r="E156" t="s">
        <v>39</v>
      </c>
      <c r="F156" t="s">
        <v>890</v>
      </c>
      <c r="G156">
        <v>194146.14531842901</v>
      </c>
      <c r="H156">
        <v>0</v>
      </c>
      <c r="I156">
        <v>0</v>
      </c>
      <c r="J156">
        <v>0</v>
      </c>
      <c r="K156">
        <v>0</v>
      </c>
      <c r="L156">
        <v>11827.221666666666</v>
      </c>
      <c r="M156">
        <v>0</v>
      </c>
      <c r="N156">
        <v>-850.75</v>
      </c>
      <c r="O156">
        <v>-710.77370000000008</v>
      </c>
      <c r="P156">
        <v>204411.8432850957</v>
      </c>
    </row>
    <row r="157" spans="1:16" hidden="1">
      <c r="A157">
        <v>3016</v>
      </c>
      <c r="B157">
        <v>103404</v>
      </c>
      <c r="C157" t="s">
        <v>339</v>
      </c>
      <c r="D157" t="s">
        <v>340</v>
      </c>
      <c r="E157" t="s">
        <v>39</v>
      </c>
      <c r="F157" t="s">
        <v>890</v>
      </c>
      <c r="G157">
        <v>116951.03627396078</v>
      </c>
      <c r="H157">
        <v>0</v>
      </c>
      <c r="I157">
        <v>0</v>
      </c>
      <c r="J157">
        <v>0</v>
      </c>
      <c r="K157">
        <v>0</v>
      </c>
      <c r="L157">
        <v>10209.416666666666</v>
      </c>
      <c r="M157">
        <v>0</v>
      </c>
      <c r="N157">
        <v>-398.39999999999992</v>
      </c>
      <c r="O157">
        <v>-1382.5730666666666</v>
      </c>
      <c r="P157">
        <v>125379.47987396079</v>
      </c>
    </row>
    <row r="158" spans="1:16" hidden="1">
      <c r="A158">
        <v>3346</v>
      </c>
      <c r="B158">
        <v>103439</v>
      </c>
      <c r="C158" t="s">
        <v>341</v>
      </c>
      <c r="D158" t="s">
        <v>342</v>
      </c>
      <c r="E158" t="s">
        <v>39</v>
      </c>
      <c r="F158" t="s">
        <v>890</v>
      </c>
      <c r="G158">
        <v>174749.95624975138</v>
      </c>
      <c r="H158">
        <v>0</v>
      </c>
      <c r="I158">
        <v>0</v>
      </c>
      <c r="J158">
        <v>0</v>
      </c>
      <c r="K158">
        <v>0</v>
      </c>
      <c r="L158">
        <v>7981.6316666666671</v>
      </c>
      <c r="M158">
        <v>0</v>
      </c>
      <c r="N158">
        <v>-622.5</v>
      </c>
      <c r="O158">
        <v>-305.04390000000001</v>
      </c>
      <c r="P158">
        <v>181804.04401641805</v>
      </c>
    </row>
    <row r="159" spans="1:16" hidden="1">
      <c r="A159">
        <v>4606</v>
      </c>
      <c r="B159">
        <v>103531</v>
      </c>
      <c r="C159" t="s">
        <v>343</v>
      </c>
      <c r="D159" t="s">
        <v>344</v>
      </c>
      <c r="E159" t="s">
        <v>71</v>
      </c>
      <c r="F159" t="s">
        <v>890</v>
      </c>
      <c r="G159">
        <v>533305.49230066012</v>
      </c>
      <c r="H159">
        <v>0</v>
      </c>
      <c r="I159">
        <v>0</v>
      </c>
      <c r="J159">
        <v>0</v>
      </c>
      <c r="K159">
        <v>106607.83333333333</v>
      </c>
      <c r="L159">
        <v>7900.2775000000001</v>
      </c>
      <c r="M159">
        <v>0</v>
      </c>
      <c r="N159">
        <v>-1366.625</v>
      </c>
      <c r="O159">
        <v>-2665.4013749999999</v>
      </c>
      <c r="P159">
        <v>643781.57675899344</v>
      </c>
    </row>
    <row r="160" spans="1:16" hidden="1">
      <c r="A160">
        <v>3428</v>
      </c>
      <c r="B160">
        <v>134476</v>
      </c>
      <c r="C160" t="s">
        <v>345</v>
      </c>
      <c r="D160" t="s">
        <v>346</v>
      </c>
      <c r="E160" t="s">
        <v>39</v>
      </c>
      <c r="F160" t="s">
        <v>890</v>
      </c>
      <c r="G160">
        <v>188755.31232168365</v>
      </c>
      <c r="H160">
        <v>0</v>
      </c>
      <c r="I160">
        <v>0</v>
      </c>
      <c r="J160">
        <v>0</v>
      </c>
      <c r="K160">
        <v>0</v>
      </c>
      <c r="L160">
        <v>10533.653333333334</v>
      </c>
      <c r="M160">
        <v>0</v>
      </c>
      <c r="N160">
        <v>-850.75</v>
      </c>
      <c r="O160">
        <v>-1788.5667416666665</v>
      </c>
      <c r="P160">
        <v>196649.64891335031</v>
      </c>
    </row>
    <row r="161" spans="1:16" hidden="1">
      <c r="A161">
        <v>3019</v>
      </c>
      <c r="B161">
        <v>103406</v>
      </c>
      <c r="C161" t="s">
        <v>347</v>
      </c>
      <c r="D161" t="s">
        <v>348</v>
      </c>
      <c r="E161" t="s">
        <v>39</v>
      </c>
      <c r="F161" t="s">
        <v>890</v>
      </c>
      <c r="G161">
        <v>221965.00550144934</v>
      </c>
      <c r="H161">
        <v>0</v>
      </c>
      <c r="I161">
        <v>0</v>
      </c>
      <c r="J161">
        <v>0</v>
      </c>
      <c r="K161">
        <v>0</v>
      </c>
      <c r="L161">
        <v>15270.666666666666</v>
      </c>
      <c r="M161">
        <v>0</v>
      </c>
      <c r="N161">
        <v>-838.29999999999984</v>
      </c>
      <c r="O161">
        <v>-696.36612500000001</v>
      </c>
      <c r="P161">
        <v>235701.00604311601</v>
      </c>
    </row>
    <row r="162" spans="1:16" hidden="1">
      <c r="A162">
        <v>1009</v>
      </c>
      <c r="B162">
        <v>103124</v>
      </c>
      <c r="C162" t="s">
        <v>349</v>
      </c>
      <c r="D162" t="s">
        <v>350</v>
      </c>
      <c r="E162" t="s">
        <v>36</v>
      </c>
      <c r="F162" t="s">
        <v>890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479.6875</v>
      </c>
      <c r="M162">
        <v>0</v>
      </c>
      <c r="N162">
        <v>0</v>
      </c>
      <c r="O162">
        <v>0</v>
      </c>
      <c r="P162">
        <v>479.6875</v>
      </c>
    </row>
    <row r="163" spans="1:16" hidden="1">
      <c r="A163">
        <v>2178</v>
      </c>
      <c r="B163">
        <v>103257</v>
      </c>
      <c r="C163" t="s">
        <v>351</v>
      </c>
      <c r="D163" t="s">
        <v>352</v>
      </c>
      <c r="E163" t="s">
        <v>39</v>
      </c>
      <c r="F163" t="s">
        <v>890</v>
      </c>
      <c r="G163">
        <v>113402.68370507831</v>
      </c>
      <c r="H163">
        <v>0</v>
      </c>
      <c r="I163">
        <v>0</v>
      </c>
      <c r="J163">
        <v>0</v>
      </c>
      <c r="K163">
        <v>0</v>
      </c>
      <c r="L163">
        <v>1107.5</v>
      </c>
      <c r="M163">
        <v>0</v>
      </c>
      <c r="N163">
        <v>-421.22499999999997</v>
      </c>
      <c r="O163">
        <v>-1799.5395416666668</v>
      </c>
      <c r="P163">
        <v>112289.41916341163</v>
      </c>
    </row>
    <row r="164" spans="1:16" hidden="1">
      <c r="A164">
        <v>2184</v>
      </c>
      <c r="B164">
        <v>103262</v>
      </c>
      <c r="C164" t="s">
        <v>353</v>
      </c>
      <c r="D164" t="s">
        <v>354</v>
      </c>
      <c r="E164" t="s">
        <v>39</v>
      </c>
      <c r="F164" t="s">
        <v>890</v>
      </c>
      <c r="G164">
        <v>217349.77078243424</v>
      </c>
      <c r="H164">
        <v>0</v>
      </c>
      <c r="I164">
        <v>0</v>
      </c>
      <c r="J164">
        <v>0</v>
      </c>
      <c r="K164">
        <v>0</v>
      </c>
      <c r="L164">
        <v>4840.1808333333329</v>
      </c>
      <c r="M164">
        <v>0</v>
      </c>
      <c r="N164">
        <v>-873.57499999999993</v>
      </c>
      <c r="O164">
        <v>-3673.9316249999997</v>
      </c>
      <c r="P164">
        <v>217642.44499076757</v>
      </c>
    </row>
    <row r="165" spans="1:16" hidden="1">
      <c r="A165">
        <v>2190</v>
      </c>
      <c r="B165">
        <v>103266</v>
      </c>
      <c r="C165" t="s">
        <v>355</v>
      </c>
      <c r="D165" t="s">
        <v>356</v>
      </c>
      <c r="E165" t="s">
        <v>39</v>
      </c>
      <c r="F165" t="s">
        <v>890</v>
      </c>
      <c r="G165">
        <v>84065.267036412799</v>
      </c>
      <c r="H165">
        <v>0</v>
      </c>
      <c r="I165">
        <v>0</v>
      </c>
      <c r="J165">
        <v>0</v>
      </c>
      <c r="K165">
        <v>0</v>
      </c>
      <c r="L165">
        <v>1384.3333333333333</v>
      </c>
      <c r="M165">
        <v>0</v>
      </c>
      <c r="N165">
        <v>-300.875</v>
      </c>
      <c r="O165">
        <v>-2150.6692083333332</v>
      </c>
      <c r="P165">
        <v>82998.056161412795</v>
      </c>
    </row>
    <row r="166" spans="1:16" hidden="1">
      <c r="A166">
        <v>7035</v>
      </c>
      <c r="B166">
        <v>103615</v>
      </c>
      <c r="C166" t="s">
        <v>357</v>
      </c>
      <c r="D166" t="s">
        <v>358</v>
      </c>
      <c r="E166" t="s">
        <v>56</v>
      </c>
      <c r="F166" t="s">
        <v>890</v>
      </c>
      <c r="G166">
        <v>0</v>
      </c>
      <c r="H166">
        <v>123055.55583333333</v>
      </c>
      <c r="I166">
        <v>0</v>
      </c>
      <c r="J166">
        <v>0</v>
      </c>
      <c r="K166">
        <v>0</v>
      </c>
      <c r="L166">
        <v>184992.27</v>
      </c>
      <c r="M166">
        <v>0</v>
      </c>
      <c r="N166">
        <v>0</v>
      </c>
      <c r="O166">
        <v>0</v>
      </c>
      <c r="P166">
        <v>308047.82583333331</v>
      </c>
    </row>
    <row r="167" spans="1:16" hidden="1">
      <c r="A167">
        <v>7045</v>
      </c>
      <c r="B167">
        <v>103622</v>
      </c>
      <c r="C167" t="s">
        <v>359</v>
      </c>
      <c r="D167" t="s">
        <v>360</v>
      </c>
      <c r="E167" t="s">
        <v>56</v>
      </c>
      <c r="F167" t="s">
        <v>890</v>
      </c>
      <c r="G167">
        <v>0</v>
      </c>
      <c r="H167">
        <v>225000</v>
      </c>
      <c r="I167">
        <v>0</v>
      </c>
      <c r="J167">
        <v>0</v>
      </c>
      <c r="K167">
        <v>0</v>
      </c>
      <c r="L167">
        <v>358364.67333333334</v>
      </c>
      <c r="M167">
        <v>0</v>
      </c>
      <c r="N167">
        <v>0</v>
      </c>
      <c r="O167">
        <v>0</v>
      </c>
      <c r="P167">
        <v>583364.67333333334</v>
      </c>
    </row>
    <row r="168" spans="1:16" hidden="1">
      <c r="A168">
        <v>2192</v>
      </c>
      <c r="B168">
        <v>103268</v>
      </c>
      <c r="C168" t="s">
        <v>361</v>
      </c>
      <c r="D168" t="s">
        <v>362</v>
      </c>
      <c r="E168" t="s">
        <v>39</v>
      </c>
      <c r="F168" t="s">
        <v>890</v>
      </c>
      <c r="G168">
        <v>254363.43714535798</v>
      </c>
      <c r="H168">
        <v>0</v>
      </c>
      <c r="I168">
        <v>0</v>
      </c>
      <c r="J168">
        <v>0</v>
      </c>
      <c r="K168">
        <v>0</v>
      </c>
      <c r="L168">
        <v>1435.5558333333331</v>
      </c>
      <c r="M168">
        <v>0</v>
      </c>
      <c r="N168">
        <v>-996</v>
      </c>
      <c r="O168">
        <v>-3818.0073749999997</v>
      </c>
      <c r="P168">
        <v>250984.98560369134</v>
      </c>
    </row>
    <row r="169" spans="1:16" hidden="1">
      <c r="A169">
        <v>7014</v>
      </c>
      <c r="B169">
        <v>103605</v>
      </c>
      <c r="C169" t="s">
        <v>363</v>
      </c>
      <c r="D169" t="s">
        <v>364</v>
      </c>
      <c r="E169" t="s">
        <v>56</v>
      </c>
      <c r="F169" t="s">
        <v>890</v>
      </c>
      <c r="G169">
        <v>0</v>
      </c>
      <c r="H169">
        <v>203194.44499999998</v>
      </c>
      <c r="I169">
        <v>0</v>
      </c>
      <c r="J169">
        <v>43333.333333333336</v>
      </c>
      <c r="K169">
        <v>0</v>
      </c>
      <c r="L169">
        <v>458357.4891666667</v>
      </c>
      <c r="M169">
        <v>0</v>
      </c>
      <c r="N169">
        <v>0</v>
      </c>
      <c r="O169">
        <v>0</v>
      </c>
      <c r="P169">
        <v>704885.26750000007</v>
      </c>
    </row>
    <row r="170" spans="1:16" hidden="1">
      <c r="A170">
        <v>7009</v>
      </c>
      <c r="B170">
        <v>103601</v>
      </c>
      <c r="C170" t="s">
        <v>365</v>
      </c>
      <c r="D170" t="s">
        <v>366</v>
      </c>
      <c r="E170" t="s">
        <v>56</v>
      </c>
      <c r="F170" t="s">
        <v>890</v>
      </c>
      <c r="G170">
        <v>0</v>
      </c>
      <c r="H170">
        <v>154722.2225</v>
      </c>
      <c r="I170">
        <v>0</v>
      </c>
      <c r="J170">
        <v>39166.666666666664</v>
      </c>
      <c r="K170">
        <v>0</v>
      </c>
      <c r="L170">
        <v>368368.0633333333</v>
      </c>
      <c r="M170">
        <v>0</v>
      </c>
      <c r="N170">
        <v>0</v>
      </c>
      <c r="O170">
        <v>0</v>
      </c>
      <c r="P170">
        <v>562256.9524999999</v>
      </c>
    </row>
    <row r="171" spans="1:16" hidden="1">
      <c r="A171">
        <v>5203</v>
      </c>
      <c r="B171">
        <v>103544</v>
      </c>
      <c r="C171" t="s">
        <v>367</v>
      </c>
      <c r="D171" t="s">
        <v>368</v>
      </c>
      <c r="E171" t="s">
        <v>39</v>
      </c>
      <c r="F171" t="s">
        <v>890</v>
      </c>
      <c r="G171">
        <v>118856.49679224454</v>
      </c>
      <c r="H171">
        <v>0</v>
      </c>
      <c r="I171">
        <v>0</v>
      </c>
      <c r="J171">
        <v>0</v>
      </c>
      <c r="K171">
        <v>0</v>
      </c>
      <c r="L171">
        <v>3783.9583333333335</v>
      </c>
      <c r="M171">
        <v>0</v>
      </c>
      <c r="N171">
        <v>-554.02499999999998</v>
      </c>
      <c r="O171">
        <v>-494.66007500000001</v>
      </c>
      <c r="P171">
        <v>121591.77005057786</v>
      </c>
    </row>
    <row r="172" spans="1:16" hidden="1">
      <c r="A172">
        <v>5202</v>
      </c>
      <c r="B172">
        <v>103543</v>
      </c>
      <c r="C172" t="s">
        <v>369</v>
      </c>
      <c r="D172" t="s">
        <v>370</v>
      </c>
      <c r="E172" t="s">
        <v>39</v>
      </c>
      <c r="F172" t="s">
        <v>890</v>
      </c>
      <c r="G172">
        <v>155031.98909488405</v>
      </c>
      <c r="H172">
        <v>0</v>
      </c>
      <c r="I172">
        <v>0</v>
      </c>
      <c r="J172">
        <v>0</v>
      </c>
      <c r="K172">
        <v>0</v>
      </c>
      <c r="L172">
        <v>6460.416666666667</v>
      </c>
      <c r="M172">
        <v>0</v>
      </c>
      <c r="N172">
        <v>-747</v>
      </c>
      <c r="O172">
        <v>-370.60980000000001</v>
      </c>
      <c r="P172">
        <v>160374.7959615507</v>
      </c>
    </row>
    <row r="173" spans="1:16" hidden="1">
      <c r="A173">
        <v>2108</v>
      </c>
      <c r="B173">
        <v>103217</v>
      </c>
      <c r="C173" t="s">
        <v>371</v>
      </c>
      <c r="D173" t="s">
        <v>372</v>
      </c>
      <c r="E173" t="s">
        <v>39</v>
      </c>
      <c r="F173" t="s">
        <v>890</v>
      </c>
      <c r="G173">
        <v>419383.31546561775</v>
      </c>
      <c r="H173">
        <v>0</v>
      </c>
      <c r="I173">
        <v>8166.666666666667</v>
      </c>
      <c r="J173">
        <v>0</v>
      </c>
      <c r="K173">
        <v>0</v>
      </c>
      <c r="L173">
        <v>0</v>
      </c>
      <c r="M173">
        <v>26691.309999999998</v>
      </c>
      <c r="N173">
        <v>-1718.0999999999997</v>
      </c>
      <c r="O173">
        <v>-1680.88375</v>
      </c>
      <c r="P173">
        <v>450842.30838228448</v>
      </c>
    </row>
    <row r="174" spans="1:16" hidden="1">
      <c r="A174">
        <v>1019</v>
      </c>
      <c r="B174">
        <v>103132</v>
      </c>
      <c r="C174" t="s">
        <v>373</v>
      </c>
      <c r="D174" t="s">
        <v>374</v>
      </c>
      <c r="E174" t="s">
        <v>36</v>
      </c>
      <c r="F174" t="s">
        <v>890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-1607.5</v>
      </c>
      <c r="M174">
        <v>0</v>
      </c>
      <c r="N174">
        <v>0</v>
      </c>
      <c r="O174">
        <v>0</v>
      </c>
      <c r="P174">
        <v>-1607.5</v>
      </c>
    </row>
    <row r="175" spans="1:16" hidden="1">
      <c r="A175">
        <v>2306</v>
      </c>
      <c r="B175">
        <v>103326</v>
      </c>
      <c r="C175" t="s">
        <v>375</v>
      </c>
      <c r="D175" t="s">
        <v>376</v>
      </c>
      <c r="E175" t="s">
        <v>39</v>
      </c>
      <c r="F175" t="s">
        <v>890</v>
      </c>
      <c r="G175">
        <v>113120.38733174258</v>
      </c>
      <c r="H175">
        <v>0</v>
      </c>
      <c r="I175">
        <v>0</v>
      </c>
      <c r="J175">
        <v>0</v>
      </c>
      <c r="K175">
        <v>0</v>
      </c>
      <c r="L175">
        <v>1107.5</v>
      </c>
      <c r="M175">
        <v>0</v>
      </c>
      <c r="N175">
        <v>-435.75</v>
      </c>
      <c r="O175">
        <v>-1678.8387166666669</v>
      </c>
      <c r="P175">
        <v>112113.29861507591</v>
      </c>
    </row>
    <row r="176" spans="1:16" hidden="1">
      <c r="A176">
        <v>2308</v>
      </c>
      <c r="B176">
        <v>103328</v>
      </c>
      <c r="C176" t="s">
        <v>377</v>
      </c>
      <c r="D176" t="s">
        <v>378</v>
      </c>
      <c r="E176" t="s">
        <v>39</v>
      </c>
      <c r="F176" t="s">
        <v>890</v>
      </c>
      <c r="G176">
        <v>206651.72660800896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11075</v>
      </c>
      <c r="N176">
        <v>-763.59999999999991</v>
      </c>
      <c r="O176">
        <v>-2929.54025</v>
      </c>
      <c r="P176">
        <v>214033.58635800896</v>
      </c>
    </row>
    <row r="177" spans="1:16" hidden="1">
      <c r="A177">
        <v>2245</v>
      </c>
      <c r="B177">
        <v>103295</v>
      </c>
      <c r="C177" t="s">
        <v>379</v>
      </c>
      <c r="D177" t="s">
        <v>380</v>
      </c>
      <c r="E177" t="s">
        <v>39</v>
      </c>
      <c r="F177" t="s">
        <v>890</v>
      </c>
      <c r="G177">
        <v>120556.381732187</v>
      </c>
      <c r="H177">
        <v>0</v>
      </c>
      <c r="I177">
        <v>6666.666666666667</v>
      </c>
      <c r="J177">
        <v>0</v>
      </c>
      <c r="K177">
        <v>0</v>
      </c>
      <c r="L177">
        <v>0</v>
      </c>
      <c r="M177">
        <v>13138.566666666666</v>
      </c>
      <c r="N177">
        <v>-396.32499999999999</v>
      </c>
      <c r="O177">
        <v>-2073.8595916666668</v>
      </c>
      <c r="P177">
        <v>137891.43047385366</v>
      </c>
    </row>
    <row r="178" spans="1:16" hidden="1">
      <c r="A178">
        <v>1020</v>
      </c>
      <c r="B178">
        <v>103133</v>
      </c>
      <c r="C178" t="s">
        <v>381</v>
      </c>
      <c r="D178" t="s">
        <v>382</v>
      </c>
      <c r="E178" t="s">
        <v>36</v>
      </c>
      <c r="F178" t="s">
        <v>890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-13082.083333333334</v>
      </c>
      <c r="M178">
        <v>0</v>
      </c>
      <c r="N178">
        <v>0</v>
      </c>
      <c r="O178">
        <v>0</v>
      </c>
      <c r="P178">
        <v>-13082.083333333334</v>
      </c>
    </row>
    <row r="179" spans="1:16" hidden="1">
      <c r="A179">
        <v>1014</v>
      </c>
      <c r="B179">
        <v>103127</v>
      </c>
      <c r="C179" t="s">
        <v>383</v>
      </c>
      <c r="D179" t="s">
        <v>384</v>
      </c>
      <c r="E179" t="s">
        <v>36</v>
      </c>
      <c r="F179" t="s">
        <v>890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-3302.5</v>
      </c>
      <c r="M179">
        <v>0</v>
      </c>
      <c r="N179">
        <v>0</v>
      </c>
      <c r="O179">
        <v>0</v>
      </c>
      <c r="P179">
        <v>-3302.5</v>
      </c>
    </row>
    <row r="180" spans="1:16" hidden="1">
      <c r="A180">
        <v>2019</v>
      </c>
      <c r="B180">
        <v>134279</v>
      </c>
      <c r="C180" t="s">
        <v>385</v>
      </c>
      <c r="D180" t="s">
        <v>386</v>
      </c>
      <c r="E180" t="s">
        <v>39</v>
      </c>
      <c r="F180" t="s">
        <v>890</v>
      </c>
      <c r="G180">
        <v>212652.92011216676</v>
      </c>
      <c r="H180">
        <v>0</v>
      </c>
      <c r="I180">
        <v>0</v>
      </c>
      <c r="J180">
        <v>0</v>
      </c>
      <c r="K180">
        <v>0</v>
      </c>
      <c r="L180">
        <v>19104.375</v>
      </c>
      <c r="M180">
        <v>0</v>
      </c>
      <c r="N180">
        <v>-846.59999999999991</v>
      </c>
      <c r="O180">
        <v>-7011.6864999999998</v>
      </c>
      <c r="P180">
        <v>223899.00861216674</v>
      </c>
    </row>
    <row r="181" spans="1:16" hidden="1">
      <c r="A181">
        <v>2011</v>
      </c>
      <c r="B181">
        <v>134099</v>
      </c>
      <c r="C181" t="s">
        <v>387</v>
      </c>
      <c r="D181" t="s">
        <v>388</v>
      </c>
      <c r="E181" t="s">
        <v>39</v>
      </c>
      <c r="F181" t="s">
        <v>890</v>
      </c>
      <c r="G181">
        <v>307170.29087604565</v>
      </c>
      <c r="H181">
        <v>0</v>
      </c>
      <c r="I181">
        <v>0</v>
      </c>
      <c r="J181">
        <v>0</v>
      </c>
      <c r="K181">
        <v>0</v>
      </c>
      <c r="L181">
        <v>15597.291666666666</v>
      </c>
      <c r="M181">
        <v>0</v>
      </c>
      <c r="N181">
        <v>-1278.2</v>
      </c>
      <c r="O181">
        <v>-8740.5954999999994</v>
      </c>
      <c r="P181">
        <v>312748.78704271233</v>
      </c>
    </row>
    <row r="182" spans="1:16" hidden="1">
      <c r="A182">
        <v>4193</v>
      </c>
      <c r="B182">
        <v>103501</v>
      </c>
      <c r="C182" t="s">
        <v>389</v>
      </c>
      <c r="D182" t="s">
        <v>390</v>
      </c>
      <c r="E182" t="s">
        <v>71</v>
      </c>
      <c r="F182" t="s">
        <v>890</v>
      </c>
      <c r="G182">
        <v>458272.65347731067</v>
      </c>
      <c r="H182">
        <v>0</v>
      </c>
      <c r="I182">
        <v>0</v>
      </c>
      <c r="J182">
        <v>0</v>
      </c>
      <c r="K182">
        <v>0</v>
      </c>
      <c r="L182">
        <v>14305.208333333334</v>
      </c>
      <c r="M182">
        <v>0</v>
      </c>
      <c r="N182">
        <v>-1095.25</v>
      </c>
      <c r="O182">
        <v>-11478.034749999999</v>
      </c>
      <c r="P182">
        <v>460004.57706064399</v>
      </c>
    </row>
    <row r="183" spans="1:16" hidden="1">
      <c r="A183">
        <v>2478</v>
      </c>
      <c r="B183">
        <v>132007</v>
      </c>
      <c r="C183" t="s">
        <v>391</v>
      </c>
      <c r="D183" t="s">
        <v>392</v>
      </c>
      <c r="E183" t="s">
        <v>39</v>
      </c>
      <c r="F183" t="s">
        <v>890</v>
      </c>
      <c r="G183">
        <v>182434.79275000002</v>
      </c>
      <c r="H183">
        <v>0</v>
      </c>
      <c r="I183">
        <v>0</v>
      </c>
      <c r="J183">
        <v>0</v>
      </c>
      <c r="K183">
        <v>0</v>
      </c>
      <c r="L183">
        <v>2215</v>
      </c>
      <c r="M183">
        <v>0</v>
      </c>
      <c r="N183">
        <v>-871.5</v>
      </c>
      <c r="O183">
        <v>-3409.7927500000001</v>
      </c>
      <c r="P183">
        <v>180368.50000000003</v>
      </c>
    </row>
    <row r="184" spans="1:16" hidden="1">
      <c r="A184">
        <v>2293</v>
      </c>
      <c r="B184">
        <v>103317</v>
      </c>
      <c r="C184" t="s">
        <v>393</v>
      </c>
      <c r="D184" t="s">
        <v>394</v>
      </c>
      <c r="E184" t="s">
        <v>39</v>
      </c>
      <c r="F184" t="s">
        <v>890</v>
      </c>
      <c r="G184">
        <v>289514.92330399971</v>
      </c>
      <c r="H184">
        <v>0</v>
      </c>
      <c r="I184">
        <v>0</v>
      </c>
      <c r="J184">
        <v>0</v>
      </c>
      <c r="K184">
        <v>0</v>
      </c>
      <c r="L184">
        <v>9321.4583333333339</v>
      </c>
      <c r="M184">
        <v>0</v>
      </c>
      <c r="N184">
        <v>-1170.3</v>
      </c>
      <c r="O184">
        <v>-792.41662499999995</v>
      </c>
      <c r="P184">
        <v>296873.66501233302</v>
      </c>
    </row>
    <row r="185" spans="1:16" hidden="1">
      <c r="A185">
        <v>2445</v>
      </c>
      <c r="B185">
        <v>103372</v>
      </c>
      <c r="C185" t="s">
        <v>395</v>
      </c>
      <c r="D185" t="s">
        <v>396</v>
      </c>
      <c r="E185" t="s">
        <v>39</v>
      </c>
      <c r="F185" t="s">
        <v>890</v>
      </c>
      <c r="G185">
        <v>117257.0474454428</v>
      </c>
      <c r="H185">
        <v>0</v>
      </c>
      <c r="I185">
        <v>0</v>
      </c>
      <c r="J185">
        <v>0</v>
      </c>
      <c r="K185">
        <v>0</v>
      </c>
      <c r="L185">
        <v>7106.458333333333</v>
      </c>
      <c r="M185">
        <v>0</v>
      </c>
      <c r="N185">
        <v>-412.92499999999995</v>
      </c>
      <c r="O185">
        <v>-1558.1378999999999</v>
      </c>
      <c r="P185">
        <v>122392.44287877613</v>
      </c>
    </row>
    <row r="186" spans="1:16" hidden="1">
      <c r="A186">
        <v>2278</v>
      </c>
      <c r="B186">
        <v>103310</v>
      </c>
      <c r="C186" t="s">
        <v>397</v>
      </c>
      <c r="D186" t="s">
        <v>398</v>
      </c>
      <c r="E186" t="s">
        <v>39</v>
      </c>
      <c r="F186" t="s">
        <v>890</v>
      </c>
      <c r="G186">
        <v>217222.87058243601</v>
      </c>
      <c r="H186">
        <v>0</v>
      </c>
      <c r="I186">
        <v>0</v>
      </c>
      <c r="J186">
        <v>0</v>
      </c>
      <c r="K186">
        <v>0</v>
      </c>
      <c r="L186">
        <v>14212.916666666666</v>
      </c>
      <c r="M186">
        <v>0</v>
      </c>
      <c r="N186">
        <v>-832.07499999999993</v>
      </c>
      <c r="O186">
        <v>-2953.5528749999999</v>
      </c>
      <c r="P186">
        <v>227650.15937410266</v>
      </c>
    </row>
    <row r="187" spans="1:16" hidden="1">
      <c r="A187">
        <v>2317</v>
      </c>
      <c r="B187">
        <v>103337</v>
      </c>
      <c r="C187" t="s">
        <v>399</v>
      </c>
      <c r="D187" t="s">
        <v>400</v>
      </c>
      <c r="E187" t="s">
        <v>39</v>
      </c>
      <c r="F187" t="s">
        <v>890</v>
      </c>
      <c r="G187">
        <v>124747.35455788918</v>
      </c>
      <c r="H187">
        <v>0</v>
      </c>
      <c r="I187">
        <v>2166.6666666666665</v>
      </c>
      <c r="J187">
        <v>0</v>
      </c>
      <c r="K187">
        <v>0</v>
      </c>
      <c r="L187">
        <v>0</v>
      </c>
      <c r="M187">
        <v>14783.211666666668</v>
      </c>
      <c r="N187">
        <v>-479.32499999999999</v>
      </c>
      <c r="O187">
        <v>-1353.0762333333334</v>
      </c>
      <c r="P187">
        <v>139864.83165788918</v>
      </c>
    </row>
    <row r="188" spans="1:16" hidden="1">
      <c r="A188">
        <v>2225</v>
      </c>
      <c r="B188">
        <v>103279</v>
      </c>
      <c r="C188" t="s">
        <v>401</v>
      </c>
      <c r="D188" t="s">
        <v>402</v>
      </c>
      <c r="E188" t="s">
        <v>39</v>
      </c>
      <c r="F188" t="s">
        <v>890</v>
      </c>
      <c r="G188">
        <v>191237.19001787424</v>
      </c>
      <c r="H188">
        <v>0</v>
      </c>
      <c r="I188">
        <v>5000</v>
      </c>
      <c r="J188">
        <v>0</v>
      </c>
      <c r="K188">
        <v>0</v>
      </c>
      <c r="L188">
        <v>0</v>
      </c>
      <c r="M188">
        <v>15469.394999999999</v>
      </c>
      <c r="N188">
        <v>-747</v>
      </c>
      <c r="O188">
        <v>-1793.6137916666667</v>
      </c>
      <c r="P188">
        <v>209165.97122620756</v>
      </c>
    </row>
    <row r="189" spans="1:16" hidden="1">
      <c r="A189">
        <v>2412</v>
      </c>
      <c r="B189">
        <v>103349</v>
      </c>
      <c r="C189" t="s">
        <v>403</v>
      </c>
      <c r="D189" t="s">
        <v>404</v>
      </c>
      <c r="E189" t="s">
        <v>39</v>
      </c>
      <c r="F189" t="s">
        <v>890</v>
      </c>
      <c r="G189">
        <v>197668.29446579961</v>
      </c>
      <c r="H189">
        <v>0</v>
      </c>
      <c r="I189">
        <v>0</v>
      </c>
      <c r="J189">
        <v>0</v>
      </c>
      <c r="K189">
        <v>0</v>
      </c>
      <c r="L189">
        <v>8675.4166666666661</v>
      </c>
      <c r="M189">
        <v>0</v>
      </c>
      <c r="N189">
        <v>-875.65</v>
      </c>
      <c r="O189">
        <v>-3625.906375</v>
      </c>
      <c r="P189">
        <v>201842.15475746628</v>
      </c>
    </row>
    <row r="190" spans="1:16" hidden="1">
      <c r="A190">
        <v>3421</v>
      </c>
      <c r="B190">
        <v>133996</v>
      </c>
      <c r="C190" t="s">
        <v>405</v>
      </c>
      <c r="D190" t="s">
        <v>406</v>
      </c>
      <c r="E190" t="s">
        <v>39</v>
      </c>
      <c r="F190" t="s">
        <v>890</v>
      </c>
      <c r="G190">
        <v>387549.47687947401</v>
      </c>
      <c r="H190">
        <v>0</v>
      </c>
      <c r="I190">
        <v>0</v>
      </c>
      <c r="J190">
        <v>0</v>
      </c>
      <c r="K190">
        <v>0</v>
      </c>
      <c r="L190">
        <v>13105.416666666666</v>
      </c>
      <c r="M190">
        <v>0</v>
      </c>
      <c r="N190">
        <v>-1703.5749999999998</v>
      </c>
      <c r="O190">
        <v>-4010.1083749999998</v>
      </c>
      <c r="P190">
        <v>394941.21017114067</v>
      </c>
    </row>
    <row r="191" spans="1:16" hidden="1">
      <c r="A191">
        <v>2227</v>
      </c>
      <c r="B191">
        <v>103281</v>
      </c>
      <c r="C191" t="s">
        <v>407</v>
      </c>
      <c r="D191" t="s">
        <v>408</v>
      </c>
      <c r="E191" t="s">
        <v>39</v>
      </c>
      <c r="F191" t="s">
        <v>890</v>
      </c>
      <c r="G191">
        <v>217083.58279544019</v>
      </c>
      <c r="H191">
        <v>0</v>
      </c>
      <c r="I191">
        <v>0</v>
      </c>
      <c r="J191">
        <v>0</v>
      </c>
      <c r="K191">
        <v>0</v>
      </c>
      <c r="L191">
        <v>10428.958333333334</v>
      </c>
      <c r="M191">
        <v>0</v>
      </c>
      <c r="N191">
        <v>-800.94999999999993</v>
      </c>
      <c r="O191">
        <v>-2813.6692166666667</v>
      </c>
      <c r="P191">
        <v>223897.92191210686</v>
      </c>
    </row>
    <row r="192" spans="1:16" hidden="1">
      <c r="A192">
        <v>3371</v>
      </c>
      <c r="B192">
        <v>103459</v>
      </c>
      <c r="C192" t="s">
        <v>327</v>
      </c>
      <c r="D192" t="s">
        <v>328</v>
      </c>
      <c r="E192" t="s">
        <v>39</v>
      </c>
      <c r="F192" t="s">
        <v>889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</row>
    <row r="193" spans="1:16" hidden="1">
      <c r="A193">
        <v>3307</v>
      </c>
      <c r="B193">
        <v>103416</v>
      </c>
      <c r="C193" t="s">
        <v>329</v>
      </c>
      <c r="D193" t="s">
        <v>330</v>
      </c>
      <c r="E193" t="s">
        <v>39</v>
      </c>
      <c r="F193" t="s">
        <v>889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</row>
    <row r="194" spans="1:16" hidden="1">
      <c r="A194">
        <v>2231</v>
      </c>
      <c r="B194">
        <v>103284</v>
      </c>
      <c r="C194" t="s">
        <v>409</v>
      </c>
      <c r="D194" t="s">
        <v>410</v>
      </c>
      <c r="E194" t="s">
        <v>39</v>
      </c>
      <c r="F194" t="s">
        <v>889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</row>
    <row r="195" spans="1:16" hidden="1"/>
  </sheetData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ED282-2F67-46F3-B3A6-C122B4992373}">
  <sheetPr codeName="Sheet4"/>
  <dimension ref="A1:HM198"/>
  <sheetViews>
    <sheetView zoomScale="80" zoomScaleNormal="80" workbookViewId="0">
      <pane xSplit="6" ySplit="7" topLeftCell="BG11" activePane="bottomRight" state="frozen"/>
      <selection pane="topRight" activeCell="G1" sqref="G1"/>
      <selection pane="bottomLeft" activeCell="A8" sqref="A8"/>
      <selection pane="bottomRight" activeCell="E6" sqref="E6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2.28515625" style="272" customWidth="1"/>
    <col min="8" max="8" width="17.28515625" customWidth="1"/>
    <col min="9" max="10" width="15.28515625" customWidth="1"/>
    <col min="11" max="11" width="17.28515625" customWidth="1"/>
    <col min="12" max="12" width="9.140625" customWidth="1"/>
    <col min="13" max="14" width="16" style="267" customWidth="1"/>
    <col min="15" max="15" width="14.28515625" style="267" customWidth="1"/>
    <col min="16" max="22" width="23.5703125" style="267" customWidth="1"/>
    <col min="23" max="23" width="15.5703125" style="267" customWidth="1"/>
    <col min="24" max="24" width="13.5703125" style="267" customWidth="1"/>
    <col min="25" max="26" width="16" style="267" customWidth="1"/>
    <col min="27" max="27" width="24.42578125" style="267" customWidth="1"/>
    <col min="28" max="28" width="22.28515625" style="267" customWidth="1"/>
    <col min="29" max="30" width="16" style="288" customWidth="1"/>
    <col min="31" max="31" width="14.28515625" style="288" customWidth="1"/>
    <col min="32" max="38" width="23.5703125" style="288" customWidth="1"/>
    <col min="39" max="39" width="15.5703125" style="288" customWidth="1"/>
    <col min="40" max="40" width="12.140625" style="288" customWidth="1"/>
    <col min="41" max="42" width="16" style="288" customWidth="1"/>
    <col min="43" max="43" width="24.42578125" style="288" customWidth="1"/>
    <col min="44" max="44" width="22.28515625" style="288" customWidth="1"/>
    <col min="45" max="46" width="16" style="281" customWidth="1"/>
    <col min="47" max="47" width="14.28515625" style="281" customWidth="1"/>
    <col min="48" max="54" width="23.5703125" style="281" customWidth="1"/>
    <col min="55" max="55" width="15.5703125" style="281" customWidth="1"/>
    <col min="56" max="56" width="12.140625" style="281" customWidth="1"/>
    <col min="57" max="58" width="16" style="281" customWidth="1"/>
    <col min="59" max="59" width="24.42578125" style="281" customWidth="1"/>
    <col min="60" max="60" width="22.28515625" style="281" customWidth="1"/>
    <col min="61" max="62" width="16" style="302" customWidth="1"/>
    <col min="63" max="63" width="14.28515625" style="302" customWidth="1"/>
    <col min="64" max="70" width="23.5703125" style="302" customWidth="1"/>
    <col min="71" max="71" width="15.5703125" style="302" customWidth="1"/>
    <col min="72" max="72" width="12.140625" style="302" customWidth="1"/>
    <col min="73" max="74" width="16" style="302" customWidth="1"/>
    <col min="75" max="75" width="24.42578125" style="302" customWidth="1"/>
    <col min="76" max="76" width="22.28515625" style="302" customWidth="1"/>
    <col min="77" max="78" width="16" style="295" customWidth="1"/>
    <col min="79" max="79" width="14.28515625" style="295" customWidth="1"/>
    <col min="80" max="86" width="23.5703125" style="295" customWidth="1"/>
    <col min="87" max="87" width="15.5703125" style="295" customWidth="1"/>
    <col min="88" max="88" width="12.140625" style="295" customWidth="1"/>
    <col min="89" max="90" width="16" style="295" customWidth="1"/>
    <col min="91" max="91" width="24.42578125" style="295" customWidth="1"/>
    <col min="92" max="92" width="22.28515625" style="295" customWidth="1"/>
    <col min="93" max="94" width="16" style="328" customWidth="1"/>
    <col min="95" max="95" width="14.28515625" style="328" customWidth="1"/>
    <col min="96" max="102" width="23.5703125" style="328" customWidth="1"/>
    <col min="103" max="103" width="15.5703125" style="328" customWidth="1"/>
    <col min="104" max="104" width="12.140625" style="328" customWidth="1"/>
    <col min="105" max="105" width="16" style="328" customWidth="1"/>
    <col min="106" max="107" width="24.42578125" style="328" customWidth="1"/>
    <col min="108" max="108" width="22.28515625" style="328" customWidth="1"/>
    <col min="109" max="110" width="16" style="309" customWidth="1"/>
    <col min="111" max="111" width="14.28515625" style="309" bestFit="1" customWidth="1"/>
    <col min="112" max="118" width="23.5703125" style="309" customWidth="1"/>
    <col min="119" max="119" width="15.5703125" style="309" customWidth="1"/>
    <col min="120" max="120" width="12.140625" style="309" customWidth="1"/>
    <col min="121" max="121" width="16" style="309" customWidth="1"/>
    <col min="122" max="123" width="24.42578125" style="309" customWidth="1"/>
    <col min="124" max="124" width="22.28515625" style="309" customWidth="1"/>
    <col min="125" max="126" width="16" style="302" customWidth="1"/>
    <col min="127" max="127" width="14.28515625" style="302" bestFit="1" customWidth="1"/>
    <col min="128" max="134" width="23.5703125" style="302" customWidth="1"/>
    <col min="135" max="135" width="15.5703125" style="302" customWidth="1"/>
    <col min="136" max="136" width="12.140625" style="302" customWidth="1"/>
    <col min="137" max="137" width="16" style="302" customWidth="1"/>
    <col min="138" max="139" width="24.42578125" style="302" customWidth="1"/>
    <col min="140" max="140" width="22.28515625" style="302" customWidth="1"/>
    <col min="141" max="142" width="16" style="316" customWidth="1"/>
    <col min="143" max="143" width="14.28515625" style="316" bestFit="1" customWidth="1"/>
    <col min="144" max="150" width="23.5703125" style="316" customWidth="1"/>
    <col min="151" max="151" width="15.5703125" style="316" customWidth="1"/>
    <col min="152" max="152" width="12.140625" style="316" customWidth="1"/>
    <col min="153" max="153" width="16" style="316" customWidth="1"/>
    <col min="154" max="155" width="24.42578125" style="316" customWidth="1"/>
    <col min="156" max="156" width="22.28515625" style="316" customWidth="1"/>
    <col min="157" max="158" width="16" style="281" customWidth="1"/>
    <col min="159" max="159" width="14.28515625" style="281" bestFit="1" customWidth="1"/>
    <col min="160" max="166" width="23.5703125" style="281" customWidth="1"/>
    <col min="167" max="167" width="15.5703125" style="281" customWidth="1"/>
    <col min="168" max="168" width="12.140625" style="281" customWidth="1"/>
    <col min="169" max="169" width="16" style="281" customWidth="1"/>
    <col min="170" max="171" width="24.42578125" style="281" customWidth="1"/>
    <col min="172" max="172" width="22.28515625" style="281" customWidth="1"/>
    <col min="173" max="174" width="16" style="288" customWidth="1"/>
    <col min="175" max="175" width="14.28515625" style="288" bestFit="1" customWidth="1"/>
    <col min="176" max="182" width="23.5703125" style="288" customWidth="1"/>
    <col min="183" max="183" width="15.5703125" style="288" customWidth="1"/>
    <col min="184" max="184" width="12.140625" style="288" customWidth="1"/>
    <col min="185" max="185" width="16" style="288" customWidth="1"/>
    <col min="186" max="187" width="24.42578125" style="288" customWidth="1"/>
    <col min="188" max="188" width="22.28515625" style="288" customWidth="1"/>
    <col min="189" max="190" width="16" style="295" customWidth="1"/>
    <col min="191" max="191" width="14.28515625" style="295" bestFit="1" customWidth="1"/>
    <col min="192" max="198" width="23.5703125" style="295" customWidth="1"/>
    <col min="199" max="199" width="15.5703125" style="295" customWidth="1"/>
    <col min="200" max="200" width="12.140625" style="295" customWidth="1"/>
    <col min="201" max="201" width="16" style="295" customWidth="1"/>
    <col min="202" max="203" width="24.42578125" style="295" customWidth="1"/>
    <col min="204" max="204" width="22.28515625" style="295" customWidth="1"/>
    <col min="206" max="206" width="14.5703125" bestFit="1" customWidth="1"/>
    <col min="207" max="208" width="14.28515625" bestFit="1" customWidth="1"/>
    <col min="209" max="211" width="13.85546875" bestFit="1" customWidth="1"/>
    <col min="213" max="213" width="14.85546875" bestFit="1" customWidth="1"/>
    <col min="214" max="214" width="12.42578125" bestFit="1" customWidth="1"/>
    <col min="215" max="215" width="13.5703125" bestFit="1" customWidth="1"/>
    <col min="216" max="216" width="12.28515625" bestFit="1" customWidth="1"/>
    <col min="217" max="218" width="13.85546875" bestFit="1" customWidth="1"/>
    <col min="220" max="220" width="12.42578125" bestFit="1" customWidth="1"/>
    <col min="221" max="221" width="23.5703125" bestFit="1" customWidth="1"/>
  </cols>
  <sheetData>
    <row r="1" spans="1:221">
      <c r="A1" s="1" t="s">
        <v>898</v>
      </c>
      <c r="B1" s="1"/>
      <c r="G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2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  <c r="CH2">
        <v>86</v>
      </c>
      <c r="CI2">
        <v>87</v>
      </c>
      <c r="CJ2">
        <v>88</v>
      </c>
      <c r="CK2">
        <v>89</v>
      </c>
      <c r="CL2">
        <v>90</v>
      </c>
      <c r="CM2">
        <v>91</v>
      </c>
      <c r="CN2">
        <v>92</v>
      </c>
      <c r="CO2">
        <v>93</v>
      </c>
      <c r="CP2">
        <v>94</v>
      </c>
      <c r="CQ2">
        <v>95</v>
      </c>
      <c r="CR2">
        <v>96</v>
      </c>
      <c r="CS2">
        <v>97</v>
      </c>
      <c r="CT2">
        <v>98</v>
      </c>
      <c r="CU2">
        <v>99</v>
      </c>
      <c r="CV2">
        <v>100</v>
      </c>
      <c r="CW2">
        <v>101</v>
      </c>
      <c r="CX2">
        <v>102</v>
      </c>
      <c r="CY2">
        <v>103</v>
      </c>
      <c r="CZ2">
        <v>104</v>
      </c>
      <c r="DA2">
        <v>105</v>
      </c>
      <c r="DB2">
        <v>106</v>
      </c>
      <c r="DC2">
        <v>107</v>
      </c>
      <c r="DD2">
        <v>108</v>
      </c>
      <c r="DE2">
        <v>109</v>
      </c>
      <c r="DF2">
        <v>110</v>
      </c>
      <c r="DG2">
        <v>111</v>
      </c>
      <c r="DH2">
        <v>112</v>
      </c>
      <c r="DI2">
        <v>113</v>
      </c>
      <c r="DJ2">
        <v>114</v>
      </c>
      <c r="DK2">
        <v>115</v>
      </c>
      <c r="DL2">
        <v>116</v>
      </c>
      <c r="DM2">
        <v>117</v>
      </c>
      <c r="DN2">
        <v>118</v>
      </c>
      <c r="DO2">
        <v>119</v>
      </c>
      <c r="DP2">
        <v>120</v>
      </c>
      <c r="DQ2">
        <v>121</v>
      </c>
      <c r="DR2">
        <v>122</v>
      </c>
      <c r="DS2">
        <v>123</v>
      </c>
      <c r="DT2">
        <v>124</v>
      </c>
      <c r="DU2">
        <v>125</v>
      </c>
      <c r="DV2">
        <v>126</v>
      </c>
      <c r="DW2">
        <v>127</v>
      </c>
      <c r="DX2">
        <v>128</v>
      </c>
      <c r="DY2">
        <v>129</v>
      </c>
      <c r="DZ2">
        <v>130</v>
      </c>
      <c r="EA2">
        <v>131</v>
      </c>
      <c r="EB2">
        <v>132</v>
      </c>
      <c r="EC2">
        <v>133</v>
      </c>
      <c r="ED2">
        <v>134</v>
      </c>
      <c r="EE2">
        <v>135</v>
      </c>
      <c r="EF2">
        <v>136</v>
      </c>
      <c r="EG2">
        <v>137</v>
      </c>
      <c r="EH2">
        <v>138</v>
      </c>
      <c r="EI2">
        <v>139</v>
      </c>
      <c r="EJ2">
        <v>140</v>
      </c>
      <c r="EK2">
        <v>141</v>
      </c>
      <c r="EL2">
        <v>142</v>
      </c>
      <c r="EM2">
        <v>143</v>
      </c>
      <c r="EN2">
        <v>144</v>
      </c>
      <c r="EO2">
        <v>145</v>
      </c>
      <c r="EP2">
        <v>146</v>
      </c>
      <c r="EQ2">
        <v>147</v>
      </c>
      <c r="ER2">
        <v>148</v>
      </c>
      <c r="ES2">
        <v>149</v>
      </c>
      <c r="ET2">
        <v>150</v>
      </c>
      <c r="EU2">
        <v>151</v>
      </c>
      <c r="EV2">
        <v>152</v>
      </c>
      <c r="EW2">
        <v>153</v>
      </c>
      <c r="EX2">
        <v>154</v>
      </c>
      <c r="EY2">
        <v>155</v>
      </c>
      <c r="EZ2">
        <v>156</v>
      </c>
      <c r="FA2">
        <v>157</v>
      </c>
      <c r="FB2">
        <v>158</v>
      </c>
      <c r="FC2">
        <v>159</v>
      </c>
      <c r="FD2">
        <v>160</v>
      </c>
      <c r="FE2">
        <v>161</v>
      </c>
      <c r="FF2">
        <v>162</v>
      </c>
      <c r="FG2">
        <v>163</v>
      </c>
      <c r="FH2">
        <v>164</v>
      </c>
      <c r="FI2">
        <v>165</v>
      </c>
      <c r="FJ2">
        <v>166</v>
      </c>
      <c r="FK2">
        <v>167</v>
      </c>
      <c r="FL2">
        <v>168</v>
      </c>
      <c r="FM2">
        <v>169</v>
      </c>
      <c r="FN2">
        <v>170</v>
      </c>
      <c r="FO2">
        <v>171</v>
      </c>
      <c r="FP2">
        <v>172</v>
      </c>
      <c r="FQ2">
        <v>173</v>
      </c>
      <c r="FR2">
        <v>174</v>
      </c>
      <c r="FS2">
        <v>175</v>
      </c>
      <c r="FT2">
        <v>176</v>
      </c>
      <c r="FU2">
        <v>177</v>
      </c>
      <c r="FV2">
        <v>178</v>
      </c>
      <c r="FW2">
        <v>179</v>
      </c>
      <c r="FX2">
        <v>180</v>
      </c>
      <c r="FY2">
        <v>181</v>
      </c>
      <c r="FZ2">
        <v>182</v>
      </c>
      <c r="GA2">
        <v>183</v>
      </c>
      <c r="GB2">
        <v>184</v>
      </c>
      <c r="GC2">
        <v>185</v>
      </c>
      <c r="GD2">
        <v>186</v>
      </c>
      <c r="GE2">
        <v>187</v>
      </c>
      <c r="GF2">
        <v>188</v>
      </c>
      <c r="GG2">
        <v>189</v>
      </c>
      <c r="GH2">
        <v>190</v>
      </c>
      <c r="GI2">
        <v>191</v>
      </c>
      <c r="GJ2">
        <v>192</v>
      </c>
      <c r="GK2">
        <v>193</v>
      </c>
      <c r="GL2">
        <v>194</v>
      </c>
      <c r="GM2">
        <v>195</v>
      </c>
      <c r="GN2">
        <v>196</v>
      </c>
      <c r="GO2">
        <v>197</v>
      </c>
      <c r="GP2">
        <v>198</v>
      </c>
      <c r="GQ2">
        <v>199</v>
      </c>
      <c r="GR2">
        <v>200</v>
      </c>
      <c r="GS2">
        <v>201</v>
      </c>
      <c r="GT2">
        <v>202</v>
      </c>
      <c r="GU2">
        <v>203</v>
      </c>
      <c r="GV2">
        <v>204</v>
      </c>
      <c r="GW2">
        <v>205</v>
      </c>
      <c r="GX2">
        <v>206</v>
      </c>
      <c r="GY2">
        <v>207</v>
      </c>
      <c r="GZ2">
        <v>208</v>
      </c>
      <c r="HA2">
        <v>209</v>
      </c>
      <c r="HB2">
        <v>210</v>
      </c>
      <c r="HC2">
        <v>211</v>
      </c>
      <c r="HD2">
        <v>212</v>
      </c>
      <c r="HE2">
        <v>213</v>
      </c>
      <c r="HF2">
        <v>214</v>
      </c>
      <c r="HG2">
        <v>215</v>
      </c>
      <c r="HH2">
        <v>216</v>
      </c>
      <c r="HI2">
        <v>217</v>
      </c>
      <c r="HJ2">
        <v>218</v>
      </c>
    </row>
    <row r="3" spans="1:221">
      <c r="D3" s="66"/>
    </row>
    <row r="4" spans="1:221">
      <c r="A4" s="350" t="s">
        <v>899</v>
      </c>
      <c r="B4" s="350"/>
      <c r="C4" s="350"/>
      <c r="D4" s="66"/>
      <c r="M4" s="267" t="s">
        <v>15</v>
      </c>
      <c r="N4" s="267" t="s">
        <v>15</v>
      </c>
      <c r="O4" s="267" t="s">
        <v>15</v>
      </c>
      <c r="P4" s="267" t="s">
        <v>15</v>
      </c>
      <c r="Q4" s="267" t="s">
        <v>15</v>
      </c>
      <c r="R4" s="267" t="s">
        <v>15</v>
      </c>
      <c r="S4" s="267" t="s">
        <v>15</v>
      </c>
      <c r="T4" s="267" t="s">
        <v>15</v>
      </c>
      <c r="U4" s="267" t="s">
        <v>15</v>
      </c>
      <c r="V4" s="267" t="s">
        <v>15</v>
      </c>
      <c r="W4" s="267" t="s">
        <v>15</v>
      </c>
      <c r="X4" s="267" t="s">
        <v>15</v>
      </c>
      <c r="Y4" s="267" t="s">
        <v>15</v>
      </c>
      <c r="Z4" s="267" t="s">
        <v>15</v>
      </c>
      <c r="AA4" s="267" t="s">
        <v>15</v>
      </c>
      <c r="AB4" s="267" t="s">
        <v>15</v>
      </c>
      <c r="AC4" s="288" t="s">
        <v>15</v>
      </c>
      <c r="AD4" s="288" t="s">
        <v>15</v>
      </c>
      <c r="AE4" s="288" t="s">
        <v>15</v>
      </c>
      <c r="AF4" s="288" t="s">
        <v>15</v>
      </c>
      <c r="AG4" s="288" t="s">
        <v>15</v>
      </c>
      <c r="AH4" s="288" t="s">
        <v>15</v>
      </c>
      <c r="AI4" s="288" t="s">
        <v>15</v>
      </c>
      <c r="AJ4" s="288" t="s">
        <v>15</v>
      </c>
      <c r="AK4" s="288" t="s">
        <v>15</v>
      </c>
      <c r="AL4" s="288" t="s">
        <v>15</v>
      </c>
      <c r="AM4" s="288" t="s">
        <v>15</v>
      </c>
      <c r="AN4" s="288" t="s">
        <v>15</v>
      </c>
      <c r="AO4" s="288" t="s">
        <v>15</v>
      </c>
      <c r="AP4" s="288" t="s">
        <v>15</v>
      </c>
      <c r="AQ4" s="288" t="s">
        <v>15</v>
      </c>
      <c r="AR4" s="288" t="s">
        <v>15</v>
      </c>
      <c r="AS4" s="281" t="s">
        <v>15</v>
      </c>
      <c r="AT4" s="281" t="s">
        <v>15</v>
      </c>
      <c r="AU4" s="281" t="s">
        <v>15</v>
      </c>
      <c r="AV4" s="281" t="s">
        <v>15</v>
      </c>
      <c r="AW4" s="281" t="s">
        <v>15</v>
      </c>
      <c r="AX4" s="281" t="s">
        <v>15</v>
      </c>
      <c r="AY4" s="281" t="s">
        <v>15</v>
      </c>
      <c r="AZ4" s="281" t="s">
        <v>15</v>
      </c>
      <c r="BA4" s="281" t="s">
        <v>15</v>
      </c>
      <c r="BB4" s="281" t="s">
        <v>15</v>
      </c>
      <c r="BC4" s="281" t="s">
        <v>15</v>
      </c>
      <c r="BD4" s="281" t="s">
        <v>15</v>
      </c>
      <c r="BE4" s="281" t="s">
        <v>15</v>
      </c>
      <c r="BF4" s="281" t="s">
        <v>15</v>
      </c>
      <c r="BG4" s="281" t="s">
        <v>15</v>
      </c>
      <c r="BH4" s="281" t="s">
        <v>15</v>
      </c>
      <c r="BI4" s="302" t="s">
        <v>459</v>
      </c>
      <c r="BJ4" s="302" t="s">
        <v>459</v>
      </c>
      <c r="BK4" s="302" t="s">
        <v>459</v>
      </c>
      <c r="BL4" s="302" t="s">
        <v>459</v>
      </c>
      <c r="BM4" s="302" t="s">
        <v>459</v>
      </c>
      <c r="BN4" s="302" t="s">
        <v>459</v>
      </c>
      <c r="BO4" s="302" t="s">
        <v>459</v>
      </c>
      <c r="BP4" s="302" t="s">
        <v>459</v>
      </c>
      <c r="BQ4" s="302" t="s">
        <v>459</v>
      </c>
      <c r="BR4" s="302" t="s">
        <v>459</v>
      </c>
      <c r="BS4" s="302" t="s">
        <v>459</v>
      </c>
      <c r="BT4" s="302" t="s">
        <v>459</v>
      </c>
      <c r="BU4" s="302" t="s">
        <v>459</v>
      </c>
      <c r="BV4" s="302" t="s">
        <v>459</v>
      </c>
      <c r="BW4" s="302" t="s">
        <v>459</v>
      </c>
      <c r="BX4" s="302" t="s">
        <v>459</v>
      </c>
      <c r="BY4" s="295" t="s">
        <v>459</v>
      </c>
      <c r="BZ4" s="295" t="s">
        <v>459</v>
      </c>
      <c r="CA4" s="295" t="s">
        <v>459</v>
      </c>
      <c r="CB4" s="295" t="s">
        <v>459</v>
      </c>
      <c r="CC4" s="295" t="s">
        <v>459</v>
      </c>
      <c r="CD4" s="295" t="s">
        <v>459</v>
      </c>
      <c r="CE4" s="295" t="s">
        <v>459</v>
      </c>
      <c r="CF4" s="295" t="s">
        <v>459</v>
      </c>
      <c r="CG4" s="295" t="s">
        <v>459</v>
      </c>
      <c r="CH4" s="295" t="s">
        <v>459</v>
      </c>
      <c r="CI4" s="295" t="s">
        <v>459</v>
      </c>
      <c r="CJ4" s="295" t="s">
        <v>459</v>
      </c>
      <c r="CK4" s="295" t="s">
        <v>459</v>
      </c>
      <c r="CL4" s="295" t="s">
        <v>459</v>
      </c>
      <c r="CM4" s="295" t="s">
        <v>459</v>
      </c>
      <c r="CN4" s="295" t="s">
        <v>459</v>
      </c>
      <c r="CO4" s="328" t="s">
        <v>459</v>
      </c>
      <c r="CP4" s="328" t="s">
        <v>459</v>
      </c>
      <c r="CQ4" s="328" t="s">
        <v>459</v>
      </c>
      <c r="CR4" s="328" t="s">
        <v>459</v>
      </c>
      <c r="CS4" s="328" t="s">
        <v>459</v>
      </c>
      <c r="CT4" s="328" t="s">
        <v>459</v>
      </c>
      <c r="CU4" s="328" t="s">
        <v>459</v>
      </c>
      <c r="CV4" s="328" t="s">
        <v>459</v>
      </c>
      <c r="CW4" s="328" t="s">
        <v>459</v>
      </c>
      <c r="CX4" s="328" t="s">
        <v>459</v>
      </c>
      <c r="CY4" s="328" t="s">
        <v>459</v>
      </c>
      <c r="CZ4" s="328" t="s">
        <v>459</v>
      </c>
      <c r="DA4" s="328" t="s">
        <v>459</v>
      </c>
      <c r="DB4" s="328" t="s">
        <v>459</v>
      </c>
      <c r="DC4" s="328" t="s">
        <v>459</v>
      </c>
      <c r="DD4" s="328" t="s">
        <v>459</v>
      </c>
      <c r="DE4" s="309" t="s">
        <v>459</v>
      </c>
      <c r="DF4" s="309" t="s">
        <v>459</v>
      </c>
      <c r="DG4" s="309" t="s">
        <v>459</v>
      </c>
      <c r="DH4" s="309" t="s">
        <v>459</v>
      </c>
      <c r="DI4" s="309" t="s">
        <v>459</v>
      </c>
      <c r="DJ4" s="309" t="s">
        <v>459</v>
      </c>
      <c r="DK4" s="309" t="s">
        <v>459</v>
      </c>
      <c r="DL4" s="309" t="s">
        <v>459</v>
      </c>
      <c r="DM4" s="309" t="s">
        <v>459</v>
      </c>
      <c r="DN4" s="309" t="s">
        <v>459</v>
      </c>
      <c r="DO4" s="309" t="s">
        <v>459</v>
      </c>
      <c r="DP4" s="309" t="s">
        <v>459</v>
      </c>
      <c r="DQ4" s="309" t="s">
        <v>459</v>
      </c>
      <c r="DR4" s="309" t="s">
        <v>459</v>
      </c>
      <c r="DS4" s="309" t="s">
        <v>459</v>
      </c>
      <c r="DT4" s="309" t="s">
        <v>459</v>
      </c>
      <c r="DU4" s="302" t="s">
        <v>459</v>
      </c>
      <c r="DV4" s="302" t="s">
        <v>459</v>
      </c>
      <c r="DW4" s="302" t="s">
        <v>459</v>
      </c>
      <c r="DX4" s="302" t="s">
        <v>459</v>
      </c>
      <c r="DY4" s="302" t="s">
        <v>459</v>
      </c>
      <c r="DZ4" s="302" t="s">
        <v>459</v>
      </c>
      <c r="EA4" s="302" t="s">
        <v>459</v>
      </c>
      <c r="EB4" s="302" t="s">
        <v>459</v>
      </c>
      <c r="EC4" s="302" t="s">
        <v>459</v>
      </c>
      <c r="ED4" s="302" t="s">
        <v>459</v>
      </c>
      <c r="EE4" s="302" t="s">
        <v>459</v>
      </c>
      <c r="EF4" s="302" t="s">
        <v>459</v>
      </c>
      <c r="EG4" s="302" t="s">
        <v>459</v>
      </c>
      <c r="EH4" s="302" t="s">
        <v>459</v>
      </c>
      <c r="EI4" s="302" t="s">
        <v>459</v>
      </c>
      <c r="EJ4" s="302" t="s">
        <v>459</v>
      </c>
      <c r="EK4" s="316" t="s">
        <v>459</v>
      </c>
      <c r="EL4" s="316" t="s">
        <v>459</v>
      </c>
      <c r="EM4" s="316" t="s">
        <v>459</v>
      </c>
      <c r="EN4" s="316" t="s">
        <v>459</v>
      </c>
      <c r="EO4" s="316" t="s">
        <v>459</v>
      </c>
      <c r="EP4" s="316" t="s">
        <v>459</v>
      </c>
      <c r="EQ4" s="316" t="s">
        <v>459</v>
      </c>
      <c r="ER4" s="316" t="s">
        <v>459</v>
      </c>
      <c r="ES4" s="316" t="s">
        <v>459</v>
      </c>
      <c r="ET4" s="316" t="s">
        <v>459</v>
      </c>
      <c r="EU4" s="316" t="s">
        <v>459</v>
      </c>
      <c r="EV4" s="316" t="s">
        <v>459</v>
      </c>
      <c r="EW4" s="316" t="s">
        <v>459</v>
      </c>
      <c r="EX4" s="316" t="s">
        <v>459</v>
      </c>
      <c r="EY4" s="316" t="s">
        <v>459</v>
      </c>
      <c r="EZ4" s="316" t="s">
        <v>459</v>
      </c>
      <c r="FA4" s="281" t="s">
        <v>459</v>
      </c>
      <c r="FB4" s="281" t="s">
        <v>459</v>
      </c>
      <c r="FC4" s="281" t="s">
        <v>459</v>
      </c>
      <c r="FD4" s="281" t="s">
        <v>459</v>
      </c>
      <c r="FE4" s="281" t="s">
        <v>459</v>
      </c>
      <c r="FF4" s="281" t="s">
        <v>459</v>
      </c>
      <c r="FG4" s="281" t="s">
        <v>459</v>
      </c>
      <c r="FH4" s="281" t="s">
        <v>459</v>
      </c>
      <c r="FI4" s="281" t="s">
        <v>459</v>
      </c>
      <c r="FJ4" s="281" t="s">
        <v>459</v>
      </c>
      <c r="FK4" s="281" t="s">
        <v>459</v>
      </c>
      <c r="FL4" s="281" t="s">
        <v>459</v>
      </c>
      <c r="FM4" s="281" t="s">
        <v>459</v>
      </c>
      <c r="FN4" s="281" t="s">
        <v>459</v>
      </c>
      <c r="FO4" s="281" t="s">
        <v>459</v>
      </c>
      <c r="FP4" s="281" t="s">
        <v>459</v>
      </c>
      <c r="FQ4" s="288" t="s">
        <v>459</v>
      </c>
      <c r="FR4" s="288" t="s">
        <v>459</v>
      </c>
      <c r="FS4" s="288" t="s">
        <v>459</v>
      </c>
      <c r="FT4" s="288" t="s">
        <v>459</v>
      </c>
      <c r="FU4" s="288" t="s">
        <v>459</v>
      </c>
      <c r="FV4" s="288" t="s">
        <v>459</v>
      </c>
      <c r="FW4" s="288" t="s">
        <v>459</v>
      </c>
      <c r="FX4" s="288" t="s">
        <v>459</v>
      </c>
      <c r="FY4" s="288" t="s">
        <v>459</v>
      </c>
      <c r="FZ4" s="288" t="s">
        <v>459</v>
      </c>
      <c r="GA4" s="288" t="s">
        <v>459</v>
      </c>
      <c r="GB4" s="288" t="s">
        <v>459</v>
      </c>
      <c r="GC4" s="288" t="s">
        <v>459</v>
      </c>
      <c r="GD4" s="288" t="s">
        <v>459</v>
      </c>
      <c r="GE4" s="288" t="s">
        <v>459</v>
      </c>
      <c r="GF4" s="288" t="s">
        <v>459</v>
      </c>
      <c r="GG4" s="295" t="s">
        <v>459</v>
      </c>
      <c r="GH4" s="295" t="s">
        <v>459</v>
      </c>
      <c r="GI4" s="295" t="s">
        <v>459</v>
      </c>
      <c r="GJ4" s="295" t="s">
        <v>459</v>
      </c>
      <c r="GK4" s="295" t="s">
        <v>459</v>
      </c>
      <c r="GL4" s="295" t="s">
        <v>459</v>
      </c>
      <c r="GM4" s="295" t="s">
        <v>459</v>
      </c>
      <c r="GN4" s="295" t="s">
        <v>459</v>
      </c>
      <c r="GO4" s="295" t="s">
        <v>459</v>
      </c>
      <c r="GP4" s="295" t="s">
        <v>459</v>
      </c>
      <c r="GQ4" s="295" t="s">
        <v>459</v>
      </c>
      <c r="GR4" s="295" t="s">
        <v>459</v>
      </c>
      <c r="GS4" s="295" t="s">
        <v>459</v>
      </c>
      <c r="GT4" s="295" t="s">
        <v>459</v>
      </c>
      <c r="GU4" s="295" t="s">
        <v>459</v>
      </c>
      <c r="GV4" s="295" t="s">
        <v>459</v>
      </c>
    </row>
    <row r="5" spans="1:221" ht="15.75" thickBot="1">
      <c r="D5" s="66"/>
      <c r="M5" s="264" t="s">
        <v>900</v>
      </c>
      <c r="N5" s="264"/>
      <c r="O5" s="265"/>
      <c r="P5" s="265"/>
      <c r="Q5" s="265"/>
      <c r="R5" s="265"/>
      <c r="S5" s="265"/>
      <c r="T5" s="265"/>
      <c r="U5" s="265"/>
      <c r="V5" s="265"/>
      <c r="W5" s="265"/>
      <c r="AC5" s="289" t="s">
        <v>901</v>
      </c>
      <c r="AD5" s="289"/>
      <c r="AE5" s="290"/>
      <c r="AF5" s="290"/>
      <c r="AG5" s="290"/>
      <c r="AH5" s="290"/>
      <c r="AI5" s="290"/>
      <c r="AJ5" s="290"/>
      <c r="AK5" s="290"/>
      <c r="AL5" s="290"/>
      <c r="AM5" s="290"/>
      <c r="AS5" s="282" t="s">
        <v>902</v>
      </c>
      <c r="AT5" s="282"/>
      <c r="AU5" s="283"/>
      <c r="AV5" s="283"/>
      <c r="AW5" s="283"/>
      <c r="AX5" s="283"/>
      <c r="AY5" s="283"/>
      <c r="AZ5" s="283"/>
      <c r="BA5" s="283"/>
      <c r="BB5" s="283"/>
      <c r="BC5" s="283"/>
      <c r="BI5" s="303" t="s">
        <v>903</v>
      </c>
      <c r="BJ5" s="303"/>
      <c r="BK5" s="304"/>
      <c r="BL5" s="304"/>
      <c r="BM5" s="304"/>
      <c r="BN5" s="304"/>
      <c r="BO5" s="304"/>
      <c r="BP5" s="304"/>
      <c r="BQ5" s="304"/>
      <c r="BR5" s="304"/>
      <c r="BS5" s="304"/>
      <c r="BY5" s="296" t="s">
        <v>904</v>
      </c>
      <c r="BZ5" s="296"/>
      <c r="CA5" s="297"/>
      <c r="CB5" s="297"/>
      <c r="CC5" s="297"/>
      <c r="CD5" s="297"/>
      <c r="CE5" s="297"/>
      <c r="CF5" s="297"/>
      <c r="CG5" s="297"/>
      <c r="CH5" s="297"/>
      <c r="CI5" s="297"/>
      <c r="CO5" s="329" t="s">
        <v>905</v>
      </c>
      <c r="CP5" s="329"/>
      <c r="CQ5" s="330"/>
      <c r="CR5" s="330"/>
      <c r="CS5" s="330"/>
      <c r="CT5" s="330"/>
      <c r="CU5" s="330"/>
      <c r="CV5" s="330"/>
      <c r="CW5" s="330"/>
      <c r="CX5" s="330"/>
      <c r="CY5" s="330"/>
      <c r="DE5" s="310" t="s">
        <v>906</v>
      </c>
      <c r="DF5" s="310"/>
      <c r="DG5" s="311"/>
      <c r="DH5" s="311"/>
      <c r="DI5" s="311"/>
      <c r="DJ5" s="311"/>
      <c r="DK5" s="311"/>
      <c r="DL5" s="311"/>
      <c r="DM5" s="311"/>
      <c r="DN5" s="311"/>
      <c r="DO5" s="311"/>
      <c r="DU5" s="303" t="s">
        <v>907</v>
      </c>
      <c r="DV5" s="303"/>
      <c r="DW5" s="304"/>
      <c r="DX5" s="304"/>
      <c r="DY5" s="304"/>
      <c r="DZ5" s="304"/>
      <c r="EA5" s="304"/>
      <c r="EB5" s="304"/>
      <c r="EC5" s="304"/>
      <c r="ED5" s="304"/>
      <c r="EE5" s="304"/>
      <c r="EK5" s="317" t="s">
        <v>908</v>
      </c>
      <c r="EL5" s="317"/>
      <c r="EM5" s="318"/>
      <c r="EN5" s="318"/>
      <c r="EO5" s="318"/>
      <c r="EP5" s="318"/>
      <c r="EQ5" s="318"/>
      <c r="ER5" s="318"/>
      <c r="ES5" s="318"/>
      <c r="ET5" s="318"/>
      <c r="EU5" s="318"/>
      <c r="FA5" s="282" t="s">
        <v>909</v>
      </c>
      <c r="FB5" s="282"/>
      <c r="FC5" s="283"/>
      <c r="FD5" s="283"/>
      <c r="FE5" s="283"/>
      <c r="FF5" s="283"/>
      <c r="FG5" s="283"/>
      <c r="FH5" s="283"/>
      <c r="FI5" s="283"/>
      <c r="FJ5" s="283"/>
      <c r="FK5" s="283"/>
      <c r="FQ5" s="289" t="s">
        <v>910</v>
      </c>
      <c r="FR5" s="289"/>
      <c r="FS5" s="290"/>
      <c r="FT5" s="290"/>
      <c r="FU5" s="290"/>
      <c r="FV5" s="290"/>
      <c r="FW5" s="290"/>
      <c r="FX5" s="290"/>
      <c r="FY5" s="290"/>
      <c r="FZ5" s="290"/>
      <c r="GA5" s="290"/>
      <c r="GG5" s="296" t="s">
        <v>911</v>
      </c>
      <c r="GH5" s="296"/>
      <c r="GI5" s="297"/>
      <c r="GJ5" s="297"/>
      <c r="GK5" s="297"/>
      <c r="GL5" s="297"/>
      <c r="GM5" s="297"/>
      <c r="GN5" s="297"/>
      <c r="GO5" s="297"/>
      <c r="GP5" s="297"/>
      <c r="GQ5" s="297"/>
      <c r="GX5" s="278"/>
    </row>
    <row r="6" spans="1:221" ht="78.75" thickBot="1">
      <c r="H6" s="269" t="s">
        <v>912</v>
      </c>
      <c r="I6" s="270" t="s">
        <v>434</v>
      </c>
      <c r="J6" s="270" t="s">
        <v>10</v>
      </c>
      <c r="K6" s="270" t="s">
        <v>435</v>
      </c>
      <c r="M6" s="266" t="s">
        <v>892</v>
      </c>
      <c r="N6" s="266" t="s">
        <v>913</v>
      </c>
      <c r="O6" s="266" t="s">
        <v>914</v>
      </c>
      <c r="P6" s="266" t="s">
        <v>436</v>
      </c>
      <c r="Q6" s="266" t="s">
        <v>893</v>
      </c>
      <c r="R6" s="266" t="s">
        <v>437</v>
      </c>
      <c r="S6" s="266" t="s">
        <v>13</v>
      </c>
      <c r="T6" s="266" t="s">
        <v>915</v>
      </c>
      <c r="U6" s="266" t="s">
        <v>894</v>
      </c>
      <c r="V6" s="266" t="s">
        <v>895</v>
      </c>
      <c r="W6" s="266" t="s">
        <v>9</v>
      </c>
      <c r="X6" s="266" t="s">
        <v>10</v>
      </c>
      <c r="Y6" s="266" t="s">
        <v>14</v>
      </c>
      <c r="Z6" s="266" t="s">
        <v>477</v>
      </c>
      <c r="AA6" s="266" t="s">
        <v>476</v>
      </c>
      <c r="AB6" s="266" t="s">
        <v>916</v>
      </c>
      <c r="AC6" s="291" t="s">
        <v>892</v>
      </c>
      <c r="AD6" s="291" t="s">
        <v>913</v>
      </c>
      <c r="AE6" s="291"/>
      <c r="AF6" s="291" t="s">
        <v>436</v>
      </c>
      <c r="AG6" s="291" t="s">
        <v>893</v>
      </c>
      <c r="AH6" s="291" t="s">
        <v>437</v>
      </c>
      <c r="AI6" s="291" t="s">
        <v>13</v>
      </c>
      <c r="AJ6" s="291"/>
      <c r="AK6" s="291" t="s">
        <v>894</v>
      </c>
      <c r="AL6" s="291" t="s">
        <v>895</v>
      </c>
      <c r="AM6" s="291" t="s">
        <v>9</v>
      </c>
      <c r="AN6" s="291" t="s">
        <v>10</v>
      </c>
      <c r="AO6" s="291" t="s">
        <v>14</v>
      </c>
      <c r="AP6" s="291" t="s">
        <v>477</v>
      </c>
      <c r="AQ6" s="291" t="s">
        <v>476</v>
      </c>
      <c r="AR6" s="291" t="s">
        <v>896</v>
      </c>
      <c r="AS6" s="284" t="s">
        <v>892</v>
      </c>
      <c r="AT6" s="284" t="s">
        <v>913</v>
      </c>
      <c r="AU6" s="284" t="s">
        <v>1123</v>
      </c>
      <c r="AV6" s="284" t="s">
        <v>436</v>
      </c>
      <c r="AW6" s="284" t="s">
        <v>893</v>
      </c>
      <c r="AX6" s="284" t="s">
        <v>437</v>
      </c>
      <c r="AY6" s="284" t="s">
        <v>13</v>
      </c>
      <c r="AZ6" s="284" t="s">
        <v>1123</v>
      </c>
      <c r="BA6" s="284" t="s">
        <v>894</v>
      </c>
      <c r="BB6" s="284" t="s">
        <v>895</v>
      </c>
      <c r="BC6" s="284" t="s">
        <v>9</v>
      </c>
      <c r="BD6" s="284" t="s">
        <v>10</v>
      </c>
      <c r="BE6" s="284" t="s">
        <v>14</v>
      </c>
      <c r="BF6" s="284" t="s">
        <v>917</v>
      </c>
      <c r="BG6" s="284" t="s">
        <v>476</v>
      </c>
      <c r="BH6" s="284" t="s">
        <v>918</v>
      </c>
      <c r="BI6" s="305" t="s">
        <v>892</v>
      </c>
      <c r="BJ6" s="305" t="s">
        <v>913</v>
      </c>
      <c r="BK6" s="305"/>
      <c r="BL6" s="305" t="s">
        <v>436</v>
      </c>
      <c r="BM6" s="305" t="s">
        <v>893</v>
      </c>
      <c r="BN6" s="305" t="s">
        <v>437</v>
      </c>
      <c r="BO6" s="305" t="s">
        <v>13</v>
      </c>
      <c r="BP6" s="305"/>
      <c r="BQ6" s="305" t="s">
        <v>894</v>
      </c>
      <c r="BR6" s="305" t="s">
        <v>895</v>
      </c>
      <c r="BS6" s="305" t="s">
        <v>9</v>
      </c>
      <c r="BT6" s="305" t="s">
        <v>10</v>
      </c>
      <c r="BU6" s="305" t="s">
        <v>14</v>
      </c>
      <c r="BV6" s="305" t="s">
        <v>477</v>
      </c>
      <c r="BW6" s="305" t="s">
        <v>476</v>
      </c>
      <c r="BX6" s="305" t="s">
        <v>919</v>
      </c>
      <c r="BY6" s="298" t="s">
        <v>892</v>
      </c>
      <c r="BZ6" s="298" t="s">
        <v>913</v>
      </c>
      <c r="CA6" s="298"/>
      <c r="CB6" s="298" t="s">
        <v>436</v>
      </c>
      <c r="CC6" s="298" t="s">
        <v>893</v>
      </c>
      <c r="CD6" s="298" t="s">
        <v>437</v>
      </c>
      <c r="CE6" s="298" t="s">
        <v>13</v>
      </c>
      <c r="CF6" s="298"/>
      <c r="CG6" s="298" t="s">
        <v>894</v>
      </c>
      <c r="CH6" s="298" t="s">
        <v>895</v>
      </c>
      <c r="CI6" s="298" t="s">
        <v>9</v>
      </c>
      <c r="CJ6" s="298" t="s">
        <v>10</v>
      </c>
      <c r="CK6" s="298" t="s">
        <v>14</v>
      </c>
      <c r="CL6" s="298" t="s">
        <v>477</v>
      </c>
      <c r="CM6" s="298" t="s">
        <v>476</v>
      </c>
      <c r="CN6" s="298" t="s">
        <v>920</v>
      </c>
      <c r="CO6" s="331" t="s">
        <v>892</v>
      </c>
      <c r="CP6" s="331" t="s">
        <v>913</v>
      </c>
      <c r="CQ6" s="331" t="s">
        <v>914</v>
      </c>
      <c r="CR6" s="331" t="s">
        <v>436</v>
      </c>
      <c r="CS6" s="331" t="s">
        <v>893</v>
      </c>
      <c r="CT6" s="331" t="s">
        <v>437</v>
      </c>
      <c r="CU6" s="331" t="s">
        <v>13</v>
      </c>
      <c r="CV6" s="331" t="s">
        <v>915</v>
      </c>
      <c r="CW6" s="331" t="s">
        <v>894</v>
      </c>
      <c r="CX6" s="331" t="s">
        <v>895</v>
      </c>
      <c r="CY6" s="331" t="s">
        <v>9</v>
      </c>
      <c r="CZ6" s="331" t="s">
        <v>10</v>
      </c>
      <c r="DA6" s="331" t="s">
        <v>14</v>
      </c>
      <c r="DB6" s="331" t="s">
        <v>477</v>
      </c>
      <c r="DC6" s="331" t="s">
        <v>476</v>
      </c>
      <c r="DD6" s="331" t="s">
        <v>921</v>
      </c>
      <c r="DE6" s="312" t="s">
        <v>892</v>
      </c>
      <c r="DF6" s="312" t="s">
        <v>913</v>
      </c>
      <c r="DG6" s="312"/>
      <c r="DH6" s="312" t="s">
        <v>436</v>
      </c>
      <c r="DI6" s="312" t="s">
        <v>893</v>
      </c>
      <c r="DJ6" s="312" t="s">
        <v>437</v>
      </c>
      <c r="DK6" s="312" t="s">
        <v>13</v>
      </c>
      <c r="DL6" s="312"/>
      <c r="DM6" s="312" t="s">
        <v>894</v>
      </c>
      <c r="DN6" s="312" t="s">
        <v>895</v>
      </c>
      <c r="DO6" s="312" t="s">
        <v>9</v>
      </c>
      <c r="DP6" s="312" t="s">
        <v>10</v>
      </c>
      <c r="DQ6" s="312" t="s">
        <v>14</v>
      </c>
      <c r="DR6" s="312" t="s">
        <v>477</v>
      </c>
      <c r="DS6" s="312" t="s">
        <v>476</v>
      </c>
      <c r="DT6" s="312" t="s">
        <v>922</v>
      </c>
      <c r="DU6" s="305" t="s">
        <v>892</v>
      </c>
      <c r="DV6" s="305" t="s">
        <v>913</v>
      </c>
      <c r="DW6" s="305"/>
      <c r="DX6" s="305" t="s">
        <v>436</v>
      </c>
      <c r="DY6" s="305" t="s">
        <v>893</v>
      </c>
      <c r="DZ6" s="305" t="s">
        <v>437</v>
      </c>
      <c r="EA6" s="305" t="s">
        <v>13</v>
      </c>
      <c r="EB6" s="305"/>
      <c r="EC6" s="305" t="s">
        <v>894</v>
      </c>
      <c r="ED6" s="305" t="s">
        <v>895</v>
      </c>
      <c r="EE6" s="305" t="s">
        <v>9</v>
      </c>
      <c r="EF6" s="305" t="s">
        <v>10</v>
      </c>
      <c r="EG6" s="305" t="s">
        <v>14</v>
      </c>
      <c r="EH6" s="305" t="s">
        <v>477</v>
      </c>
      <c r="EI6" s="305" t="s">
        <v>476</v>
      </c>
      <c r="EJ6" s="305" t="s">
        <v>923</v>
      </c>
      <c r="EK6" s="319" t="s">
        <v>892</v>
      </c>
      <c r="EL6" s="319" t="s">
        <v>913</v>
      </c>
      <c r="EM6" s="319"/>
      <c r="EN6" s="319" t="s">
        <v>436</v>
      </c>
      <c r="EO6" s="319" t="s">
        <v>893</v>
      </c>
      <c r="EP6" s="319" t="s">
        <v>437</v>
      </c>
      <c r="EQ6" s="319" t="s">
        <v>13</v>
      </c>
      <c r="ER6" s="319"/>
      <c r="ES6" s="319" t="s">
        <v>894</v>
      </c>
      <c r="ET6" s="319" t="s">
        <v>895</v>
      </c>
      <c r="EU6" s="319" t="s">
        <v>9</v>
      </c>
      <c r="EV6" s="319" t="s">
        <v>10</v>
      </c>
      <c r="EW6" s="319" t="s">
        <v>14</v>
      </c>
      <c r="EX6" s="319" t="s">
        <v>477</v>
      </c>
      <c r="EY6" s="319" t="s">
        <v>476</v>
      </c>
      <c r="EZ6" s="319" t="s">
        <v>924</v>
      </c>
      <c r="FA6" s="284" t="s">
        <v>892</v>
      </c>
      <c r="FB6" s="284" t="s">
        <v>913</v>
      </c>
      <c r="FC6" s="284" t="s">
        <v>914</v>
      </c>
      <c r="FD6" s="284" t="s">
        <v>436</v>
      </c>
      <c r="FE6" s="284" t="s">
        <v>893</v>
      </c>
      <c r="FF6" s="284" t="s">
        <v>437</v>
      </c>
      <c r="FG6" s="284" t="s">
        <v>13</v>
      </c>
      <c r="FH6" s="284" t="s">
        <v>915</v>
      </c>
      <c r="FI6" s="284" t="s">
        <v>894</v>
      </c>
      <c r="FJ6" s="284" t="s">
        <v>895</v>
      </c>
      <c r="FK6" s="284" t="s">
        <v>9</v>
      </c>
      <c r="FL6" s="284" t="s">
        <v>10</v>
      </c>
      <c r="FM6" s="284" t="s">
        <v>14</v>
      </c>
      <c r="FN6" s="284" t="s">
        <v>477</v>
      </c>
      <c r="FO6" s="284" t="s">
        <v>476</v>
      </c>
      <c r="FP6" s="284" t="s">
        <v>925</v>
      </c>
      <c r="FQ6" s="291" t="s">
        <v>892</v>
      </c>
      <c r="FR6" s="291" t="s">
        <v>913</v>
      </c>
      <c r="FS6" s="291"/>
      <c r="FT6" s="291" t="s">
        <v>436</v>
      </c>
      <c r="FU6" s="291" t="s">
        <v>893</v>
      </c>
      <c r="FV6" s="291" t="s">
        <v>437</v>
      </c>
      <c r="FW6" s="291" t="s">
        <v>13</v>
      </c>
      <c r="FX6" s="291"/>
      <c r="FY6" s="291" t="s">
        <v>894</v>
      </c>
      <c r="FZ6" s="291" t="s">
        <v>895</v>
      </c>
      <c r="GA6" s="291" t="s">
        <v>9</v>
      </c>
      <c r="GB6" s="291" t="s">
        <v>10</v>
      </c>
      <c r="GC6" s="291" t="s">
        <v>14</v>
      </c>
      <c r="GD6" s="291" t="s">
        <v>477</v>
      </c>
      <c r="GE6" s="291" t="s">
        <v>476</v>
      </c>
      <c r="GF6" s="291" t="s">
        <v>926</v>
      </c>
      <c r="GG6" s="298" t="s">
        <v>892</v>
      </c>
      <c r="GH6" s="298" t="s">
        <v>913</v>
      </c>
      <c r="GI6" s="298"/>
      <c r="GJ6" s="298" t="s">
        <v>436</v>
      </c>
      <c r="GK6" s="298" t="s">
        <v>893</v>
      </c>
      <c r="GL6" s="298" t="s">
        <v>437</v>
      </c>
      <c r="GM6" s="298" t="s">
        <v>13</v>
      </c>
      <c r="GN6" s="298"/>
      <c r="GO6" s="298" t="s">
        <v>894</v>
      </c>
      <c r="GP6" s="298" t="s">
        <v>895</v>
      </c>
      <c r="GQ6" s="298" t="s">
        <v>9</v>
      </c>
      <c r="GR6" s="298" t="s">
        <v>10</v>
      </c>
      <c r="GS6" s="298" t="s">
        <v>14</v>
      </c>
      <c r="GT6" s="298" t="s">
        <v>477</v>
      </c>
      <c r="GU6" s="298" t="s">
        <v>476</v>
      </c>
      <c r="GV6" s="298" t="s">
        <v>927</v>
      </c>
      <c r="GX6" s="387" t="s">
        <v>928</v>
      </c>
      <c r="GY6" s="388"/>
      <c r="GZ6" s="388"/>
      <c r="HA6" s="388"/>
      <c r="HB6" s="388"/>
      <c r="HC6" s="389"/>
      <c r="HE6" s="390" t="s">
        <v>15</v>
      </c>
      <c r="HF6" s="377"/>
      <c r="HG6" s="377"/>
      <c r="HH6" s="377"/>
      <c r="HI6" s="377"/>
      <c r="HJ6" s="378"/>
    </row>
    <row r="7" spans="1:221" ht="34.5" customHeight="1" thickBot="1">
      <c r="A7" s="338" t="s">
        <v>16</v>
      </c>
      <c r="B7" s="339" t="s">
        <v>17</v>
      </c>
      <c r="C7" s="340" t="s">
        <v>18</v>
      </c>
      <c r="D7" s="341" t="s">
        <v>19</v>
      </c>
      <c r="E7" s="340" t="s">
        <v>20</v>
      </c>
      <c r="F7" s="341" t="s">
        <v>21</v>
      </c>
      <c r="M7" s="266" t="s">
        <v>22</v>
      </c>
      <c r="N7" s="266" t="s">
        <v>22</v>
      </c>
      <c r="O7" s="266" t="s">
        <v>22</v>
      </c>
      <c r="P7" s="266" t="s">
        <v>22</v>
      </c>
      <c r="Q7" s="266" t="s">
        <v>22</v>
      </c>
      <c r="R7" s="266" t="s">
        <v>26</v>
      </c>
      <c r="S7" s="266" t="s">
        <v>26</v>
      </c>
      <c r="T7" s="266" t="s">
        <v>25</v>
      </c>
      <c r="U7" s="266" t="s">
        <v>25</v>
      </c>
      <c r="V7" s="266" t="s">
        <v>25</v>
      </c>
      <c r="W7" s="266" t="s">
        <v>23</v>
      </c>
      <c r="X7" s="266" t="s">
        <v>24</v>
      </c>
      <c r="Y7" s="266" t="s">
        <v>27</v>
      </c>
      <c r="Z7" s="266"/>
      <c r="AA7" s="268"/>
      <c r="AB7" s="268"/>
      <c r="AC7" s="291" t="s">
        <v>22</v>
      </c>
      <c r="AD7" s="291" t="s">
        <v>22</v>
      </c>
      <c r="AE7" s="291" t="s">
        <v>22</v>
      </c>
      <c r="AF7" s="291" t="s">
        <v>22</v>
      </c>
      <c r="AG7" s="291" t="s">
        <v>22</v>
      </c>
      <c r="AH7" s="291" t="s">
        <v>26</v>
      </c>
      <c r="AI7" s="291" t="s">
        <v>26</v>
      </c>
      <c r="AJ7" s="291" t="s">
        <v>25</v>
      </c>
      <c r="AK7" s="291" t="s">
        <v>25</v>
      </c>
      <c r="AL7" s="291" t="s">
        <v>25</v>
      </c>
      <c r="AM7" s="291" t="s">
        <v>23</v>
      </c>
      <c r="AN7" s="291" t="s">
        <v>24</v>
      </c>
      <c r="AO7" s="291" t="s">
        <v>27</v>
      </c>
      <c r="AP7" s="291"/>
      <c r="AQ7" s="292"/>
      <c r="AR7" s="292"/>
      <c r="AS7" s="284" t="s">
        <v>22</v>
      </c>
      <c r="AT7" s="284" t="s">
        <v>22</v>
      </c>
      <c r="AU7" s="284" t="s">
        <v>22</v>
      </c>
      <c r="AV7" s="284" t="s">
        <v>22</v>
      </c>
      <c r="AW7" s="284" t="s">
        <v>22</v>
      </c>
      <c r="AX7" s="284" t="s">
        <v>26</v>
      </c>
      <c r="AY7" s="284" t="s">
        <v>26</v>
      </c>
      <c r="AZ7" s="284" t="s">
        <v>25</v>
      </c>
      <c r="BA7" s="284" t="s">
        <v>25</v>
      </c>
      <c r="BB7" s="284" t="s">
        <v>25</v>
      </c>
      <c r="BC7" s="284" t="s">
        <v>23</v>
      </c>
      <c r="BD7" s="284" t="s">
        <v>24</v>
      </c>
      <c r="BE7" s="284" t="s">
        <v>27</v>
      </c>
      <c r="BF7" s="284"/>
      <c r="BG7" s="285"/>
      <c r="BH7" s="285"/>
      <c r="BI7" s="305" t="s">
        <v>22</v>
      </c>
      <c r="BJ7" s="305" t="s">
        <v>22</v>
      </c>
      <c r="BK7" s="305" t="s">
        <v>22</v>
      </c>
      <c r="BL7" s="305" t="s">
        <v>22</v>
      </c>
      <c r="BM7" s="305" t="s">
        <v>22</v>
      </c>
      <c r="BN7" s="305" t="s">
        <v>26</v>
      </c>
      <c r="BO7" s="305" t="s">
        <v>26</v>
      </c>
      <c r="BP7" s="305" t="s">
        <v>25</v>
      </c>
      <c r="BQ7" s="305" t="s">
        <v>25</v>
      </c>
      <c r="BR7" s="305" t="s">
        <v>25</v>
      </c>
      <c r="BS7" s="305" t="s">
        <v>23</v>
      </c>
      <c r="BT7" s="305" t="s">
        <v>24</v>
      </c>
      <c r="BU7" s="305" t="s">
        <v>27</v>
      </c>
      <c r="BV7" s="305"/>
      <c r="BW7" s="306"/>
      <c r="BX7" s="306"/>
      <c r="BY7" s="298" t="s">
        <v>22</v>
      </c>
      <c r="BZ7" s="298" t="s">
        <v>22</v>
      </c>
      <c r="CA7" s="298" t="s">
        <v>22</v>
      </c>
      <c r="CB7" s="298" t="s">
        <v>22</v>
      </c>
      <c r="CC7" s="298" t="s">
        <v>22</v>
      </c>
      <c r="CD7" s="298" t="s">
        <v>26</v>
      </c>
      <c r="CE7" s="298" t="s">
        <v>26</v>
      </c>
      <c r="CF7" s="298" t="s">
        <v>25</v>
      </c>
      <c r="CG7" s="298" t="s">
        <v>25</v>
      </c>
      <c r="CH7" s="298" t="s">
        <v>25</v>
      </c>
      <c r="CI7" s="298" t="s">
        <v>23</v>
      </c>
      <c r="CJ7" s="298" t="s">
        <v>24</v>
      </c>
      <c r="CK7" s="298" t="s">
        <v>27</v>
      </c>
      <c r="CL7" s="298"/>
      <c r="CM7" s="299"/>
      <c r="CN7" s="299"/>
      <c r="CO7" s="331" t="s">
        <v>22</v>
      </c>
      <c r="CP7" s="331" t="s">
        <v>22</v>
      </c>
      <c r="CQ7" s="331" t="s">
        <v>22</v>
      </c>
      <c r="CR7" s="331" t="s">
        <v>22</v>
      </c>
      <c r="CS7" s="331" t="s">
        <v>22</v>
      </c>
      <c r="CT7" s="331" t="s">
        <v>26</v>
      </c>
      <c r="CU7" s="331" t="s">
        <v>26</v>
      </c>
      <c r="CV7" s="331" t="s">
        <v>25</v>
      </c>
      <c r="CW7" s="331" t="s">
        <v>25</v>
      </c>
      <c r="CX7" s="331" t="s">
        <v>25</v>
      </c>
      <c r="CY7" s="331" t="s">
        <v>23</v>
      </c>
      <c r="CZ7" s="331" t="s">
        <v>24</v>
      </c>
      <c r="DA7" s="331" t="s">
        <v>27</v>
      </c>
      <c r="DB7" s="331"/>
      <c r="DC7" s="331"/>
      <c r="DD7" s="331"/>
      <c r="DE7" s="312" t="s">
        <v>22</v>
      </c>
      <c r="DF7" s="312" t="s">
        <v>22</v>
      </c>
      <c r="DG7" s="312" t="s">
        <v>22</v>
      </c>
      <c r="DH7" s="312" t="s">
        <v>22</v>
      </c>
      <c r="DI7" s="312" t="s">
        <v>22</v>
      </c>
      <c r="DJ7" s="312" t="s">
        <v>26</v>
      </c>
      <c r="DK7" s="312" t="s">
        <v>26</v>
      </c>
      <c r="DL7" s="312" t="s">
        <v>25</v>
      </c>
      <c r="DM7" s="312" t="s">
        <v>25</v>
      </c>
      <c r="DN7" s="312" t="s">
        <v>25</v>
      </c>
      <c r="DO7" s="312" t="s">
        <v>23</v>
      </c>
      <c r="DP7" s="312" t="s">
        <v>24</v>
      </c>
      <c r="DQ7" s="312" t="s">
        <v>27</v>
      </c>
      <c r="DR7" s="313"/>
      <c r="DS7" s="313"/>
      <c r="DT7" s="313"/>
      <c r="DU7" s="305" t="s">
        <v>22</v>
      </c>
      <c r="DV7" s="305" t="s">
        <v>22</v>
      </c>
      <c r="DW7" s="305" t="s">
        <v>22</v>
      </c>
      <c r="DX7" s="305" t="s">
        <v>22</v>
      </c>
      <c r="DY7" s="305" t="s">
        <v>22</v>
      </c>
      <c r="DZ7" s="305" t="s">
        <v>26</v>
      </c>
      <c r="EA7" s="305" t="s">
        <v>26</v>
      </c>
      <c r="EB7" s="305" t="s">
        <v>25</v>
      </c>
      <c r="EC7" s="305" t="s">
        <v>25</v>
      </c>
      <c r="ED7" s="305" t="s">
        <v>25</v>
      </c>
      <c r="EE7" s="305" t="s">
        <v>23</v>
      </c>
      <c r="EF7" s="305" t="s">
        <v>24</v>
      </c>
      <c r="EG7" s="305" t="s">
        <v>27</v>
      </c>
      <c r="EH7" s="305"/>
      <c r="EI7" s="305"/>
      <c r="EJ7" s="306"/>
      <c r="EK7" s="319" t="s">
        <v>22</v>
      </c>
      <c r="EL7" s="319" t="s">
        <v>22</v>
      </c>
      <c r="EM7" s="319" t="s">
        <v>22</v>
      </c>
      <c r="EN7" s="319" t="s">
        <v>22</v>
      </c>
      <c r="EO7" s="319" t="s">
        <v>22</v>
      </c>
      <c r="EP7" s="319" t="s">
        <v>26</v>
      </c>
      <c r="EQ7" s="319" t="s">
        <v>26</v>
      </c>
      <c r="ER7" s="319" t="s">
        <v>25</v>
      </c>
      <c r="ES7" s="319" t="s">
        <v>25</v>
      </c>
      <c r="ET7" s="319" t="s">
        <v>25</v>
      </c>
      <c r="EU7" s="319" t="s">
        <v>23</v>
      </c>
      <c r="EV7" s="319" t="s">
        <v>24</v>
      </c>
      <c r="EW7" s="319" t="s">
        <v>27</v>
      </c>
      <c r="EX7" s="319"/>
      <c r="EY7" s="319"/>
      <c r="EZ7" s="319"/>
      <c r="FA7" s="284" t="s">
        <v>22</v>
      </c>
      <c r="FB7" s="284" t="s">
        <v>22</v>
      </c>
      <c r="FC7" s="284" t="s">
        <v>22</v>
      </c>
      <c r="FD7" s="284" t="s">
        <v>22</v>
      </c>
      <c r="FE7" s="284" t="s">
        <v>22</v>
      </c>
      <c r="FF7" s="284" t="s">
        <v>26</v>
      </c>
      <c r="FG7" s="284" t="s">
        <v>26</v>
      </c>
      <c r="FH7" s="284" t="s">
        <v>25</v>
      </c>
      <c r="FI7" s="284" t="s">
        <v>25</v>
      </c>
      <c r="FJ7" s="284" t="s">
        <v>25</v>
      </c>
      <c r="FK7" s="284" t="s">
        <v>23</v>
      </c>
      <c r="FL7" s="284" t="s">
        <v>24</v>
      </c>
      <c r="FM7" s="284" t="s">
        <v>27</v>
      </c>
      <c r="FN7" s="285"/>
      <c r="FO7" s="285"/>
      <c r="FP7" s="285"/>
      <c r="FQ7" s="291" t="s">
        <v>22</v>
      </c>
      <c r="FR7" s="291" t="s">
        <v>22</v>
      </c>
      <c r="FS7" s="291" t="s">
        <v>22</v>
      </c>
      <c r="FT7" s="291" t="s">
        <v>22</v>
      </c>
      <c r="FU7" s="291" t="s">
        <v>22</v>
      </c>
      <c r="FV7" s="291" t="s">
        <v>26</v>
      </c>
      <c r="FW7" s="291" t="s">
        <v>26</v>
      </c>
      <c r="FX7" s="291" t="s">
        <v>25</v>
      </c>
      <c r="FY7" s="291" t="s">
        <v>25</v>
      </c>
      <c r="FZ7" s="291" t="s">
        <v>25</v>
      </c>
      <c r="GA7" s="291" t="s">
        <v>23</v>
      </c>
      <c r="GB7" s="291" t="s">
        <v>24</v>
      </c>
      <c r="GC7" s="291" t="s">
        <v>27</v>
      </c>
      <c r="GD7" s="291"/>
      <c r="GE7" s="291"/>
      <c r="GF7" s="292"/>
      <c r="GG7" s="298" t="s">
        <v>22</v>
      </c>
      <c r="GH7" s="298" t="s">
        <v>22</v>
      </c>
      <c r="GI7" s="298" t="s">
        <v>22</v>
      </c>
      <c r="GJ7" s="298" t="s">
        <v>22</v>
      </c>
      <c r="GK7" s="298" t="s">
        <v>22</v>
      </c>
      <c r="GL7" s="298" t="s">
        <v>26</v>
      </c>
      <c r="GM7" s="298" t="s">
        <v>26</v>
      </c>
      <c r="GN7" s="298" t="s">
        <v>25</v>
      </c>
      <c r="GO7" s="298" t="s">
        <v>25</v>
      </c>
      <c r="GP7" s="298" t="s">
        <v>25</v>
      </c>
      <c r="GQ7" s="298" t="s">
        <v>23</v>
      </c>
      <c r="GR7" s="298" t="s">
        <v>24</v>
      </c>
      <c r="GS7" s="298" t="s">
        <v>27</v>
      </c>
      <c r="GT7" s="299"/>
      <c r="GU7" s="299"/>
      <c r="GV7" s="299"/>
      <c r="GX7" t="s">
        <v>22</v>
      </c>
      <c r="GY7" t="s">
        <v>26</v>
      </c>
      <c r="GZ7" t="s">
        <v>25</v>
      </c>
      <c r="HA7" t="s">
        <v>23</v>
      </c>
      <c r="HB7" t="s">
        <v>24</v>
      </c>
      <c r="HC7" t="s">
        <v>27</v>
      </c>
      <c r="HE7" t="s">
        <v>22</v>
      </c>
      <c r="HF7" t="s">
        <v>26</v>
      </c>
      <c r="HG7" t="s">
        <v>25</v>
      </c>
      <c r="HH7" t="s">
        <v>23</v>
      </c>
      <c r="HI7" t="s">
        <v>24</v>
      </c>
      <c r="HJ7" t="s">
        <v>27</v>
      </c>
    </row>
    <row r="8" spans="1:221">
      <c r="A8" s="185">
        <v>1027</v>
      </c>
      <c r="B8" s="185">
        <v>103140</v>
      </c>
      <c r="C8" s="185" t="s">
        <v>34</v>
      </c>
      <c r="D8" s="185" t="s">
        <v>35</v>
      </c>
      <c r="E8" s="190" t="s">
        <v>36</v>
      </c>
      <c r="F8" s="190" t="s">
        <v>890</v>
      </c>
      <c r="H8" s="271">
        <f>_xlfn.IFNA(VLOOKUP($A8,ISB!$A$4:$BY$441,67,FALSE),0)</f>
        <v>0</v>
      </c>
      <c r="I8" s="271">
        <f>_xlfn.IFNA(VLOOKUP($A8,ISB!$A$4:$BY$441,72,FALSE),0)</f>
        <v>0</v>
      </c>
      <c r="J8" s="271">
        <f>-_xlfn.IFNA(VLOOKUP($A8,ISB!$A$4:$BY$441,76,FALSE),0)</f>
        <v>0</v>
      </c>
      <c r="K8" s="271">
        <f>_xlfn.IFNA(VLOOKUP($A8,ISB!$A$4:$BY$441,77,FALSE),0)</f>
        <v>0</v>
      </c>
      <c r="M8" s="279">
        <f t="shared" ref="M8:M39" si="0">$H8/12</f>
        <v>0</v>
      </c>
      <c r="N8" s="279"/>
      <c r="O8" s="279">
        <f>_xlfn.IFNA(VLOOKUP($A8,EY!$A:$H,8,FALSE)+(VLOOKUP($A8,EY!$A:$R,18,FALSE)-$T8),0)</f>
        <v>364406.07108312787</v>
      </c>
      <c r="P8" s="280">
        <f>_xlfn.IFNA((VLOOKUP($A8,HN!$A:$M,8,FALSE)/12),0)</f>
        <v>0</v>
      </c>
      <c r="Q8" s="280">
        <f>_xlfn.IFNA((VLOOKUP($A8,HN!$A:$M,12,FALSE)/12),0)</f>
        <v>0</v>
      </c>
      <c r="R8" s="280">
        <f>_xlfn.IFNA((VLOOKUP($A8,HN!$A:$M,9,FALSE)/12),0)</f>
        <v>0</v>
      </c>
      <c r="S8" s="280">
        <f>_xlfn.IFNA((VLOOKUP($A8,'Post 16'!$A:$AR,22,FALSE)/4),0)</f>
        <v>0</v>
      </c>
      <c r="T8" s="280">
        <f>_xlfn.IFNA((VLOOKUP($A8,EY!$A:$R,16,FALSE)*80%),0)</f>
        <v>7020</v>
      </c>
      <c r="U8" s="280">
        <v>10304.083333333334</v>
      </c>
      <c r="V8" s="280">
        <v>0</v>
      </c>
      <c r="W8" s="279">
        <f t="shared" ref="W8:W39" si="1">$I8/12</f>
        <v>0</v>
      </c>
      <c r="X8" s="279">
        <f t="shared" ref="X8:X39" si="2">$J8/12</f>
        <v>0</v>
      </c>
      <c r="Y8" s="280"/>
      <c r="Z8" s="280"/>
      <c r="AA8" s="280"/>
      <c r="AB8" s="279">
        <f t="shared" ref="AB8:AB39" si="3">SUM(M8:AA8)</f>
        <v>381730.15441646118</v>
      </c>
      <c r="AC8" s="293">
        <f t="shared" ref="AC8:AC39" si="4">$H8/12</f>
        <v>0</v>
      </c>
      <c r="AD8" s="293"/>
      <c r="AE8" s="293"/>
      <c r="AF8" s="294">
        <f>_xlfn.IFNA((VLOOKUP($A8,HN!$A:$M,8,FALSE)/12),0)</f>
        <v>0</v>
      </c>
      <c r="AG8" s="294">
        <f>_xlfn.IFNA((VLOOKUP($A8,HN!$A:$M,12,FALSE)/12),0)+_xlfn.IFNA(VLOOKUP($A8,HN!$A:$Q,17,FALSE),0)</f>
        <v>0</v>
      </c>
      <c r="AH8" s="294">
        <f>_xlfn.IFNA((VLOOKUP($A8,HN!$A:$M,9,FALSE)/12),0)</f>
        <v>0</v>
      </c>
      <c r="AI8" s="294">
        <f>_xlfn.IFNA((VLOOKUP($A8,'Post 16'!$A:$AR,22,FALSE)/4),0)</f>
        <v>0</v>
      </c>
      <c r="AJ8" s="294"/>
      <c r="AK8" s="294">
        <f>_xlfn.IFNA((VLOOKUP($A8,HN!$A:$M,10,FALSE)/12),0)</f>
        <v>2830.1666666666665</v>
      </c>
      <c r="AL8" s="294">
        <f>_xlfn.IFNA((VLOOKUP($A8,HN!$A:$M,13,FALSE)/12),0)</f>
        <v>0</v>
      </c>
      <c r="AM8" s="293">
        <f t="shared" ref="AM8:AM39" si="5">$I8/12</f>
        <v>0</v>
      </c>
      <c r="AN8" s="293">
        <f t="shared" ref="AN8:AN39" si="6">$J8/12</f>
        <v>0</v>
      </c>
      <c r="AO8" s="294"/>
      <c r="AP8" s="294"/>
      <c r="AQ8" s="294"/>
      <c r="AR8" s="293">
        <f t="shared" ref="AR8:AR39" si="7">SUM(AC8:AQ8)</f>
        <v>2830.1666666666665</v>
      </c>
      <c r="AS8" s="286">
        <f t="shared" ref="AS8:AS39" si="8">$H8/12</f>
        <v>0</v>
      </c>
      <c r="AT8" s="286"/>
      <c r="AU8" s="286">
        <f>_xlfn.IFNA(VLOOKUP(A8,EY!A:AO,40,FALSE),0)</f>
        <v>24560.146759002757</v>
      </c>
      <c r="AV8" s="287">
        <f>_xlfn.IFNA((VLOOKUP($A8,HN!$A:$M,8,FALSE)/12),0)</f>
        <v>0</v>
      </c>
      <c r="AW8" s="287">
        <f>_xlfn.IFNA((VLOOKUP($A8,HN!$A:$M,12,FALSE)/12),0)+_xlfn.IFNA(VLOOKUP($A8,HN!$A$8:$AU$200,19,FALSE),0)</f>
        <v>0</v>
      </c>
      <c r="AX8" s="287">
        <f>_xlfn.IFNA((VLOOKUP($A8,HN!$A:$M,9,FALSE)/12),0)</f>
        <v>0</v>
      </c>
      <c r="AY8" s="287">
        <f>_xlfn.IFNA((VLOOKUP($A8,'Post 16'!$A:$AR,22,FALSE)/4),0)</f>
        <v>0</v>
      </c>
      <c r="AZ8" s="287">
        <f>_xlfn.IFNA(VLOOKUP(A8,EY!A:AO,41,FALSE),0)</f>
        <v>264.5108033240997</v>
      </c>
      <c r="BA8" s="287">
        <f>_xlfn.IFNA(((VLOOKUP($A8,HN!$A:$M,10,FALSE)-$U8-$AK8)/10),0)+_xlfn.IFNA(VLOOKUP($A8,HN!$A:$R,18,FALSE),0)</f>
        <v>2082.7749999999996</v>
      </c>
      <c r="BB8" s="287">
        <f>_xlfn.IFNA(((VLOOKUP($A8,HN!$A:$M,13,FALSE)-$V8-$AL8)/10),0)+_xlfn.IFNA(VLOOKUP($A8,HN!$A$8:$AU$200,20,FALSE),0)</f>
        <v>0</v>
      </c>
      <c r="BC8" s="286">
        <f t="shared" ref="BC8:BC39" si="9">$I8/12</f>
        <v>0</v>
      </c>
      <c r="BD8" s="286">
        <f t="shared" ref="BD8:BD39" si="10">$J8/12</f>
        <v>0</v>
      </c>
      <c r="BE8" s="287"/>
      <c r="BF8" s="287"/>
      <c r="BG8" s="287"/>
      <c r="BH8" s="286">
        <f t="shared" ref="BH8:BH39" si="11">SUM(AS8:BG8)</f>
        <v>26907.43256232686</v>
      </c>
      <c r="BI8" s="307">
        <f t="shared" ref="BI8:BI39" si="12">$H8/12</f>
        <v>0</v>
      </c>
      <c r="BJ8" s="307">
        <f>_xlfn.IFNA(VLOOKUP(A8,'LA Deductions'!A:AH,34,FALSE),0)</f>
        <v>0</v>
      </c>
      <c r="BK8" s="307"/>
      <c r="BL8" s="308">
        <f>_xlfn.IFNA((VLOOKUP($A8,HN!$A:$M,8,FALSE)/12),0)</f>
        <v>0</v>
      </c>
      <c r="BM8" s="308">
        <f>_xlfn.IFNA((VLOOKUP($A8,HN!$A:$M,12,FALSE)/12),0)</f>
        <v>0</v>
      </c>
      <c r="BN8" s="308">
        <f>_xlfn.IFNA((VLOOKUP($A8,HN!$A:$M,9,FALSE)/12),0)</f>
        <v>0</v>
      </c>
      <c r="BO8" s="308">
        <f>_xlfn.IFNA((VLOOKUP($A8,'Post 16'!$A:$AR,22,FALSE)/4),0)</f>
        <v>0</v>
      </c>
      <c r="BP8" s="308"/>
      <c r="BQ8" s="308">
        <f>_xlfn.IFNA(((VLOOKUP($A8,HN!$A:$M,10,FALSE)-$U8-$AK8)/10),0)</f>
        <v>2082.7749999999996</v>
      </c>
      <c r="BR8" s="308">
        <f>_xlfn.IFNA(((VLOOKUP($A8,HN!$A:$M,13,FALSE)-$V8-$AL8)/10),0)</f>
        <v>0</v>
      </c>
      <c r="BS8" s="307">
        <f t="shared" ref="BS8:BS39" si="13">$I8/12</f>
        <v>0</v>
      </c>
      <c r="BT8" s="307">
        <f t="shared" ref="BT8:BT39" si="14">$J8/12</f>
        <v>0</v>
      </c>
      <c r="BU8" s="308"/>
      <c r="BV8" s="308"/>
      <c r="BW8" s="308"/>
      <c r="BX8" s="307">
        <f t="shared" ref="BX8:BX39" si="15">SUM(BI8:BW8)</f>
        <v>2082.7749999999996</v>
      </c>
      <c r="BY8" s="300">
        <f t="shared" ref="BY8:BY39" si="16">$H8/12</f>
        <v>0</v>
      </c>
      <c r="BZ8" s="300"/>
      <c r="CA8" s="300"/>
      <c r="CB8" s="301">
        <f>_xlfn.IFNA((VLOOKUP($A8,HN!$A:$M,8,FALSE)/12),0)</f>
        <v>0</v>
      </c>
      <c r="CC8" s="301">
        <f>_xlfn.IFNA((VLOOKUP($A8,HN!$A:$M,12,FALSE)/12),0)</f>
        <v>0</v>
      </c>
      <c r="CD8" s="301">
        <f>_xlfn.IFNA((VLOOKUP($A8,HN!$A:$M,9,FALSE)/12),0)</f>
        <v>0</v>
      </c>
      <c r="CE8" s="301">
        <f>_xlfn.IFNA((VLOOKUP($A8,'Post 16'!$A:$AG,33,FALSE)/8),0)</f>
        <v>0</v>
      </c>
      <c r="CF8" s="301"/>
      <c r="CG8" s="301">
        <f>_xlfn.IFNA(((VLOOKUP($A8,HN!$A:$M,10,FALSE)-$U8-$AK8)/10),0)</f>
        <v>2082.7749999999996</v>
      </c>
      <c r="CH8" s="301">
        <f>_xlfn.IFNA(((VLOOKUP($A8,HN!$A:$M,13,FALSE)-$V8-$AL8)/10),0)</f>
        <v>0</v>
      </c>
      <c r="CI8" s="300">
        <f t="shared" ref="CI8:CI39" si="17">$I8/12</f>
        <v>0</v>
      </c>
      <c r="CJ8" s="300">
        <f t="shared" ref="CJ8:CJ39" si="18">$J8/12</f>
        <v>0</v>
      </c>
      <c r="CK8" s="301"/>
      <c r="CL8" s="301"/>
      <c r="CM8" s="301"/>
      <c r="CN8" s="300">
        <f t="shared" ref="CN8:CN39" si="19">SUM(BY8:CM8)</f>
        <v>2082.7749999999996</v>
      </c>
      <c r="CO8" s="332">
        <f t="shared" ref="CO8:CO39" si="20">$H8/12</f>
        <v>0</v>
      </c>
      <c r="CP8" s="332"/>
      <c r="CQ8" s="332">
        <f>_xlfn.IFNA((VLOOKUP($A8,EY!$A:$AB,28,FALSE)-$CV8),0)</f>
        <v>119727.12</v>
      </c>
      <c r="CR8" s="333">
        <f>_xlfn.IFNA((VLOOKUP($A8,HN!$A:$M,8,FALSE)/12),0)</f>
        <v>0</v>
      </c>
      <c r="CS8" s="333">
        <f>_xlfn.IFNA((VLOOKUP($A8,HN!$A:$M,12,FALSE)/12),0)</f>
        <v>0</v>
      </c>
      <c r="CT8" s="333">
        <f>_xlfn.IFNA((VLOOKUP($A8,HN!$A:$M,9,FALSE)/12),0)</f>
        <v>0</v>
      </c>
      <c r="CU8" s="333">
        <f>_xlfn.IFNA((VLOOKUP($A8,'Post 16'!$A:$AG,33,FALSE)/8),0)</f>
        <v>0</v>
      </c>
      <c r="CV8" s="333">
        <f>_xlfn.IFNA((VLOOKUP($A8,EY!$A:$AB,26,FALSE)*80%),0)</f>
        <v>2340</v>
      </c>
      <c r="CW8" s="333">
        <f>_xlfn.IFNA(((VLOOKUP($A8,HN!$A:$M,10,FALSE)-$U8-$AK8)/10),0)</f>
        <v>2082.7749999999996</v>
      </c>
      <c r="CX8" s="333">
        <f>_xlfn.IFNA(((VLOOKUP($A8,HN!$A:$M,13,FALSE)-$V8-$AL8)/10),0)</f>
        <v>0</v>
      </c>
      <c r="CY8" s="332">
        <f t="shared" ref="CY8:CY39" si="21">$I8/12</f>
        <v>0</v>
      </c>
      <c r="CZ8" s="332">
        <f t="shared" ref="CZ8:CZ39" si="22">$J8/12</f>
        <v>0</v>
      </c>
      <c r="DA8" s="333"/>
      <c r="DB8" s="333"/>
      <c r="DC8" s="333"/>
      <c r="DD8" s="332">
        <f t="shared" ref="DD8:DD39" si="23">SUM(CO8:DC8)</f>
        <v>124149.89499999999</v>
      </c>
      <c r="DE8" s="314">
        <f t="shared" ref="DE8:DE39" si="24">$H8/12</f>
        <v>0</v>
      </c>
      <c r="DF8" s="314"/>
      <c r="DG8" s="314"/>
      <c r="DH8" s="315">
        <f>_xlfn.IFNA((VLOOKUP($A8,HN!$A:$M,8,FALSE)/12),0)</f>
        <v>0</v>
      </c>
      <c r="DI8" s="315">
        <f>_xlfn.IFNA((VLOOKUP($A8,HN!$A:$M,12,FALSE)/12),0)</f>
        <v>0</v>
      </c>
      <c r="DJ8" s="315">
        <f>_xlfn.IFNA((VLOOKUP($A8,HN!$A:$M,9,FALSE)/12),0)</f>
        <v>0</v>
      </c>
      <c r="DK8" s="315">
        <f>_xlfn.IFNA((VLOOKUP($A8,'Post 16'!$A:$AG,33,FALSE)/8),0)</f>
        <v>0</v>
      </c>
      <c r="DL8" s="315"/>
      <c r="DM8" s="315">
        <f>_xlfn.IFNA(((VLOOKUP($A8,HN!$A:$M,10,FALSE)-$U8-$AK8)/10),0)</f>
        <v>2082.7749999999996</v>
      </c>
      <c r="DN8" s="315">
        <f>_xlfn.IFNA(((VLOOKUP($A8,HN!$A:$M,13,FALSE)-$V8-$AL8)/10),0)</f>
        <v>0</v>
      </c>
      <c r="DO8" s="314">
        <f t="shared" ref="DO8:DO39" si="25">$I8/12</f>
        <v>0</v>
      </c>
      <c r="DP8" s="314">
        <f t="shared" ref="DP8:DP39" si="26">$J8/12</f>
        <v>0</v>
      </c>
      <c r="DQ8" s="315"/>
      <c r="DR8" s="315"/>
      <c r="DS8" s="315"/>
      <c r="DT8" s="314">
        <f t="shared" ref="DT8:DT39" si="27">SUM(DE8:DS8)</f>
        <v>2082.7749999999996</v>
      </c>
      <c r="DU8" s="307">
        <f t="shared" ref="DU8:DU39" si="28">$H8/12</f>
        <v>0</v>
      </c>
      <c r="DV8" s="307"/>
      <c r="DW8" s="307"/>
      <c r="DX8" s="308">
        <f>_xlfn.IFNA((VLOOKUP($A8,HN!$A:$M,8,FALSE)/12),0)</f>
        <v>0</v>
      </c>
      <c r="DY8" s="308">
        <f>_xlfn.IFNA((VLOOKUP($A8,HN!$A:$M,12,FALSE)/12),0)</f>
        <v>0</v>
      </c>
      <c r="DZ8" s="308">
        <f>_xlfn.IFNA((VLOOKUP($A8,HN!$A:$M,9,FALSE)/12),0)</f>
        <v>0</v>
      </c>
      <c r="EA8" s="308">
        <f>_xlfn.IFNA((VLOOKUP($A8,'Post 16'!$A:$AG,33,FALSE)/8),0)</f>
        <v>0</v>
      </c>
      <c r="EB8" s="308"/>
      <c r="EC8" s="308">
        <f>_xlfn.IFNA(((VLOOKUP($A8,HN!$A:$M,10,FALSE)-$U8-$AK8)/10),0)</f>
        <v>2082.7749999999996</v>
      </c>
      <c r="ED8" s="308">
        <f>_xlfn.IFNA(((VLOOKUP($A8,HN!$A:$M,13,FALSE)-$V8-$AL8)/10),0)</f>
        <v>0</v>
      </c>
      <c r="EE8" s="307">
        <f t="shared" ref="EE8:EE39" si="29">$I8/12</f>
        <v>0</v>
      </c>
      <c r="EF8" s="307">
        <f t="shared" ref="EF8:EF39" si="30">$J8/12</f>
        <v>0</v>
      </c>
      <c r="EG8" s="308"/>
      <c r="EH8" s="308"/>
      <c r="EI8" s="308"/>
      <c r="EJ8" s="307">
        <f t="shared" ref="EJ8:EJ39" si="31">SUM(DU8:EH8)</f>
        <v>2082.7749999999996</v>
      </c>
      <c r="EK8" s="320">
        <f t="shared" ref="EK8:EK39" si="32">$H8/12</f>
        <v>0</v>
      </c>
      <c r="EL8" s="320"/>
      <c r="EM8" s="320"/>
      <c r="EN8" s="321">
        <f>_xlfn.IFNA((VLOOKUP($A8,HN!$A:$M,8,FALSE)/12),0)</f>
        <v>0</v>
      </c>
      <c r="EO8" s="321">
        <f>_xlfn.IFNA((VLOOKUP($A8,HN!$A:$M,12,FALSE)/12),0)</f>
        <v>0</v>
      </c>
      <c r="EP8" s="321">
        <f>_xlfn.IFNA((VLOOKUP($A8,HN!$A:$M,9,FALSE)/12),0)</f>
        <v>0</v>
      </c>
      <c r="EQ8" s="321">
        <f>_xlfn.IFNA((VLOOKUP($A8,'Post 16'!$A:$AG,33,FALSE)/8),0)</f>
        <v>0</v>
      </c>
      <c r="ER8" s="321"/>
      <c r="ES8" s="321">
        <f>_xlfn.IFNA(((VLOOKUP($A8,HN!$A:$M,10,FALSE)-$U8-$AK8)/10),0)</f>
        <v>2082.7749999999996</v>
      </c>
      <c r="ET8" s="321">
        <f>_xlfn.IFNA(((VLOOKUP($A8,HN!$A:$M,13,FALSE)-$V8-$AL8)/10),0)</f>
        <v>0</v>
      </c>
      <c r="EU8" s="320">
        <f t="shared" ref="EU8:EU39" si="33">$I8/12</f>
        <v>0</v>
      </c>
      <c r="EV8" s="320">
        <f t="shared" ref="EV8:EV39" si="34">$J8/12</f>
        <v>0</v>
      </c>
      <c r="EW8" s="321"/>
      <c r="EX8" s="321"/>
      <c r="EY8" s="321"/>
      <c r="EZ8" s="320">
        <f t="shared" ref="EZ8:EZ39" si="35">SUM(EK8:EY8)</f>
        <v>2082.7749999999996</v>
      </c>
      <c r="FA8" s="286">
        <f t="shared" ref="FA8:FA39" si="36">$H8/12</f>
        <v>0</v>
      </c>
      <c r="FB8" s="286"/>
      <c r="FC8" s="286"/>
      <c r="FD8" s="287">
        <f>_xlfn.IFNA((VLOOKUP($A8,HN!$A:$M,8,FALSE)/12),0)</f>
        <v>0</v>
      </c>
      <c r="FE8" s="287">
        <f>_xlfn.IFNA((VLOOKUP($A8,HN!$A:$M,12,FALSE)/12),0)</f>
        <v>0</v>
      </c>
      <c r="FF8" s="287">
        <f>_xlfn.IFNA((VLOOKUP($A8,HN!$A:$M,9,FALSE)/12),0)</f>
        <v>0</v>
      </c>
      <c r="FG8" s="287">
        <f>_xlfn.IFNA((VLOOKUP($A8,'Post 16'!$A:$AG,33,FALSE)/8),0)</f>
        <v>0</v>
      </c>
      <c r="FH8" s="287"/>
      <c r="FI8" s="287">
        <f>_xlfn.IFNA(((VLOOKUP($A8,HN!$A:$M,10,FALSE)-$U8-$AK8)/10),0)</f>
        <v>2082.7749999999996</v>
      </c>
      <c r="FJ8" s="287">
        <f>_xlfn.IFNA(((VLOOKUP($A8,HN!$A:$M,13,FALSE)-$V8-$AL8)/10),0)</f>
        <v>0</v>
      </c>
      <c r="FK8" s="286">
        <f t="shared" ref="FK8:FK39" si="37">$I8/12</f>
        <v>0</v>
      </c>
      <c r="FL8" s="286">
        <f t="shared" ref="FL8:FL39" si="38">$J8/12</f>
        <v>0</v>
      </c>
      <c r="FM8" s="287"/>
      <c r="FN8" s="287"/>
      <c r="FO8" s="287"/>
      <c r="FP8" s="286">
        <f t="shared" ref="FP8:FP39" si="39">SUM(FA8:FO8)</f>
        <v>2082.7749999999996</v>
      </c>
      <c r="FQ8" s="293">
        <f t="shared" ref="FQ8:FQ39" si="40">$H8/12</f>
        <v>0</v>
      </c>
      <c r="FR8" s="293"/>
      <c r="FS8" s="293"/>
      <c r="FT8" s="294">
        <f>_xlfn.IFNA((VLOOKUP($A8,HN!$A:$M,8,FALSE)/12),0)</f>
        <v>0</v>
      </c>
      <c r="FU8" s="294">
        <f>_xlfn.IFNA((VLOOKUP($A8,HN!$A:$M,12,FALSE)/12),0)</f>
        <v>0</v>
      </c>
      <c r="FV8" s="294">
        <f>_xlfn.IFNA((VLOOKUP($A8,HN!$A:$M,9,FALSE)/12),0)</f>
        <v>0</v>
      </c>
      <c r="FW8" s="294">
        <f>_xlfn.IFNA((VLOOKUP($A8,'Post 16'!$A:$AG,33,FALSE)/8),0)</f>
        <v>0</v>
      </c>
      <c r="FX8" s="294"/>
      <c r="FY8" s="294">
        <f>_xlfn.IFNA(((VLOOKUP($A8,HN!$A:$M,10,FALSE)-$U8-$AK8)/10),0)</f>
        <v>2082.7749999999996</v>
      </c>
      <c r="FZ8" s="294">
        <f>_xlfn.IFNA(((VLOOKUP($A8,HN!$A:$M,13,FALSE)-$V8-$AL8)/10),0)</f>
        <v>0</v>
      </c>
      <c r="GA8" s="293">
        <f t="shared" ref="GA8:GA39" si="41">$I8/12</f>
        <v>0</v>
      </c>
      <c r="GB8" s="293">
        <f t="shared" ref="GB8:GB39" si="42">$J8/12</f>
        <v>0</v>
      </c>
      <c r="GC8" s="294"/>
      <c r="GD8" s="294"/>
      <c r="GE8" s="294"/>
      <c r="GF8" s="293">
        <f t="shared" ref="GF8:GF39" si="43">SUM(FQ8:GE8)</f>
        <v>2082.7749999999996</v>
      </c>
      <c r="GG8" s="300">
        <f t="shared" ref="GG8:GG39" si="44">$H8/12</f>
        <v>0</v>
      </c>
      <c r="GH8" s="300"/>
      <c r="GI8" s="300"/>
      <c r="GJ8" s="301">
        <f>_xlfn.IFNA((VLOOKUP($A8,HN!$A:$M,8,FALSE)/12),0)</f>
        <v>0</v>
      </c>
      <c r="GK8" s="301">
        <f>_xlfn.IFNA((VLOOKUP($A8,HN!$A:$M,12,FALSE)/12),0)</f>
        <v>0</v>
      </c>
      <c r="GL8" s="301">
        <f>_xlfn.IFNA((VLOOKUP($A8,HN!$A:$M,9,FALSE)/12),0)</f>
        <v>0</v>
      </c>
      <c r="GM8" s="301">
        <f>_xlfn.IFNA((VLOOKUP($A8,'Post 16'!$A:$AG,33,FALSE)/8),0)</f>
        <v>0</v>
      </c>
      <c r="GN8" s="301"/>
      <c r="GO8" s="301">
        <f>_xlfn.IFNA(((VLOOKUP($A8,HN!$A:$M,10,FALSE)-$U8-$AK8)/10),0)</f>
        <v>2082.7749999999996</v>
      </c>
      <c r="GP8" s="301">
        <f>_xlfn.IFNA(((VLOOKUP($A8,HN!$A:$M,13,FALSE)-$V8-$AL8)/10),0)</f>
        <v>0</v>
      </c>
      <c r="GQ8" s="300">
        <f t="shared" ref="GQ8:GQ39" si="45">$I8/12</f>
        <v>0</v>
      </c>
      <c r="GR8" s="300">
        <f t="shared" ref="GR8:GR39" si="46">$J8/12</f>
        <v>0</v>
      </c>
      <c r="GS8" s="301"/>
      <c r="GT8" s="301"/>
      <c r="GU8" s="301"/>
      <c r="GV8" s="300">
        <f t="shared" ref="GV8:GV39" si="47">SUM(GG8:GU8)</f>
        <v>2082.7749999999996</v>
      </c>
      <c r="GX8" s="146">
        <f t="shared" ref="GX8:HC17" si="48">SUMIFS($M8:$GV8,$M$7:$GV$7,GX$7)</f>
        <v>508693.33784213063</v>
      </c>
      <c r="GY8" s="146">
        <f t="shared" si="48"/>
        <v>0</v>
      </c>
      <c r="GZ8" s="146">
        <f t="shared" si="48"/>
        <v>43586.510803324119</v>
      </c>
      <c r="HA8" s="146">
        <f t="shared" si="48"/>
        <v>0</v>
      </c>
      <c r="HB8" s="146">
        <f t="shared" si="48"/>
        <v>0</v>
      </c>
      <c r="HC8" s="146">
        <f t="shared" si="48"/>
        <v>0</v>
      </c>
      <c r="HE8" s="146">
        <f t="shared" ref="HE8:HJ17" si="49">SUMIFS($M8:$GV8,$M$7:$GV$7,HE$7,$M$4:$GV$4,$HE$6)</f>
        <v>388966.21784213063</v>
      </c>
      <c r="HF8" s="146">
        <f t="shared" si="49"/>
        <v>0</v>
      </c>
      <c r="HG8" s="146">
        <f t="shared" si="49"/>
        <v>22501.535803324106</v>
      </c>
      <c r="HH8" s="146">
        <f t="shared" si="49"/>
        <v>0</v>
      </c>
      <c r="HI8" s="146">
        <f t="shared" si="49"/>
        <v>0</v>
      </c>
      <c r="HJ8" s="146">
        <f t="shared" si="49"/>
        <v>0</v>
      </c>
      <c r="HL8" s="146"/>
      <c r="HM8" s="57"/>
    </row>
    <row r="9" spans="1:221">
      <c r="A9" s="185">
        <v>2010</v>
      </c>
      <c r="B9" s="185">
        <v>103159</v>
      </c>
      <c r="C9" s="185" t="s">
        <v>37</v>
      </c>
      <c r="D9" s="2" t="s">
        <v>38</v>
      </c>
      <c r="E9" s="190" t="s">
        <v>39</v>
      </c>
      <c r="F9" s="190" t="s">
        <v>890</v>
      </c>
      <c r="H9" s="271">
        <f>_xlfn.IFNA(VLOOKUP($A9,ISB!$A$4:$BY$441,67,FALSE),0)</f>
        <v>2363930.0357158198</v>
      </c>
      <c r="I9" s="271">
        <f>_xlfn.IFNA(VLOOKUP($A9,ISB!$A$4:$BY$441,72,FALSE),0)</f>
        <v>-8665.1999999999989</v>
      </c>
      <c r="J9" s="271">
        <f>-_xlfn.IFNA(VLOOKUP($A9,ISB!$A$4:$BY$441,76,FALSE),0)</f>
        <v>-59935.512000000002</v>
      </c>
      <c r="K9" s="271">
        <f>_xlfn.IFNA(VLOOKUP($A9,ISB!$A$4:$BY$441,77,FALSE),0)</f>
        <v>2295329.3237158195</v>
      </c>
      <c r="M9" s="279">
        <f t="shared" si="0"/>
        <v>196994.16964298498</v>
      </c>
      <c r="N9" s="279"/>
      <c r="O9" s="279">
        <f>_xlfn.IFNA(VLOOKUP($A9,EY!$A:$H,8,FALSE)+(VLOOKUP($A9,EY!$A:$R,18,FALSE)-$T9),0)</f>
        <v>0</v>
      </c>
      <c r="P9" s="280">
        <f>_xlfn.IFNA((VLOOKUP($A9,HN!$A:$M,8,FALSE)/12),0)</f>
        <v>0</v>
      </c>
      <c r="Q9" s="280">
        <f>_xlfn.IFNA((VLOOKUP($A9,HN!$A:$M,12,FALSE)/12),0)</f>
        <v>0</v>
      </c>
      <c r="R9" s="280">
        <f>_xlfn.IFNA((VLOOKUP($A9,HN!$A:$M,9,FALSE)/12),0)</f>
        <v>0</v>
      </c>
      <c r="S9" s="280">
        <f>_xlfn.IFNA((VLOOKUP($A9,'Post 16'!$A:$AR,22,FALSE)/4),0)</f>
        <v>0</v>
      </c>
      <c r="T9" s="280">
        <f>_xlfn.IFNA((VLOOKUP($A9,EY!$A:$R,16,FALSE)*80%),0)</f>
        <v>0</v>
      </c>
      <c r="U9" s="280">
        <v>479.6875</v>
      </c>
      <c r="V9" s="280">
        <v>0</v>
      </c>
      <c r="W9" s="279">
        <f t="shared" si="1"/>
        <v>-722.09999999999991</v>
      </c>
      <c r="X9" s="279">
        <f t="shared" si="2"/>
        <v>-4994.6260000000002</v>
      </c>
      <c r="Y9" s="280"/>
      <c r="Z9" s="280"/>
      <c r="AA9" s="280"/>
      <c r="AB9" s="279">
        <f t="shared" si="3"/>
        <v>191757.13114298499</v>
      </c>
      <c r="AC9" s="293">
        <f t="shared" si="4"/>
        <v>196994.16964298498</v>
      </c>
      <c r="AD9" s="293"/>
      <c r="AE9" s="293"/>
      <c r="AF9" s="294">
        <f>_xlfn.IFNA((VLOOKUP($A9,HN!$A:$M,8,FALSE)/12),0)</f>
        <v>0</v>
      </c>
      <c r="AG9" s="294">
        <f>_xlfn.IFNA((VLOOKUP($A9,HN!$A:$M,12,FALSE)/12),0)+_xlfn.IFNA(VLOOKUP($A9,HN!$A:$Q,17,FALSE),0)</f>
        <v>0</v>
      </c>
      <c r="AH9" s="294">
        <f>_xlfn.IFNA((VLOOKUP($A9,HN!$A:$M,9,FALSE)/12),0)</f>
        <v>0</v>
      </c>
      <c r="AI9" s="294">
        <f>_xlfn.IFNA((VLOOKUP($A9,'Post 16'!$A:$AR,22,FALSE)/4),0)</f>
        <v>0</v>
      </c>
      <c r="AJ9" s="294"/>
      <c r="AK9" s="294">
        <f>_xlfn.IFNA((VLOOKUP($A9,HN!$A:$M,10,FALSE)/12),0)</f>
        <v>1414.1316666666669</v>
      </c>
      <c r="AL9" s="294">
        <f>_xlfn.IFNA((VLOOKUP($A9,HN!$A:$M,13,FALSE)/12),0)</f>
        <v>0</v>
      </c>
      <c r="AM9" s="293">
        <f t="shared" si="5"/>
        <v>-722.09999999999991</v>
      </c>
      <c r="AN9" s="293">
        <f t="shared" si="6"/>
        <v>-4994.6260000000002</v>
      </c>
      <c r="AO9" s="294"/>
      <c r="AP9" s="294"/>
      <c r="AQ9" s="294"/>
      <c r="AR9" s="293">
        <f t="shared" si="7"/>
        <v>192691.57530965164</v>
      </c>
      <c r="AS9" s="286">
        <f t="shared" si="8"/>
        <v>196994.16964298498</v>
      </c>
      <c r="AT9" s="286"/>
      <c r="AU9" s="286">
        <f>_xlfn.IFNA(VLOOKUP(A9,EY!A:AO,40,FALSE),0)</f>
        <v>0</v>
      </c>
      <c r="AV9" s="287">
        <f>_xlfn.IFNA((VLOOKUP($A9,HN!$A:$M,8,FALSE)/12),0)</f>
        <v>0</v>
      </c>
      <c r="AW9" s="287">
        <f>_xlfn.IFNA((VLOOKUP($A9,HN!$A:$M,12,FALSE)/12),0)+_xlfn.IFNA(VLOOKUP($A9,HN!$A$8:$AU$200,19,FALSE),0)</f>
        <v>0</v>
      </c>
      <c r="AX9" s="287">
        <f>_xlfn.IFNA((VLOOKUP($A9,HN!$A:$M,9,FALSE)/12),0)</f>
        <v>0</v>
      </c>
      <c r="AY9" s="287">
        <f>_xlfn.IFNA((VLOOKUP($A9,'Post 16'!$A:$AR,22,FALSE)/4),0)</f>
        <v>0</v>
      </c>
      <c r="AZ9" s="287">
        <f>_xlfn.IFNA(VLOOKUP(A9,EY!A:AO,41,FALSE),0)</f>
        <v>0</v>
      </c>
      <c r="BA9" s="287">
        <f>_xlfn.IFNA(((VLOOKUP($A9,HN!$A:$M,10,FALSE)-$U9-$AK9)/10),0)+_xlfn.IFNA(VLOOKUP($A9,HN!$A:$R,18,FALSE),0)</f>
        <v>1507.5760833333336</v>
      </c>
      <c r="BB9" s="287">
        <f>_xlfn.IFNA(((VLOOKUP($A9,HN!$A:$M,13,FALSE)-$V9-$AL9)/10),0)+_xlfn.IFNA(VLOOKUP($A9,HN!$A$8:$AU$200,20,FALSE),0)</f>
        <v>0</v>
      </c>
      <c r="BC9" s="286">
        <f t="shared" si="9"/>
        <v>-722.09999999999991</v>
      </c>
      <c r="BD9" s="286">
        <f t="shared" si="10"/>
        <v>-4994.6260000000002</v>
      </c>
      <c r="BE9" s="287"/>
      <c r="BF9" s="287"/>
      <c r="BG9" s="287"/>
      <c r="BH9" s="286">
        <f t="shared" si="11"/>
        <v>192785.01972631834</v>
      </c>
      <c r="BI9" s="307">
        <f t="shared" si="12"/>
        <v>196994.16964298498</v>
      </c>
      <c r="BJ9" s="307">
        <f>_xlfn.IFNA(VLOOKUP(A9,'LA Deductions'!A:AH,34,FALSE),0)</f>
        <v>0</v>
      </c>
      <c r="BK9" s="307"/>
      <c r="BL9" s="308">
        <f>_xlfn.IFNA((VLOOKUP($A9,HN!$A:$M,8,FALSE)/12),0)</f>
        <v>0</v>
      </c>
      <c r="BM9" s="308">
        <f>_xlfn.IFNA((VLOOKUP($A9,HN!$A:$M,12,FALSE)/12),0)</f>
        <v>0</v>
      </c>
      <c r="BN9" s="308">
        <f>_xlfn.IFNA((VLOOKUP($A9,HN!$A:$M,9,FALSE)/12),0)</f>
        <v>0</v>
      </c>
      <c r="BO9" s="308">
        <f>_xlfn.IFNA((VLOOKUP($A9,'Post 16'!$A:$AR,22,FALSE)/4),0)</f>
        <v>0</v>
      </c>
      <c r="BP9" s="308"/>
      <c r="BQ9" s="308">
        <f>_xlfn.IFNA(((VLOOKUP($A9,HN!$A:$M,10,FALSE)-$U9-$AK9)/10),0)</f>
        <v>1507.5760833333336</v>
      </c>
      <c r="BR9" s="308">
        <f>_xlfn.IFNA(((VLOOKUP($A9,HN!$A:$M,13,FALSE)-$V9-$AL9)/10),0)</f>
        <v>0</v>
      </c>
      <c r="BS9" s="307">
        <f t="shared" si="13"/>
        <v>-722.09999999999991</v>
      </c>
      <c r="BT9" s="307">
        <f t="shared" si="14"/>
        <v>-4994.6260000000002</v>
      </c>
      <c r="BU9" s="308"/>
      <c r="BV9" s="308"/>
      <c r="BW9" s="308"/>
      <c r="BX9" s="307">
        <f t="shared" si="15"/>
        <v>192785.01972631834</v>
      </c>
      <c r="BY9" s="300">
        <f t="shared" si="16"/>
        <v>196994.16964298498</v>
      </c>
      <c r="BZ9" s="300"/>
      <c r="CA9" s="300"/>
      <c r="CB9" s="301">
        <f>_xlfn.IFNA((VLOOKUP($A9,HN!$A:$M,8,FALSE)/12),0)</f>
        <v>0</v>
      </c>
      <c r="CC9" s="301">
        <f>_xlfn.IFNA((VLOOKUP($A9,HN!$A:$M,12,FALSE)/12),0)</f>
        <v>0</v>
      </c>
      <c r="CD9" s="301">
        <f>_xlfn.IFNA((VLOOKUP($A9,HN!$A:$M,9,FALSE)/12),0)</f>
        <v>0</v>
      </c>
      <c r="CE9" s="301">
        <f>_xlfn.IFNA((VLOOKUP($A9,'Post 16'!$A:$AG,33,FALSE)/8),0)</f>
        <v>0</v>
      </c>
      <c r="CF9" s="301"/>
      <c r="CG9" s="301">
        <f>_xlfn.IFNA(((VLOOKUP($A9,HN!$A:$M,10,FALSE)-$U9-$AK9)/10),0)</f>
        <v>1507.5760833333336</v>
      </c>
      <c r="CH9" s="301">
        <f>_xlfn.IFNA(((VLOOKUP($A9,HN!$A:$M,13,FALSE)-$V9-$AL9)/10),0)</f>
        <v>0</v>
      </c>
      <c r="CI9" s="300">
        <f t="shared" si="17"/>
        <v>-722.09999999999991</v>
      </c>
      <c r="CJ9" s="300">
        <f t="shared" si="18"/>
        <v>-4994.6260000000002</v>
      </c>
      <c r="CK9" s="301"/>
      <c r="CL9" s="301"/>
      <c r="CM9" s="301"/>
      <c r="CN9" s="300">
        <f t="shared" si="19"/>
        <v>192785.01972631834</v>
      </c>
      <c r="CO9" s="332">
        <f t="shared" si="20"/>
        <v>196994.16964298498</v>
      </c>
      <c r="CP9" s="332"/>
      <c r="CQ9" s="332">
        <f>_xlfn.IFNA((VLOOKUP($A9,EY!$A:$AB,28,FALSE)-$CV9),0)</f>
        <v>0</v>
      </c>
      <c r="CR9" s="333">
        <f>_xlfn.IFNA((VLOOKUP($A9,HN!$A:$M,8,FALSE)/12),0)</f>
        <v>0</v>
      </c>
      <c r="CS9" s="333">
        <f>_xlfn.IFNA((VLOOKUP($A9,HN!$A:$M,12,FALSE)/12),0)</f>
        <v>0</v>
      </c>
      <c r="CT9" s="333">
        <f>_xlfn.IFNA((VLOOKUP($A9,HN!$A:$M,9,FALSE)/12),0)</f>
        <v>0</v>
      </c>
      <c r="CU9" s="333">
        <f>_xlfn.IFNA((VLOOKUP($A9,'Post 16'!$A:$AG,33,FALSE)/8),0)</f>
        <v>0</v>
      </c>
      <c r="CV9" s="333">
        <f>_xlfn.IFNA((VLOOKUP($A9,EY!$A:$AB,26,FALSE)*80%),0)</f>
        <v>0</v>
      </c>
      <c r="CW9" s="333">
        <f>_xlfn.IFNA(((VLOOKUP($A9,HN!$A:$M,10,FALSE)-$U9-$AK9)/10),0)</f>
        <v>1507.5760833333336</v>
      </c>
      <c r="CX9" s="333">
        <f>_xlfn.IFNA(((VLOOKUP($A9,HN!$A:$M,13,FALSE)-$V9-$AL9)/10),0)</f>
        <v>0</v>
      </c>
      <c r="CY9" s="332">
        <f t="shared" si="21"/>
        <v>-722.09999999999991</v>
      </c>
      <c r="CZ9" s="332">
        <f t="shared" si="22"/>
        <v>-4994.6260000000002</v>
      </c>
      <c r="DA9" s="333"/>
      <c r="DB9" s="333"/>
      <c r="DC9" s="333"/>
      <c r="DD9" s="332">
        <f t="shared" si="23"/>
        <v>192785.01972631834</v>
      </c>
      <c r="DE9" s="314">
        <f t="shared" si="24"/>
        <v>196994.16964298498</v>
      </c>
      <c r="DF9" s="314"/>
      <c r="DG9" s="314"/>
      <c r="DH9" s="315">
        <f>_xlfn.IFNA((VLOOKUP($A9,HN!$A:$M,8,FALSE)/12),0)</f>
        <v>0</v>
      </c>
      <c r="DI9" s="315">
        <f>_xlfn.IFNA((VLOOKUP($A9,HN!$A:$M,12,FALSE)/12),0)</f>
        <v>0</v>
      </c>
      <c r="DJ9" s="315">
        <f>_xlfn.IFNA((VLOOKUP($A9,HN!$A:$M,9,FALSE)/12),0)</f>
        <v>0</v>
      </c>
      <c r="DK9" s="315">
        <f>_xlfn.IFNA((VLOOKUP($A9,'Post 16'!$A:$AG,33,FALSE)/8),0)</f>
        <v>0</v>
      </c>
      <c r="DL9" s="315"/>
      <c r="DM9" s="315">
        <f>_xlfn.IFNA(((VLOOKUP($A9,HN!$A:$M,10,FALSE)-$U9-$AK9)/10),0)</f>
        <v>1507.5760833333336</v>
      </c>
      <c r="DN9" s="315">
        <f>_xlfn.IFNA(((VLOOKUP($A9,HN!$A:$M,13,FALSE)-$V9-$AL9)/10),0)</f>
        <v>0</v>
      </c>
      <c r="DO9" s="314">
        <f t="shared" si="25"/>
        <v>-722.09999999999991</v>
      </c>
      <c r="DP9" s="314">
        <f t="shared" si="26"/>
        <v>-4994.6260000000002</v>
      </c>
      <c r="DQ9" s="315"/>
      <c r="DR9" s="315"/>
      <c r="DS9" s="315"/>
      <c r="DT9" s="314">
        <f t="shared" si="27"/>
        <v>192785.01972631834</v>
      </c>
      <c r="DU9" s="307">
        <f t="shared" si="28"/>
        <v>196994.16964298498</v>
      </c>
      <c r="DV9" s="307"/>
      <c r="DW9" s="307"/>
      <c r="DX9" s="308">
        <f>_xlfn.IFNA((VLOOKUP($A9,HN!$A:$M,8,FALSE)/12),0)</f>
        <v>0</v>
      </c>
      <c r="DY9" s="308">
        <f>_xlfn.IFNA((VLOOKUP($A9,HN!$A:$M,12,FALSE)/12),0)</f>
        <v>0</v>
      </c>
      <c r="DZ9" s="308">
        <f>_xlfn.IFNA((VLOOKUP($A9,HN!$A:$M,9,FALSE)/12),0)</f>
        <v>0</v>
      </c>
      <c r="EA9" s="308">
        <f>_xlfn.IFNA((VLOOKUP($A9,'Post 16'!$A:$AG,33,FALSE)/8),0)</f>
        <v>0</v>
      </c>
      <c r="EB9" s="308"/>
      <c r="EC9" s="308">
        <f>_xlfn.IFNA(((VLOOKUP($A9,HN!$A:$M,10,FALSE)-$U9-$AK9)/10),0)</f>
        <v>1507.5760833333336</v>
      </c>
      <c r="ED9" s="308">
        <f>_xlfn.IFNA(((VLOOKUP($A9,HN!$A:$M,13,FALSE)-$V9-$AL9)/10),0)</f>
        <v>0</v>
      </c>
      <c r="EE9" s="307">
        <f t="shared" si="29"/>
        <v>-722.09999999999991</v>
      </c>
      <c r="EF9" s="307">
        <f t="shared" si="30"/>
        <v>-4994.6260000000002</v>
      </c>
      <c r="EG9" s="308"/>
      <c r="EH9" s="308"/>
      <c r="EI9" s="308"/>
      <c r="EJ9" s="307">
        <f t="shared" si="31"/>
        <v>192785.01972631834</v>
      </c>
      <c r="EK9" s="320">
        <f t="shared" si="32"/>
        <v>196994.16964298498</v>
      </c>
      <c r="EL9" s="320"/>
      <c r="EM9" s="320"/>
      <c r="EN9" s="321">
        <f>_xlfn.IFNA((VLOOKUP($A9,HN!$A:$M,8,FALSE)/12),0)</f>
        <v>0</v>
      </c>
      <c r="EO9" s="321">
        <f>_xlfn.IFNA((VLOOKUP($A9,HN!$A:$M,12,FALSE)/12),0)</f>
        <v>0</v>
      </c>
      <c r="EP9" s="321">
        <f>_xlfn.IFNA((VLOOKUP($A9,HN!$A:$M,9,FALSE)/12),0)</f>
        <v>0</v>
      </c>
      <c r="EQ9" s="321">
        <f>_xlfn.IFNA((VLOOKUP($A9,'Post 16'!$A:$AG,33,FALSE)/8),0)</f>
        <v>0</v>
      </c>
      <c r="ER9" s="321"/>
      <c r="ES9" s="321">
        <f>_xlfn.IFNA(((VLOOKUP($A9,HN!$A:$M,10,FALSE)-$U9-$AK9)/10),0)</f>
        <v>1507.5760833333336</v>
      </c>
      <c r="ET9" s="321">
        <f>_xlfn.IFNA(((VLOOKUP($A9,HN!$A:$M,13,FALSE)-$V9-$AL9)/10),0)</f>
        <v>0</v>
      </c>
      <c r="EU9" s="320">
        <f t="shared" si="33"/>
        <v>-722.09999999999991</v>
      </c>
      <c r="EV9" s="320">
        <f t="shared" si="34"/>
        <v>-4994.6260000000002</v>
      </c>
      <c r="EW9" s="321"/>
      <c r="EX9" s="321"/>
      <c r="EY9" s="321"/>
      <c r="EZ9" s="320">
        <f t="shared" si="35"/>
        <v>192785.01972631834</v>
      </c>
      <c r="FA9" s="286">
        <f t="shared" si="36"/>
        <v>196994.16964298498</v>
      </c>
      <c r="FB9" s="286"/>
      <c r="FC9" s="286"/>
      <c r="FD9" s="287">
        <f>_xlfn.IFNA((VLOOKUP($A9,HN!$A:$M,8,FALSE)/12),0)</f>
        <v>0</v>
      </c>
      <c r="FE9" s="287">
        <f>_xlfn.IFNA((VLOOKUP($A9,HN!$A:$M,12,FALSE)/12),0)</f>
        <v>0</v>
      </c>
      <c r="FF9" s="287">
        <f>_xlfn.IFNA((VLOOKUP($A9,HN!$A:$M,9,FALSE)/12),0)</f>
        <v>0</v>
      </c>
      <c r="FG9" s="287">
        <f>_xlfn.IFNA((VLOOKUP($A9,'Post 16'!$A:$AG,33,FALSE)/8),0)</f>
        <v>0</v>
      </c>
      <c r="FH9" s="287"/>
      <c r="FI9" s="287">
        <f>_xlfn.IFNA(((VLOOKUP($A9,HN!$A:$M,10,FALSE)-$U9-$AK9)/10),0)</f>
        <v>1507.5760833333336</v>
      </c>
      <c r="FJ9" s="287">
        <f>_xlfn.IFNA(((VLOOKUP($A9,HN!$A:$M,13,FALSE)-$V9-$AL9)/10),0)</f>
        <v>0</v>
      </c>
      <c r="FK9" s="286">
        <f t="shared" si="37"/>
        <v>-722.09999999999991</v>
      </c>
      <c r="FL9" s="286">
        <f t="shared" si="38"/>
        <v>-4994.6260000000002</v>
      </c>
      <c r="FM9" s="287"/>
      <c r="FN9" s="287"/>
      <c r="FO9" s="287"/>
      <c r="FP9" s="286">
        <f t="shared" si="39"/>
        <v>192785.01972631834</v>
      </c>
      <c r="FQ9" s="293">
        <f t="shared" si="40"/>
        <v>196994.16964298498</v>
      </c>
      <c r="FR9" s="293"/>
      <c r="FS9" s="293"/>
      <c r="FT9" s="294">
        <f>_xlfn.IFNA((VLOOKUP($A9,HN!$A:$M,8,FALSE)/12),0)</f>
        <v>0</v>
      </c>
      <c r="FU9" s="294">
        <f>_xlfn.IFNA((VLOOKUP($A9,HN!$A:$M,12,FALSE)/12),0)</f>
        <v>0</v>
      </c>
      <c r="FV9" s="294">
        <f>_xlfn.IFNA((VLOOKUP($A9,HN!$A:$M,9,FALSE)/12),0)</f>
        <v>0</v>
      </c>
      <c r="FW9" s="294">
        <f>_xlfn.IFNA((VLOOKUP($A9,'Post 16'!$A:$AG,33,FALSE)/8),0)</f>
        <v>0</v>
      </c>
      <c r="FX9" s="294"/>
      <c r="FY9" s="294">
        <f>_xlfn.IFNA(((VLOOKUP($A9,HN!$A:$M,10,FALSE)-$U9-$AK9)/10),0)</f>
        <v>1507.5760833333336</v>
      </c>
      <c r="FZ9" s="294">
        <f>_xlfn.IFNA(((VLOOKUP($A9,HN!$A:$M,13,FALSE)-$V9-$AL9)/10),0)</f>
        <v>0</v>
      </c>
      <c r="GA9" s="293">
        <f t="shared" si="41"/>
        <v>-722.09999999999991</v>
      </c>
      <c r="GB9" s="293">
        <f t="shared" si="42"/>
        <v>-4994.6260000000002</v>
      </c>
      <c r="GC9" s="294"/>
      <c r="GD9" s="294"/>
      <c r="GE9" s="294"/>
      <c r="GF9" s="293">
        <f t="shared" si="43"/>
        <v>192785.01972631834</v>
      </c>
      <c r="GG9" s="300">
        <f t="shared" si="44"/>
        <v>196994.16964298498</v>
      </c>
      <c r="GH9" s="300"/>
      <c r="GI9" s="300"/>
      <c r="GJ9" s="301">
        <f>_xlfn.IFNA((VLOOKUP($A9,HN!$A:$M,8,FALSE)/12),0)</f>
        <v>0</v>
      </c>
      <c r="GK9" s="301">
        <f>_xlfn.IFNA((VLOOKUP($A9,HN!$A:$M,12,FALSE)/12),0)</f>
        <v>0</v>
      </c>
      <c r="GL9" s="301">
        <f>_xlfn.IFNA((VLOOKUP($A9,HN!$A:$M,9,FALSE)/12),0)</f>
        <v>0</v>
      </c>
      <c r="GM9" s="301">
        <f>_xlfn.IFNA((VLOOKUP($A9,'Post 16'!$A:$AG,33,FALSE)/8),0)</f>
        <v>0</v>
      </c>
      <c r="GN9" s="301"/>
      <c r="GO9" s="301">
        <f>_xlfn.IFNA(((VLOOKUP($A9,HN!$A:$M,10,FALSE)-$U9-$AK9)/10),0)</f>
        <v>1507.5760833333336</v>
      </c>
      <c r="GP9" s="301">
        <f>_xlfn.IFNA(((VLOOKUP($A9,HN!$A:$M,13,FALSE)-$V9-$AL9)/10),0)</f>
        <v>0</v>
      </c>
      <c r="GQ9" s="300">
        <f t="shared" si="45"/>
        <v>-722.09999999999991</v>
      </c>
      <c r="GR9" s="300">
        <f t="shared" si="46"/>
        <v>-4994.6260000000002</v>
      </c>
      <c r="GS9" s="301"/>
      <c r="GT9" s="301"/>
      <c r="GU9" s="301"/>
      <c r="GV9" s="300">
        <f t="shared" si="47"/>
        <v>192785.01972631834</v>
      </c>
      <c r="GX9" s="146">
        <f t="shared" si="48"/>
        <v>2363930.0357158193</v>
      </c>
      <c r="GY9" s="146">
        <f t="shared" si="48"/>
        <v>0</v>
      </c>
      <c r="GZ9" s="146">
        <f t="shared" si="48"/>
        <v>16969.580000000002</v>
      </c>
      <c r="HA9" s="146">
        <f t="shared" si="48"/>
        <v>-8665.2000000000007</v>
      </c>
      <c r="HB9" s="146">
        <f t="shared" si="48"/>
        <v>-59935.512000000017</v>
      </c>
      <c r="HC9" s="146">
        <f t="shared" si="48"/>
        <v>0</v>
      </c>
      <c r="HE9" s="146">
        <f t="shared" si="49"/>
        <v>590982.50892895495</v>
      </c>
      <c r="HF9" s="146">
        <f t="shared" si="49"/>
        <v>0</v>
      </c>
      <c r="HG9" s="146">
        <f t="shared" si="49"/>
        <v>3401.3952500000005</v>
      </c>
      <c r="HH9" s="146">
        <f t="shared" si="49"/>
        <v>-2166.2999999999997</v>
      </c>
      <c r="HI9" s="146">
        <f t="shared" si="49"/>
        <v>-14983.878000000001</v>
      </c>
      <c r="HJ9" s="146">
        <f t="shared" si="49"/>
        <v>0</v>
      </c>
      <c r="HL9" s="146"/>
      <c r="HM9" s="57"/>
    </row>
    <row r="10" spans="1:221">
      <c r="A10" s="185">
        <v>5949</v>
      </c>
      <c r="B10" s="185">
        <v>131465</v>
      </c>
      <c r="C10" s="185" t="s">
        <v>40</v>
      </c>
      <c r="D10" s="2" t="s">
        <v>41</v>
      </c>
      <c r="E10" s="190" t="s">
        <v>39</v>
      </c>
      <c r="F10" s="190" t="s">
        <v>890</v>
      </c>
      <c r="H10" s="271">
        <f>_xlfn.IFNA(VLOOKUP($A10,ISB!$A$4:$BY$441,67,FALSE),0)</f>
        <v>3746017.3042209558</v>
      </c>
      <c r="I10" s="271">
        <f>_xlfn.IFNA(VLOOKUP($A10,ISB!$A$4:$BY$441,72,FALSE),0)</f>
        <v>-15637.199999999999</v>
      </c>
      <c r="J10" s="271">
        <f>-_xlfn.IFNA(VLOOKUP($A10,ISB!$A$4:$BY$441,76,FALSE),0)</f>
        <v>-11237.9085</v>
      </c>
      <c r="K10" s="271">
        <f>_xlfn.IFNA(VLOOKUP($A10,ISB!$A$4:$BY$441,77,FALSE),0)</f>
        <v>3719142.1957209557</v>
      </c>
      <c r="M10" s="279">
        <f t="shared" si="0"/>
        <v>312168.10868507967</v>
      </c>
      <c r="N10" s="279"/>
      <c r="O10" s="279">
        <f>_xlfn.IFNA(VLOOKUP($A10,EY!$A:$H,8,FALSE)+(VLOOKUP($A10,EY!$A:$R,18,FALSE)-$T10),0)</f>
        <v>0</v>
      </c>
      <c r="P10" s="280">
        <f>_xlfn.IFNA((VLOOKUP($A10,HN!$A:$M,8,FALSE)/12),0)</f>
        <v>0</v>
      </c>
      <c r="Q10" s="280">
        <f>_xlfn.IFNA((VLOOKUP($A10,HN!$A:$M,12,FALSE)/12),0)</f>
        <v>0</v>
      </c>
      <c r="R10" s="280">
        <f>_xlfn.IFNA((VLOOKUP($A10,HN!$A:$M,9,FALSE)/12),0)</f>
        <v>0</v>
      </c>
      <c r="S10" s="280">
        <f>_xlfn.IFNA((VLOOKUP($A10,'Post 16'!$A:$AR,22,FALSE)/4),0)</f>
        <v>0</v>
      </c>
      <c r="T10" s="280">
        <f>_xlfn.IFNA((VLOOKUP($A10,EY!$A:$R,16,FALSE)*80%),0)</f>
        <v>0</v>
      </c>
      <c r="U10" s="280">
        <v>6546.8474999999999</v>
      </c>
      <c r="V10" s="280">
        <v>0</v>
      </c>
      <c r="W10" s="279">
        <f t="shared" si="1"/>
        <v>-1303.0999999999999</v>
      </c>
      <c r="X10" s="279">
        <f t="shared" si="2"/>
        <v>-936.49237499999992</v>
      </c>
      <c r="Y10" s="280"/>
      <c r="Z10" s="280"/>
      <c r="AA10" s="280"/>
      <c r="AB10" s="279">
        <f t="shared" si="3"/>
        <v>316475.3638100797</v>
      </c>
      <c r="AC10" s="293">
        <f t="shared" si="4"/>
        <v>312168.10868507967</v>
      </c>
      <c r="AD10" s="293"/>
      <c r="AE10" s="293"/>
      <c r="AF10" s="294">
        <f>_xlfn.IFNA((VLOOKUP($A10,HN!$A:$M,8,FALSE)/12),0)</f>
        <v>0</v>
      </c>
      <c r="AG10" s="294">
        <f>_xlfn.IFNA((VLOOKUP($A10,HN!$A:$M,12,FALSE)/12),0)+_xlfn.IFNA(VLOOKUP($A10,HN!$A:$Q,17,FALSE),0)</f>
        <v>0</v>
      </c>
      <c r="AH10" s="294">
        <f>_xlfn.IFNA((VLOOKUP($A10,HN!$A:$M,9,FALSE)/12),0)</f>
        <v>0</v>
      </c>
      <c r="AI10" s="294">
        <f>_xlfn.IFNA((VLOOKUP($A10,'Post 16'!$A:$AR,22,FALSE)/4),0)</f>
        <v>0</v>
      </c>
      <c r="AJ10" s="294"/>
      <c r="AK10" s="294">
        <f>_xlfn.IFNA((VLOOKUP($A10,HN!$A:$M,10,FALSE)/12),0)</f>
        <v>5463.354166666667</v>
      </c>
      <c r="AL10" s="294">
        <f>_xlfn.IFNA((VLOOKUP($A10,HN!$A:$M,13,FALSE)/12),0)</f>
        <v>0</v>
      </c>
      <c r="AM10" s="293">
        <f t="shared" si="5"/>
        <v>-1303.0999999999999</v>
      </c>
      <c r="AN10" s="293">
        <f t="shared" si="6"/>
        <v>-936.49237499999992</v>
      </c>
      <c r="AO10" s="294"/>
      <c r="AP10" s="294"/>
      <c r="AQ10" s="294"/>
      <c r="AR10" s="293">
        <f t="shared" si="7"/>
        <v>315391.87047674641</v>
      </c>
      <c r="AS10" s="286">
        <f t="shared" si="8"/>
        <v>312168.10868507967</v>
      </c>
      <c r="AT10" s="286"/>
      <c r="AU10" s="286">
        <f>_xlfn.IFNA(VLOOKUP(A10,EY!A:AO,40,FALSE),0)</f>
        <v>0</v>
      </c>
      <c r="AV10" s="287">
        <f>_xlfn.IFNA((VLOOKUP($A10,HN!$A:$M,8,FALSE)/12),0)</f>
        <v>0</v>
      </c>
      <c r="AW10" s="287">
        <f>_xlfn.IFNA((VLOOKUP($A10,HN!$A:$M,12,FALSE)/12),0)+_xlfn.IFNA(VLOOKUP($A10,HN!$A$8:$AU$200,19,FALSE),0)</f>
        <v>0</v>
      </c>
      <c r="AX10" s="287">
        <f>_xlfn.IFNA((VLOOKUP($A10,HN!$A:$M,9,FALSE)/12),0)</f>
        <v>0</v>
      </c>
      <c r="AY10" s="287">
        <f>_xlfn.IFNA((VLOOKUP($A10,'Post 16'!$A:$AR,22,FALSE)/4),0)</f>
        <v>0</v>
      </c>
      <c r="AZ10" s="287">
        <f>_xlfn.IFNA(VLOOKUP(A10,EY!A:AO,41,FALSE),0)</f>
        <v>0</v>
      </c>
      <c r="BA10" s="287">
        <f>_xlfn.IFNA(((VLOOKUP($A10,HN!$A:$M,10,FALSE)-$U10-$AK10)/10),0)+_xlfn.IFNA(VLOOKUP($A10,HN!$A:$R,18,FALSE),0)</f>
        <v>5355.0048333333334</v>
      </c>
      <c r="BB10" s="287">
        <f>_xlfn.IFNA(((VLOOKUP($A10,HN!$A:$M,13,FALSE)-$V10-$AL10)/10),0)+_xlfn.IFNA(VLOOKUP($A10,HN!$A$8:$AU$200,20,FALSE),0)</f>
        <v>0</v>
      </c>
      <c r="BC10" s="286">
        <f t="shared" si="9"/>
        <v>-1303.0999999999999</v>
      </c>
      <c r="BD10" s="286">
        <f t="shared" si="10"/>
        <v>-936.49237499999992</v>
      </c>
      <c r="BE10" s="287"/>
      <c r="BF10" s="287"/>
      <c r="BG10" s="287"/>
      <c r="BH10" s="286">
        <f t="shared" si="11"/>
        <v>315283.52114341303</v>
      </c>
      <c r="BI10" s="307">
        <f t="shared" si="12"/>
        <v>312168.10868507967</v>
      </c>
      <c r="BJ10" s="307">
        <f>_xlfn.IFNA(VLOOKUP(A10,'LA Deductions'!A:AH,34,FALSE),0)</f>
        <v>0</v>
      </c>
      <c r="BK10" s="307"/>
      <c r="BL10" s="308">
        <f>_xlfn.IFNA((VLOOKUP($A10,HN!$A:$M,8,FALSE)/12),0)</f>
        <v>0</v>
      </c>
      <c r="BM10" s="308">
        <f>_xlfn.IFNA((VLOOKUP($A10,HN!$A:$M,12,FALSE)/12),0)</f>
        <v>0</v>
      </c>
      <c r="BN10" s="308">
        <f>_xlfn.IFNA((VLOOKUP($A10,HN!$A:$M,9,FALSE)/12),0)</f>
        <v>0</v>
      </c>
      <c r="BO10" s="308">
        <f>_xlfn.IFNA((VLOOKUP($A10,'Post 16'!$A:$AR,22,FALSE)/4),0)</f>
        <v>0</v>
      </c>
      <c r="BP10" s="308"/>
      <c r="BQ10" s="308">
        <f>_xlfn.IFNA(((VLOOKUP($A10,HN!$A:$M,10,FALSE)-$U10-$AK10)/10),0)</f>
        <v>5355.0048333333334</v>
      </c>
      <c r="BR10" s="308">
        <f>_xlfn.IFNA(((VLOOKUP($A10,HN!$A:$M,13,FALSE)-$V10-$AL10)/10),0)</f>
        <v>0</v>
      </c>
      <c r="BS10" s="307">
        <f t="shared" si="13"/>
        <v>-1303.0999999999999</v>
      </c>
      <c r="BT10" s="307">
        <f t="shared" si="14"/>
        <v>-936.49237499999992</v>
      </c>
      <c r="BU10" s="308"/>
      <c r="BV10" s="308"/>
      <c r="BW10" s="308"/>
      <c r="BX10" s="307">
        <f t="shared" si="15"/>
        <v>315283.52114341303</v>
      </c>
      <c r="BY10" s="300">
        <f t="shared" si="16"/>
        <v>312168.10868507967</v>
      </c>
      <c r="BZ10" s="300"/>
      <c r="CA10" s="300"/>
      <c r="CB10" s="301">
        <f>_xlfn.IFNA((VLOOKUP($A10,HN!$A:$M,8,FALSE)/12),0)</f>
        <v>0</v>
      </c>
      <c r="CC10" s="301">
        <f>_xlfn.IFNA((VLOOKUP($A10,HN!$A:$M,12,FALSE)/12),0)</f>
        <v>0</v>
      </c>
      <c r="CD10" s="301">
        <f>_xlfn.IFNA((VLOOKUP($A10,HN!$A:$M,9,FALSE)/12),0)</f>
        <v>0</v>
      </c>
      <c r="CE10" s="301">
        <f>_xlfn.IFNA((VLOOKUP($A10,'Post 16'!$A:$AG,33,FALSE)/8),0)</f>
        <v>0</v>
      </c>
      <c r="CF10" s="301"/>
      <c r="CG10" s="301">
        <f>_xlfn.IFNA(((VLOOKUP($A10,HN!$A:$M,10,FALSE)-$U10-$AK10)/10),0)</f>
        <v>5355.0048333333334</v>
      </c>
      <c r="CH10" s="301">
        <f>_xlfn.IFNA(((VLOOKUP($A10,HN!$A:$M,13,FALSE)-$V10-$AL10)/10),0)</f>
        <v>0</v>
      </c>
      <c r="CI10" s="300">
        <f t="shared" si="17"/>
        <v>-1303.0999999999999</v>
      </c>
      <c r="CJ10" s="300">
        <f t="shared" si="18"/>
        <v>-936.49237499999992</v>
      </c>
      <c r="CK10" s="301"/>
      <c r="CL10" s="301"/>
      <c r="CM10" s="301"/>
      <c r="CN10" s="300">
        <f t="shared" si="19"/>
        <v>315283.52114341303</v>
      </c>
      <c r="CO10" s="332">
        <f t="shared" si="20"/>
        <v>312168.10868507967</v>
      </c>
      <c r="CP10" s="332"/>
      <c r="CQ10" s="332">
        <f>_xlfn.IFNA((VLOOKUP($A10,EY!$A:$AB,28,FALSE)-$CV10),0)</f>
        <v>0</v>
      </c>
      <c r="CR10" s="333">
        <f>_xlfn.IFNA((VLOOKUP($A10,HN!$A:$M,8,FALSE)/12),0)</f>
        <v>0</v>
      </c>
      <c r="CS10" s="333">
        <f>_xlfn.IFNA((VLOOKUP($A10,HN!$A:$M,12,FALSE)/12),0)</f>
        <v>0</v>
      </c>
      <c r="CT10" s="333">
        <f>_xlfn.IFNA((VLOOKUP($A10,HN!$A:$M,9,FALSE)/12),0)</f>
        <v>0</v>
      </c>
      <c r="CU10" s="333">
        <f>_xlfn.IFNA((VLOOKUP($A10,'Post 16'!$A:$AG,33,FALSE)/8),0)</f>
        <v>0</v>
      </c>
      <c r="CV10" s="333">
        <f>_xlfn.IFNA((VLOOKUP($A10,EY!$A:$AB,26,FALSE)*80%),0)</f>
        <v>0</v>
      </c>
      <c r="CW10" s="333">
        <f>_xlfn.IFNA(((VLOOKUP($A10,HN!$A:$M,10,FALSE)-$U10-$AK10)/10),0)</f>
        <v>5355.0048333333334</v>
      </c>
      <c r="CX10" s="333">
        <f>_xlfn.IFNA(((VLOOKUP($A10,HN!$A:$M,13,FALSE)-$V10-$AL10)/10),0)</f>
        <v>0</v>
      </c>
      <c r="CY10" s="332">
        <f t="shared" si="21"/>
        <v>-1303.0999999999999</v>
      </c>
      <c r="CZ10" s="332">
        <f t="shared" si="22"/>
        <v>-936.49237499999992</v>
      </c>
      <c r="DA10" s="333"/>
      <c r="DB10" s="333"/>
      <c r="DC10" s="333"/>
      <c r="DD10" s="332">
        <f t="shared" si="23"/>
        <v>315283.52114341303</v>
      </c>
      <c r="DE10" s="314">
        <f t="shared" si="24"/>
        <v>312168.10868507967</v>
      </c>
      <c r="DF10" s="314"/>
      <c r="DG10" s="314"/>
      <c r="DH10" s="315">
        <f>_xlfn.IFNA((VLOOKUP($A10,HN!$A:$M,8,FALSE)/12),0)</f>
        <v>0</v>
      </c>
      <c r="DI10" s="315">
        <f>_xlfn.IFNA((VLOOKUP($A10,HN!$A:$M,12,FALSE)/12),0)</f>
        <v>0</v>
      </c>
      <c r="DJ10" s="315">
        <f>_xlfn.IFNA((VLOOKUP($A10,HN!$A:$M,9,FALSE)/12),0)</f>
        <v>0</v>
      </c>
      <c r="DK10" s="315">
        <f>_xlfn.IFNA((VLOOKUP($A10,'Post 16'!$A:$AG,33,FALSE)/8),0)</f>
        <v>0</v>
      </c>
      <c r="DL10" s="315"/>
      <c r="DM10" s="315">
        <f>_xlfn.IFNA(((VLOOKUP($A10,HN!$A:$M,10,FALSE)-$U10-$AK10)/10),0)</f>
        <v>5355.0048333333334</v>
      </c>
      <c r="DN10" s="315">
        <f>_xlfn.IFNA(((VLOOKUP($A10,HN!$A:$M,13,FALSE)-$V10-$AL10)/10),0)</f>
        <v>0</v>
      </c>
      <c r="DO10" s="314">
        <f t="shared" si="25"/>
        <v>-1303.0999999999999</v>
      </c>
      <c r="DP10" s="314">
        <f t="shared" si="26"/>
        <v>-936.49237499999992</v>
      </c>
      <c r="DQ10" s="315"/>
      <c r="DR10" s="315"/>
      <c r="DS10" s="315"/>
      <c r="DT10" s="314">
        <f t="shared" si="27"/>
        <v>315283.52114341303</v>
      </c>
      <c r="DU10" s="307">
        <f t="shared" si="28"/>
        <v>312168.10868507967</v>
      </c>
      <c r="DV10" s="307"/>
      <c r="DW10" s="307"/>
      <c r="DX10" s="308">
        <f>_xlfn.IFNA((VLOOKUP($A10,HN!$A:$M,8,FALSE)/12),0)</f>
        <v>0</v>
      </c>
      <c r="DY10" s="308">
        <f>_xlfn.IFNA((VLOOKUP($A10,HN!$A:$M,12,FALSE)/12),0)</f>
        <v>0</v>
      </c>
      <c r="DZ10" s="308">
        <f>_xlfn.IFNA((VLOOKUP($A10,HN!$A:$M,9,FALSE)/12),0)</f>
        <v>0</v>
      </c>
      <c r="EA10" s="308">
        <f>_xlfn.IFNA((VLOOKUP($A10,'Post 16'!$A:$AG,33,FALSE)/8),0)</f>
        <v>0</v>
      </c>
      <c r="EB10" s="308"/>
      <c r="EC10" s="308">
        <f>_xlfn.IFNA(((VLOOKUP($A10,HN!$A:$M,10,FALSE)-$U10-$AK10)/10),0)</f>
        <v>5355.0048333333334</v>
      </c>
      <c r="ED10" s="308">
        <f>_xlfn.IFNA(((VLOOKUP($A10,HN!$A:$M,13,FALSE)-$V10-$AL10)/10),0)</f>
        <v>0</v>
      </c>
      <c r="EE10" s="307">
        <f t="shared" si="29"/>
        <v>-1303.0999999999999</v>
      </c>
      <c r="EF10" s="307">
        <f t="shared" si="30"/>
        <v>-936.49237499999992</v>
      </c>
      <c r="EG10" s="308"/>
      <c r="EH10" s="308"/>
      <c r="EI10" s="308"/>
      <c r="EJ10" s="307">
        <f t="shared" si="31"/>
        <v>315283.52114341303</v>
      </c>
      <c r="EK10" s="320">
        <f t="shared" si="32"/>
        <v>312168.10868507967</v>
      </c>
      <c r="EL10" s="320"/>
      <c r="EM10" s="320"/>
      <c r="EN10" s="321">
        <f>_xlfn.IFNA((VLOOKUP($A10,HN!$A:$M,8,FALSE)/12),0)</f>
        <v>0</v>
      </c>
      <c r="EO10" s="321">
        <f>_xlfn.IFNA((VLOOKUP($A10,HN!$A:$M,12,FALSE)/12),0)</f>
        <v>0</v>
      </c>
      <c r="EP10" s="321">
        <f>_xlfn.IFNA((VLOOKUP($A10,HN!$A:$M,9,FALSE)/12),0)</f>
        <v>0</v>
      </c>
      <c r="EQ10" s="321">
        <f>_xlfn.IFNA((VLOOKUP($A10,'Post 16'!$A:$AG,33,FALSE)/8),0)</f>
        <v>0</v>
      </c>
      <c r="ER10" s="321"/>
      <c r="ES10" s="321">
        <f>_xlfn.IFNA(((VLOOKUP($A10,HN!$A:$M,10,FALSE)-$U10-$AK10)/10),0)</f>
        <v>5355.0048333333334</v>
      </c>
      <c r="ET10" s="321">
        <f>_xlfn.IFNA(((VLOOKUP($A10,HN!$A:$M,13,FALSE)-$V10-$AL10)/10),0)</f>
        <v>0</v>
      </c>
      <c r="EU10" s="320">
        <f t="shared" si="33"/>
        <v>-1303.0999999999999</v>
      </c>
      <c r="EV10" s="320">
        <f t="shared" si="34"/>
        <v>-936.49237499999992</v>
      </c>
      <c r="EW10" s="321"/>
      <c r="EX10" s="321"/>
      <c r="EY10" s="321"/>
      <c r="EZ10" s="320">
        <f t="shared" si="35"/>
        <v>315283.52114341303</v>
      </c>
      <c r="FA10" s="286">
        <f t="shared" si="36"/>
        <v>312168.10868507967</v>
      </c>
      <c r="FB10" s="286"/>
      <c r="FC10" s="286"/>
      <c r="FD10" s="287">
        <f>_xlfn.IFNA((VLOOKUP($A10,HN!$A:$M,8,FALSE)/12),0)</f>
        <v>0</v>
      </c>
      <c r="FE10" s="287">
        <f>_xlfn.IFNA((VLOOKUP($A10,HN!$A:$M,12,FALSE)/12),0)</f>
        <v>0</v>
      </c>
      <c r="FF10" s="287">
        <f>_xlfn.IFNA((VLOOKUP($A10,HN!$A:$M,9,FALSE)/12),0)</f>
        <v>0</v>
      </c>
      <c r="FG10" s="287">
        <f>_xlfn.IFNA((VLOOKUP($A10,'Post 16'!$A:$AG,33,FALSE)/8),0)</f>
        <v>0</v>
      </c>
      <c r="FH10" s="287"/>
      <c r="FI10" s="287">
        <f>_xlfn.IFNA(((VLOOKUP($A10,HN!$A:$M,10,FALSE)-$U10-$AK10)/10),0)</f>
        <v>5355.0048333333334</v>
      </c>
      <c r="FJ10" s="287">
        <f>_xlfn.IFNA(((VLOOKUP($A10,HN!$A:$M,13,FALSE)-$V10-$AL10)/10),0)</f>
        <v>0</v>
      </c>
      <c r="FK10" s="286">
        <f t="shared" si="37"/>
        <v>-1303.0999999999999</v>
      </c>
      <c r="FL10" s="286">
        <f t="shared" si="38"/>
        <v>-936.49237499999992</v>
      </c>
      <c r="FM10" s="287"/>
      <c r="FN10" s="287"/>
      <c r="FO10" s="287"/>
      <c r="FP10" s="286">
        <f t="shared" si="39"/>
        <v>315283.52114341303</v>
      </c>
      <c r="FQ10" s="293">
        <f t="shared" si="40"/>
        <v>312168.10868507967</v>
      </c>
      <c r="FR10" s="293"/>
      <c r="FS10" s="293"/>
      <c r="FT10" s="294">
        <f>_xlfn.IFNA((VLOOKUP($A10,HN!$A:$M,8,FALSE)/12),0)</f>
        <v>0</v>
      </c>
      <c r="FU10" s="294">
        <f>_xlfn.IFNA((VLOOKUP($A10,HN!$A:$M,12,FALSE)/12),0)</f>
        <v>0</v>
      </c>
      <c r="FV10" s="294">
        <f>_xlfn.IFNA((VLOOKUP($A10,HN!$A:$M,9,FALSE)/12),0)</f>
        <v>0</v>
      </c>
      <c r="FW10" s="294">
        <f>_xlfn.IFNA((VLOOKUP($A10,'Post 16'!$A:$AG,33,FALSE)/8),0)</f>
        <v>0</v>
      </c>
      <c r="FX10" s="294"/>
      <c r="FY10" s="294">
        <f>_xlfn.IFNA(((VLOOKUP($A10,HN!$A:$M,10,FALSE)-$U10-$AK10)/10),0)</f>
        <v>5355.0048333333334</v>
      </c>
      <c r="FZ10" s="294">
        <f>_xlfn.IFNA(((VLOOKUP($A10,HN!$A:$M,13,FALSE)-$V10-$AL10)/10),0)</f>
        <v>0</v>
      </c>
      <c r="GA10" s="293">
        <f t="shared" si="41"/>
        <v>-1303.0999999999999</v>
      </c>
      <c r="GB10" s="293">
        <f t="shared" si="42"/>
        <v>-936.49237499999992</v>
      </c>
      <c r="GC10" s="294"/>
      <c r="GD10" s="294"/>
      <c r="GE10" s="294"/>
      <c r="GF10" s="293">
        <f t="shared" si="43"/>
        <v>315283.52114341303</v>
      </c>
      <c r="GG10" s="300">
        <f t="shared" si="44"/>
        <v>312168.10868507967</v>
      </c>
      <c r="GH10" s="300"/>
      <c r="GI10" s="300"/>
      <c r="GJ10" s="301">
        <f>_xlfn.IFNA((VLOOKUP($A10,HN!$A:$M,8,FALSE)/12),0)</f>
        <v>0</v>
      </c>
      <c r="GK10" s="301">
        <f>_xlfn.IFNA((VLOOKUP($A10,HN!$A:$M,12,FALSE)/12),0)</f>
        <v>0</v>
      </c>
      <c r="GL10" s="301">
        <f>_xlfn.IFNA((VLOOKUP($A10,HN!$A:$M,9,FALSE)/12),0)</f>
        <v>0</v>
      </c>
      <c r="GM10" s="301">
        <f>_xlfn.IFNA((VLOOKUP($A10,'Post 16'!$A:$AG,33,FALSE)/8),0)</f>
        <v>0</v>
      </c>
      <c r="GN10" s="301"/>
      <c r="GO10" s="301">
        <f>_xlfn.IFNA(((VLOOKUP($A10,HN!$A:$M,10,FALSE)-$U10-$AK10)/10),0)</f>
        <v>5355.0048333333334</v>
      </c>
      <c r="GP10" s="301">
        <f>_xlfn.IFNA(((VLOOKUP($A10,HN!$A:$M,13,FALSE)-$V10-$AL10)/10),0)</f>
        <v>0</v>
      </c>
      <c r="GQ10" s="300">
        <f t="shared" si="45"/>
        <v>-1303.0999999999999</v>
      </c>
      <c r="GR10" s="300">
        <f t="shared" si="46"/>
        <v>-936.49237499999992</v>
      </c>
      <c r="GS10" s="301"/>
      <c r="GT10" s="301"/>
      <c r="GU10" s="301"/>
      <c r="GV10" s="300">
        <f t="shared" si="47"/>
        <v>315283.52114341303</v>
      </c>
      <c r="GX10" s="146">
        <f t="shared" si="48"/>
        <v>3746017.3042209554</v>
      </c>
      <c r="GY10" s="146">
        <f t="shared" si="48"/>
        <v>0</v>
      </c>
      <c r="GZ10" s="146">
        <f t="shared" si="48"/>
        <v>65560.25</v>
      </c>
      <c r="HA10" s="146">
        <f t="shared" si="48"/>
        <v>-15637.200000000003</v>
      </c>
      <c r="HB10" s="146">
        <f t="shared" si="48"/>
        <v>-11237.9085</v>
      </c>
      <c r="HC10" s="146">
        <f t="shared" si="48"/>
        <v>0</v>
      </c>
      <c r="HE10" s="146">
        <f t="shared" si="49"/>
        <v>936504.32605523895</v>
      </c>
      <c r="HF10" s="146">
        <f t="shared" si="49"/>
        <v>0</v>
      </c>
      <c r="HG10" s="146">
        <f t="shared" si="49"/>
        <v>17365.2065</v>
      </c>
      <c r="HH10" s="146">
        <f t="shared" si="49"/>
        <v>-3909.2999999999997</v>
      </c>
      <c r="HI10" s="146">
        <f t="shared" si="49"/>
        <v>-2809.4771249999999</v>
      </c>
      <c r="HJ10" s="146">
        <f t="shared" si="49"/>
        <v>0</v>
      </c>
      <c r="HL10" s="146"/>
      <c r="HM10" s="57"/>
    </row>
    <row r="11" spans="1:221">
      <c r="A11" s="185">
        <v>1017</v>
      </c>
      <c r="B11" s="185">
        <v>103130</v>
      </c>
      <c r="C11" s="185" t="s">
        <v>42</v>
      </c>
      <c r="D11" s="2" t="s">
        <v>43</v>
      </c>
      <c r="E11" s="190" t="s">
        <v>36</v>
      </c>
      <c r="F11" s="190" t="s">
        <v>890</v>
      </c>
      <c r="H11" s="271">
        <f>_xlfn.IFNA(VLOOKUP($A11,ISB!$A$4:$BY$441,67,FALSE),0)</f>
        <v>0</v>
      </c>
      <c r="I11" s="271">
        <f>_xlfn.IFNA(VLOOKUP($A11,ISB!$A$4:$BY$441,72,FALSE),0)</f>
        <v>0</v>
      </c>
      <c r="J11" s="271">
        <f>-_xlfn.IFNA(VLOOKUP($A11,ISB!$A$4:$BY$441,76,FALSE),0)</f>
        <v>0</v>
      </c>
      <c r="K11" s="271">
        <f>_xlfn.IFNA(VLOOKUP($A11,ISB!$A$4:$BY$441,77,FALSE),0)</f>
        <v>0</v>
      </c>
      <c r="M11" s="279">
        <f t="shared" si="0"/>
        <v>0</v>
      </c>
      <c r="N11" s="279"/>
      <c r="O11" s="279">
        <f>_xlfn.IFNA(VLOOKUP($A11,EY!$A:$H,8,FALSE)+(VLOOKUP($A11,EY!$A:$R,18,FALSE)-$T11),0)</f>
        <v>550168.21544374584</v>
      </c>
      <c r="P11" s="280">
        <f>_xlfn.IFNA((VLOOKUP($A11,HN!$A:$M,8,FALSE)/12),0)</f>
        <v>0</v>
      </c>
      <c r="Q11" s="280">
        <f>_xlfn.IFNA((VLOOKUP($A11,HN!$A:$M,12,FALSE)/12),0)</f>
        <v>5000</v>
      </c>
      <c r="R11" s="280">
        <f>_xlfn.IFNA((VLOOKUP($A11,HN!$A:$M,9,FALSE)/12),0)</f>
        <v>0</v>
      </c>
      <c r="S11" s="280">
        <f>_xlfn.IFNA((VLOOKUP($A11,'Post 16'!$A:$AR,22,FALSE)/4),0)</f>
        <v>0</v>
      </c>
      <c r="T11" s="280">
        <f>_xlfn.IFNA((VLOOKUP($A11,EY!$A:$R,16,FALSE)*80%),0)</f>
        <v>9360</v>
      </c>
      <c r="U11" s="280">
        <v>0</v>
      </c>
      <c r="V11" s="280">
        <v>6165.916666666667</v>
      </c>
      <c r="W11" s="279">
        <f t="shared" si="1"/>
        <v>0</v>
      </c>
      <c r="X11" s="279">
        <f t="shared" si="2"/>
        <v>0</v>
      </c>
      <c r="Y11" s="280"/>
      <c r="Z11" s="280"/>
      <c r="AA11" s="280"/>
      <c r="AB11" s="279">
        <f t="shared" si="3"/>
        <v>570694.13211041247</v>
      </c>
      <c r="AC11" s="293">
        <f t="shared" si="4"/>
        <v>0</v>
      </c>
      <c r="AD11" s="293"/>
      <c r="AE11" s="293"/>
      <c r="AF11" s="294">
        <f>_xlfn.IFNA((VLOOKUP($A11,HN!$A:$M,8,FALSE)/12),0)</f>
        <v>0</v>
      </c>
      <c r="AG11" s="294">
        <f>_xlfn.IFNA((VLOOKUP($A11,HN!$A:$M,12,FALSE)/12),0)+_xlfn.IFNA(VLOOKUP($A11,HN!$A:$Q,17,FALSE),0)</f>
        <v>-3000</v>
      </c>
      <c r="AH11" s="294">
        <f>_xlfn.IFNA((VLOOKUP($A11,HN!$A:$M,9,FALSE)/12),0)</f>
        <v>0</v>
      </c>
      <c r="AI11" s="294">
        <f>_xlfn.IFNA((VLOOKUP($A11,'Post 16'!$A:$AR,22,FALSE)/4),0)</f>
        <v>0</v>
      </c>
      <c r="AJ11" s="294"/>
      <c r="AK11" s="294">
        <f>_xlfn.IFNA((VLOOKUP($A11,HN!$A:$M,10,FALSE)/12),0)</f>
        <v>0</v>
      </c>
      <c r="AL11" s="294">
        <f>_xlfn.IFNA((VLOOKUP($A11,HN!$A:$M,13,FALSE)/12),0)</f>
        <v>5001.416666666667</v>
      </c>
      <c r="AM11" s="293">
        <f t="shared" si="5"/>
        <v>0</v>
      </c>
      <c r="AN11" s="293">
        <f t="shared" si="6"/>
        <v>0</v>
      </c>
      <c r="AO11" s="294"/>
      <c r="AP11" s="294"/>
      <c r="AQ11" s="294"/>
      <c r="AR11" s="293">
        <f t="shared" si="7"/>
        <v>2001.416666666667</v>
      </c>
      <c r="AS11" s="286">
        <f t="shared" si="8"/>
        <v>0</v>
      </c>
      <c r="AT11" s="286"/>
      <c r="AU11" s="286">
        <f>_xlfn.IFNA(VLOOKUP(A11,EY!A:AO,40,FALSE),0)</f>
        <v>41860.641473684191</v>
      </c>
      <c r="AV11" s="287">
        <f>_xlfn.IFNA((VLOOKUP($A11,HN!$A:$M,8,FALSE)/12),0)</f>
        <v>0</v>
      </c>
      <c r="AW11" s="287">
        <f>_xlfn.IFNA((VLOOKUP($A11,HN!$A:$M,12,FALSE)/12),0)+_xlfn.IFNA(VLOOKUP($A11,HN!$A$8:$AU$200,19,FALSE),0)</f>
        <v>5000</v>
      </c>
      <c r="AX11" s="287">
        <f>_xlfn.IFNA((VLOOKUP($A11,HN!$A:$M,9,FALSE)/12),0)</f>
        <v>0</v>
      </c>
      <c r="AY11" s="287">
        <f>_xlfn.IFNA((VLOOKUP($A11,'Post 16'!$A:$AR,22,FALSE)/4),0)</f>
        <v>0</v>
      </c>
      <c r="AZ11" s="287">
        <f>_xlfn.IFNA(VLOOKUP(A11,EY!A:AO,41,FALSE),0)</f>
        <v>-1496.6426592797786</v>
      </c>
      <c r="BA11" s="287">
        <f>_xlfn.IFNA(((VLOOKUP($A11,HN!$A:$M,10,FALSE)-$U11-$AK11)/10),0)+_xlfn.IFNA(VLOOKUP($A11,HN!$A:$R,18,FALSE),0)</f>
        <v>0</v>
      </c>
      <c r="BB11" s="287">
        <f>_xlfn.IFNA(((VLOOKUP($A11,HN!$A:$M,13,FALSE)-$V11-$AL11)/10),0)+_xlfn.IFNA(VLOOKUP($A11,HN!$A$8:$AU$200,20,FALSE),0)</f>
        <v>4884.9666666666672</v>
      </c>
      <c r="BC11" s="286">
        <f t="shared" si="9"/>
        <v>0</v>
      </c>
      <c r="BD11" s="286">
        <f t="shared" si="10"/>
        <v>0</v>
      </c>
      <c r="BE11" s="287"/>
      <c r="BF11" s="287"/>
      <c r="BG11" s="287"/>
      <c r="BH11" s="286">
        <f t="shared" si="11"/>
        <v>50248.965481071078</v>
      </c>
      <c r="BI11" s="307">
        <f t="shared" si="12"/>
        <v>0</v>
      </c>
      <c r="BJ11" s="307">
        <f>_xlfn.IFNA(VLOOKUP(A11,'LA Deductions'!A:AH,34,FALSE),0)</f>
        <v>0</v>
      </c>
      <c r="BK11" s="307"/>
      <c r="BL11" s="308">
        <f>_xlfn.IFNA((VLOOKUP($A11,HN!$A:$M,8,FALSE)/12),0)</f>
        <v>0</v>
      </c>
      <c r="BM11" s="308">
        <f>_xlfn.IFNA((VLOOKUP($A11,HN!$A:$M,12,FALSE)/12),0)</f>
        <v>5000</v>
      </c>
      <c r="BN11" s="308">
        <f>_xlfn.IFNA((VLOOKUP($A11,HN!$A:$M,9,FALSE)/12),0)</f>
        <v>0</v>
      </c>
      <c r="BO11" s="308">
        <f>_xlfn.IFNA((VLOOKUP($A11,'Post 16'!$A:$AR,22,FALSE)/4),0)</f>
        <v>0</v>
      </c>
      <c r="BP11" s="308"/>
      <c r="BQ11" s="308">
        <f>_xlfn.IFNA(((VLOOKUP($A11,HN!$A:$M,10,FALSE)-$U11-$AK11)/10),0)</f>
        <v>0</v>
      </c>
      <c r="BR11" s="308">
        <f>_xlfn.IFNA(((VLOOKUP($A11,HN!$A:$M,13,FALSE)-$V11-$AL11)/10),0)</f>
        <v>4884.9666666666672</v>
      </c>
      <c r="BS11" s="307">
        <f t="shared" si="13"/>
        <v>0</v>
      </c>
      <c r="BT11" s="307">
        <f t="shared" si="14"/>
        <v>0</v>
      </c>
      <c r="BU11" s="308"/>
      <c r="BV11" s="308"/>
      <c r="BW11" s="308"/>
      <c r="BX11" s="307">
        <f t="shared" si="15"/>
        <v>9884.9666666666672</v>
      </c>
      <c r="BY11" s="300">
        <f t="shared" si="16"/>
        <v>0</v>
      </c>
      <c r="BZ11" s="300"/>
      <c r="CA11" s="300"/>
      <c r="CB11" s="301">
        <f>_xlfn.IFNA((VLOOKUP($A11,HN!$A:$M,8,FALSE)/12),0)</f>
        <v>0</v>
      </c>
      <c r="CC11" s="301">
        <f>_xlfn.IFNA((VLOOKUP($A11,HN!$A:$M,12,FALSE)/12),0)</f>
        <v>5000</v>
      </c>
      <c r="CD11" s="301">
        <f>_xlfn.IFNA((VLOOKUP($A11,HN!$A:$M,9,FALSE)/12),0)</f>
        <v>0</v>
      </c>
      <c r="CE11" s="301">
        <f>_xlfn.IFNA((VLOOKUP($A11,'Post 16'!$A:$AG,33,FALSE)/8),0)</f>
        <v>0</v>
      </c>
      <c r="CF11" s="301"/>
      <c r="CG11" s="301">
        <f>_xlfn.IFNA(((VLOOKUP($A11,HN!$A:$M,10,FALSE)-$U11-$AK11)/10),0)</f>
        <v>0</v>
      </c>
      <c r="CH11" s="301">
        <f>_xlfn.IFNA(((VLOOKUP($A11,HN!$A:$M,13,FALSE)-$V11-$AL11)/10),0)</f>
        <v>4884.9666666666672</v>
      </c>
      <c r="CI11" s="300">
        <f t="shared" si="17"/>
        <v>0</v>
      </c>
      <c r="CJ11" s="300">
        <f t="shared" si="18"/>
        <v>0</v>
      </c>
      <c r="CK11" s="301"/>
      <c r="CL11" s="301"/>
      <c r="CM11" s="301"/>
      <c r="CN11" s="300">
        <f t="shared" si="19"/>
        <v>9884.9666666666672</v>
      </c>
      <c r="CO11" s="332">
        <f t="shared" si="20"/>
        <v>0</v>
      </c>
      <c r="CP11" s="332"/>
      <c r="CQ11" s="332">
        <f>_xlfn.IFNA((VLOOKUP($A11,EY!$A:$AB,28,FALSE)-$CV11),0)</f>
        <v>186488.74947368421</v>
      </c>
      <c r="CR11" s="333">
        <f>_xlfn.IFNA((VLOOKUP($A11,HN!$A:$M,8,FALSE)/12),0)</f>
        <v>0</v>
      </c>
      <c r="CS11" s="333">
        <f>_xlfn.IFNA((VLOOKUP($A11,HN!$A:$M,12,FALSE)/12),0)</f>
        <v>5000</v>
      </c>
      <c r="CT11" s="333">
        <f>_xlfn.IFNA((VLOOKUP($A11,HN!$A:$M,9,FALSE)/12),0)</f>
        <v>0</v>
      </c>
      <c r="CU11" s="333">
        <f>_xlfn.IFNA((VLOOKUP($A11,'Post 16'!$A:$AG,33,FALSE)/8),0)</f>
        <v>0</v>
      </c>
      <c r="CV11" s="333">
        <f>_xlfn.IFNA((VLOOKUP($A11,EY!$A:$AB,26,FALSE)*80%),0)</f>
        <v>3900</v>
      </c>
      <c r="CW11" s="333">
        <f>_xlfn.IFNA(((VLOOKUP($A11,HN!$A:$M,10,FALSE)-$U11-$AK11)/10),0)</f>
        <v>0</v>
      </c>
      <c r="CX11" s="333">
        <f>_xlfn.IFNA(((VLOOKUP($A11,HN!$A:$M,13,FALSE)-$V11-$AL11)/10),0)</f>
        <v>4884.9666666666672</v>
      </c>
      <c r="CY11" s="332">
        <f t="shared" si="21"/>
        <v>0</v>
      </c>
      <c r="CZ11" s="332">
        <f t="shared" si="22"/>
        <v>0</v>
      </c>
      <c r="DA11" s="333"/>
      <c r="DB11" s="333"/>
      <c r="DC11" s="333"/>
      <c r="DD11" s="332">
        <f t="shared" si="23"/>
        <v>200273.71614035088</v>
      </c>
      <c r="DE11" s="314">
        <f t="shared" si="24"/>
        <v>0</v>
      </c>
      <c r="DF11" s="314"/>
      <c r="DG11" s="314"/>
      <c r="DH11" s="315">
        <f>_xlfn.IFNA((VLOOKUP($A11,HN!$A:$M,8,FALSE)/12),0)</f>
        <v>0</v>
      </c>
      <c r="DI11" s="315">
        <f>_xlfn.IFNA((VLOOKUP($A11,HN!$A:$M,12,FALSE)/12),0)</f>
        <v>5000</v>
      </c>
      <c r="DJ11" s="315">
        <f>_xlfn.IFNA((VLOOKUP($A11,HN!$A:$M,9,FALSE)/12),0)</f>
        <v>0</v>
      </c>
      <c r="DK11" s="315">
        <f>_xlfn.IFNA((VLOOKUP($A11,'Post 16'!$A:$AG,33,FALSE)/8),0)</f>
        <v>0</v>
      </c>
      <c r="DL11" s="315"/>
      <c r="DM11" s="315">
        <f>_xlfn.IFNA(((VLOOKUP($A11,HN!$A:$M,10,FALSE)-$U11-$AK11)/10),0)</f>
        <v>0</v>
      </c>
      <c r="DN11" s="315">
        <f>_xlfn.IFNA(((VLOOKUP($A11,HN!$A:$M,13,FALSE)-$V11-$AL11)/10),0)</f>
        <v>4884.9666666666672</v>
      </c>
      <c r="DO11" s="314">
        <f t="shared" si="25"/>
        <v>0</v>
      </c>
      <c r="DP11" s="314">
        <f t="shared" si="26"/>
        <v>0</v>
      </c>
      <c r="DQ11" s="315"/>
      <c r="DR11" s="315"/>
      <c r="DS11" s="315"/>
      <c r="DT11" s="314">
        <f t="shared" si="27"/>
        <v>9884.9666666666672</v>
      </c>
      <c r="DU11" s="307">
        <f t="shared" si="28"/>
        <v>0</v>
      </c>
      <c r="DV11" s="307"/>
      <c r="DW11" s="307"/>
      <c r="DX11" s="308">
        <f>_xlfn.IFNA((VLOOKUP($A11,HN!$A:$M,8,FALSE)/12),0)</f>
        <v>0</v>
      </c>
      <c r="DY11" s="308">
        <f>_xlfn.IFNA((VLOOKUP($A11,HN!$A:$M,12,FALSE)/12),0)</f>
        <v>5000</v>
      </c>
      <c r="DZ11" s="308">
        <f>_xlfn.IFNA((VLOOKUP($A11,HN!$A:$M,9,FALSE)/12),0)</f>
        <v>0</v>
      </c>
      <c r="EA11" s="308">
        <f>_xlfn.IFNA((VLOOKUP($A11,'Post 16'!$A:$AG,33,FALSE)/8),0)</f>
        <v>0</v>
      </c>
      <c r="EB11" s="308"/>
      <c r="EC11" s="308">
        <f>_xlfn.IFNA(((VLOOKUP($A11,HN!$A:$M,10,FALSE)-$U11-$AK11)/10),0)</f>
        <v>0</v>
      </c>
      <c r="ED11" s="308">
        <f>_xlfn.IFNA(((VLOOKUP($A11,HN!$A:$M,13,FALSE)-$V11-$AL11)/10),0)</f>
        <v>4884.9666666666672</v>
      </c>
      <c r="EE11" s="307">
        <f t="shared" si="29"/>
        <v>0</v>
      </c>
      <c r="EF11" s="307">
        <f t="shared" si="30"/>
        <v>0</v>
      </c>
      <c r="EG11" s="308"/>
      <c r="EH11" s="308"/>
      <c r="EI11" s="308"/>
      <c r="EJ11" s="307">
        <f t="shared" si="31"/>
        <v>9884.9666666666672</v>
      </c>
      <c r="EK11" s="320">
        <f t="shared" si="32"/>
        <v>0</v>
      </c>
      <c r="EL11" s="320"/>
      <c r="EM11" s="320"/>
      <c r="EN11" s="321">
        <f>_xlfn.IFNA((VLOOKUP($A11,HN!$A:$M,8,FALSE)/12),0)</f>
        <v>0</v>
      </c>
      <c r="EO11" s="321">
        <f>_xlfn.IFNA((VLOOKUP($A11,HN!$A:$M,12,FALSE)/12),0)</f>
        <v>5000</v>
      </c>
      <c r="EP11" s="321">
        <f>_xlfn.IFNA((VLOOKUP($A11,HN!$A:$M,9,FALSE)/12),0)</f>
        <v>0</v>
      </c>
      <c r="EQ11" s="321">
        <f>_xlfn.IFNA((VLOOKUP($A11,'Post 16'!$A:$AG,33,FALSE)/8),0)</f>
        <v>0</v>
      </c>
      <c r="ER11" s="321"/>
      <c r="ES11" s="321">
        <f>_xlfn.IFNA(((VLOOKUP($A11,HN!$A:$M,10,FALSE)-$U11-$AK11)/10),0)</f>
        <v>0</v>
      </c>
      <c r="ET11" s="321">
        <f>_xlfn.IFNA(((VLOOKUP($A11,HN!$A:$M,13,FALSE)-$V11-$AL11)/10),0)</f>
        <v>4884.9666666666672</v>
      </c>
      <c r="EU11" s="320">
        <f t="shared" si="33"/>
        <v>0</v>
      </c>
      <c r="EV11" s="320">
        <f t="shared" si="34"/>
        <v>0</v>
      </c>
      <c r="EW11" s="321"/>
      <c r="EX11" s="321"/>
      <c r="EY11" s="321"/>
      <c r="EZ11" s="320">
        <f t="shared" si="35"/>
        <v>9884.9666666666672</v>
      </c>
      <c r="FA11" s="286">
        <f t="shared" si="36"/>
        <v>0</v>
      </c>
      <c r="FB11" s="286"/>
      <c r="FC11" s="286"/>
      <c r="FD11" s="287">
        <f>_xlfn.IFNA((VLOOKUP($A11,HN!$A:$M,8,FALSE)/12),0)</f>
        <v>0</v>
      </c>
      <c r="FE11" s="287">
        <f>_xlfn.IFNA((VLOOKUP($A11,HN!$A:$M,12,FALSE)/12),0)</f>
        <v>5000</v>
      </c>
      <c r="FF11" s="287">
        <f>_xlfn.IFNA((VLOOKUP($A11,HN!$A:$M,9,FALSE)/12),0)</f>
        <v>0</v>
      </c>
      <c r="FG11" s="287">
        <f>_xlfn.IFNA((VLOOKUP($A11,'Post 16'!$A:$AG,33,FALSE)/8),0)</f>
        <v>0</v>
      </c>
      <c r="FH11" s="287"/>
      <c r="FI11" s="287">
        <f>_xlfn.IFNA(((VLOOKUP($A11,HN!$A:$M,10,FALSE)-$U11-$AK11)/10),0)</f>
        <v>0</v>
      </c>
      <c r="FJ11" s="287">
        <f>_xlfn.IFNA(((VLOOKUP($A11,HN!$A:$M,13,FALSE)-$V11-$AL11)/10),0)</f>
        <v>4884.9666666666672</v>
      </c>
      <c r="FK11" s="286">
        <f t="shared" si="37"/>
        <v>0</v>
      </c>
      <c r="FL11" s="286">
        <f t="shared" si="38"/>
        <v>0</v>
      </c>
      <c r="FM11" s="287"/>
      <c r="FN11" s="287"/>
      <c r="FO11" s="287"/>
      <c r="FP11" s="286">
        <f t="shared" si="39"/>
        <v>9884.9666666666672</v>
      </c>
      <c r="FQ11" s="293">
        <f t="shared" si="40"/>
        <v>0</v>
      </c>
      <c r="FR11" s="293"/>
      <c r="FS11" s="293"/>
      <c r="FT11" s="294">
        <f>_xlfn.IFNA((VLOOKUP($A11,HN!$A:$M,8,FALSE)/12),0)</f>
        <v>0</v>
      </c>
      <c r="FU11" s="294">
        <f>_xlfn.IFNA((VLOOKUP($A11,HN!$A:$M,12,FALSE)/12),0)</f>
        <v>5000</v>
      </c>
      <c r="FV11" s="294">
        <f>_xlfn.IFNA((VLOOKUP($A11,HN!$A:$M,9,FALSE)/12),0)</f>
        <v>0</v>
      </c>
      <c r="FW11" s="294">
        <f>_xlfn.IFNA((VLOOKUP($A11,'Post 16'!$A:$AG,33,FALSE)/8),0)</f>
        <v>0</v>
      </c>
      <c r="FX11" s="294"/>
      <c r="FY11" s="294">
        <f>_xlfn.IFNA(((VLOOKUP($A11,HN!$A:$M,10,FALSE)-$U11-$AK11)/10),0)</f>
        <v>0</v>
      </c>
      <c r="FZ11" s="294">
        <f>_xlfn.IFNA(((VLOOKUP($A11,HN!$A:$M,13,FALSE)-$V11-$AL11)/10),0)</f>
        <v>4884.9666666666672</v>
      </c>
      <c r="GA11" s="293">
        <f t="shared" si="41"/>
        <v>0</v>
      </c>
      <c r="GB11" s="293">
        <f t="shared" si="42"/>
        <v>0</v>
      </c>
      <c r="GC11" s="294"/>
      <c r="GD11" s="294"/>
      <c r="GE11" s="294"/>
      <c r="GF11" s="293">
        <f t="shared" si="43"/>
        <v>9884.9666666666672</v>
      </c>
      <c r="GG11" s="300">
        <f t="shared" si="44"/>
        <v>0</v>
      </c>
      <c r="GH11" s="300"/>
      <c r="GI11" s="300"/>
      <c r="GJ11" s="301">
        <f>_xlfn.IFNA((VLOOKUP($A11,HN!$A:$M,8,FALSE)/12),0)</f>
        <v>0</v>
      </c>
      <c r="GK11" s="301">
        <f>_xlfn.IFNA((VLOOKUP($A11,HN!$A:$M,12,FALSE)/12),0)</f>
        <v>5000</v>
      </c>
      <c r="GL11" s="301">
        <f>_xlfn.IFNA((VLOOKUP($A11,HN!$A:$M,9,FALSE)/12),0)</f>
        <v>0</v>
      </c>
      <c r="GM11" s="301">
        <f>_xlfn.IFNA((VLOOKUP($A11,'Post 16'!$A:$AG,33,FALSE)/8),0)</f>
        <v>0</v>
      </c>
      <c r="GN11" s="301"/>
      <c r="GO11" s="301">
        <f>_xlfn.IFNA(((VLOOKUP($A11,HN!$A:$M,10,FALSE)-$U11-$AK11)/10),0)</f>
        <v>0</v>
      </c>
      <c r="GP11" s="301">
        <f>_xlfn.IFNA(((VLOOKUP($A11,HN!$A:$M,13,FALSE)-$V11-$AL11)/10),0)</f>
        <v>4884.9666666666672</v>
      </c>
      <c r="GQ11" s="300">
        <f t="shared" si="45"/>
        <v>0</v>
      </c>
      <c r="GR11" s="300">
        <f t="shared" si="46"/>
        <v>0</v>
      </c>
      <c r="GS11" s="301"/>
      <c r="GT11" s="301"/>
      <c r="GU11" s="301"/>
      <c r="GV11" s="300">
        <f t="shared" si="47"/>
        <v>9884.9666666666672</v>
      </c>
      <c r="GX11" s="146">
        <f t="shared" si="48"/>
        <v>830517.6063911143</v>
      </c>
      <c r="GY11" s="146">
        <f t="shared" si="48"/>
        <v>0</v>
      </c>
      <c r="GZ11" s="146">
        <f t="shared" si="48"/>
        <v>71780.35734072022</v>
      </c>
      <c r="HA11" s="146">
        <f t="shared" si="48"/>
        <v>0</v>
      </c>
      <c r="HB11" s="146">
        <f t="shared" si="48"/>
        <v>0</v>
      </c>
      <c r="HC11" s="146">
        <f t="shared" si="48"/>
        <v>0</v>
      </c>
      <c r="HE11" s="146">
        <f t="shared" si="49"/>
        <v>599028.85691743006</v>
      </c>
      <c r="HF11" s="146">
        <f t="shared" si="49"/>
        <v>0</v>
      </c>
      <c r="HG11" s="146">
        <f t="shared" si="49"/>
        <v>23915.657340720223</v>
      </c>
      <c r="HH11" s="146">
        <f t="shared" si="49"/>
        <v>0</v>
      </c>
      <c r="HI11" s="146">
        <f t="shared" si="49"/>
        <v>0</v>
      </c>
      <c r="HJ11" s="146">
        <f t="shared" si="49"/>
        <v>0</v>
      </c>
      <c r="HL11" s="146"/>
      <c r="HM11" s="57"/>
    </row>
    <row r="12" spans="1:221">
      <c r="A12" s="185">
        <v>2153</v>
      </c>
      <c r="B12" s="185">
        <v>103243</v>
      </c>
      <c r="C12" s="185" t="s">
        <v>44</v>
      </c>
      <c r="D12" s="2" t="s">
        <v>45</v>
      </c>
      <c r="E12" s="190" t="s">
        <v>39</v>
      </c>
      <c r="F12" s="190" t="s">
        <v>890</v>
      </c>
      <c r="H12" s="271">
        <f>_xlfn.IFNA(VLOOKUP($A12,ISB!$A$4:$BY$441,67,FALSE),0)</f>
        <v>2528558.8023109962</v>
      </c>
      <c r="I12" s="271">
        <f>_xlfn.IFNA(VLOOKUP($A12,ISB!$A$4:$BY$441,72,FALSE),0)</f>
        <v>-9511.7999999999993</v>
      </c>
      <c r="J12" s="271">
        <f>-_xlfn.IFNA(VLOOKUP($A12,ISB!$A$4:$BY$441,76,FALSE),0)</f>
        <v>-9336.1085999999996</v>
      </c>
      <c r="K12" s="271">
        <f>_xlfn.IFNA(VLOOKUP($A12,ISB!$A$4:$BY$441,77,FALSE),0)</f>
        <v>2509710.8937109965</v>
      </c>
      <c r="M12" s="279">
        <f t="shared" si="0"/>
        <v>210713.23352591635</v>
      </c>
      <c r="N12" s="279"/>
      <c r="O12" s="279">
        <f>_xlfn.IFNA(VLOOKUP($A12,EY!$A:$H,8,FALSE)+(VLOOKUP($A12,EY!$A:$R,18,FALSE)-$T12),0)</f>
        <v>0</v>
      </c>
      <c r="P12" s="280">
        <f>_xlfn.IFNA((VLOOKUP($A12,HN!$A:$M,8,FALSE)/12),0)</f>
        <v>0</v>
      </c>
      <c r="Q12" s="280">
        <f>_xlfn.IFNA((VLOOKUP($A12,HN!$A:$M,12,FALSE)/12),0)</f>
        <v>23000</v>
      </c>
      <c r="R12" s="280">
        <f>_xlfn.IFNA((VLOOKUP($A12,HN!$A:$M,9,FALSE)/12),0)</f>
        <v>0</v>
      </c>
      <c r="S12" s="280">
        <f>_xlfn.IFNA((VLOOKUP($A12,'Post 16'!$A:$AR,22,FALSE)/4),0)</f>
        <v>0</v>
      </c>
      <c r="T12" s="280">
        <f>_xlfn.IFNA((VLOOKUP($A12,EY!$A:$R,16,FALSE)*80%),0)</f>
        <v>0</v>
      </c>
      <c r="U12" s="280">
        <v>0</v>
      </c>
      <c r="V12" s="280">
        <v>51262.04</v>
      </c>
      <c r="W12" s="279">
        <f t="shared" si="1"/>
        <v>-792.65</v>
      </c>
      <c r="X12" s="279">
        <f t="shared" si="2"/>
        <v>-778.00905</v>
      </c>
      <c r="Y12" s="280"/>
      <c r="Z12" s="280"/>
      <c r="AA12" s="280"/>
      <c r="AB12" s="279">
        <f t="shared" si="3"/>
        <v>283404.61447591631</v>
      </c>
      <c r="AC12" s="293">
        <f t="shared" si="4"/>
        <v>210713.23352591635</v>
      </c>
      <c r="AD12" s="293"/>
      <c r="AE12" s="293"/>
      <c r="AF12" s="294">
        <f>_xlfn.IFNA((VLOOKUP($A12,HN!$A:$M,8,FALSE)/12),0)</f>
        <v>0</v>
      </c>
      <c r="AG12" s="294">
        <f>_xlfn.IFNA((VLOOKUP($A12,HN!$A:$M,12,FALSE)/12),0)+_xlfn.IFNA(VLOOKUP($A12,HN!$A:$Q,17,FALSE),0)</f>
        <v>23000</v>
      </c>
      <c r="AH12" s="294">
        <f>_xlfn.IFNA((VLOOKUP($A12,HN!$A:$M,9,FALSE)/12),0)</f>
        <v>0</v>
      </c>
      <c r="AI12" s="294">
        <f>_xlfn.IFNA((VLOOKUP($A12,'Post 16'!$A:$AR,22,FALSE)/4),0)</f>
        <v>0</v>
      </c>
      <c r="AJ12" s="294"/>
      <c r="AK12" s="294">
        <f>_xlfn.IFNA((VLOOKUP($A12,HN!$A:$M,10,FALSE)/12),0)</f>
        <v>0</v>
      </c>
      <c r="AL12" s="294">
        <f>_xlfn.IFNA((VLOOKUP($A12,HN!$A:$M,13,FALSE)/12),0)</f>
        <v>44233.652499999997</v>
      </c>
      <c r="AM12" s="293">
        <f t="shared" si="5"/>
        <v>-792.65</v>
      </c>
      <c r="AN12" s="293">
        <f t="shared" si="6"/>
        <v>-778.00905</v>
      </c>
      <c r="AO12" s="294"/>
      <c r="AP12" s="294"/>
      <c r="AQ12" s="294"/>
      <c r="AR12" s="293">
        <f t="shared" si="7"/>
        <v>276376.2269759163</v>
      </c>
      <c r="AS12" s="286">
        <f t="shared" si="8"/>
        <v>210713.23352591635</v>
      </c>
      <c r="AT12" s="286"/>
      <c r="AU12" s="286">
        <f>_xlfn.IFNA(VLOOKUP(A12,EY!A:AO,40,FALSE),0)</f>
        <v>0</v>
      </c>
      <c r="AV12" s="287">
        <f>_xlfn.IFNA((VLOOKUP($A12,HN!$A:$M,8,FALSE)/12),0)</f>
        <v>0</v>
      </c>
      <c r="AW12" s="287">
        <f>_xlfn.IFNA((VLOOKUP($A12,HN!$A:$M,12,FALSE)/12),0)+_xlfn.IFNA(VLOOKUP($A12,HN!$A$8:$AU$200,19,FALSE),0)</f>
        <v>23000</v>
      </c>
      <c r="AX12" s="287">
        <f>_xlfn.IFNA((VLOOKUP($A12,HN!$A:$M,9,FALSE)/12),0)</f>
        <v>0</v>
      </c>
      <c r="AY12" s="287">
        <f>_xlfn.IFNA((VLOOKUP($A12,'Post 16'!$A:$AR,22,FALSE)/4),0)</f>
        <v>0</v>
      </c>
      <c r="AZ12" s="287">
        <f>_xlfn.IFNA(VLOOKUP(A12,EY!A:AO,41,FALSE),0)</f>
        <v>0</v>
      </c>
      <c r="BA12" s="287">
        <f>_xlfn.IFNA(((VLOOKUP($A12,HN!$A:$M,10,FALSE)-$U12-$AK12)/10),0)+_xlfn.IFNA(VLOOKUP($A12,HN!$A:$R,18,FALSE),0)</f>
        <v>0</v>
      </c>
      <c r="BB12" s="287">
        <f>_xlfn.IFNA(((VLOOKUP($A12,HN!$A:$M,13,FALSE)-$V12-$AL12)/10),0)+_xlfn.IFNA(VLOOKUP($A12,HN!$A$8:$AU$200,20,FALSE),0)</f>
        <v>43530.813749999994</v>
      </c>
      <c r="BC12" s="286">
        <f t="shared" si="9"/>
        <v>-792.65</v>
      </c>
      <c r="BD12" s="286">
        <f t="shared" si="10"/>
        <v>-778.00905</v>
      </c>
      <c r="BE12" s="287"/>
      <c r="BF12" s="287"/>
      <c r="BG12" s="287"/>
      <c r="BH12" s="286">
        <f t="shared" si="11"/>
        <v>275673.38822591631</v>
      </c>
      <c r="BI12" s="307">
        <f t="shared" si="12"/>
        <v>210713.23352591635</v>
      </c>
      <c r="BJ12" s="307">
        <f>_xlfn.IFNA(VLOOKUP(A12,'LA Deductions'!A:AH,34,FALSE),0)</f>
        <v>0</v>
      </c>
      <c r="BK12" s="307"/>
      <c r="BL12" s="308">
        <f>_xlfn.IFNA((VLOOKUP($A12,HN!$A:$M,8,FALSE)/12),0)</f>
        <v>0</v>
      </c>
      <c r="BM12" s="308">
        <f>_xlfn.IFNA((VLOOKUP($A12,HN!$A:$M,12,FALSE)/12),0)</f>
        <v>23000</v>
      </c>
      <c r="BN12" s="308">
        <f>_xlfn.IFNA((VLOOKUP($A12,HN!$A:$M,9,FALSE)/12),0)</f>
        <v>0</v>
      </c>
      <c r="BO12" s="308">
        <f>_xlfn.IFNA((VLOOKUP($A12,'Post 16'!$A:$AR,22,FALSE)/4),0)</f>
        <v>0</v>
      </c>
      <c r="BP12" s="308"/>
      <c r="BQ12" s="308">
        <f>_xlfn.IFNA(((VLOOKUP($A12,HN!$A:$M,10,FALSE)-$U12-$AK12)/10),0)</f>
        <v>0</v>
      </c>
      <c r="BR12" s="308">
        <f>_xlfn.IFNA(((VLOOKUP($A12,HN!$A:$M,13,FALSE)-$V12-$AL12)/10),0)</f>
        <v>43530.813749999994</v>
      </c>
      <c r="BS12" s="307">
        <f t="shared" si="13"/>
        <v>-792.65</v>
      </c>
      <c r="BT12" s="307">
        <f t="shared" si="14"/>
        <v>-778.00905</v>
      </c>
      <c r="BU12" s="308"/>
      <c r="BV12" s="308"/>
      <c r="BW12" s="308"/>
      <c r="BX12" s="307">
        <f t="shared" si="15"/>
        <v>275673.38822591631</v>
      </c>
      <c r="BY12" s="300">
        <f t="shared" si="16"/>
        <v>210713.23352591635</v>
      </c>
      <c r="BZ12" s="300"/>
      <c r="CA12" s="300"/>
      <c r="CB12" s="301">
        <f>_xlfn.IFNA((VLOOKUP($A12,HN!$A:$M,8,FALSE)/12),0)</f>
        <v>0</v>
      </c>
      <c r="CC12" s="301">
        <f>_xlfn.IFNA((VLOOKUP($A12,HN!$A:$M,12,FALSE)/12),0)</f>
        <v>23000</v>
      </c>
      <c r="CD12" s="301">
        <f>_xlfn.IFNA((VLOOKUP($A12,HN!$A:$M,9,FALSE)/12),0)</f>
        <v>0</v>
      </c>
      <c r="CE12" s="301">
        <f>_xlfn.IFNA((VLOOKUP($A12,'Post 16'!$A:$AG,33,FALSE)/8),0)</f>
        <v>0</v>
      </c>
      <c r="CF12" s="301"/>
      <c r="CG12" s="301">
        <f>_xlfn.IFNA(((VLOOKUP($A12,HN!$A:$M,10,FALSE)-$U12-$AK12)/10),0)</f>
        <v>0</v>
      </c>
      <c r="CH12" s="301">
        <f>_xlfn.IFNA(((VLOOKUP($A12,HN!$A:$M,13,FALSE)-$V12-$AL12)/10),0)</f>
        <v>43530.813749999994</v>
      </c>
      <c r="CI12" s="300">
        <f t="shared" si="17"/>
        <v>-792.65</v>
      </c>
      <c r="CJ12" s="300">
        <f t="shared" si="18"/>
        <v>-778.00905</v>
      </c>
      <c r="CK12" s="301"/>
      <c r="CL12" s="301"/>
      <c r="CM12" s="301"/>
      <c r="CN12" s="300">
        <f t="shared" si="19"/>
        <v>275673.38822591631</v>
      </c>
      <c r="CO12" s="332">
        <f t="shared" si="20"/>
        <v>210713.23352591635</v>
      </c>
      <c r="CP12" s="332"/>
      <c r="CQ12" s="332">
        <f>_xlfn.IFNA((VLOOKUP($A12,EY!$A:$AB,28,FALSE)-$CV12),0)</f>
        <v>0</v>
      </c>
      <c r="CR12" s="333">
        <f>_xlfn.IFNA((VLOOKUP($A12,HN!$A:$M,8,FALSE)/12),0)</f>
        <v>0</v>
      </c>
      <c r="CS12" s="333">
        <f>_xlfn.IFNA((VLOOKUP($A12,HN!$A:$M,12,FALSE)/12),0)</f>
        <v>23000</v>
      </c>
      <c r="CT12" s="333">
        <f>_xlfn.IFNA((VLOOKUP($A12,HN!$A:$M,9,FALSE)/12),0)</f>
        <v>0</v>
      </c>
      <c r="CU12" s="333">
        <f>_xlfn.IFNA((VLOOKUP($A12,'Post 16'!$A:$AG,33,FALSE)/8),0)</f>
        <v>0</v>
      </c>
      <c r="CV12" s="333">
        <f>_xlfn.IFNA((VLOOKUP($A12,EY!$A:$AB,26,FALSE)*80%),0)</f>
        <v>0</v>
      </c>
      <c r="CW12" s="333">
        <f>_xlfn.IFNA(((VLOOKUP($A12,HN!$A:$M,10,FALSE)-$U12-$AK12)/10),0)</f>
        <v>0</v>
      </c>
      <c r="CX12" s="333">
        <f>_xlfn.IFNA(((VLOOKUP($A12,HN!$A:$M,13,FALSE)-$V12-$AL12)/10),0)</f>
        <v>43530.813749999994</v>
      </c>
      <c r="CY12" s="332">
        <f t="shared" si="21"/>
        <v>-792.65</v>
      </c>
      <c r="CZ12" s="332">
        <f t="shared" si="22"/>
        <v>-778.00905</v>
      </c>
      <c r="DA12" s="333"/>
      <c r="DB12" s="333"/>
      <c r="DC12" s="333"/>
      <c r="DD12" s="332">
        <f t="shared" si="23"/>
        <v>275673.38822591631</v>
      </c>
      <c r="DE12" s="314">
        <f t="shared" si="24"/>
        <v>210713.23352591635</v>
      </c>
      <c r="DF12" s="314"/>
      <c r="DG12" s="314"/>
      <c r="DH12" s="315">
        <f>_xlfn.IFNA((VLOOKUP($A12,HN!$A:$M,8,FALSE)/12),0)</f>
        <v>0</v>
      </c>
      <c r="DI12" s="315">
        <f>_xlfn.IFNA((VLOOKUP($A12,HN!$A:$M,12,FALSE)/12),0)</f>
        <v>23000</v>
      </c>
      <c r="DJ12" s="315">
        <f>_xlfn.IFNA((VLOOKUP($A12,HN!$A:$M,9,FALSE)/12),0)</f>
        <v>0</v>
      </c>
      <c r="DK12" s="315">
        <f>_xlfn.IFNA((VLOOKUP($A12,'Post 16'!$A:$AG,33,FALSE)/8),0)</f>
        <v>0</v>
      </c>
      <c r="DL12" s="315"/>
      <c r="DM12" s="315">
        <f>_xlfn.IFNA(((VLOOKUP($A12,HN!$A:$M,10,FALSE)-$U12-$AK12)/10),0)</f>
        <v>0</v>
      </c>
      <c r="DN12" s="315">
        <f>_xlfn.IFNA(((VLOOKUP($A12,HN!$A:$M,13,FALSE)-$V12-$AL12)/10),0)</f>
        <v>43530.813749999994</v>
      </c>
      <c r="DO12" s="314">
        <f t="shared" si="25"/>
        <v>-792.65</v>
      </c>
      <c r="DP12" s="314">
        <f t="shared" si="26"/>
        <v>-778.00905</v>
      </c>
      <c r="DQ12" s="315"/>
      <c r="DR12" s="315"/>
      <c r="DS12" s="315"/>
      <c r="DT12" s="314">
        <f t="shared" si="27"/>
        <v>275673.38822591631</v>
      </c>
      <c r="DU12" s="307">
        <f t="shared" si="28"/>
        <v>210713.23352591635</v>
      </c>
      <c r="DV12" s="307"/>
      <c r="DW12" s="307"/>
      <c r="DX12" s="308">
        <f>_xlfn.IFNA((VLOOKUP($A12,HN!$A:$M,8,FALSE)/12),0)</f>
        <v>0</v>
      </c>
      <c r="DY12" s="308">
        <f>_xlfn.IFNA((VLOOKUP($A12,HN!$A:$M,12,FALSE)/12),0)</f>
        <v>23000</v>
      </c>
      <c r="DZ12" s="308">
        <f>_xlfn.IFNA((VLOOKUP($A12,HN!$A:$M,9,FALSE)/12),0)</f>
        <v>0</v>
      </c>
      <c r="EA12" s="308">
        <f>_xlfn.IFNA((VLOOKUP($A12,'Post 16'!$A:$AG,33,FALSE)/8),0)</f>
        <v>0</v>
      </c>
      <c r="EB12" s="308"/>
      <c r="EC12" s="308">
        <f>_xlfn.IFNA(((VLOOKUP($A12,HN!$A:$M,10,FALSE)-$U12-$AK12)/10),0)</f>
        <v>0</v>
      </c>
      <c r="ED12" s="308">
        <f>_xlfn.IFNA(((VLOOKUP($A12,HN!$A:$M,13,FALSE)-$V12-$AL12)/10),0)</f>
        <v>43530.813749999994</v>
      </c>
      <c r="EE12" s="307">
        <f t="shared" si="29"/>
        <v>-792.65</v>
      </c>
      <c r="EF12" s="307">
        <f t="shared" si="30"/>
        <v>-778.00905</v>
      </c>
      <c r="EG12" s="308"/>
      <c r="EH12" s="308"/>
      <c r="EI12" s="308"/>
      <c r="EJ12" s="307">
        <f t="shared" si="31"/>
        <v>275673.38822591631</v>
      </c>
      <c r="EK12" s="320">
        <f t="shared" si="32"/>
        <v>210713.23352591635</v>
      </c>
      <c r="EL12" s="320"/>
      <c r="EM12" s="320"/>
      <c r="EN12" s="321">
        <f>_xlfn.IFNA((VLOOKUP($A12,HN!$A:$M,8,FALSE)/12),0)</f>
        <v>0</v>
      </c>
      <c r="EO12" s="321">
        <f>_xlfn.IFNA((VLOOKUP($A12,HN!$A:$M,12,FALSE)/12),0)</f>
        <v>23000</v>
      </c>
      <c r="EP12" s="321">
        <f>_xlfn.IFNA((VLOOKUP($A12,HN!$A:$M,9,FALSE)/12),0)</f>
        <v>0</v>
      </c>
      <c r="EQ12" s="321">
        <f>_xlfn.IFNA((VLOOKUP($A12,'Post 16'!$A:$AG,33,FALSE)/8),0)</f>
        <v>0</v>
      </c>
      <c r="ER12" s="321"/>
      <c r="ES12" s="321">
        <f>_xlfn.IFNA(((VLOOKUP($A12,HN!$A:$M,10,FALSE)-$U12-$AK12)/10),0)</f>
        <v>0</v>
      </c>
      <c r="ET12" s="321">
        <f>_xlfn.IFNA(((VLOOKUP($A12,HN!$A:$M,13,FALSE)-$V12-$AL12)/10),0)</f>
        <v>43530.813749999994</v>
      </c>
      <c r="EU12" s="320">
        <f t="shared" si="33"/>
        <v>-792.65</v>
      </c>
      <c r="EV12" s="320">
        <f t="shared" si="34"/>
        <v>-778.00905</v>
      </c>
      <c r="EW12" s="321"/>
      <c r="EX12" s="321"/>
      <c r="EY12" s="321"/>
      <c r="EZ12" s="320">
        <f t="shared" si="35"/>
        <v>275673.38822591631</v>
      </c>
      <c r="FA12" s="286">
        <f t="shared" si="36"/>
        <v>210713.23352591635</v>
      </c>
      <c r="FB12" s="286"/>
      <c r="FC12" s="286"/>
      <c r="FD12" s="287">
        <f>_xlfn.IFNA((VLOOKUP($A12,HN!$A:$M,8,FALSE)/12),0)</f>
        <v>0</v>
      </c>
      <c r="FE12" s="287">
        <f>_xlfn.IFNA((VLOOKUP($A12,HN!$A:$M,12,FALSE)/12),0)</f>
        <v>23000</v>
      </c>
      <c r="FF12" s="287">
        <f>_xlfn.IFNA((VLOOKUP($A12,HN!$A:$M,9,FALSE)/12),0)</f>
        <v>0</v>
      </c>
      <c r="FG12" s="287">
        <f>_xlfn.IFNA((VLOOKUP($A12,'Post 16'!$A:$AG,33,FALSE)/8),0)</f>
        <v>0</v>
      </c>
      <c r="FH12" s="287"/>
      <c r="FI12" s="287">
        <f>_xlfn.IFNA(((VLOOKUP($A12,HN!$A:$M,10,FALSE)-$U12-$AK12)/10),0)</f>
        <v>0</v>
      </c>
      <c r="FJ12" s="287">
        <f>_xlfn.IFNA(((VLOOKUP($A12,HN!$A:$M,13,FALSE)-$V12-$AL12)/10),0)</f>
        <v>43530.813749999994</v>
      </c>
      <c r="FK12" s="286">
        <f t="shared" si="37"/>
        <v>-792.65</v>
      </c>
      <c r="FL12" s="286">
        <f t="shared" si="38"/>
        <v>-778.00905</v>
      </c>
      <c r="FM12" s="287"/>
      <c r="FN12" s="287"/>
      <c r="FO12" s="287"/>
      <c r="FP12" s="286">
        <f t="shared" si="39"/>
        <v>275673.38822591631</v>
      </c>
      <c r="FQ12" s="293">
        <f t="shared" si="40"/>
        <v>210713.23352591635</v>
      </c>
      <c r="FR12" s="293"/>
      <c r="FS12" s="293"/>
      <c r="FT12" s="294">
        <f>_xlfn.IFNA((VLOOKUP($A12,HN!$A:$M,8,FALSE)/12),0)</f>
        <v>0</v>
      </c>
      <c r="FU12" s="294">
        <f>_xlfn.IFNA((VLOOKUP($A12,HN!$A:$M,12,FALSE)/12),0)</f>
        <v>23000</v>
      </c>
      <c r="FV12" s="294">
        <f>_xlfn.IFNA((VLOOKUP($A12,HN!$A:$M,9,FALSE)/12),0)</f>
        <v>0</v>
      </c>
      <c r="FW12" s="294">
        <f>_xlfn.IFNA((VLOOKUP($A12,'Post 16'!$A:$AG,33,FALSE)/8),0)</f>
        <v>0</v>
      </c>
      <c r="FX12" s="294"/>
      <c r="FY12" s="294">
        <f>_xlfn.IFNA(((VLOOKUP($A12,HN!$A:$M,10,FALSE)-$U12-$AK12)/10),0)</f>
        <v>0</v>
      </c>
      <c r="FZ12" s="294">
        <f>_xlfn.IFNA(((VLOOKUP($A12,HN!$A:$M,13,FALSE)-$V12-$AL12)/10),0)</f>
        <v>43530.813749999994</v>
      </c>
      <c r="GA12" s="293">
        <f t="shared" si="41"/>
        <v>-792.65</v>
      </c>
      <c r="GB12" s="293">
        <f t="shared" si="42"/>
        <v>-778.00905</v>
      </c>
      <c r="GC12" s="294"/>
      <c r="GD12" s="294"/>
      <c r="GE12" s="294"/>
      <c r="GF12" s="293">
        <f t="shared" si="43"/>
        <v>275673.38822591631</v>
      </c>
      <c r="GG12" s="300">
        <f t="shared" si="44"/>
        <v>210713.23352591635</v>
      </c>
      <c r="GH12" s="300"/>
      <c r="GI12" s="300"/>
      <c r="GJ12" s="301">
        <f>_xlfn.IFNA((VLOOKUP($A12,HN!$A:$M,8,FALSE)/12),0)</f>
        <v>0</v>
      </c>
      <c r="GK12" s="301">
        <f>_xlfn.IFNA((VLOOKUP($A12,HN!$A:$M,12,FALSE)/12),0)</f>
        <v>23000</v>
      </c>
      <c r="GL12" s="301">
        <f>_xlfn.IFNA((VLOOKUP($A12,HN!$A:$M,9,FALSE)/12),0)</f>
        <v>0</v>
      </c>
      <c r="GM12" s="301">
        <f>_xlfn.IFNA((VLOOKUP($A12,'Post 16'!$A:$AG,33,FALSE)/8),0)</f>
        <v>0</v>
      </c>
      <c r="GN12" s="301"/>
      <c r="GO12" s="301">
        <f>_xlfn.IFNA(((VLOOKUP($A12,HN!$A:$M,10,FALSE)-$U12-$AK12)/10),0)</f>
        <v>0</v>
      </c>
      <c r="GP12" s="301">
        <f>_xlfn.IFNA(((VLOOKUP($A12,HN!$A:$M,13,FALSE)-$V12-$AL12)/10),0)</f>
        <v>43530.813749999994</v>
      </c>
      <c r="GQ12" s="300">
        <f t="shared" si="45"/>
        <v>-792.65</v>
      </c>
      <c r="GR12" s="300">
        <f t="shared" si="46"/>
        <v>-778.00905</v>
      </c>
      <c r="GS12" s="301"/>
      <c r="GT12" s="301"/>
      <c r="GU12" s="301"/>
      <c r="GV12" s="300">
        <f t="shared" si="47"/>
        <v>275673.38822591631</v>
      </c>
      <c r="GX12" s="146">
        <f t="shared" si="48"/>
        <v>2804558.8023109972</v>
      </c>
      <c r="GY12" s="146">
        <f t="shared" si="48"/>
        <v>0</v>
      </c>
      <c r="GZ12" s="146">
        <f t="shared" si="48"/>
        <v>530803.82999999984</v>
      </c>
      <c r="HA12" s="146">
        <f t="shared" si="48"/>
        <v>-9511.7999999999975</v>
      </c>
      <c r="HB12" s="146">
        <f t="shared" si="48"/>
        <v>-9336.1085999999996</v>
      </c>
      <c r="HC12" s="146">
        <f t="shared" si="48"/>
        <v>0</v>
      </c>
      <c r="HE12" s="146">
        <f t="shared" si="49"/>
        <v>701139.70057774906</v>
      </c>
      <c r="HF12" s="146">
        <f t="shared" si="49"/>
        <v>0</v>
      </c>
      <c r="HG12" s="146">
        <f t="shared" si="49"/>
        <v>139026.50625000001</v>
      </c>
      <c r="HH12" s="146">
        <f t="shared" si="49"/>
        <v>-2377.9499999999998</v>
      </c>
      <c r="HI12" s="146">
        <f t="shared" si="49"/>
        <v>-2334.0271499999999</v>
      </c>
      <c r="HJ12" s="146">
        <f t="shared" si="49"/>
        <v>0</v>
      </c>
      <c r="HL12" s="146"/>
      <c r="HM12" s="57"/>
    </row>
    <row r="13" spans="1:221">
      <c r="A13" s="185">
        <v>2062</v>
      </c>
      <c r="B13" s="185">
        <v>103192</v>
      </c>
      <c r="C13" s="185" t="s">
        <v>46</v>
      </c>
      <c r="D13" s="2" t="s">
        <v>47</v>
      </c>
      <c r="E13" s="190" t="s">
        <v>39</v>
      </c>
      <c r="F13" s="190" t="s">
        <v>890</v>
      </c>
      <c r="H13" s="271">
        <f>_xlfn.IFNA(VLOOKUP($A13,ISB!$A$4:$BY$441,67,FALSE),0)</f>
        <v>2525539.5112802321</v>
      </c>
      <c r="I13" s="271">
        <f>_xlfn.IFNA(VLOOKUP($A13,ISB!$A$4:$BY$441,72,FALSE),0)</f>
        <v>-9163.1999999999989</v>
      </c>
      <c r="J13" s="271">
        <f>-_xlfn.IFNA(VLOOKUP($A13,ISB!$A$4:$BY$441,76,FALSE),0)</f>
        <v>-39764.906999999999</v>
      </c>
      <c r="K13" s="271">
        <f>_xlfn.IFNA(VLOOKUP($A13,ISB!$A$4:$BY$441,77,FALSE),0)</f>
        <v>2476611.4042802318</v>
      </c>
      <c r="M13" s="279">
        <f t="shared" si="0"/>
        <v>210461.62594001935</v>
      </c>
      <c r="N13" s="279"/>
      <c r="O13" s="279">
        <f>_xlfn.IFNA(VLOOKUP($A13,EY!$A:$H,8,FALSE)+(VLOOKUP($A13,EY!$A:$R,18,FALSE)-$T13),0)</f>
        <v>41269.800000000003</v>
      </c>
      <c r="P13" s="280">
        <f>_xlfn.IFNA((VLOOKUP($A13,HN!$A:$M,8,FALSE)/12),0)</f>
        <v>0</v>
      </c>
      <c r="Q13" s="280">
        <f>_xlfn.IFNA((VLOOKUP($A13,HN!$A:$M,12,FALSE)/12),0)</f>
        <v>0</v>
      </c>
      <c r="R13" s="280">
        <f>_xlfn.IFNA((VLOOKUP($A13,HN!$A:$M,9,FALSE)/12),0)</f>
        <v>0</v>
      </c>
      <c r="S13" s="280">
        <f>_xlfn.IFNA((VLOOKUP($A13,'Post 16'!$A:$AR,22,FALSE)/4),0)</f>
        <v>0</v>
      </c>
      <c r="T13" s="280">
        <f>_xlfn.IFNA((VLOOKUP($A13,EY!$A:$R,16,FALSE)*80%),0)</f>
        <v>0</v>
      </c>
      <c r="U13" s="280">
        <v>21872.2075</v>
      </c>
      <c r="V13" s="280">
        <v>0</v>
      </c>
      <c r="W13" s="279">
        <f t="shared" si="1"/>
        <v>-763.59999999999991</v>
      </c>
      <c r="X13" s="279">
        <f t="shared" si="2"/>
        <v>-3313.7422499999998</v>
      </c>
      <c r="Y13" s="280"/>
      <c r="Z13" s="280"/>
      <c r="AA13" s="280"/>
      <c r="AB13" s="279">
        <f t="shared" si="3"/>
        <v>269526.2911900194</v>
      </c>
      <c r="AC13" s="293">
        <f t="shared" si="4"/>
        <v>210461.62594001935</v>
      </c>
      <c r="AD13" s="293"/>
      <c r="AE13" s="293"/>
      <c r="AF13" s="294">
        <f>_xlfn.IFNA((VLOOKUP($A13,HN!$A:$M,8,FALSE)/12),0)</f>
        <v>0</v>
      </c>
      <c r="AG13" s="294">
        <f>_xlfn.IFNA((VLOOKUP($A13,HN!$A:$M,12,FALSE)/12),0)+_xlfn.IFNA(VLOOKUP($A13,HN!$A:$Q,17,FALSE),0)</f>
        <v>0</v>
      </c>
      <c r="AH13" s="294">
        <f>_xlfn.IFNA((VLOOKUP($A13,HN!$A:$M,9,FALSE)/12),0)</f>
        <v>0</v>
      </c>
      <c r="AI13" s="294">
        <f>_xlfn.IFNA((VLOOKUP($A13,'Post 16'!$A:$AR,22,FALSE)/4),0)</f>
        <v>0</v>
      </c>
      <c r="AJ13" s="294"/>
      <c r="AK13" s="294">
        <f>_xlfn.IFNA((VLOOKUP($A13,HN!$A:$M,10,FALSE)/12),0)</f>
        <v>11810.735833333334</v>
      </c>
      <c r="AL13" s="294">
        <f>_xlfn.IFNA((VLOOKUP($A13,HN!$A:$M,13,FALSE)/12),0)</f>
        <v>0</v>
      </c>
      <c r="AM13" s="293">
        <f t="shared" si="5"/>
        <v>-763.59999999999991</v>
      </c>
      <c r="AN13" s="293">
        <f t="shared" si="6"/>
        <v>-3313.7422499999998</v>
      </c>
      <c r="AO13" s="294"/>
      <c r="AP13" s="294"/>
      <c r="AQ13" s="294"/>
      <c r="AR13" s="293">
        <f t="shared" si="7"/>
        <v>218195.01952335268</v>
      </c>
      <c r="AS13" s="286">
        <f t="shared" si="8"/>
        <v>210461.62594001935</v>
      </c>
      <c r="AT13" s="286"/>
      <c r="AU13" s="286">
        <f>_xlfn.IFNA(VLOOKUP(A13,EY!A:AO,40,FALSE),0)</f>
        <v>4159.8184210526269</v>
      </c>
      <c r="AV13" s="287">
        <f>_xlfn.IFNA((VLOOKUP($A13,HN!$A:$M,8,FALSE)/12),0)</f>
        <v>0</v>
      </c>
      <c r="AW13" s="287">
        <f>_xlfn.IFNA((VLOOKUP($A13,HN!$A:$M,12,FALSE)/12),0)+_xlfn.IFNA(VLOOKUP($A13,HN!$A$8:$AU$200,19,FALSE),0)</f>
        <v>0</v>
      </c>
      <c r="AX13" s="287">
        <f>_xlfn.IFNA((VLOOKUP($A13,HN!$A:$M,9,FALSE)/12),0)</f>
        <v>0</v>
      </c>
      <c r="AY13" s="287">
        <f>_xlfn.IFNA((VLOOKUP($A13,'Post 16'!$A:$AR,22,FALSE)/4),0)</f>
        <v>0</v>
      </c>
      <c r="AZ13" s="287">
        <f>_xlfn.IFNA(VLOOKUP(A13,EY!A:AO,41,FALSE),0)</f>
        <v>0</v>
      </c>
      <c r="BA13" s="287">
        <f>_xlfn.IFNA(((VLOOKUP($A13,HN!$A:$M,10,FALSE)-$U13-$AK13)/10),0)+_xlfn.IFNA(VLOOKUP($A13,HN!$A:$R,18,FALSE),0)</f>
        <v>10804.588666666667</v>
      </c>
      <c r="BB13" s="287">
        <f>_xlfn.IFNA(((VLOOKUP($A13,HN!$A:$M,13,FALSE)-$V13-$AL13)/10),0)+_xlfn.IFNA(VLOOKUP($A13,HN!$A$8:$AU$200,20,FALSE),0)</f>
        <v>0</v>
      </c>
      <c r="BC13" s="286">
        <f t="shared" si="9"/>
        <v>-763.59999999999991</v>
      </c>
      <c r="BD13" s="286">
        <f t="shared" si="10"/>
        <v>-3313.7422499999998</v>
      </c>
      <c r="BE13" s="287"/>
      <c r="BF13" s="287"/>
      <c r="BG13" s="287"/>
      <c r="BH13" s="286">
        <f t="shared" si="11"/>
        <v>221348.69077773864</v>
      </c>
      <c r="BI13" s="307">
        <f t="shared" si="12"/>
        <v>210461.62594001935</v>
      </c>
      <c r="BJ13" s="307">
        <f>_xlfn.IFNA(VLOOKUP(A13,'LA Deductions'!A:AH,34,FALSE),0)</f>
        <v>0</v>
      </c>
      <c r="BK13" s="307"/>
      <c r="BL13" s="308">
        <f>_xlfn.IFNA((VLOOKUP($A13,HN!$A:$M,8,FALSE)/12),0)</f>
        <v>0</v>
      </c>
      <c r="BM13" s="308">
        <f>_xlfn.IFNA((VLOOKUP($A13,HN!$A:$M,12,FALSE)/12),0)</f>
        <v>0</v>
      </c>
      <c r="BN13" s="308">
        <f>_xlfn.IFNA((VLOOKUP($A13,HN!$A:$M,9,FALSE)/12),0)</f>
        <v>0</v>
      </c>
      <c r="BO13" s="308">
        <f>_xlfn.IFNA((VLOOKUP($A13,'Post 16'!$A:$AR,22,FALSE)/4),0)</f>
        <v>0</v>
      </c>
      <c r="BP13" s="308"/>
      <c r="BQ13" s="308">
        <f>_xlfn.IFNA(((VLOOKUP($A13,HN!$A:$M,10,FALSE)-$U13-$AK13)/10),0)</f>
        <v>10804.588666666667</v>
      </c>
      <c r="BR13" s="308">
        <f>_xlfn.IFNA(((VLOOKUP($A13,HN!$A:$M,13,FALSE)-$V13-$AL13)/10),0)</f>
        <v>0</v>
      </c>
      <c r="BS13" s="307">
        <f t="shared" si="13"/>
        <v>-763.59999999999991</v>
      </c>
      <c r="BT13" s="307">
        <f t="shared" si="14"/>
        <v>-3313.7422499999998</v>
      </c>
      <c r="BU13" s="308"/>
      <c r="BV13" s="308"/>
      <c r="BW13" s="308"/>
      <c r="BX13" s="307">
        <f t="shared" si="15"/>
        <v>217188.87235668601</v>
      </c>
      <c r="BY13" s="300">
        <f t="shared" si="16"/>
        <v>210461.62594001935</v>
      </c>
      <c r="BZ13" s="300"/>
      <c r="CA13" s="300"/>
      <c r="CB13" s="301">
        <f>_xlfn.IFNA((VLOOKUP($A13,HN!$A:$M,8,FALSE)/12),0)</f>
        <v>0</v>
      </c>
      <c r="CC13" s="301">
        <f>_xlfn.IFNA((VLOOKUP($A13,HN!$A:$M,12,FALSE)/12),0)</f>
        <v>0</v>
      </c>
      <c r="CD13" s="301">
        <f>_xlfn.IFNA((VLOOKUP($A13,HN!$A:$M,9,FALSE)/12),0)</f>
        <v>0</v>
      </c>
      <c r="CE13" s="301">
        <f>_xlfn.IFNA((VLOOKUP($A13,'Post 16'!$A:$AG,33,FALSE)/8),0)</f>
        <v>0</v>
      </c>
      <c r="CF13" s="301"/>
      <c r="CG13" s="301">
        <f>_xlfn.IFNA(((VLOOKUP($A13,HN!$A:$M,10,FALSE)-$U13-$AK13)/10),0)</f>
        <v>10804.588666666667</v>
      </c>
      <c r="CH13" s="301">
        <f>_xlfn.IFNA(((VLOOKUP($A13,HN!$A:$M,13,FALSE)-$V13-$AL13)/10),0)</f>
        <v>0</v>
      </c>
      <c r="CI13" s="300">
        <f t="shared" si="17"/>
        <v>-763.59999999999991</v>
      </c>
      <c r="CJ13" s="300">
        <f t="shared" si="18"/>
        <v>-3313.7422499999998</v>
      </c>
      <c r="CK13" s="301"/>
      <c r="CL13" s="301"/>
      <c r="CM13" s="301"/>
      <c r="CN13" s="300">
        <f t="shared" si="19"/>
        <v>217188.87235668601</v>
      </c>
      <c r="CO13" s="332">
        <f t="shared" si="20"/>
        <v>210461.62594001935</v>
      </c>
      <c r="CP13" s="332"/>
      <c r="CQ13" s="332">
        <f>_xlfn.IFNA((VLOOKUP($A13,EY!$A:$AB,28,FALSE)-$CV13),0)</f>
        <v>39858</v>
      </c>
      <c r="CR13" s="333">
        <f>_xlfn.IFNA((VLOOKUP($A13,HN!$A:$M,8,FALSE)/12),0)</f>
        <v>0</v>
      </c>
      <c r="CS13" s="333">
        <f>_xlfn.IFNA((VLOOKUP($A13,HN!$A:$M,12,FALSE)/12),0)</f>
        <v>0</v>
      </c>
      <c r="CT13" s="333">
        <f>_xlfn.IFNA((VLOOKUP($A13,HN!$A:$M,9,FALSE)/12),0)</f>
        <v>0</v>
      </c>
      <c r="CU13" s="333">
        <f>_xlfn.IFNA((VLOOKUP($A13,'Post 16'!$A:$AG,33,FALSE)/8),0)</f>
        <v>0</v>
      </c>
      <c r="CV13" s="333">
        <f>_xlfn.IFNA((VLOOKUP($A13,EY!$A:$AB,26,FALSE)*80%),0)</f>
        <v>0</v>
      </c>
      <c r="CW13" s="333">
        <f>_xlfn.IFNA(((VLOOKUP($A13,HN!$A:$M,10,FALSE)-$U13-$AK13)/10),0)</f>
        <v>10804.588666666667</v>
      </c>
      <c r="CX13" s="333">
        <f>_xlfn.IFNA(((VLOOKUP($A13,HN!$A:$M,13,FALSE)-$V13-$AL13)/10),0)</f>
        <v>0</v>
      </c>
      <c r="CY13" s="332">
        <f t="shared" si="21"/>
        <v>-763.59999999999991</v>
      </c>
      <c r="CZ13" s="332">
        <f t="shared" si="22"/>
        <v>-3313.7422499999998</v>
      </c>
      <c r="DA13" s="333"/>
      <c r="DB13" s="333"/>
      <c r="DC13" s="333"/>
      <c r="DD13" s="332">
        <f t="shared" si="23"/>
        <v>257046.87235668601</v>
      </c>
      <c r="DE13" s="314">
        <f t="shared" si="24"/>
        <v>210461.62594001935</v>
      </c>
      <c r="DF13" s="314"/>
      <c r="DG13" s="314"/>
      <c r="DH13" s="315">
        <f>_xlfn.IFNA((VLOOKUP($A13,HN!$A:$M,8,FALSE)/12),0)</f>
        <v>0</v>
      </c>
      <c r="DI13" s="315">
        <f>_xlfn.IFNA((VLOOKUP($A13,HN!$A:$M,12,FALSE)/12),0)</f>
        <v>0</v>
      </c>
      <c r="DJ13" s="315">
        <f>_xlfn.IFNA((VLOOKUP($A13,HN!$A:$M,9,FALSE)/12),0)</f>
        <v>0</v>
      </c>
      <c r="DK13" s="315">
        <f>_xlfn.IFNA((VLOOKUP($A13,'Post 16'!$A:$AG,33,FALSE)/8),0)</f>
        <v>0</v>
      </c>
      <c r="DL13" s="315"/>
      <c r="DM13" s="315">
        <f>_xlfn.IFNA(((VLOOKUP($A13,HN!$A:$M,10,FALSE)-$U13-$AK13)/10),0)</f>
        <v>10804.588666666667</v>
      </c>
      <c r="DN13" s="315">
        <f>_xlfn.IFNA(((VLOOKUP($A13,HN!$A:$M,13,FALSE)-$V13-$AL13)/10),0)</f>
        <v>0</v>
      </c>
      <c r="DO13" s="314">
        <f t="shared" si="25"/>
        <v>-763.59999999999991</v>
      </c>
      <c r="DP13" s="314">
        <f t="shared" si="26"/>
        <v>-3313.7422499999998</v>
      </c>
      <c r="DQ13" s="315"/>
      <c r="DR13" s="315"/>
      <c r="DS13" s="315"/>
      <c r="DT13" s="314">
        <f t="shared" si="27"/>
        <v>217188.87235668601</v>
      </c>
      <c r="DU13" s="307">
        <f t="shared" si="28"/>
        <v>210461.62594001935</v>
      </c>
      <c r="DV13" s="307"/>
      <c r="DW13" s="307"/>
      <c r="DX13" s="308">
        <f>_xlfn.IFNA((VLOOKUP($A13,HN!$A:$M,8,FALSE)/12),0)</f>
        <v>0</v>
      </c>
      <c r="DY13" s="308">
        <f>_xlfn.IFNA((VLOOKUP($A13,HN!$A:$M,12,FALSE)/12),0)</f>
        <v>0</v>
      </c>
      <c r="DZ13" s="308">
        <f>_xlfn.IFNA((VLOOKUP($A13,HN!$A:$M,9,FALSE)/12),0)</f>
        <v>0</v>
      </c>
      <c r="EA13" s="308">
        <f>_xlfn.IFNA((VLOOKUP($A13,'Post 16'!$A:$AG,33,FALSE)/8),0)</f>
        <v>0</v>
      </c>
      <c r="EB13" s="308"/>
      <c r="EC13" s="308">
        <f>_xlfn.IFNA(((VLOOKUP($A13,HN!$A:$M,10,FALSE)-$U13-$AK13)/10),0)</f>
        <v>10804.588666666667</v>
      </c>
      <c r="ED13" s="308">
        <f>_xlfn.IFNA(((VLOOKUP($A13,HN!$A:$M,13,FALSE)-$V13-$AL13)/10),0)</f>
        <v>0</v>
      </c>
      <c r="EE13" s="307">
        <f t="shared" si="29"/>
        <v>-763.59999999999991</v>
      </c>
      <c r="EF13" s="307">
        <f t="shared" si="30"/>
        <v>-3313.7422499999998</v>
      </c>
      <c r="EG13" s="308"/>
      <c r="EH13" s="308"/>
      <c r="EI13" s="308"/>
      <c r="EJ13" s="307">
        <f t="shared" si="31"/>
        <v>217188.87235668601</v>
      </c>
      <c r="EK13" s="320">
        <f t="shared" si="32"/>
        <v>210461.62594001935</v>
      </c>
      <c r="EL13" s="320"/>
      <c r="EM13" s="320"/>
      <c r="EN13" s="321">
        <f>_xlfn.IFNA((VLOOKUP($A13,HN!$A:$M,8,FALSE)/12),0)</f>
        <v>0</v>
      </c>
      <c r="EO13" s="321">
        <f>_xlfn.IFNA((VLOOKUP($A13,HN!$A:$M,12,FALSE)/12),0)</f>
        <v>0</v>
      </c>
      <c r="EP13" s="321">
        <f>_xlfn.IFNA((VLOOKUP($A13,HN!$A:$M,9,FALSE)/12),0)</f>
        <v>0</v>
      </c>
      <c r="EQ13" s="321">
        <f>_xlfn.IFNA((VLOOKUP($A13,'Post 16'!$A:$AG,33,FALSE)/8),0)</f>
        <v>0</v>
      </c>
      <c r="ER13" s="321"/>
      <c r="ES13" s="321">
        <f>_xlfn.IFNA(((VLOOKUP($A13,HN!$A:$M,10,FALSE)-$U13-$AK13)/10),0)</f>
        <v>10804.588666666667</v>
      </c>
      <c r="ET13" s="321">
        <f>_xlfn.IFNA(((VLOOKUP($A13,HN!$A:$M,13,FALSE)-$V13-$AL13)/10),0)</f>
        <v>0</v>
      </c>
      <c r="EU13" s="320">
        <f t="shared" si="33"/>
        <v>-763.59999999999991</v>
      </c>
      <c r="EV13" s="320">
        <f t="shared" si="34"/>
        <v>-3313.7422499999998</v>
      </c>
      <c r="EW13" s="321"/>
      <c r="EX13" s="321"/>
      <c r="EY13" s="321"/>
      <c r="EZ13" s="320">
        <f t="shared" si="35"/>
        <v>217188.87235668601</v>
      </c>
      <c r="FA13" s="286">
        <f t="shared" si="36"/>
        <v>210461.62594001935</v>
      </c>
      <c r="FB13" s="286"/>
      <c r="FC13" s="286"/>
      <c r="FD13" s="287">
        <f>_xlfn.IFNA((VLOOKUP($A13,HN!$A:$M,8,FALSE)/12),0)</f>
        <v>0</v>
      </c>
      <c r="FE13" s="287">
        <f>_xlfn.IFNA((VLOOKUP($A13,HN!$A:$M,12,FALSE)/12),0)</f>
        <v>0</v>
      </c>
      <c r="FF13" s="287">
        <f>_xlfn.IFNA((VLOOKUP($A13,HN!$A:$M,9,FALSE)/12),0)</f>
        <v>0</v>
      </c>
      <c r="FG13" s="287">
        <f>_xlfn.IFNA((VLOOKUP($A13,'Post 16'!$A:$AG,33,FALSE)/8),0)</f>
        <v>0</v>
      </c>
      <c r="FH13" s="287"/>
      <c r="FI13" s="287">
        <f>_xlfn.IFNA(((VLOOKUP($A13,HN!$A:$M,10,FALSE)-$U13-$AK13)/10),0)</f>
        <v>10804.588666666667</v>
      </c>
      <c r="FJ13" s="287">
        <f>_xlfn.IFNA(((VLOOKUP($A13,HN!$A:$M,13,FALSE)-$V13-$AL13)/10),0)</f>
        <v>0</v>
      </c>
      <c r="FK13" s="286">
        <f t="shared" si="37"/>
        <v>-763.59999999999991</v>
      </c>
      <c r="FL13" s="286">
        <f t="shared" si="38"/>
        <v>-3313.7422499999998</v>
      </c>
      <c r="FM13" s="287"/>
      <c r="FN13" s="287"/>
      <c r="FO13" s="287"/>
      <c r="FP13" s="286">
        <f t="shared" si="39"/>
        <v>217188.87235668601</v>
      </c>
      <c r="FQ13" s="293">
        <f t="shared" si="40"/>
        <v>210461.62594001935</v>
      </c>
      <c r="FR13" s="293"/>
      <c r="FS13" s="293"/>
      <c r="FT13" s="294">
        <f>_xlfn.IFNA((VLOOKUP($A13,HN!$A:$M,8,FALSE)/12),0)</f>
        <v>0</v>
      </c>
      <c r="FU13" s="294">
        <f>_xlfn.IFNA((VLOOKUP($A13,HN!$A:$M,12,FALSE)/12),0)</f>
        <v>0</v>
      </c>
      <c r="FV13" s="294">
        <f>_xlfn.IFNA((VLOOKUP($A13,HN!$A:$M,9,FALSE)/12),0)</f>
        <v>0</v>
      </c>
      <c r="FW13" s="294">
        <f>_xlfn.IFNA((VLOOKUP($A13,'Post 16'!$A:$AG,33,FALSE)/8),0)</f>
        <v>0</v>
      </c>
      <c r="FX13" s="294"/>
      <c r="FY13" s="294">
        <f>_xlfn.IFNA(((VLOOKUP($A13,HN!$A:$M,10,FALSE)-$U13-$AK13)/10),0)</f>
        <v>10804.588666666667</v>
      </c>
      <c r="FZ13" s="294">
        <f>_xlfn.IFNA(((VLOOKUP($A13,HN!$A:$M,13,FALSE)-$V13-$AL13)/10),0)</f>
        <v>0</v>
      </c>
      <c r="GA13" s="293">
        <f t="shared" si="41"/>
        <v>-763.59999999999991</v>
      </c>
      <c r="GB13" s="293">
        <f t="shared" si="42"/>
        <v>-3313.7422499999998</v>
      </c>
      <c r="GC13" s="294"/>
      <c r="GD13" s="294"/>
      <c r="GE13" s="294"/>
      <c r="GF13" s="293">
        <f t="shared" si="43"/>
        <v>217188.87235668601</v>
      </c>
      <c r="GG13" s="300">
        <f t="shared" si="44"/>
        <v>210461.62594001935</v>
      </c>
      <c r="GH13" s="300"/>
      <c r="GI13" s="300"/>
      <c r="GJ13" s="301">
        <f>_xlfn.IFNA((VLOOKUP($A13,HN!$A:$M,8,FALSE)/12),0)</f>
        <v>0</v>
      </c>
      <c r="GK13" s="301">
        <f>_xlfn.IFNA((VLOOKUP($A13,HN!$A:$M,12,FALSE)/12),0)</f>
        <v>0</v>
      </c>
      <c r="GL13" s="301">
        <f>_xlfn.IFNA((VLOOKUP($A13,HN!$A:$M,9,FALSE)/12),0)</f>
        <v>0</v>
      </c>
      <c r="GM13" s="301">
        <f>_xlfn.IFNA((VLOOKUP($A13,'Post 16'!$A:$AG,33,FALSE)/8),0)</f>
        <v>0</v>
      </c>
      <c r="GN13" s="301"/>
      <c r="GO13" s="301">
        <f>_xlfn.IFNA(((VLOOKUP($A13,HN!$A:$M,10,FALSE)-$U13-$AK13)/10),0)</f>
        <v>10804.588666666667</v>
      </c>
      <c r="GP13" s="301">
        <f>_xlfn.IFNA(((VLOOKUP($A13,HN!$A:$M,13,FALSE)-$V13-$AL13)/10),0)</f>
        <v>0</v>
      </c>
      <c r="GQ13" s="300">
        <f t="shared" si="45"/>
        <v>-763.59999999999991</v>
      </c>
      <c r="GR13" s="300">
        <f t="shared" si="46"/>
        <v>-3313.7422499999998</v>
      </c>
      <c r="GS13" s="301"/>
      <c r="GT13" s="301"/>
      <c r="GU13" s="301"/>
      <c r="GV13" s="300">
        <f t="shared" si="47"/>
        <v>217188.87235668601</v>
      </c>
      <c r="GX13" s="146">
        <f t="shared" si="48"/>
        <v>2610827.1297012842</v>
      </c>
      <c r="GY13" s="146">
        <f t="shared" si="48"/>
        <v>0</v>
      </c>
      <c r="GZ13" s="146">
        <f t="shared" si="48"/>
        <v>141728.82999999999</v>
      </c>
      <c r="HA13" s="146">
        <f t="shared" si="48"/>
        <v>-9163.2000000000007</v>
      </c>
      <c r="HB13" s="146">
        <f t="shared" si="48"/>
        <v>-39764.907000000007</v>
      </c>
      <c r="HC13" s="146">
        <f t="shared" si="48"/>
        <v>0</v>
      </c>
      <c r="HE13" s="146">
        <f t="shared" si="49"/>
        <v>676814.49624111073</v>
      </c>
      <c r="HF13" s="146">
        <f t="shared" si="49"/>
        <v>0</v>
      </c>
      <c r="HG13" s="146">
        <f t="shared" si="49"/>
        <v>44487.532000000007</v>
      </c>
      <c r="HH13" s="146">
        <f t="shared" si="49"/>
        <v>-2290.7999999999997</v>
      </c>
      <c r="HI13" s="146">
        <f t="shared" si="49"/>
        <v>-9941.2267499999998</v>
      </c>
      <c r="HJ13" s="146">
        <f t="shared" si="49"/>
        <v>0</v>
      </c>
      <c r="HL13" s="146"/>
      <c r="HM13" s="57"/>
    </row>
    <row r="14" spans="1:221">
      <c r="A14" s="185">
        <v>2479</v>
      </c>
      <c r="B14" s="185">
        <v>132074</v>
      </c>
      <c r="C14" s="185" t="s">
        <v>48</v>
      </c>
      <c r="D14" s="2" t="s">
        <v>49</v>
      </c>
      <c r="E14" s="190" t="s">
        <v>39</v>
      </c>
      <c r="F14" s="190" t="s">
        <v>890</v>
      </c>
      <c r="H14" s="271">
        <f>_xlfn.IFNA(VLOOKUP($A14,ISB!$A$4:$BY$441,67,FALSE),0)</f>
        <v>4177689.2879819432</v>
      </c>
      <c r="I14" s="271">
        <f>_xlfn.IFNA(VLOOKUP($A14,ISB!$A$4:$BY$441,72,FALSE),0)</f>
        <v>-15413.099999999999</v>
      </c>
      <c r="J14" s="271">
        <f>-_xlfn.IFNA(VLOOKUP($A14,ISB!$A$4:$BY$441,76,FALSE),0)</f>
        <v>-22384.516299999999</v>
      </c>
      <c r="K14" s="271">
        <f>_xlfn.IFNA(VLOOKUP($A14,ISB!$A$4:$BY$441,77,FALSE),0)</f>
        <v>4139891.6716819433</v>
      </c>
      <c r="M14" s="279">
        <f t="shared" si="0"/>
        <v>348140.77399849525</v>
      </c>
      <c r="N14" s="279"/>
      <c r="O14" s="279">
        <f>_xlfn.IFNA(VLOOKUP($A14,EY!$A:$H,8,FALSE)+(VLOOKUP($A14,EY!$A:$R,18,FALSE)-$T14),0)</f>
        <v>94669.432000000001</v>
      </c>
      <c r="P14" s="280">
        <f>_xlfn.IFNA((VLOOKUP($A14,HN!$A:$M,8,FALSE)/12),0)</f>
        <v>0</v>
      </c>
      <c r="Q14" s="280">
        <f>_xlfn.IFNA((VLOOKUP($A14,HN!$A:$M,12,FALSE)/12),0)</f>
        <v>6666.666666666667</v>
      </c>
      <c r="R14" s="280">
        <f>_xlfn.IFNA((VLOOKUP($A14,HN!$A:$M,9,FALSE)/12),0)</f>
        <v>0</v>
      </c>
      <c r="S14" s="280">
        <f>_xlfn.IFNA((VLOOKUP($A14,'Post 16'!$A:$AR,22,FALSE)/4),0)</f>
        <v>0</v>
      </c>
      <c r="T14" s="280">
        <f>_xlfn.IFNA((VLOOKUP($A14,EY!$A:$R,16,FALSE)*80%),0)</f>
        <v>0</v>
      </c>
      <c r="U14" s="280">
        <v>0</v>
      </c>
      <c r="V14" s="280">
        <v>36120.974166666667</v>
      </c>
      <c r="W14" s="279">
        <f t="shared" si="1"/>
        <v>-1284.425</v>
      </c>
      <c r="X14" s="279">
        <f t="shared" si="2"/>
        <v>-1865.3763583333332</v>
      </c>
      <c r="Y14" s="280"/>
      <c r="Z14" s="280"/>
      <c r="AA14" s="280"/>
      <c r="AB14" s="279">
        <f t="shared" si="3"/>
        <v>482448.04547349527</v>
      </c>
      <c r="AC14" s="293">
        <f t="shared" si="4"/>
        <v>348140.77399849525</v>
      </c>
      <c r="AD14" s="293"/>
      <c r="AE14" s="293"/>
      <c r="AF14" s="294">
        <f>_xlfn.IFNA((VLOOKUP($A14,HN!$A:$M,8,FALSE)/12),0)</f>
        <v>0</v>
      </c>
      <c r="AG14" s="294">
        <f>_xlfn.IFNA((VLOOKUP($A14,HN!$A:$M,12,FALSE)/12),0)+_xlfn.IFNA(VLOOKUP($A14,HN!$A:$Q,17,FALSE),0)</f>
        <v>6666.666666666667</v>
      </c>
      <c r="AH14" s="294">
        <f>_xlfn.IFNA((VLOOKUP($A14,HN!$A:$M,9,FALSE)/12),0)</f>
        <v>0</v>
      </c>
      <c r="AI14" s="294">
        <f>_xlfn.IFNA((VLOOKUP($A14,'Post 16'!$A:$AR,22,FALSE)/4),0)</f>
        <v>0</v>
      </c>
      <c r="AJ14" s="294"/>
      <c r="AK14" s="294">
        <f>_xlfn.IFNA((VLOOKUP($A14,HN!$A:$M,10,FALSE)/12),0)</f>
        <v>0</v>
      </c>
      <c r="AL14" s="294">
        <f>_xlfn.IFNA((VLOOKUP($A14,HN!$A:$M,13,FALSE)/12),0)</f>
        <v>20265.258333333335</v>
      </c>
      <c r="AM14" s="293">
        <f t="shared" si="5"/>
        <v>-1284.425</v>
      </c>
      <c r="AN14" s="293">
        <f t="shared" si="6"/>
        <v>-1865.3763583333332</v>
      </c>
      <c r="AO14" s="294"/>
      <c r="AP14" s="294"/>
      <c r="AQ14" s="294"/>
      <c r="AR14" s="293">
        <f t="shared" si="7"/>
        <v>371922.89764016197</v>
      </c>
      <c r="AS14" s="286">
        <f t="shared" si="8"/>
        <v>348140.77399849525</v>
      </c>
      <c r="AT14" s="286"/>
      <c r="AU14" s="286">
        <f>_xlfn.IFNA(VLOOKUP(A14,EY!A:AO,40,FALSE),0)</f>
        <v>-13812.166315789478</v>
      </c>
      <c r="AV14" s="287">
        <f>_xlfn.IFNA((VLOOKUP($A14,HN!$A:$M,8,FALSE)/12),0)</f>
        <v>0</v>
      </c>
      <c r="AW14" s="287">
        <f>_xlfn.IFNA((VLOOKUP($A14,HN!$A:$M,12,FALSE)/12),0)+_xlfn.IFNA(VLOOKUP($A14,HN!$A$8:$AU$200,19,FALSE),0)</f>
        <v>6666.666666666667</v>
      </c>
      <c r="AX14" s="287">
        <f>_xlfn.IFNA((VLOOKUP($A14,HN!$A:$M,9,FALSE)/12),0)</f>
        <v>0</v>
      </c>
      <c r="AY14" s="287">
        <f>_xlfn.IFNA((VLOOKUP($A14,'Post 16'!$A:$AR,22,FALSE)/4),0)</f>
        <v>0</v>
      </c>
      <c r="AZ14" s="287">
        <f>_xlfn.IFNA(VLOOKUP(A14,EY!A:AO,41,FALSE),0)</f>
        <v>0</v>
      </c>
      <c r="BA14" s="287">
        <f>_xlfn.IFNA(((VLOOKUP($A14,HN!$A:$M,10,FALSE)-$U14-$AK14)/10),0)+_xlfn.IFNA(VLOOKUP($A14,HN!$A:$R,18,FALSE),0)</f>
        <v>0</v>
      </c>
      <c r="BB14" s="287">
        <f>_xlfn.IFNA(((VLOOKUP($A14,HN!$A:$M,13,FALSE)-$V14-$AL14)/10),0)+_xlfn.IFNA(VLOOKUP($A14,HN!$A$8:$AU$200,20,FALSE),0)</f>
        <v>18679.686750000001</v>
      </c>
      <c r="BC14" s="286">
        <f t="shared" si="9"/>
        <v>-1284.425</v>
      </c>
      <c r="BD14" s="286">
        <f t="shared" si="10"/>
        <v>-1865.3763583333332</v>
      </c>
      <c r="BE14" s="287"/>
      <c r="BF14" s="287"/>
      <c r="BG14" s="287"/>
      <c r="BH14" s="286">
        <f t="shared" si="11"/>
        <v>356525.15974103916</v>
      </c>
      <c r="BI14" s="307">
        <f t="shared" si="12"/>
        <v>348140.77399849525</v>
      </c>
      <c r="BJ14" s="307">
        <f>_xlfn.IFNA(VLOOKUP(A14,'LA Deductions'!A:AH,34,FALSE),0)</f>
        <v>0</v>
      </c>
      <c r="BK14" s="307"/>
      <c r="BL14" s="308">
        <f>_xlfn.IFNA((VLOOKUP($A14,HN!$A:$M,8,FALSE)/12),0)</f>
        <v>0</v>
      </c>
      <c r="BM14" s="308">
        <f>_xlfn.IFNA((VLOOKUP($A14,HN!$A:$M,12,FALSE)/12),0)</f>
        <v>6666.666666666667</v>
      </c>
      <c r="BN14" s="308">
        <f>_xlfn.IFNA((VLOOKUP($A14,HN!$A:$M,9,FALSE)/12),0)</f>
        <v>0</v>
      </c>
      <c r="BO14" s="308">
        <f>_xlfn.IFNA((VLOOKUP($A14,'Post 16'!$A:$AR,22,FALSE)/4),0)</f>
        <v>0</v>
      </c>
      <c r="BP14" s="308"/>
      <c r="BQ14" s="308">
        <f>_xlfn.IFNA(((VLOOKUP($A14,HN!$A:$M,10,FALSE)-$U14-$AK14)/10),0)</f>
        <v>0</v>
      </c>
      <c r="BR14" s="308">
        <f>_xlfn.IFNA(((VLOOKUP($A14,HN!$A:$M,13,FALSE)-$V14-$AL14)/10),0)</f>
        <v>18679.686750000001</v>
      </c>
      <c r="BS14" s="307">
        <f t="shared" si="13"/>
        <v>-1284.425</v>
      </c>
      <c r="BT14" s="307">
        <f t="shared" si="14"/>
        <v>-1865.3763583333332</v>
      </c>
      <c r="BU14" s="308"/>
      <c r="BV14" s="308"/>
      <c r="BW14" s="308"/>
      <c r="BX14" s="307">
        <f t="shared" si="15"/>
        <v>370337.32605682861</v>
      </c>
      <c r="BY14" s="300">
        <f t="shared" si="16"/>
        <v>348140.77399849525</v>
      </c>
      <c r="BZ14" s="300"/>
      <c r="CA14" s="300"/>
      <c r="CB14" s="301">
        <f>_xlfn.IFNA((VLOOKUP($A14,HN!$A:$M,8,FALSE)/12),0)</f>
        <v>0</v>
      </c>
      <c r="CC14" s="301">
        <f>_xlfn.IFNA((VLOOKUP($A14,HN!$A:$M,12,FALSE)/12),0)</f>
        <v>6666.666666666667</v>
      </c>
      <c r="CD14" s="301">
        <f>_xlfn.IFNA((VLOOKUP($A14,HN!$A:$M,9,FALSE)/12),0)</f>
        <v>0</v>
      </c>
      <c r="CE14" s="301">
        <f>_xlfn.IFNA((VLOOKUP($A14,'Post 16'!$A:$AG,33,FALSE)/8),0)</f>
        <v>0</v>
      </c>
      <c r="CF14" s="301"/>
      <c r="CG14" s="301">
        <f>_xlfn.IFNA(((VLOOKUP($A14,HN!$A:$M,10,FALSE)-$U14-$AK14)/10),0)</f>
        <v>0</v>
      </c>
      <c r="CH14" s="301">
        <f>_xlfn.IFNA(((VLOOKUP($A14,HN!$A:$M,13,FALSE)-$V14-$AL14)/10),0)</f>
        <v>18679.686750000001</v>
      </c>
      <c r="CI14" s="300">
        <f t="shared" si="17"/>
        <v>-1284.425</v>
      </c>
      <c r="CJ14" s="300">
        <f t="shared" si="18"/>
        <v>-1865.3763583333332</v>
      </c>
      <c r="CK14" s="301"/>
      <c r="CL14" s="301"/>
      <c r="CM14" s="301"/>
      <c r="CN14" s="300">
        <f t="shared" si="19"/>
        <v>370337.32605682861</v>
      </c>
      <c r="CO14" s="332">
        <f t="shared" si="20"/>
        <v>348140.77399849525</v>
      </c>
      <c r="CP14" s="332"/>
      <c r="CQ14" s="332">
        <f>_xlfn.IFNA((VLOOKUP($A14,EY!$A:$AB,28,FALSE)-$CV14),0)</f>
        <v>50308.752000000008</v>
      </c>
      <c r="CR14" s="333">
        <f>_xlfn.IFNA((VLOOKUP($A14,HN!$A:$M,8,FALSE)/12),0)</f>
        <v>0</v>
      </c>
      <c r="CS14" s="333">
        <f>_xlfn.IFNA((VLOOKUP($A14,HN!$A:$M,12,FALSE)/12),0)</f>
        <v>6666.666666666667</v>
      </c>
      <c r="CT14" s="333">
        <f>_xlfn.IFNA((VLOOKUP($A14,HN!$A:$M,9,FALSE)/12),0)</f>
        <v>0</v>
      </c>
      <c r="CU14" s="333">
        <f>_xlfn.IFNA((VLOOKUP($A14,'Post 16'!$A:$AG,33,FALSE)/8),0)</f>
        <v>0</v>
      </c>
      <c r="CV14" s="333">
        <f>_xlfn.IFNA((VLOOKUP($A14,EY!$A:$AB,26,FALSE)*80%),0)</f>
        <v>0</v>
      </c>
      <c r="CW14" s="333">
        <f>_xlfn.IFNA(((VLOOKUP($A14,HN!$A:$M,10,FALSE)-$U14-$AK14)/10),0)</f>
        <v>0</v>
      </c>
      <c r="CX14" s="333">
        <f>_xlfn.IFNA(((VLOOKUP($A14,HN!$A:$M,13,FALSE)-$V14-$AL14)/10),0)</f>
        <v>18679.686750000001</v>
      </c>
      <c r="CY14" s="332">
        <f t="shared" si="21"/>
        <v>-1284.425</v>
      </c>
      <c r="CZ14" s="332">
        <f t="shared" si="22"/>
        <v>-1865.3763583333332</v>
      </c>
      <c r="DA14" s="333"/>
      <c r="DB14" s="333"/>
      <c r="DC14" s="333"/>
      <c r="DD14" s="332">
        <f t="shared" si="23"/>
        <v>420646.07805682864</v>
      </c>
      <c r="DE14" s="314">
        <f t="shared" si="24"/>
        <v>348140.77399849525</v>
      </c>
      <c r="DF14" s="314"/>
      <c r="DG14" s="314"/>
      <c r="DH14" s="315">
        <f>_xlfn.IFNA((VLOOKUP($A14,HN!$A:$M,8,FALSE)/12),0)</f>
        <v>0</v>
      </c>
      <c r="DI14" s="315">
        <f>_xlfn.IFNA((VLOOKUP($A14,HN!$A:$M,12,FALSE)/12),0)</f>
        <v>6666.666666666667</v>
      </c>
      <c r="DJ14" s="315">
        <f>_xlfn.IFNA((VLOOKUP($A14,HN!$A:$M,9,FALSE)/12),0)</f>
        <v>0</v>
      </c>
      <c r="DK14" s="315">
        <f>_xlfn.IFNA((VLOOKUP($A14,'Post 16'!$A:$AG,33,FALSE)/8),0)</f>
        <v>0</v>
      </c>
      <c r="DL14" s="315"/>
      <c r="DM14" s="315">
        <f>_xlfn.IFNA(((VLOOKUP($A14,HN!$A:$M,10,FALSE)-$U14-$AK14)/10),0)</f>
        <v>0</v>
      </c>
      <c r="DN14" s="315">
        <f>_xlfn.IFNA(((VLOOKUP($A14,HN!$A:$M,13,FALSE)-$V14-$AL14)/10),0)</f>
        <v>18679.686750000001</v>
      </c>
      <c r="DO14" s="314">
        <f t="shared" si="25"/>
        <v>-1284.425</v>
      </c>
      <c r="DP14" s="314">
        <f t="shared" si="26"/>
        <v>-1865.3763583333332</v>
      </c>
      <c r="DQ14" s="315"/>
      <c r="DR14" s="315"/>
      <c r="DS14" s="315"/>
      <c r="DT14" s="314">
        <f t="shared" si="27"/>
        <v>370337.32605682861</v>
      </c>
      <c r="DU14" s="307">
        <f t="shared" si="28"/>
        <v>348140.77399849525</v>
      </c>
      <c r="DV14" s="307"/>
      <c r="DW14" s="307"/>
      <c r="DX14" s="308">
        <f>_xlfn.IFNA((VLOOKUP($A14,HN!$A:$M,8,FALSE)/12),0)</f>
        <v>0</v>
      </c>
      <c r="DY14" s="308">
        <f>_xlfn.IFNA((VLOOKUP($A14,HN!$A:$M,12,FALSE)/12),0)</f>
        <v>6666.666666666667</v>
      </c>
      <c r="DZ14" s="308">
        <f>_xlfn.IFNA((VLOOKUP($A14,HN!$A:$M,9,FALSE)/12),0)</f>
        <v>0</v>
      </c>
      <c r="EA14" s="308">
        <f>_xlfn.IFNA((VLOOKUP($A14,'Post 16'!$A:$AG,33,FALSE)/8),0)</f>
        <v>0</v>
      </c>
      <c r="EB14" s="308"/>
      <c r="EC14" s="308">
        <f>_xlfn.IFNA(((VLOOKUP($A14,HN!$A:$M,10,FALSE)-$U14-$AK14)/10),0)</f>
        <v>0</v>
      </c>
      <c r="ED14" s="308">
        <f>_xlfn.IFNA(((VLOOKUP($A14,HN!$A:$M,13,FALSE)-$V14-$AL14)/10),0)</f>
        <v>18679.686750000001</v>
      </c>
      <c r="EE14" s="307">
        <f t="shared" si="29"/>
        <v>-1284.425</v>
      </c>
      <c r="EF14" s="307">
        <f t="shared" si="30"/>
        <v>-1865.3763583333332</v>
      </c>
      <c r="EG14" s="308"/>
      <c r="EH14" s="308"/>
      <c r="EI14" s="308"/>
      <c r="EJ14" s="307">
        <f t="shared" si="31"/>
        <v>370337.32605682861</v>
      </c>
      <c r="EK14" s="320">
        <f t="shared" si="32"/>
        <v>348140.77399849525</v>
      </c>
      <c r="EL14" s="320"/>
      <c r="EM14" s="320"/>
      <c r="EN14" s="321">
        <f>_xlfn.IFNA((VLOOKUP($A14,HN!$A:$M,8,FALSE)/12),0)</f>
        <v>0</v>
      </c>
      <c r="EO14" s="321">
        <f>_xlfn.IFNA((VLOOKUP($A14,HN!$A:$M,12,FALSE)/12),0)</f>
        <v>6666.666666666667</v>
      </c>
      <c r="EP14" s="321">
        <f>_xlfn.IFNA((VLOOKUP($A14,HN!$A:$M,9,FALSE)/12),0)</f>
        <v>0</v>
      </c>
      <c r="EQ14" s="321">
        <f>_xlfn.IFNA((VLOOKUP($A14,'Post 16'!$A:$AG,33,FALSE)/8),0)</f>
        <v>0</v>
      </c>
      <c r="ER14" s="321"/>
      <c r="ES14" s="321">
        <f>_xlfn.IFNA(((VLOOKUP($A14,HN!$A:$M,10,FALSE)-$U14-$AK14)/10),0)</f>
        <v>0</v>
      </c>
      <c r="ET14" s="321">
        <f>_xlfn.IFNA(((VLOOKUP($A14,HN!$A:$M,13,FALSE)-$V14-$AL14)/10),0)</f>
        <v>18679.686750000001</v>
      </c>
      <c r="EU14" s="320">
        <f t="shared" si="33"/>
        <v>-1284.425</v>
      </c>
      <c r="EV14" s="320">
        <f t="shared" si="34"/>
        <v>-1865.3763583333332</v>
      </c>
      <c r="EW14" s="321"/>
      <c r="EX14" s="321"/>
      <c r="EY14" s="321"/>
      <c r="EZ14" s="320">
        <f t="shared" si="35"/>
        <v>370337.32605682861</v>
      </c>
      <c r="FA14" s="286">
        <f t="shared" si="36"/>
        <v>348140.77399849525</v>
      </c>
      <c r="FB14" s="286"/>
      <c r="FC14" s="286"/>
      <c r="FD14" s="287">
        <f>_xlfn.IFNA((VLOOKUP($A14,HN!$A:$M,8,FALSE)/12),0)</f>
        <v>0</v>
      </c>
      <c r="FE14" s="287">
        <f>_xlfn.IFNA((VLOOKUP($A14,HN!$A:$M,12,FALSE)/12),0)</f>
        <v>6666.666666666667</v>
      </c>
      <c r="FF14" s="287">
        <f>_xlfn.IFNA((VLOOKUP($A14,HN!$A:$M,9,FALSE)/12),0)</f>
        <v>0</v>
      </c>
      <c r="FG14" s="287">
        <f>_xlfn.IFNA((VLOOKUP($A14,'Post 16'!$A:$AG,33,FALSE)/8),0)</f>
        <v>0</v>
      </c>
      <c r="FH14" s="287"/>
      <c r="FI14" s="287">
        <f>_xlfn.IFNA(((VLOOKUP($A14,HN!$A:$M,10,FALSE)-$U14-$AK14)/10),0)</f>
        <v>0</v>
      </c>
      <c r="FJ14" s="287">
        <f>_xlfn.IFNA(((VLOOKUP($A14,HN!$A:$M,13,FALSE)-$V14-$AL14)/10),0)</f>
        <v>18679.686750000001</v>
      </c>
      <c r="FK14" s="286">
        <f t="shared" si="37"/>
        <v>-1284.425</v>
      </c>
      <c r="FL14" s="286">
        <f t="shared" si="38"/>
        <v>-1865.3763583333332</v>
      </c>
      <c r="FM14" s="287"/>
      <c r="FN14" s="287"/>
      <c r="FO14" s="287"/>
      <c r="FP14" s="286">
        <f t="shared" si="39"/>
        <v>370337.32605682861</v>
      </c>
      <c r="FQ14" s="293">
        <f t="shared" si="40"/>
        <v>348140.77399849525</v>
      </c>
      <c r="FR14" s="293"/>
      <c r="FS14" s="293"/>
      <c r="FT14" s="294">
        <f>_xlfn.IFNA((VLOOKUP($A14,HN!$A:$M,8,FALSE)/12),0)</f>
        <v>0</v>
      </c>
      <c r="FU14" s="294">
        <f>_xlfn.IFNA((VLOOKUP($A14,HN!$A:$M,12,FALSE)/12),0)</f>
        <v>6666.666666666667</v>
      </c>
      <c r="FV14" s="294">
        <f>_xlfn.IFNA((VLOOKUP($A14,HN!$A:$M,9,FALSE)/12),0)</f>
        <v>0</v>
      </c>
      <c r="FW14" s="294">
        <f>_xlfn.IFNA((VLOOKUP($A14,'Post 16'!$A:$AG,33,FALSE)/8),0)</f>
        <v>0</v>
      </c>
      <c r="FX14" s="294"/>
      <c r="FY14" s="294">
        <f>_xlfn.IFNA(((VLOOKUP($A14,HN!$A:$M,10,FALSE)-$U14-$AK14)/10),0)</f>
        <v>0</v>
      </c>
      <c r="FZ14" s="294">
        <f>_xlfn.IFNA(((VLOOKUP($A14,HN!$A:$M,13,FALSE)-$V14-$AL14)/10),0)</f>
        <v>18679.686750000001</v>
      </c>
      <c r="GA14" s="293">
        <f t="shared" si="41"/>
        <v>-1284.425</v>
      </c>
      <c r="GB14" s="293">
        <f t="shared" si="42"/>
        <v>-1865.3763583333332</v>
      </c>
      <c r="GC14" s="294"/>
      <c r="GD14" s="294"/>
      <c r="GE14" s="294"/>
      <c r="GF14" s="293">
        <f t="shared" si="43"/>
        <v>370337.32605682861</v>
      </c>
      <c r="GG14" s="300">
        <f t="shared" si="44"/>
        <v>348140.77399849525</v>
      </c>
      <c r="GH14" s="300"/>
      <c r="GI14" s="300"/>
      <c r="GJ14" s="301">
        <f>_xlfn.IFNA((VLOOKUP($A14,HN!$A:$M,8,FALSE)/12),0)</f>
        <v>0</v>
      </c>
      <c r="GK14" s="301">
        <f>_xlfn.IFNA((VLOOKUP($A14,HN!$A:$M,12,FALSE)/12),0)</f>
        <v>6666.666666666667</v>
      </c>
      <c r="GL14" s="301">
        <f>_xlfn.IFNA((VLOOKUP($A14,HN!$A:$M,9,FALSE)/12),0)</f>
        <v>0</v>
      </c>
      <c r="GM14" s="301">
        <f>_xlfn.IFNA((VLOOKUP($A14,'Post 16'!$A:$AG,33,FALSE)/8),0)</f>
        <v>0</v>
      </c>
      <c r="GN14" s="301"/>
      <c r="GO14" s="301">
        <f>_xlfn.IFNA(((VLOOKUP($A14,HN!$A:$M,10,FALSE)-$U14-$AK14)/10),0)</f>
        <v>0</v>
      </c>
      <c r="GP14" s="301">
        <f>_xlfn.IFNA(((VLOOKUP($A14,HN!$A:$M,13,FALSE)-$V14-$AL14)/10),0)</f>
        <v>18679.686750000001</v>
      </c>
      <c r="GQ14" s="300">
        <f t="shared" si="45"/>
        <v>-1284.425</v>
      </c>
      <c r="GR14" s="300">
        <f t="shared" si="46"/>
        <v>-1865.3763583333332</v>
      </c>
      <c r="GS14" s="301"/>
      <c r="GT14" s="301"/>
      <c r="GU14" s="301"/>
      <c r="GV14" s="300">
        <f t="shared" si="47"/>
        <v>370337.32605682861</v>
      </c>
      <c r="GX14" s="146">
        <f t="shared" si="48"/>
        <v>4388855.3056661524</v>
      </c>
      <c r="GY14" s="146">
        <f t="shared" si="48"/>
        <v>0</v>
      </c>
      <c r="GZ14" s="146">
        <f t="shared" si="48"/>
        <v>243183.09999999995</v>
      </c>
      <c r="HA14" s="146">
        <f t="shared" si="48"/>
        <v>-15413.099999999997</v>
      </c>
      <c r="HB14" s="146">
        <f t="shared" si="48"/>
        <v>-22384.516300000003</v>
      </c>
      <c r="HC14" s="146">
        <f t="shared" si="48"/>
        <v>0</v>
      </c>
      <c r="HE14" s="146">
        <f t="shared" si="49"/>
        <v>1145279.5876796963</v>
      </c>
      <c r="HF14" s="146">
        <f t="shared" si="49"/>
        <v>0</v>
      </c>
      <c r="HG14" s="146">
        <f t="shared" si="49"/>
        <v>75065.919250000006</v>
      </c>
      <c r="HH14" s="146">
        <f t="shared" si="49"/>
        <v>-3853.2749999999996</v>
      </c>
      <c r="HI14" s="146">
        <f t="shared" si="49"/>
        <v>-5596.1290749999998</v>
      </c>
      <c r="HJ14" s="146">
        <f t="shared" si="49"/>
        <v>0</v>
      </c>
      <c r="HL14" s="146"/>
      <c r="HM14" s="57"/>
    </row>
    <row r="15" spans="1:221">
      <c r="A15" s="185">
        <v>2300</v>
      </c>
      <c r="B15" s="185">
        <v>103324</v>
      </c>
      <c r="C15" s="185" t="s">
        <v>50</v>
      </c>
      <c r="D15" s="2" t="s">
        <v>51</v>
      </c>
      <c r="E15" s="190" t="s">
        <v>39</v>
      </c>
      <c r="F15" s="190" t="s">
        <v>890</v>
      </c>
      <c r="H15" s="271">
        <f>_xlfn.IFNA(VLOOKUP($A15,ISB!$A$4:$BY$441,67,FALSE),0)</f>
        <v>3986067.6265938007</v>
      </c>
      <c r="I15" s="271">
        <f>_xlfn.IFNA(VLOOKUP($A15,ISB!$A$4:$BY$441,72,FALSE),0)</f>
        <v>-15537.599999999999</v>
      </c>
      <c r="J15" s="271">
        <f>-_xlfn.IFNA(VLOOKUP($A15,ISB!$A$4:$BY$441,76,FALSE),0)</f>
        <v>-91632.176999999996</v>
      </c>
      <c r="K15" s="271">
        <f>_xlfn.IFNA(VLOOKUP($A15,ISB!$A$4:$BY$441,77,FALSE),0)</f>
        <v>3878897.8495938005</v>
      </c>
      <c r="M15" s="279">
        <f t="shared" si="0"/>
        <v>332172.30221615004</v>
      </c>
      <c r="N15" s="279"/>
      <c r="O15" s="279">
        <f>_xlfn.IFNA(VLOOKUP($A15,EY!$A:$H,8,FALSE)+(VLOOKUP($A15,EY!$A:$R,18,FALSE)-$T15),0)</f>
        <v>82984.096000000005</v>
      </c>
      <c r="P15" s="280">
        <f>_xlfn.IFNA((VLOOKUP($A15,HN!$A:$M,8,FALSE)/12),0)</f>
        <v>0</v>
      </c>
      <c r="Q15" s="280">
        <f>_xlfn.IFNA((VLOOKUP($A15,HN!$A:$M,12,FALSE)/12),0)</f>
        <v>0</v>
      </c>
      <c r="R15" s="280">
        <f>_xlfn.IFNA((VLOOKUP($A15,HN!$A:$M,9,FALSE)/12),0)</f>
        <v>0</v>
      </c>
      <c r="S15" s="280">
        <f>_xlfn.IFNA((VLOOKUP($A15,'Post 16'!$A:$AR,22,FALSE)/4),0)</f>
        <v>0</v>
      </c>
      <c r="T15" s="280">
        <f>_xlfn.IFNA((VLOOKUP($A15,EY!$A:$R,16,FALSE)*80%),0)</f>
        <v>0</v>
      </c>
      <c r="U15" s="280">
        <v>28645.326666666664</v>
      </c>
      <c r="V15" s="280">
        <v>0</v>
      </c>
      <c r="W15" s="279">
        <f t="shared" si="1"/>
        <v>-1294.8</v>
      </c>
      <c r="X15" s="279">
        <f t="shared" si="2"/>
        <v>-7636.0147499999994</v>
      </c>
      <c r="Y15" s="280"/>
      <c r="Z15" s="280"/>
      <c r="AA15" s="280"/>
      <c r="AB15" s="279">
        <f t="shared" si="3"/>
        <v>434870.91013281676</v>
      </c>
      <c r="AC15" s="293">
        <f t="shared" si="4"/>
        <v>332172.30221615004</v>
      </c>
      <c r="AD15" s="293"/>
      <c r="AE15" s="293"/>
      <c r="AF15" s="294">
        <f>_xlfn.IFNA((VLOOKUP($A15,HN!$A:$M,8,FALSE)/12),0)</f>
        <v>0</v>
      </c>
      <c r="AG15" s="294">
        <f>_xlfn.IFNA((VLOOKUP($A15,HN!$A:$M,12,FALSE)/12),0)+_xlfn.IFNA(VLOOKUP($A15,HN!$A:$Q,17,FALSE),0)</f>
        <v>0</v>
      </c>
      <c r="AH15" s="294">
        <f>_xlfn.IFNA((VLOOKUP($A15,HN!$A:$M,9,FALSE)/12),0)</f>
        <v>0</v>
      </c>
      <c r="AI15" s="294">
        <f>_xlfn.IFNA((VLOOKUP($A15,'Post 16'!$A:$AR,22,FALSE)/4),0)</f>
        <v>0</v>
      </c>
      <c r="AJ15" s="294"/>
      <c r="AK15" s="294">
        <f>_xlfn.IFNA((VLOOKUP($A15,HN!$A:$M,10,FALSE)/12),0)</f>
        <v>10079.368333333334</v>
      </c>
      <c r="AL15" s="294">
        <f>_xlfn.IFNA((VLOOKUP($A15,HN!$A:$M,13,FALSE)/12),0)</f>
        <v>0</v>
      </c>
      <c r="AM15" s="293">
        <f t="shared" si="5"/>
        <v>-1294.8</v>
      </c>
      <c r="AN15" s="293">
        <f t="shared" si="6"/>
        <v>-7636.0147499999994</v>
      </c>
      <c r="AO15" s="294"/>
      <c r="AP15" s="294"/>
      <c r="AQ15" s="294"/>
      <c r="AR15" s="293">
        <f t="shared" si="7"/>
        <v>333320.85579948343</v>
      </c>
      <c r="AS15" s="286">
        <f t="shared" si="8"/>
        <v>332172.30221615004</v>
      </c>
      <c r="AT15" s="286"/>
      <c r="AU15" s="286">
        <f>_xlfn.IFNA(VLOOKUP(A15,EY!A:AO,40,FALSE),0)</f>
        <v>16064.30058171744</v>
      </c>
      <c r="AV15" s="287">
        <f>_xlfn.IFNA((VLOOKUP($A15,HN!$A:$M,8,FALSE)/12),0)</f>
        <v>0</v>
      </c>
      <c r="AW15" s="287">
        <f>_xlfn.IFNA((VLOOKUP($A15,HN!$A:$M,12,FALSE)/12),0)+_xlfn.IFNA(VLOOKUP($A15,HN!$A$8:$AU$200,19,FALSE),0)</f>
        <v>0</v>
      </c>
      <c r="AX15" s="287">
        <f>_xlfn.IFNA((VLOOKUP($A15,HN!$A:$M,9,FALSE)/12),0)</f>
        <v>0</v>
      </c>
      <c r="AY15" s="287">
        <f>_xlfn.IFNA((VLOOKUP($A15,'Post 16'!$A:$AR,22,FALSE)/4),0)</f>
        <v>0</v>
      </c>
      <c r="AZ15" s="287">
        <f>_xlfn.IFNA(VLOOKUP(A15,EY!A:AO,41,FALSE),0)</f>
        <v>0</v>
      </c>
      <c r="BA15" s="287">
        <f>_xlfn.IFNA(((VLOOKUP($A15,HN!$A:$M,10,FALSE)-$U15-$AK15)/10),0)+_xlfn.IFNA(VLOOKUP($A15,HN!$A:$R,18,FALSE),0)</f>
        <v>8222.7725000000009</v>
      </c>
      <c r="BB15" s="287">
        <f>_xlfn.IFNA(((VLOOKUP($A15,HN!$A:$M,13,FALSE)-$V15-$AL15)/10),0)+_xlfn.IFNA(VLOOKUP($A15,HN!$A$8:$AU$200,20,FALSE),0)</f>
        <v>0</v>
      </c>
      <c r="BC15" s="286">
        <f t="shared" si="9"/>
        <v>-1294.8</v>
      </c>
      <c r="BD15" s="286">
        <f t="shared" si="10"/>
        <v>-7636.0147499999994</v>
      </c>
      <c r="BE15" s="287"/>
      <c r="BF15" s="287"/>
      <c r="BG15" s="287"/>
      <c r="BH15" s="286">
        <f t="shared" si="11"/>
        <v>347528.56054786756</v>
      </c>
      <c r="BI15" s="307">
        <f t="shared" si="12"/>
        <v>332172.30221615004</v>
      </c>
      <c r="BJ15" s="307">
        <f>_xlfn.IFNA(VLOOKUP(A15,'LA Deductions'!A:AH,34,FALSE),0)</f>
        <v>0</v>
      </c>
      <c r="BK15" s="307"/>
      <c r="BL15" s="308">
        <f>_xlfn.IFNA((VLOOKUP($A15,HN!$A:$M,8,FALSE)/12),0)</f>
        <v>0</v>
      </c>
      <c r="BM15" s="308">
        <f>_xlfn.IFNA((VLOOKUP($A15,HN!$A:$M,12,FALSE)/12),0)</f>
        <v>0</v>
      </c>
      <c r="BN15" s="308">
        <f>_xlfn.IFNA((VLOOKUP($A15,HN!$A:$M,9,FALSE)/12),0)</f>
        <v>0</v>
      </c>
      <c r="BO15" s="308">
        <f>_xlfn.IFNA((VLOOKUP($A15,'Post 16'!$A:$AR,22,FALSE)/4),0)</f>
        <v>0</v>
      </c>
      <c r="BP15" s="308"/>
      <c r="BQ15" s="308">
        <f>_xlfn.IFNA(((VLOOKUP($A15,HN!$A:$M,10,FALSE)-$U15-$AK15)/10),0)</f>
        <v>8222.7725000000009</v>
      </c>
      <c r="BR15" s="308">
        <f>_xlfn.IFNA(((VLOOKUP($A15,HN!$A:$M,13,FALSE)-$V15-$AL15)/10),0)</f>
        <v>0</v>
      </c>
      <c r="BS15" s="307">
        <f t="shared" si="13"/>
        <v>-1294.8</v>
      </c>
      <c r="BT15" s="307">
        <f t="shared" si="14"/>
        <v>-7636.0147499999994</v>
      </c>
      <c r="BU15" s="308"/>
      <c r="BV15" s="308"/>
      <c r="BW15" s="308"/>
      <c r="BX15" s="307">
        <f t="shared" si="15"/>
        <v>331464.2599661501</v>
      </c>
      <c r="BY15" s="300">
        <f t="shared" si="16"/>
        <v>332172.30221615004</v>
      </c>
      <c r="BZ15" s="300"/>
      <c r="CA15" s="300"/>
      <c r="CB15" s="301">
        <f>_xlfn.IFNA((VLOOKUP($A15,HN!$A:$M,8,FALSE)/12),0)</f>
        <v>0</v>
      </c>
      <c r="CC15" s="301">
        <f>_xlfn.IFNA((VLOOKUP($A15,HN!$A:$M,12,FALSE)/12),0)</f>
        <v>0</v>
      </c>
      <c r="CD15" s="301">
        <f>_xlfn.IFNA((VLOOKUP($A15,HN!$A:$M,9,FALSE)/12),0)</f>
        <v>0</v>
      </c>
      <c r="CE15" s="301">
        <f>_xlfn.IFNA((VLOOKUP($A15,'Post 16'!$A:$AG,33,FALSE)/8),0)</f>
        <v>0</v>
      </c>
      <c r="CF15" s="301"/>
      <c r="CG15" s="301">
        <f>_xlfn.IFNA(((VLOOKUP($A15,HN!$A:$M,10,FALSE)-$U15-$AK15)/10),0)</f>
        <v>8222.7725000000009</v>
      </c>
      <c r="CH15" s="301">
        <f>_xlfn.IFNA(((VLOOKUP($A15,HN!$A:$M,13,FALSE)-$V15-$AL15)/10),0)</f>
        <v>0</v>
      </c>
      <c r="CI15" s="300">
        <f t="shared" si="17"/>
        <v>-1294.8</v>
      </c>
      <c r="CJ15" s="300">
        <f t="shared" si="18"/>
        <v>-7636.0147499999994</v>
      </c>
      <c r="CK15" s="301"/>
      <c r="CL15" s="301"/>
      <c r="CM15" s="301"/>
      <c r="CN15" s="300">
        <f t="shared" si="19"/>
        <v>331464.2599661501</v>
      </c>
      <c r="CO15" s="332">
        <f t="shared" si="20"/>
        <v>332172.30221615004</v>
      </c>
      <c r="CP15" s="332"/>
      <c r="CQ15" s="332">
        <f>_xlfn.IFNA((VLOOKUP($A15,EY!$A:$AB,28,FALSE)-$CV15),0)</f>
        <v>74369.381894736842</v>
      </c>
      <c r="CR15" s="333">
        <f>_xlfn.IFNA((VLOOKUP($A15,HN!$A:$M,8,FALSE)/12),0)</f>
        <v>0</v>
      </c>
      <c r="CS15" s="333">
        <f>_xlfn.IFNA((VLOOKUP($A15,HN!$A:$M,12,FALSE)/12),0)</f>
        <v>0</v>
      </c>
      <c r="CT15" s="333">
        <f>_xlfn.IFNA((VLOOKUP($A15,HN!$A:$M,9,FALSE)/12),0)</f>
        <v>0</v>
      </c>
      <c r="CU15" s="333">
        <f>_xlfn.IFNA((VLOOKUP($A15,'Post 16'!$A:$AG,33,FALSE)/8),0)</f>
        <v>0</v>
      </c>
      <c r="CV15" s="333">
        <f>_xlfn.IFNA((VLOOKUP($A15,EY!$A:$AB,26,FALSE)*80%),0)</f>
        <v>0</v>
      </c>
      <c r="CW15" s="333">
        <f>_xlfn.IFNA(((VLOOKUP($A15,HN!$A:$M,10,FALSE)-$U15-$AK15)/10),0)</f>
        <v>8222.7725000000009</v>
      </c>
      <c r="CX15" s="333">
        <f>_xlfn.IFNA(((VLOOKUP($A15,HN!$A:$M,13,FALSE)-$V15-$AL15)/10),0)</f>
        <v>0</v>
      </c>
      <c r="CY15" s="332">
        <f t="shared" si="21"/>
        <v>-1294.8</v>
      </c>
      <c r="CZ15" s="332">
        <f t="shared" si="22"/>
        <v>-7636.0147499999994</v>
      </c>
      <c r="DA15" s="333"/>
      <c r="DB15" s="333"/>
      <c r="DC15" s="333"/>
      <c r="DD15" s="332">
        <f t="shared" si="23"/>
        <v>405833.64186088694</v>
      </c>
      <c r="DE15" s="314">
        <f t="shared" si="24"/>
        <v>332172.30221615004</v>
      </c>
      <c r="DF15" s="314"/>
      <c r="DG15" s="314"/>
      <c r="DH15" s="315">
        <f>_xlfn.IFNA((VLOOKUP($A15,HN!$A:$M,8,FALSE)/12),0)</f>
        <v>0</v>
      </c>
      <c r="DI15" s="315">
        <f>_xlfn.IFNA((VLOOKUP($A15,HN!$A:$M,12,FALSE)/12),0)</f>
        <v>0</v>
      </c>
      <c r="DJ15" s="315">
        <f>_xlfn.IFNA((VLOOKUP($A15,HN!$A:$M,9,FALSE)/12),0)</f>
        <v>0</v>
      </c>
      <c r="DK15" s="315">
        <f>_xlfn.IFNA((VLOOKUP($A15,'Post 16'!$A:$AG,33,FALSE)/8),0)</f>
        <v>0</v>
      </c>
      <c r="DL15" s="315"/>
      <c r="DM15" s="315">
        <f>_xlfn.IFNA(((VLOOKUP($A15,HN!$A:$M,10,FALSE)-$U15-$AK15)/10),0)</f>
        <v>8222.7725000000009</v>
      </c>
      <c r="DN15" s="315">
        <f>_xlfn.IFNA(((VLOOKUP($A15,HN!$A:$M,13,FALSE)-$V15-$AL15)/10),0)</f>
        <v>0</v>
      </c>
      <c r="DO15" s="314">
        <f t="shared" si="25"/>
        <v>-1294.8</v>
      </c>
      <c r="DP15" s="314">
        <f t="shared" si="26"/>
        <v>-7636.0147499999994</v>
      </c>
      <c r="DQ15" s="315"/>
      <c r="DR15" s="315"/>
      <c r="DS15" s="315"/>
      <c r="DT15" s="314">
        <f t="shared" si="27"/>
        <v>331464.2599661501</v>
      </c>
      <c r="DU15" s="307">
        <f t="shared" si="28"/>
        <v>332172.30221615004</v>
      </c>
      <c r="DV15" s="307"/>
      <c r="DW15" s="307"/>
      <c r="DX15" s="308">
        <f>_xlfn.IFNA((VLOOKUP($A15,HN!$A:$M,8,FALSE)/12),0)</f>
        <v>0</v>
      </c>
      <c r="DY15" s="308">
        <f>_xlfn.IFNA((VLOOKUP($A15,HN!$A:$M,12,FALSE)/12),0)</f>
        <v>0</v>
      </c>
      <c r="DZ15" s="308">
        <f>_xlfn.IFNA((VLOOKUP($A15,HN!$A:$M,9,FALSE)/12),0)</f>
        <v>0</v>
      </c>
      <c r="EA15" s="308">
        <f>_xlfn.IFNA((VLOOKUP($A15,'Post 16'!$A:$AG,33,FALSE)/8),0)</f>
        <v>0</v>
      </c>
      <c r="EB15" s="308"/>
      <c r="EC15" s="308">
        <f>_xlfn.IFNA(((VLOOKUP($A15,HN!$A:$M,10,FALSE)-$U15-$AK15)/10),0)</f>
        <v>8222.7725000000009</v>
      </c>
      <c r="ED15" s="308">
        <f>_xlfn.IFNA(((VLOOKUP($A15,HN!$A:$M,13,FALSE)-$V15-$AL15)/10),0)</f>
        <v>0</v>
      </c>
      <c r="EE15" s="307">
        <f t="shared" si="29"/>
        <v>-1294.8</v>
      </c>
      <c r="EF15" s="307">
        <f t="shared" si="30"/>
        <v>-7636.0147499999994</v>
      </c>
      <c r="EG15" s="308"/>
      <c r="EH15" s="308"/>
      <c r="EI15" s="308"/>
      <c r="EJ15" s="307">
        <f t="shared" si="31"/>
        <v>331464.2599661501</v>
      </c>
      <c r="EK15" s="320">
        <f t="shared" si="32"/>
        <v>332172.30221615004</v>
      </c>
      <c r="EL15" s="320"/>
      <c r="EM15" s="320"/>
      <c r="EN15" s="321">
        <f>_xlfn.IFNA((VLOOKUP($A15,HN!$A:$M,8,FALSE)/12),0)</f>
        <v>0</v>
      </c>
      <c r="EO15" s="321">
        <f>_xlfn.IFNA((VLOOKUP($A15,HN!$A:$M,12,FALSE)/12),0)</f>
        <v>0</v>
      </c>
      <c r="EP15" s="321">
        <f>_xlfn.IFNA((VLOOKUP($A15,HN!$A:$M,9,FALSE)/12),0)</f>
        <v>0</v>
      </c>
      <c r="EQ15" s="321">
        <f>_xlfn.IFNA((VLOOKUP($A15,'Post 16'!$A:$AG,33,FALSE)/8),0)</f>
        <v>0</v>
      </c>
      <c r="ER15" s="321"/>
      <c r="ES15" s="321">
        <f>_xlfn.IFNA(((VLOOKUP($A15,HN!$A:$M,10,FALSE)-$U15-$AK15)/10),0)</f>
        <v>8222.7725000000009</v>
      </c>
      <c r="ET15" s="321">
        <f>_xlfn.IFNA(((VLOOKUP($A15,HN!$A:$M,13,FALSE)-$V15-$AL15)/10),0)</f>
        <v>0</v>
      </c>
      <c r="EU15" s="320">
        <f t="shared" si="33"/>
        <v>-1294.8</v>
      </c>
      <c r="EV15" s="320">
        <f t="shared" si="34"/>
        <v>-7636.0147499999994</v>
      </c>
      <c r="EW15" s="321"/>
      <c r="EX15" s="321"/>
      <c r="EY15" s="321"/>
      <c r="EZ15" s="320">
        <f t="shared" si="35"/>
        <v>331464.2599661501</v>
      </c>
      <c r="FA15" s="286">
        <f t="shared" si="36"/>
        <v>332172.30221615004</v>
      </c>
      <c r="FB15" s="286"/>
      <c r="FC15" s="286"/>
      <c r="FD15" s="287">
        <f>_xlfn.IFNA((VLOOKUP($A15,HN!$A:$M,8,FALSE)/12),0)</f>
        <v>0</v>
      </c>
      <c r="FE15" s="287">
        <f>_xlfn.IFNA((VLOOKUP($A15,HN!$A:$M,12,FALSE)/12),0)</f>
        <v>0</v>
      </c>
      <c r="FF15" s="287">
        <f>_xlfn.IFNA((VLOOKUP($A15,HN!$A:$M,9,FALSE)/12),0)</f>
        <v>0</v>
      </c>
      <c r="FG15" s="287">
        <f>_xlfn.IFNA((VLOOKUP($A15,'Post 16'!$A:$AG,33,FALSE)/8),0)</f>
        <v>0</v>
      </c>
      <c r="FH15" s="287"/>
      <c r="FI15" s="287">
        <f>_xlfn.IFNA(((VLOOKUP($A15,HN!$A:$M,10,FALSE)-$U15-$AK15)/10),0)</f>
        <v>8222.7725000000009</v>
      </c>
      <c r="FJ15" s="287">
        <f>_xlfn.IFNA(((VLOOKUP($A15,HN!$A:$M,13,FALSE)-$V15-$AL15)/10),0)</f>
        <v>0</v>
      </c>
      <c r="FK15" s="286">
        <f t="shared" si="37"/>
        <v>-1294.8</v>
      </c>
      <c r="FL15" s="286">
        <f t="shared" si="38"/>
        <v>-7636.0147499999994</v>
      </c>
      <c r="FM15" s="287"/>
      <c r="FN15" s="287"/>
      <c r="FO15" s="287"/>
      <c r="FP15" s="286">
        <f t="shared" si="39"/>
        <v>331464.2599661501</v>
      </c>
      <c r="FQ15" s="293">
        <f t="shared" si="40"/>
        <v>332172.30221615004</v>
      </c>
      <c r="FR15" s="293"/>
      <c r="FS15" s="293"/>
      <c r="FT15" s="294">
        <f>_xlfn.IFNA((VLOOKUP($A15,HN!$A:$M,8,FALSE)/12),0)</f>
        <v>0</v>
      </c>
      <c r="FU15" s="294">
        <f>_xlfn.IFNA((VLOOKUP($A15,HN!$A:$M,12,FALSE)/12),0)</f>
        <v>0</v>
      </c>
      <c r="FV15" s="294">
        <f>_xlfn.IFNA((VLOOKUP($A15,HN!$A:$M,9,FALSE)/12),0)</f>
        <v>0</v>
      </c>
      <c r="FW15" s="294">
        <f>_xlfn.IFNA((VLOOKUP($A15,'Post 16'!$A:$AG,33,FALSE)/8),0)</f>
        <v>0</v>
      </c>
      <c r="FX15" s="294"/>
      <c r="FY15" s="294">
        <f>_xlfn.IFNA(((VLOOKUP($A15,HN!$A:$M,10,FALSE)-$U15-$AK15)/10),0)</f>
        <v>8222.7725000000009</v>
      </c>
      <c r="FZ15" s="294">
        <f>_xlfn.IFNA(((VLOOKUP($A15,HN!$A:$M,13,FALSE)-$V15-$AL15)/10),0)</f>
        <v>0</v>
      </c>
      <c r="GA15" s="293">
        <f t="shared" si="41"/>
        <v>-1294.8</v>
      </c>
      <c r="GB15" s="293">
        <f t="shared" si="42"/>
        <v>-7636.0147499999994</v>
      </c>
      <c r="GC15" s="294"/>
      <c r="GD15" s="294"/>
      <c r="GE15" s="294"/>
      <c r="GF15" s="293">
        <f t="shared" si="43"/>
        <v>331464.2599661501</v>
      </c>
      <c r="GG15" s="300">
        <f t="shared" si="44"/>
        <v>332172.30221615004</v>
      </c>
      <c r="GH15" s="300"/>
      <c r="GI15" s="300"/>
      <c r="GJ15" s="301">
        <f>_xlfn.IFNA((VLOOKUP($A15,HN!$A:$M,8,FALSE)/12),0)</f>
        <v>0</v>
      </c>
      <c r="GK15" s="301">
        <f>_xlfn.IFNA((VLOOKUP($A15,HN!$A:$M,12,FALSE)/12),0)</f>
        <v>0</v>
      </c>
      <c r="GL15" s="301">
        <f>_xlfn.IFNA((VLOOKUP($A15,HN!$A:$M,9,FALSE)/12),0)</f>
        <v>0</v>
      </c>
      <c r="GM15" s="301">
        <f>_xlfn.IFNA((VLOOKUP($A15,'Post 16'!$A:$AG,33,FALSE)/8),0)</f>
        <v>0</v>
      </c>
      <c r="GN15" s="301"/>
      <c r="GO15" s="301">
        <f>_xlfn.IFNA(((VLOOKUP($A15,HN!$A:$M,10,FALSE)-$U15-$AK15)/10),0)</f>
        <v>8222.7725000000009</v>
      </c>
      <c r="GP15" s="301">
        <f>_xlfn.IFNA(((VLOOKUP($A15,HN!$A:$M,13,FALSE)-$V15-$AL15)/10),0)</f>
        <v>0</v>
      </c>
      <c r="GQ15" s="300">
        <f t="shared" si="45"/>
        <v>-1294.8</v>
      </c>
      <c r="GR15" s="300">
        <f t="shared" si="46"/>
        <v>-7636.0147499999994</v>
      </c>
      <c r="GS15" s="301"/>
      <c r="GT15" s="301"/>
      <c r="GU15" s="301"/>
      <c r="GV15" s="300">
        <f t="shared" si="47"/>
        <v>331464.2599661501</v>
      </c>
      <c r="GX15" s="146">
        <f t="shared" si="48"/>
        <v>4159485.4050702541</v>
      </c>
      <c r="GY15" s="146">
        <f t="shared" si="48"/>
        <v>0</v>
      </c>
      <c r="GZ15" s="146">
        <f t="shared" si="48"/>
        <v>120952.42000000004</v>
      </c>
      <c r="HA15" s="146">
        <f t="shared" si="48"/>
        <v>-15537.599999999997</v>
      </c>
      <c r="HB15" s="146">
        <f t="shared" si="48"/>
        <v>-91632.177000000011</v>
      </c>
      <c r="HC15" s="146">
        <f t="shared" si="48"/>
        <v>0</v>
      </c>
      <c r="HE15" s="146">
        <f t="shared" si="49"/>
        <v>1095565.3032301676</v>
      </c>
      <c r="HF15" s="146">
        <f t="shared" si="49"/>
        <v>0</v>
      </c>
      <c r="HG15" s="146">
        <f t="shared" si="49"/>
        <v>46947.467499999999</v>
      </c>
      <c r="HH15" s="146">
        <f t="shared" si="49"/>
        <v>-3884.3999999999996</v>
      </c>
      <c r="HI15" s="146">
        <f t="shared" si="49"/>
        <v>-22908.044249999999</v>
      </c>
      <c r="HJ15" s="146">
        <f t="shared" si="49"/>
        <v>0</v>
      </c>
      <c r="HL15" s="146"/>
      <c r="HM15" s="57"/>
    </row>
    <row r="16" spans="1:221">
      <c r="A16" s="185">
        <v>2014</v>
      </c>
      <c r="B16" s="185">
        <v>103162</v>
      </c>
      <c r="C16" s="185" t="s">
        <v>52</v>
      </c>
      <c r="D16" s="2" t="s">
        <v>53</v>
      </c>
      <c r="E16" s="190" t="s">
        <v>39</v>
      </c>
      <c r="F16" s="190" t="s">
        <v>890</v>
      </c>
      <c r="H16" s="271">
        <f>_xlfn.IFNA(VLOOKUP($A16,ISB!$A$4:$BY$441,67,FALSE),0)</f>
        <v>2520778.4502457064</v>
      </c>
      <c r="I16" s="271">
        <f>_xlfn.IFNA(VLOOKUP($A16,ISB!$A$4:$BY$441,72,FALSE),0)</f>
        <v>-9536.6999999999989</v>
      </c>
      <c r="J16" s="271">
        <f>-_xlfn.IFNA(VLOOKUP($A16,ISB!$A$4:$BY$441,76,FALSE),0)</f>
        <v>-40917.512999999999</v>
      </c>
      <c r="K16" s="271">
        <f>_xlfn.IFNA(VLOOKUP($A16,ISB!$A$4:$BY$441,77,FALSE),0)</f>
        <v>2470324.2372457064</v>
      </c>
      <c r="M16" s="279">
        <f t="shared" si="0"/>
        <v>210064.87085380885</v>
      </c>
      <c r="N16" s="279"/>
      <c r="O16" s="279">
        <f>_xlfn.IFNA(VLOOKUP($A16,EY!$A:$H,8,FALSE)+(VLOOKUP($A16,EY!$A:$R,18,FALSE)-$T16),0)</f>
        <v>36734.152000000002</v>
      </c>
      <c r="P16" s="280">
        <f>_xlfn.IFNA((VLOOKUP($A16,HN!$A:$M,8,FALSE)/12),0)</f>
        <v>0</v>
      </c>
      <c r="Q16" s="280">
        <f>_xlfn.IFNA((VLOOKUP($A16,HN!$A:$M,12,FALSE)/12),0)</f>
        <v>0</v>
      </c>
      <c r="R16" s="280">
        <f>_xlfn.IFNA((VLOOKUP($A16,HN!$A:$M,9,FALSE)/12),0)</f>
        <v>0</v>
      </c>
      <c r="S16" s="280">
        <f>_xlfn.IFNA((VLOOKUP($A16,'Post 16'!$A:$AR,22,FALSE)/4),0)</f>
        <v>0</v>
      </c>
      <c r="T16" s="280">
        <f>_xlfn.IFNA((VLOOKUP($A16,EY!$A:$R,16,FALSE)*80%),0)</f>
        <v>0</v>
      </c>
      <c r="U16" s="280">
        <v>11521.75</v>
      </c>
      <c r="V16" s="280">
        <v>0</v>
      </c>
      <c r="W16" s="279">
        <f t="shared" si="1"/>
        <v>-794.72499999999991</v>
      </c>
      <c r="X16" s="279">
        <f t="shared" si="2"/>
        <v>-3409.7927500000001</v>
      </c>
      <c r="Y16" s="280"/>
      <c r="Z16" s="280"/>
      <c r="AA16" s="280"/>
      <c r="AB16" s="279">
        <f t="shared" si="3"/>
        <v>254116.25510380886</v>
      </c>
      <c r="AC16" s="293">
        <f t="shared" si="4"/>
        <v>210064.87085380885</v>
      </c>
      <c r="AD16" s="293"/>
      <c r="AE16" s="293"/>
      <c r="AF16" s="294">
        <f>_xlfn.IFNA((VLOOKUP($A16,HN!$A:$M,8,FALSE)/12),0)</f>
        <v>0</v>
      </c>
      <c r="AG16" s="294">
        <f>_xlfn.IFNA((VLOOKUP($A16,HN!$A:$M,12,FALSE)/12),0)+_xlfn.IFNA(VLOOKUP($A16,HN!$A:$Q,17,FALSE),0)</f>
        <v>0</v>
      </c>
      <c r="AH16" s="294">
        <f>_xlfn.IFNA((VLOOKUP($A16,HN!$A:$M,9,FALSE)/12),0)</f>
        <v>0</v>
      </c>
      <c r="AI16" s="294">
        <f>_xlfn.IFNA((VLOOKUP($A16,'Post 16'!$A:$AR,22,FALSE)/4),0)</f>
        <v>0</v>
      </c>
      <c r="AJ16" s="294"/>
      <c r="AK16" s="294">
        <f>_xlfn.IFNA((VLOOKUP($A16,HN!$A:$M,10,FALSE)/12),0)</f>
        <v>6244.083333333333</v>
      </c>
      <c r="AL16" s="294">
        <f>_xlfn.IFNA((VLOOKUP($A16,HN!$A:$M,13,FALSE)/12),0)</f>
        <v>0</v>
      </c>
      <c r="AM16" s="293">
        <f t="shared" si="5"/>
        <v>-794.72499999999991</v>
      </c>
      <c r="AN16" s="293">
        <f t="shared" si="6"/>
        <v>-3409.7927500000001</v>
      </c>
      <c r="AO16" s="294"/>
      <c r="AP16" s="294"/>
      <c r="AQ16" s="294"/>
      <c r="AR16" s="293">
        <f t="shared" si="7"/>
        <v>212104.4364371422</v>
      </c>
      <c r="AS16" s="286">
        <f t="shared" si="8"/>
        <v>210064.87085380885</v>
      </c>
      <c r="AT16" s="286"/>
      <c r="AU16" s="286">
        <f>_xlfn.IFNA(VLOOKUP(A16,EY!A:AO,40,FALSE),0)</f>
        <v>15166.157368421063</v>
      </c>
      <c r="AV16" s="287">
        <f>_xlfn.IFNA((VLOOKUP($A16,HN!$A:$M,8,FALSE)/12),0)</f>
        <v>0</v>
      </c>
      <c r="AW16" s="287">
        <f>_xlfn.IFNA((VLOOKUP($A16,HN!$A:$M,12,FALSE)/12),0)+_xlfn.IFNA(VLOOKUP($A16,HN!$A$8:$AU$200,19,FALSE),0)</f>
        <v>0</v>
      </c>
      <c r="AX16" s="287">
        <f>_xlfn.IFNA((VLOOKUP($A16,HN!$A:$M,9,FALSE)/12),0)</f>
        <v>0</v>
      </c>
      <c r="AY16" s="287">
        <f>_xlfn.IFNA((VLOOKUP($A16,'Post 16'!$A:$AR,22,FALSE)/4),0)</f>
        <v>0</v>
      </c>
      <c r="AZ16" s="287">
        <f>_xlfn.IFNA(VLOOKUP(A16,EY!A:AO,41,FALSE),0)</f>
        <v>0</v>
      </c>
      <c r="BA16" s="287">
        <f>_xlfn.IFNA(((VLOOKUP($A16,HN!$A:$M,10,FALSE)-$U16-$AK16)/10),0)+_xlfn.IFNA(VLOOKUP($A16,HN!$A:$R,18,FALSE),0)</f>
        <v>5716.3166666666666</v>
      </c>
      <c r="BB16" s="287">
        <f>_xlfn.IFNA(((VLOOKUP($A16,HN!$A:$M,13,FALSE)-$V16-$AL16)/10),0)+_xlfn.IFNA(VLOOKUP($A16,HN!$A$8:$AU$200,20,FALSE),0)</f>
        <v>0</v>
      </c>
      <c r="BC16" s="286">
        <f t="shared" si="9"/>
        <v>-794.72499999999991</v>
      </c>
      <c r="BD16" s="286">
        <f t="shared" si="10"/>
        <v>-3409.7927500000001</v>
      </c>
      <c r="BE16" s="287"/>
      <c r="BF16" s="287"/>
      <c r="BG16" s="287"/>
      <c r="BH16" s="286">
        <f t="shared" si="11"/>
        <v>226742.82713889659</v>
      </c>
      <c r="BI16" s="307">
        <f t="shared" si="12"/>
        <v>210064.87085380885</v>
      </c>
      <c r="BJ16" s="307">
        <f>_xlfn.IFNA(VLOOKUP(A16,'LA Deductions'!A:AH,34,FALSE),0)</f>
        <v>0</v>
      </c>
      <c r="BK16" s="307"/>
      <c r="BL16" s="308">
        <f>_xlfn.IFNA((VLOOKUP($A16,HN!$A:$M,8,FALSE)/12),0)</f>
        <v>0</v>
      </c>
      <c r="BM16" s="308">
        <f>_xlfn.IFNA((VLOOKUP($A16,HN!$A:$M,12,FALSE)/12),0)</f>
        <v>0</v>
      </c>
      <c r="BN16" s="308">
        <f>_xlfn.IFNA((VLOOKUP($A16,HN!$A:$M,9,FALSE)/12),0)</f>
        <v>0</v>
      </c>
      <c r="BO16" s="308">
        <f>_xlfn.IFNA((VLOOKUP($A16,'Post 16'!$A:$AR,22,FALSE)/4),0)</f>
        <v>0</v>
      </c>
      <c r="BP16" s="308"/>
      <c r="BQ16" s="308">
        <f>_xlfn.IFNA(((VLOOKUP($A16,HN!$A:$M,10,FALSE)-$U16-$AK16)/10),0)</f>
        <v>5716.3166666666666</v>
      </c>
      <c r="BR16" s="308">
        <f>_xlfn.IFNA(((VLOOKUP($A16,HN!$A:$M,13,FALSE)-$V16-$AL16)/10),0)</f>
        <v>0</v>
      </c>
      <c r="BS16" s="307">
        <f t="shared" si="13"/>
        <v>-794.72499999999991</v>
      </c>
      <c r="BT16" s="307">
        <f t="shared" si="14"/>
        <v>-3409.7927500000001</v>
      </c>
      <c r="BU16" s="308"/>
      <c r="BV16" s="308"/>
      <c r="BW16" s="308"/>
      <c r="BX16" s="307">
        <f t="shared" si="15"/>
        <v>211576.66977047554</v>
      </c>
      <c r="BY16" s="300">
        <f t="shared" si="16"/>
        <v>210064.87085380885</v>
      </c>
      <c r="BZ16" s="300"/>
      <c r="CA16" s="300"/>
      <c r="CB16" s="301">
        <f>_xlfn.IFNA((VLOOKUP($A16,HN!$A:$M,8,FALSE)/12),0)</f>
        <v>0</v>
      </c>
      <c r="CC16" s="301">
        <f>_xlfn.IFNA((VLOOKUP($A16,HN!$A:$M,12,FALSE)/12),0)</f>
        <v>0</v>
      </c>
      <c r="CD16" s="301">
        <f>_xlfn.IFNA((VLOOKUP($A16,HN!$A:$M,9,FALSE)/12),0)</f>
        <v>0</v>
      </c>
      <c r="CE16" s="301">
        <f>_xlfn.IFNA((VLOOKUP($A16,'Post 16'!$A:$AG,33,FALSE)/8),0)</f>
        <v>0</v>
      </c>
      <c r="CF16" s="301"/>
      <c r="CG16" s="301">
        <f>_xlfn.IFNA(((VLOOKUP($A16,HN!$A:$M,10,FALSE)-$U16-$AK16)/10),0)</f>
        <v>5716.3166666666666</v>
      </c>
      <c r="CH16" s="301">
        <f>_xlfn.IFNA(((VLOOKUP($A16,HN!$A:$M,13,FALSE)-$V16-$AL16)/10),0)</f>
        <v>0</v>
      </c>
      <c r="CI16" s="300">
        <f t="shared" si="17"/>
        <v>-794.72499999999991</v>
      </c>
      <c r="CJ16" s="300">
        <f t="shared" si="18"/>
        <v>-3409.7927500000001</v>
      </c>
      <c r="CK16" s="301"/>
      <c r="CL16" s="301"/>
      <c r="CM16" s="301"/>
      <c r="CN16" s="300">
        <f t="shared" si="19"/>
        <v>211576.66977047554</v>
      </c>
      <c r="CO16" s="332">
        <f t="shared" si="20"/>
        <v>210064.87085380885</v>
      </c>
      <c r="CP16" s="332"/>
      <c r="CQ16" s="332">
        <f>_xlfn.IFNA((VLOOKUP($A16,EY!$A:$AB,28,FALSE)-$CV16),0)</f>
        <v>44408.585684210528</v>
      </c>
      <c r="CR16" s="333">
        <f>_xlfn.IFNA((VLOOKUP($A16,HN!$A:$M,8,FALSE)/12),0)</f>
        <v>0</v>
      </c>
      <c r="CS16" s="333">
        <f>_xlfn.IFNA((VLOOKUP($A16,HN!$A:$M,12,FALSE)/12),0)</f>
        <v>0</v>
      </c>
      <c r="CT16" s="333">
        <f>_xlfn.IFNA((VLOOKUP($A16,HN!$A:$M,9,FALSE)/12),0)</f>
        <v>0</v>
      </c>
      <c r="CU16" s="333">
        <f>_xlfn.IFNA((VLOOKUP($A16,'Post 16'!$A:$AG,33,FALSE)/8),0)</f>
        <v>0</v>
      </c>
      <c r="CV16" s="333">
        <f>_xlfn.IFNA((VLOOKUP($A16,EY!$A:$AB,26,FALSE)*80%),0)</f>
        <v>0</v>
      </c>
      <c r="CW16" s="333">
        <f>_xlfn.IFNA(((VLOOKUP($A16,HN!$A:$M,10,FALSE)-$U16-$AK16)/10),0)</f>
        <v>5716.3166666666666</v>
      </c>
      <c r="CX16" s="333">
        <f>_xlfn.IFNA(((VLOOKUP($A16,HN!$A:$M,13,FALSE)-$V16-$AL16)/10),0)</f>
        <v>0</v>
      </c>
      <c r="CY16" s="332">
        <f t="shared" si="21"/>
        <v>-794.72499999999991</v>
      </c>
      <c r="CZ16" s="332">
        <f t="shared" si="22"/>
        <v>-3409.7927500000001</v>
      </c>
      <c r="DA16" s="333"/>
      <c r="DB16" s="333"/>
      <c r="DC16" s="333"/>
      <c r="DD16" s="332">
        <f t="shared" si="23"/>
        <v>255985.25545468606</v>
      </c>
      <c r="DE16" s="314">
        <f t="shared" si="24"/>
        <v>210064.87085380885</v>
      </c>
      <c r="DF16" s="314"/>
      <c r="DG16" s="314"/>
      <c r="DH16" s="315">
        <f>_xlfn.IFNA((VLOOKUP($A16,HN!$A:$M,8,FALSE)/12),0)</f>
        <v>0</v>
      </c>
      <c r="DI16" s="315">
        <f>_xlfn.IFNA((VLOOKUP($A16,HN!$A:$M,12,FALSE)/12),0)</f>
        <v>0</v>
      </c>
      <c r="DJ16" s="315">
        <f>_xlfn.IFNA((VLOOKUP($A16,HN!$A:$M,9,FALSE)/12),0)</f>
        <v>0</v>
      </c>
      <c r="DK16" s="315">
        <f>_xlfn.IFNA((VLOOKUP($A16,'Post 16'!$A:$AG,33,FALSE)/8),0)</f>
        <v>0</v>
      </c>
      <c r="DL16" s="315"/>
      <c r="DM16" s="315">
        <f>_xlfn.IFNA(((VLOOKUP($A16,HN!$A:$M,10,FALSE)-$U16-$AK16)/10),0)</f>
        <v>5716.3166666666666</v>
      </c>
      <c r="DN16" s="315">
        <f>_xlfn.IFNA(((VLOOKUP($A16,HN!$A:$M,13,FALSE)-$V16-$AL16)/10),0)</f>
        <v>0</v>
      </c>
      <c r="DO16" s="314">
        <f t="shared" si="25"/>
        <v>-794.72499999999991</v>
      </c>
      <c r="DP16" s="314">
        <f t="shared" si="26"/>
        <v>-3409.7927500000001</v>
      </c>
      <c r="DQ16" s="315"/>
      <c r="DR16" s="315"/>
      <c r="DS16" s="315"/>
      <c r="DT16" s="314">
        <f t="shared" si="27"/>
        <v>211576.66977047554</v>
      </c>
      <c r="DU16" s="307">
        <f t="shared" si="28"/>
        <v>210064.87085380885</v>
      </c>
      <c r="DV16" s="307"/>
      <c r="DW16" s="307"/>
      <c r="DX16" s="308">
        <f>_xlfn.IFNA((VLOOKUP($A16,HN!$A:$M,8,FALSE)/12),0)</f>
        <v>0</v>
      </c>
      <c r="DY16" s="308">
        <f>_xlfn.IFNA((VLOOKUP($A16,HN!$A:$M,12,FALSE)/12),0)</f>
        <v>0</v>
      </c>
      <c r="DZ16" s="308">
        <f>_xlfn.IFNA((VLOOKUP($A16,HN!$A:$M,9,FALSE)/12),0)</f>
        <v>0</v>
      </c>
      <c r="EA16" s="308">
        <f>_xlfn.IFNA((VLOOKUP($A16,'Post 16'!$A:$AG,33,FALSE)/8),0)</f>
        <v>0</v>
      </c>
      <c r="EB16" s="308"/>
      <c r="EC16" s="308">
        <f>_xlfn.IFNA(((VLOOKUP($A16,HN!$A:$M,10,FALSE)-$U16-$AK16)/10),0)</f>
        <v>5716.3166666666666</v>
      </c>
      <c r="ED16" s="308">
        <f>_xlfn.IFNA(((VLOOKUP($A16,HN!$A:$M,13,FALSE)-$V16-$AL16)/10),0)</f>
        <v>0</v>
      </c>
      <c r="EE16" s="307">
        <f t="shared" si="29"/>
        <v>-794.72499999999991</v>
      </c>
      <c r="EF16" s="307">
        <f t="shared" si="30"/>
        <v>-3409.7927500000001</v>
      </c>
      <c r="EG16" s="308"/>
      <c r="EH16" s="308"/>
      <c r="EI16" s="308"/>
      <c r="EJ16" s="307">
        <f t="shared" si="31"/>
        <v>211576.66977047554</v>
      </c>
      <c r="EK16" s="320">
        <f t="shared" si="32"/>
        <v>210064.87085380885</v>
      </c>
      <c r="EL16" s="320"/>
      <c r="EM16" s="320"/>
      <c r="EN16" s="321">
        <f>_xlfn.IFNA((VLOOKUP($A16,HN!$A:$M,8,FALSE)/12),0)</f>
        <v>0</v>
      </c>
      <c r="EO16" s="321">
        <f>_xlfn.IFNA((VLOOKUP($A16,HN!$A:$M,12,FALSE)/12),0)</f>
        <v>0</v>
      </c>
      <c r="EP16" s="321">
        <f>_xlfn.IFNA((VLOOKUP($A16,HN!$A:$M,9,FALSE)/12),0)</f>
        <v>0</v>
      </c>
      <c r="EQ16" s="321">
        <f>_xlfn.IFNA((VLOOKUP($A16,'Post 16'!$A:$AG,33,FALSE)/8),0)</f>
        <v>0</v>
      </c>
      <c r="ER16" s="321"/>
      <c r="ES16" s="321">
        <f>_xlfn.IFNA(((VLOOKUP($A16,HN!$A:$M,10,FALSE)-$U16-$AK16)/10),0)</f>
        <v>5716.3166666666666</v>
      </c>
      <c r="ET16" s="321">
        <f>_xlfn.IFNA(((VLOOKUP($A16,HN!$A:$M,13,FALSE)-$V16-$AL16)/10),0)</f>
        <v>0</v>
      </c>
      <c r="EU16" s="320">
        <f t="shared" si="33"/>
        <v>-794.72499999999991</v>
      </c>
      <c r="EV16" s="320">
        <f t="shared" si="34"/>
        <v>-3409.7927500000001</v>
      </c>
      <c r="EW16" s="321"/>
      <c r="EX16" s="321"/>
      <c r="EY16" s="321"/>
      <c r="EZ16" s="320">
        <f t="shared" si="35"/>
        <v>211576.66977047554</v>
      </c>
      <c r="FA16" s="286">
        <f t="shared" si="36"/>
        <v>210064.87085380885</v>
      </c>
      <c r="FB16" s="286"/>
      <c r="FC16" s="286"/>
      <c r="FD16" s="287">
        <f>_xlfn.IFNA((VLOOKUP($A16,HN!$A:$M,8,FALSE)/12),0)</f>
        <v>0</v>
      </c>
      <c r="FE16" s="287">
        <f>_xlfn.IFNA((VLOOKUP($A16,HN!$A:$M,12,FALSE)/12),0)</f>
        <v>0</v>
      </c>
      <c r="FF16" s="287">
        <f>_xlfn.IFNA((VLOOKUP($A16,HN!$A:$M,9,FALSE)/12),0)</f>
        <v>0</v>
      </c>
      <c r="FG16" s="287">
        <f>_xlfn.IFNA((VLOOKUP($A16,'Post 16'!$A:$AG,33,FALSE)/8),0)</f>
        <v>0</v>
      </c>
      <c r="FH16" s="287"/>
      <c r="FI16" s="287">
        <f>_xlfn.IFNA(((VLOOKUP($A16,HN!$A:$M,10,FALSE)-$U16-$AK16)/10),0)</f>
        <v>5716.3166666666666</v>
      </c>
      <c r="FJ16" s="287">
        <f>_xlfn.IFNA(((VLOOKUP($A16,HN!$A:$M,13,FALSE)-$V16-$AL16)/10),0)</f>
        <v>0</v>
      </c>
      <c r="FK16" s="286">
        <f t="shared" si="37"/>
        <v>-794.72499999999991</v>
      </c>
      <c r="FL16" s="286">
        <f t="shared" si="38"/>
        <v>-3409.7927500000001</v>
      </c>
      <c r="FM16" s="287"/>
      <c r="FN16" s="287"/>
      <c r="FO16" s="287"/>
      <c r="FP16" s="286">
        <f t="shared" si="39"/>
        <v>211576.66977047554</v>
      </c>
      <c r="FQ16" s="293">
        <f t="shared" si="40"/>
        <v>210064.87085380885</v>
      </c>
      <c r="FR16" s="293"/>
      <c r="FS16" s="293"/>
      <c r="FT16" s="294">
        <f>_xlfn.IFNA((VLOOKUP($A16,HN!$A:$M,8,FALSE)/12),0)</f>
        <v>0</v>
      </c>
      <c r="FU16" s="294">
        <f>_xlfn.IFNA((VLOOKUP($A16,HN!$A:$M,12,FALSE)/12),0)</f>
        <v>0</v>
      </c>
      <c r="FV16" s="294">
        <f>_xlfn.IFNA((VLOOKUP($A16,HN!$A:$M,9,FALSE)/12),0)</f>
        <v>0</v>
      </c>
      <c r="FW16" s="294">
        <f>_xlfn.IFNA((VLOOKUP($A16,'Post 16'!$A:$AG,33,FALSE)/8),0)</f>
        <v>0</v>
      </c>
      <c r="FX16" s="294"/>
      <c r="FY16" s="294">
        <f>_xlfn.IFNA(((VLOOKUP($A16,HN!$A:$M,10,FALSE)-$U16-$AK16)/10),0)</f>
        <v>5716.3166666666666</v>
      </c>
      <c r="FZ16" s="294">
        <f>_xlfn.IFNA(((VLOOKUP($A16,HN!$A:$M,13,FALSE)-$V16-$AL16)/10),0)</f>
        <v>0</v>
      </c>
      <c r="GA16" s="293">
        <f t="shared" si="41"/>
        <v>-794.72499999999991</v>
      </c>
      <c r="GB16" s="293">
        <f t="shared" si="42"/>
        <v>-3409.7927500000001</v>
      </c>
      <c r="GC16" s="294"/>
      <c r="GD16" s="294"/>
      <c r="GE16" s="294"/>
      <c r="GF16" s="293">
        <f t="shared" si="43"/>
        <v>211576.66977047554</v>
      </c>
      <c r="GG16" s="300">
        <f t="shared" si="44"/>
        <v>210064.87085380885</v>
      </c>
      <c r="GH16" s="300"/>
      <c r="GI16" s="300"/>
      <c r="GJ16" s="301">
        <f>_xlfn.IFNA((VLOOKUP($A16,HN!$A:$M,8,FALSE)/12),0)</f>
        <v>0</v>
      </c>
      <c r="GK16" s="301">
        <f>_xlfn.IFNA((VLOOKUP($A16,HN!$A:$M,12,FALSE)/12),0)</f>
        <v>0</v>
      </c>
      <c r="GL16" s="301">
        <f>_xlfn.IFNA((VLOOKUP($A16,HN!$A:$M,9,FALSE)/12),0)</f>
        <v>0</v>
      </c>
      <c r="GM16" s="301">
        <f>_xlfn.IFNA((VLOOKUP($A16,'Post 16'!$A:$AG,33,FALSE)/8),0)</f>
        <v>0</v>
      </c>
      <c r="GN16" s="301"/>
      <c r="GO16" s="301">
        <f>_xlfn.IFNA(((VLOOKUP($A16,HN!$A:$M,10,FALSE)-$U16-$AK16)/10),0)</f>
        <v>5716.3166666666666</v>
      </c>
      <c r="GP16" s="301">
        <f>_xlfn.IFNA(((VLOOKUP($A16,HN!$A:$M,13,FALSE)-$V16-$AL16)/10),0)</f>
        <v>0</v>
      </c>
      <c r="GQ16" s="300">
        <f t="shared" si="45"/>
        <v>-794.72499999999991</v>
      </c>
      <c r="GR16" s="300">
        <f t="shared" si="46"/>
        <v>-3409.7927500000001</v>
      </c>
      <c r="GS16" s="301"/>
      <c r="GT16" s="301"/>
      <c r="GU16" s="301"/>
      <c r="GV16" s="300">
        <f t="shared" si="47"/>
        <v>211576.66977047554</v>
      </c>
      <c r="GX16" s="146">
        <f t="shared" si="48"/>
        <v>2617087.3452983378</v>
      </c>
      <c r="GY16" s="146">
        <f t="shared" si="48"/>
        <v>0</v>
      </c>
      <c r="GZ16" s="146">
        <f t="shared" si="48"/>
        <v>74929</v>
      </c>
      <c r="HA16" s="146">
        <f t="shared" si="48"/>
        <v>-9536.7000000000007</v>
      </c>
      <c r="HB16" s="146">
        <f t="shared" si="48"/>
        <v>-40917.512999999999</v>
      </c>
      <c r="HC16" s="146">
        <f t="shared" si="48"/>
        <v>0</v>
      </c>
      <c r="HE16" s="146">
        <f t="shared" si="49"/>
        <v>682094.92192984768</v>
      </c>
      <c r="HF16" s="146">
        <f t="shared" si="49"/>
        <v>0</v>
      </c>
      <c r="HG16" s="146">
        <f t="shared" si="49"/>
        <v>23482.149999999998</v>
      </c>
      <c r="HH16" s="146">
        <f t="shared" si="49"/>
        <v>-2384.1749999999997</v>
      </c>
      <c r="HI16" s="146">
        <f t="shared" si="49"/>
        <v>-10229.37825</v>
      </c>
      <c r="HJ16" s="146">
        <f t="shared" si="49"/>
        <v>0</v>
      </c>
      <c r="HL16" s="146"/>
      <c r="HM16" s="57"/>
    </row>
    <row r="17" spans="1:221">
      <c r="A17" s="185">
        <v>7016</v>
      </c>
      <c r="B17" s="185">
        <v>103606</v>
      </c>
      <c r="C17" s="185" t="s">
        <v>54</v>
      </c>
      <c r="D17" s="2" t="s">
        <v>55</v>
      </c>
      <c r="E17" s="190" t="s">
        <v>56</v>
      </c>
      <c r="F17" s="190" t="s">
        <v>890</v>
      </c>
      <c r="H17" s="271">
        <f>_xlfn.IFNA(VLOOKUP($A17,ISB!$A$4:$BY$441,67,FALSE),0)</f>
        <v>0</v>
      </c>
      <c r="I17" s="271">
        <f>_xlfn.IFNA(VLOOKUP($A17,ISB!$A$4:$BY$441,72,FALSE),0)</f>
        <v>0</v>
      </c>
      <c r="J17" s="271">
        <f>-_xlfn.IFNA(VLOOKUP($A17,ISB!$A$4:$BY$441,76,FALSE),0)</f>
        <v>0</v>
      </c>
      <c r="K17" s="271">
        <f>_xlfn.IFNA(VLOOKUP($A17,ISB!$A$4:$BY$441,77,FALSE),0)</f>
        <v>0</v>
      </c>
      <c r="M17" s="279">
        <f t="shared" si="0"/>
        <v>0</v>
      </c>
      <c r="N17" s="279"/>
      <c r="O17" s="279">
        <f>_xlfn.IFNA(VLOOKUP($A17,EY!$A:$H,8,FALSE)+(VLOOKUP($A17,EY!$A:$R,18,FALSE)-$T17),0)</f>
        <v>0</v>
      </c>
      <c r="P17" s="280">
        <f>_xlfn.IFNA((VLOOKUP($A17,HN!$A:$M,8,FALSE)/12),0)</f>
        <v>103333.33333333333</v>
      </c>
      <c r="Q17" s="280">
        <f>_xlfn.IFNA((VLOOKUP($A17,HN!$A:$M,12,FALSE)/12),0)</f>
        <v>0</v>
      </c>
      <c r="R17" s="280">
        <f>_xlfn.IFNA((VLOOKUP($A17,HN!$A:$M,9,FALSE)/12),0)</f>
        <v>53333.333333333336</v>
      </c>
      <c r="S17" s="280">
        <f>_xlfn.IFNA((VLOOKUP($A17,'Post 16'!$A:$AR,22,FALSE)/4),0)</f>
        <v>0</v>
      </c>
      <c r="T17" s="280">
        <f>_xlfn.IFNA((VLOOKUP($A17,EY!$A:$R,16,FALSE)*80%),0)</f>
        <v>0</v>
      </c>
      <c r="U17" s="280">
        <v>307510.67166666663</v>
      </c>
      <c r="V17" s="280">
        <v>0</v>
      </c>
      <c r="W17" s="279">
        <f t="shared" si="1"/>
        <v>0</v>
      </c>
      <c r="X17" s="279">
        <f t="shared" si="2"/>
        <v>0</v>
      </c>
      <c r="Y17" s="280"/>
      <c r="Z17" s="280"/>
      <c r="AA17" s="280"/>
      <c r="AB17" s="279">
        <f t="shared" si="3"/>
        <v>464177.33833333326</v>
      </c>
      <c r="AC17" s="293">
        <f t="shared" si="4"/>
        <v>0</v>
      </c>
      <c r="AD17" s="293"/>
      <c r="AE17" s="293"/>
      <c r="AF17" s="294">
        <f>_xlfn.IFNA((VLOOKUP($A17,HN!$A:$M,8,FALSE)/12),0)</f>
        <v>103333.33333333333</v>
      </c>
      <c r="AG17" s="294">
        <f>_xlfn.IFNA((VLOOKUP($A17,HN!$A:$M,12,FALSE)/12),0)+_xlfn.IFNA(VLOOKUP($A17,HN!$A:$Q,17,FALSE),0)</f>
        <v>0</v>
      </c>
      <c r="AH17" s="294">
        <f>_xlfn.IFNA((VLOOKUP($A17,HN!$A:$M,9,FALSE)/12),0)</f>
        <v>53333.333333333336</v>
      </c>
      <c r="AI17" s="294">
        <f>_xlfn.IFNA((VLOOKUP($A17,'Post 16'!$A:$AR,22,FALSE)/4),0)</f>
        <v>0</v>
      </c>
      <c r="AJ17" s="294"/>
      <c r="AK17" s="294">
        <f>_xlfn.IFNA((VLOOKUP($A17,HN!$A:$M,10,FALSE)/12),0)</f>
        <v>307510.67166666663</v>
      </c>
      <c r="AL17" s="294">
        <f>_xlfn.IFNA((VLOOKUP($A17,HN!$A:$M,13,FALSE)/12),0)</f>
        <v>0</v>
      </c>
      <c r="AM17" s="293">
        <f t="shared" si="5"/>
        <v>0</v>
      </c>
      <c r="AN17" s="293">
        <f t="shared" si="6"/>
        <v>0</v>
      </c>
      <c r="AO17" s="294"/>
      <c r="AP17" s="294"/>
      <c r="AQ17" s="294"/>
      <c r="AR17" s="293">
        <f t="shared" si="7"/>
        <v>464177.33833333326</v>
      </c>
      <c r="AS17" s="286">
        <f t="shared" si="8"/>
        <v>0</v>
      </c>
      <c r="AT17" s="286"/>
      <c r="AU17" s="286">
        <f>_xlfn.IFNA(VLOOKUP(A17,EY!A:AO,40,FALSE),0)</f>
        <v>0</v>
      </c>
      <c r="AV17" s="287">
        <f>_xlfn.IFNA((VLOOKUP($A17,HN!$A:$M,8,FALSE)/12),0)</f>
        <v>103333.33333333333</v>
      </c>
      <c r="AW17" s="287">
        <f>_xlfn.IFNA((VLOOKUP($A17,HN!$A:$M,12,FALSE)/12),0)+_xlfn.IFNA(VLOOKUP($A17,HN!$A$8:$AU$200,19,FALSE),0)</f>
        <v>0</v>
      </c>
      <c r="AX17" s="287">
        <f>_xlfn.IFNA((VLOOKUP($A17,HN!$A:$M,9,FALSE)/12),0)</f>
        <v>53333.333333333336</v>
      </c>
      <c r="AY17" s="287">
        <f>_xlfn.IFNA((VLOOKUP($A17,'Post 16'!$A:$AR,22,FALSE)/4),0)</f>
        <v>0</v>
      </c>
      <c r="AZ17" s="287">
        <f>_xlfn.IFNA(VLOOKUP(A17,EY!A:AO,41,FALSE),0)</f>
        <v>0</v>
      </c>
      <c r="BA17" s="287">
        <f>_xlfn.IFNA(((VLOOKUP($A17,HN!$A:$M,10,FALSE)-$U17-$AK17)/10),0)+_xlfn.IFNA(VLOOKUP($A17,HN!$A:$R,18,FALSE),0)</f>
        <v>307510.67166666657</v>
      </c>
      <c r="BB17" s="287">
        <f>_xlfn.IFNA(((VLOOKUP($A17,HN!$A:$M,13,FALSE)-$V17-$AL17)/10),0)+_xlfn.IFNA(VLOOKUP($A17,HN!$A$8:$AU$200,20,FALSE),0)</f>
        <v>0</v>
      </c>
      <c r="BC17" s="286">
        <f t="shared" si="9"/>
        <v>0</v>
      </c>
      <c r="BD17" s="286">
        <f t="shared" si="10"/>
        <v>0</v>
      </c>
      <c r="BE17" s="287"/>
      <c r="BF17" s="287"/>
      <c r="BG17" s="287"/>
      <c r="BH17" s="286">
        <f t="shared" si="11"/>
        <v>464177.33833333326</v>
      </c>
      <c r="BI17" s="307">
        <f t="shared" si="12"/>
        <v>0</v>
      </c>
      <c r="BJ17" s="307">
        <f>_xlfn.IFNA(VLOOKUP(A17,'LA Deductions'!A:AH,34,FALSE),0)</f>
        <v>0</v>
      </c>
      <c r="BK17" s="307"/>
      <c r="BL17" s="308">
        <f>_xlfn.IFNA((VLOOKUP($A17,HN!$A:$M,8,FALSE)/12),0)</f>
        <v>103333.33333333333</v>
      </c>
      <c r="BM17" s="308">
        <f>_xlfn.IFNA((VLOOKUP($A17,HN!$A:$M,12,FALSE)/12),0)</f>
        <v>0</v>
      </c>
      <c r="BN17" s="308">
        <f>_xlfn.IFNA((VLOOKUP($A17,HN!$A:$M,9,FALSE)/12),0)</f>
        <v>53333.333333333336</v>
      </c>
      <c r="BO17" s="308">
        <f>_xlfn.IFNA((VLOOKUP($A17,'Post 16'!$A:$AR,22,FALSE)/4),0)</f>
        <v>0</v>
      </c>
      <c r="BP17" s="308"/>
      <c r="BQ17" s="308">
        <f>_xlfn.IFNA(((VLOOKUP($A17,HN!$A:$M,10,FALSE)-$U17-$AK17)/10),0)</f>
        <v>307510.67166666657</v>
      </c>
      <c r="BR17" s="308">
        <f>_xlfn.IFNA(((VLOOKUP($A17,HN!$A:$M,13,FALSE)-$V17-$AL17)/10),0)</f>
        <v>0</v>
      </c>
      <c r="BS17" s="307">
        <f t="shared" si="13"/>
        <v>0</v>
      </c>
      <c r="BT17" s="307">
        <f t="shared" si="14"/>
        <v>0</v>
      </c>
      <c r="BU17" s="308"/>
      <c r="BV17" s="308"/>
      <c r="BW17" s="308"/>
      <c r="BX17" s="307">
        <f t="shared" si="15"/>
        <v>464177.33833333326</v>
      </c>
      <c r="BY17" s="300">
        <f t="shared" si="16"/>
        <v>0</v>
      </c>
      <c r="BZ17" s="300"/>
      <c r="CA17" s="300"/>
      <c r="CB17" s="301">
        <f>_xlfn.IFNA((VLOOKUP($A17,HN!$A:$M,8,FALSE)/12),0)</f>
        <v>103333.33333333333</v>
      </c>
      <c r="CC17" s="301">
        <f>_xlfn.IFNA((VLOOKUP($A17,HN!$A:$M,12,FALSE)/12),0)</f>
        <v>0</v>
      </c>
      <c r="CD17" s="301">
        <f>_xlfn.IFNA((VLOOKUP($A17,HN!$A:$M,9,FALSE)/12),0)</f>
        <v>53333.333333333336</v>
      </c>
      <c r="CE17" s="301">
        <f>_xlfn.IFNA((VLOOKUP($A17,'Post 16'!$A:$AG,33,FALSE)/8),0)</f>
        <v>0</v>
      </c>
      <c r="CF17" s="301"/>
      <c r="CG17" s="301">
        <f>_xlfn.IFNA(((VLOOKUP($A17,HN!$A:$M,10,FALSE)-$U17-$AK17)/10),0)</f>
        <v>307510.67166666657</v>
      </c>
      <c r="CH17" s="301">
        <f>_xlfn.IFNA(((VLOOKUP($A17,HN!$A:$M,13,FALSE)-$V17-$AL17)/10),0)</f>
        <v>0</v>
      </c>
      <c r="CI17" s="300">
        <f t="shared" si="17"/>
        <v>0</v>
      </c>
      <c r="CJ17" s="300">
        <f t="shared" si="18"/>
        <v>0</v>
      </c>
      <c r="CK17" s="301"/>
      <c r="CL17" s="301"/>
      <c r="CM17" s="301"/>
      <c r="CN17" s="300">
        <f t="shared" si="19"/>
        <v>464177.33833333326</v>
      </c>
      <c r="CO17" s="332">
        <f t="shared" si="20"/>
        <v>0</v>
      </c>
      <c r="CP17" s="332"/>
      <c r="CQ17" s="332">
        <f>_xlfn.IFNA((VLOOKUP($A17,EY!$A:$AB,28,FALSE)-$CV17),0)</f>
        <v>0</v>
      </c>
      <c r="CR17" s="333">
        <f>_xlfn.IFNA((VLOOKUP($A17,HN!$A:$M,8,FALSE)/12),0)</f>
        <v>103333.33333333333</v>
      </c>
      <c r="CS17" s="333">
        <f>_xlfn.IFNA((VLOOKUP($A17,HN!$A:$M,12,FALSE)/12),0)</f>
        <v>0</v>
      </c>
      <c r="CT17" s="333">
        <f>_xlfn.IFNA((VLOOKUP($A17,HN!$A:$M,9,FALSE)/12),0)</f>
        <v>53333.333333333336</v>
      </c>
      <c r="CU17" s="333">
        <f>_xlfn.IFNA((VLOOKUP($A17,'Post 16'!$A:$AG,33,FALSE)/8),0)</f>
        <v>0</v>
      </c>
      <c r="CV17" s="333">
        <f>_xlfn.IFNA((VLOOKUP($A17,EY!$A:$AB,26,FALSE)*80%),0)</f>
        <v>0</v>
      </c>
      <c r="CW17" s="333">
        <f>_xlfn.IFNA(((VLOOKUP($A17,HN!$A:$M,10,FALSE)-$U17-$AK17)/10),0)</f>
        <v>307510.67166666657</v>
      </c>
      <c r="CX17" s="333">
        <f>_xlfn.IFNA(((VLOOKUP($A17,HN!$A:$M,13,FALSE)-$V17-$AL17)/10),0)</f>
        <v>0</v>
      </c>
      <c r="CY17" s="332">
        <f t="shared" si="21"/>
        <v>0</v>
      </c>
      <c r="CZ17" s="332">
        <f t="shared" si="22"/>
        <v>0</v>
      </c>
      <c r="DA17" s="333"/>
      <c r="DB17" s="333"/>
      <c r="DC17" s="333"/>
      <c r="DD17" s="332">
        <f t="shared" si="23"/>
        <v>464177.33833333326</v>
      </c>
      <c r="DE17" s="314">
        <f t="shared" si="24"/>
        <v>0</v>
      </c>
      <c r="DF17" s="314"/>
      <c r="DG17" s="314"/>
      <c r="DH17" s="315">
        <f>_xlfn.IFNA((VLOOKUP($A17,HN!$A:$M,8,FALSE)/12),0)</f>
        <v>103333.33333333333</v>
      </c>
      <c r="DI17" s="315">
        <f>_xlfn.IFNA((VLOOKUP($A17,HN!$A:$M,12,FALSE)/12),0)</f>
        <v>0</v>
      </c>
      <c r="DJ17" s="315">
        <f>_xlfn.IFNA((VLOOKUP($A17,HN!$A:$M,9,FALSE)/12),0)</f>
        <v>53333.333333333336</v>
      </c>
      <c r="DK17" s="315">
        <f>_xlfn.IFNA((VLOOKUP($A17,'Post 16'!$A:$AG,33,FALSE)/8),0)</f>
        <v>0</v>
      </c>
      <c r="DL17" s="315"/>
      <c r="DM17" s="315">
        <f>_xlfn.IFNA(((VLOOKUP($A17,HN!$A:$M,10,FALSE)-$U17-$AK17)/10),0)</f>
        <v>307510.67166666657</v>
      </c>
      <c r="DN17" s="315">
        <f>_xlfn.IFNA(((VLOOKUP($A17,HN!$A:$M,13,FALSE)-$V17-$AL17)/10),0)</f>
        <v>0</v>
      </c>
      <c r="DO17" s="314">
        <f t="shared" si="25"/>
        <v>0</v>
      </c>
      <c r="DP17" s="314">
        <f t="shared" si="26"/>
        <v>0</v>
      </c>
      <c r="DQ17" s="315"/>
      <c r="DR17" s="315"/>
      <c r="DS17" s="315"/>
      <c r="DT17" s="314">
        <f t="shared" si="27"/>
        <v>464177.33833333326</v>
      </c>
      <c r="DU17" s="307">
        <f t="shared" si="28"/>
        <v>0</v>
      </c>
      <c r="DV17" s="307"/>
      <c r="DW17" s="307"/>
      <c r="DX17" s="308">
        <f>_xlfn.IFNA((VLOOKUP($A17,HN!$A:$M,8,FALSE)/12),0)</f>
        <v>103333.33333333333</v>
      </c>
      <c r="DY17" s="308">
        <f>_xlfn.IFNA((VLOOKUP($A17,HN!$A:$M,12,FALSE)/12),0)</f>
        <v>0</v>
      </c>
      <c r="DZ17" s="308">
        <f>_xlfn.IFNA((VLOOKUP($A17,HN!$A:$M,9,FALSE)/12),0)</f>
        <v>53333.333333333336</v>
      </c>
      <c r="EA17" s="308">
        <f>_xlfn.IFNA((VLOOKUP($A17,'Post 16'!$A:$AG,33,FALSE)/8),0)</f>
        <v>0</v>
      </c>
      <c r="EB17" s="308"/>
      <c r="EC17" s="308">
        <f>_xlfn.IFNA(((VLOOKUP($A17,HN!$A:$M,10,FALSE)-$U17-$AK17)/10),0)</f>
        <v>307510.67166666657</v>
      </c>
      <c r="ED17" s="308">
        <f>_xlfn.IFNA(((VLOOKUP($A17,HN!$A:$M,13,FALSE)-$V17-$AL17)/10),0)</f>
        <v>0</v>
      </c>
      <c r="EE17" s="307">
        <f t="shared" si="29"/>
        <v>0</v>
      </c>
      <c r="EF17" s="307">
        <f t="shared" si="30"/>
        <v>0</v>
      </c>
      <c r="EG17" s="308"/>
      <c r="EH17" s="308"/>
      <c r="EI17" s="308"/>
      <c r="EJ17" s="307">
        <f t="shared" si="31"/>
        <v>464177.33833333326</v>
      </c>
      <c r="EK17" s="320">
        <f t="shared" si="32"/>
        <v>0</v>
      </c>
      <c r="EL17" s="320"/>
      <c r="EM17" s="320"/>
      <c r="EN17" s="321">
        <f>_xlfn.IFNA((VLOOKUP($A17,HN!$A:$M,8,FALSE)/12),0)</f>
        <v>103333.33333333333</v>
      </c>
      <c r="EO17" s="321">
        <f>_xlfn.IFNA((VLOOKUP($A17,HN!$A:$M,12,FALSE)/12),0)</f>
        <v>0</v>
      </c>
      <c r="EP17" s="321">
        <f>_xlfn.IFNA((VLOOKUP($A17,HN!$A:$M,9,FALSE)/12),0)</f>
        <v>53333.333333333336</v>
      </c>
      <c r="EQ17" s="321">
        <f>_xlfn.IFNA((VLOOKUP($A17,'Post 16'!$A:$AG,33,FALSE)/8),0)</f>
        <v>0</v>
      </c>
      <c r="ER17" s="321"/>
      <c r="ES17" s="321">
        <f>_xlfn.IFNA(((VLOOKUP($A17,HN!$A:$M,10,FALSE)-$U17-$AK17)/10),0)</f>
        <v>307510.67166666657</v>
      </c>
      <c r="ET17" s="321">
        <f>_xlfn.IFNA(((VLOOKUP($A17,HN!$A:$M,13,FALSE)-$V17-$AL17)/10),0)</f>
        <v>0</v>
      </c>
      <c r="EU17" s="320">
        <f t="shared" si="33"/>
        <v>0</v>
      </c>
      <c r="EV17" s="320">
        <f t="shared" si="34"/>
        <v>0</v>
      </c>
      <c r="EW17" s="321"/>
      <c r="EX17" s="321"/>
      <c r="EY17" s="321"/>
      <c r="EZ17" s="320">
        <f t="shared" si="35"/>
        <v>464177.33833333326</v>
      </c>
      <c r="FA17" s="286">
        <f t="shared" si="36"/>
        <v>0</v>
      </c>
      <c r="FB17" s="286"/>
      <c r="FC17" s="286"/>
      <c r="FD17" s="287">
        <f>_xlfn.IFNA((VLOOKUP($A17,HN!$A:$M,8,FALSE)/12),0)</f>
        <v>103333.33333333333</v>
      </c>
      <c r="FE17" s="287">
        <f>_xlfn.IFNA((VLOOKUP($A17,HN!$A:$M,12,FALSE)/12),0)</f>
        <v>0</v>
      </c>
      <c r="FF17" s="287">
        <f>_xlfn.IFNA((VLOOKUP($A17,HN!$A:$M,9,FALSE)/12),0)</f>
        <v>53333.333333333336</v>
      </c>
      <c r="FG17" s="287">
        <f>_xlfn.IFNA((VLOOKUP($A17,'Post 16'!$A:$AG,33,FALSE)/8),0)</f>
        <v>0</v>
      </c>
      <c r="FH17" s="287"/>
      <c r="FI17" s="287">
        <f>_xlfn.IFNA(((VLOOKUP($A17,HN!$A:$M,10,FALSE)-$U17-$AK17)/10),0)</f>
        <v>307510.67166666657</v>
      </c>
      <c r="FJ17" s="287">
        <f>_xlfn.IFNA(((VLOOKUP($A17,HN!$A:$M,13,FALSE)-$V17-$AL17)/10),0)</f>
        <v>0</v>
      </c>
      <c r="FK17" s="286">
        <f t="shared" si="37"/>
        <v>0</v>
      </c>
      <c r="FL17" s="286">
        <f t="shared" si="38"/>
        <v>0</v>
      </c>
      <c r="FM17" s="287"/>
      <c r="FN17" s="287"/>
      <c r="FO17" s="287"/>
      <c r="FP17" s="286">
        <f t="shared" si="39"/>
        <v>464177.33833333326</v>
      </c>
      <c r="FQ17" s="293">
        <f t="shared" si="40"/>
        <v>0</v>
      </c>
      <c r="FR17" s="293"/>
      <c r="FS17" s="293"/>
      <c r="FT17" s="294">
        <f>_xlfn.IFNA((VLOOKUP($A17,HN!$A:$M,8,FALSE)/12),0)</f>
        <v>103333.33333333333</v>
      </c>
      <c r="FU17" s="294">
        <f>_xlfn.IFNA((VLOOKUP($A17,HN!$A:$M,12,FALSE)/12),0)</f>
        <v>0</v>
      </c>
      <c r="FV17" s="294">
        <f>_xlfn.IFNA((VLOOKUP($A17,HN!$A:$M,9,FALSE)/12),0)</f>
        <v>53333.333333333336</v>
      </c>
      <c r="FW17" s="294">
        <f>_xlfn.IFNA((VLOOKUP($A17,'Post 16'!$A:$AG,33,FALSE)/8),0)</f>
        <v>0</v>
      </c>
      <c r="FX17" s="294"/>
      <c r="FY17" s="294">
        <f>_xlfn.IFNA(((VLOOKUP($A17,HN!$A:$M,10,FALSE)-$U17-$AK17)/10),0)</f>
        <v>307510.67166666657</v>
      </c>
      <c r="FZ17" s="294">
        <f>_xlfn.IFNA(((VLOOKUP($A17,HN!$A:$M,13,FALSE)-$V17-$AL17)/10),0)</f>
        <v>0</v>
      </c>
      <c r="GA17" s="293">
        <f t="shared" si="41"/>
        <v>0</v>
      </c>
      <c r="GB17" s="293">
        <f t="shared" si="42"/>
        <v>0</v>
      </c>
      <c r="GC17" s="294"/>
      <c r="GD17" s="294"/>
      <c r="GE17" s="294"/>
      <c r="GF17" s="293">
        <f t="shared" si="43"/>
        <v>464177.33833333326</v>
      </c>
      <c r="GG17" s="300">
        <f t="shared" si="44"/>
        <v>0</v>
      </c>
      <c r="GH17" s="300"/>
      <c r="GI17" s="300"/>
      <c r="GJ17" s="301">
        <f>_xlfn.IFNA((VLOOKUP($A17,HN!$A:$M,8,FALSE)/12),0)</f>
        <v>103333.33333333333</v>
      </c>
      <c r="GK17" s="301">
        <f>_xlfn.IFNA((VLOOKUP($A17,HN!$A:$M,12,FALSE)/12),0)</f>
        <v>0</v>
      </c>
      <c r="GL17" s="301">
        <f>_xlfn.IFNA((VLOOKUP($A17,HN!$A:$M,9,FALSE)/12),0)</f>
        <v>53333.333333333336</v>
      </c>
      <c r="GM17" s="301">
        <f>_xlfn.IFNA((VLOOKUP($A17,'Post 16'!$A:$AG,33,FALSE)/8),0)</f>
        <v>0</v>
      </c>
      <c r="GN17" s="301"/>
      <c r="GO17" s="301">
        <f>_xlfn.IFNA(((VLOOKUP($A17,HN!$A:$M,10,FALSE)-$U17-$AK17)/10),0)</f>
        <v>307510.67166666657</v>
      </c>
      <c r="GP17" s="301">
        <f>_xlfn.IFNA(((VLOOKUP($A17,HN!$A:$M,13,FALSE)-$V17-$AL17)/10),0)</f>
        <v>0</v>
      </c>
      <c r="GQ17" s="300">
        <f t="shared" si="45"/>
        <v>0</v>
      </c>
      <c r="GR17" s="300">
        <f t="shared" si="46"/>
        <v>0</v>
      </c>
      <c r="GS17" s="301"/>
      <c r="GT17" s="301"/>
      <c r="GU17" s="301"/>
      <c r="GV17" s="300">
        <f t="shared" si="47"/>
        <v>464177.33833333326</v>
      </c>
      <c r="GX17" s="146">
        <f t="shared" si="48"/>
        <v>1240000</v>
      </c>
      <c r="GY17" s="146">
        <f t="shared" si="48"/>
        <v>640000</v>
      </c>
      <c r="GZ17" s="146">
        <f t="shared" si="48"/>
        <v>3690128.0599999982</v>
      </c>
      <c r="HA17" s="146">
        <f t="shared" si="48"/>
        <v>0</v>
      </c>
      <c r="HB17" s="146">
        <f t="shared" si="48"/>
        <v>0</v>
      </c>
      <c r="HC17" s="146">
        <f t="shared" si="48"/>
        <v>0</v>
      </c>
      <c r="HE17" s="146">
        <f t="shared" si="49"/>
        <v>310000</v>
      </c>
      <c r="HF17" s="146">
        <f t="shared" si="49"/>
        <v>160000</v>
      </c>
      <c r="HG17" s="146">
        <f t="shared" si="49"/>
        <v>922532.0149999999</v>
      </c>
      <c r="HH17" s="146">
        <f t="shared" si="49"/>
        <v>0</v>
      </c>
      <c r="HI17" s="146">
        <f t="shared" si="49"/>
        <v>0</v>
      </c>
      <c r="HJ17" s="146">
        <f t="shared" si="49"/>
        <v>0</v>
      </c>
      <c r="HL17" s="146"/>
      <c r="HM17" s="57"/>
    </row>
    <row r="18" spans="1:221">
      <c r="A18" s="185">
        <v>7052</v>
      </c>
      <c r="B18" s="185">
        <v>103627</v>
      </c>
      <c r="C18" s="185" t="s">
        <v>57</v>
      </c>
      <c r="D18" s="2" t="s">
        <v>58</v>
      </c>
      <c r="E18" s="190" t="s">
        <v>56</v>
      </c>
      <c r="F18" s="190" t="s">
        <v>890</v>
      </c>
      <c r="H18" s="271">
        <f>_xlfn.IFNA(VLOOKUP($A18,ISB!$A$4:$BY$441,67,FALSE),0)</f>
        <v>0</v>
      </c>
      <c r="I18" s="271">
        <f>_xlfn.IFNA(VLOOKUP($A18,ISB!$A$4:$BY$441,72,FALSE),0)</f>
        <v>0</v>
      </c>
      <c r="J18" s="271">
        <f>-_xlfn.IFNA(VLOOKUP($A18,ISB!$A$4:$BY$441,76,FALSE),0)</f>
        <v>0</v>
      </c>
      <c r="K18" s="271">
        <f>_xlfn.IFNA(VLOOKUP($A18,ISB!$A$4:$BY$441,77,FALSE),0)</f>
        <v>0</v>
      </c>
      <c r="M18" s="279">
        <f t="shared" si="0"/>
        <v>0</v>
      </c>
      <c r="N18" s="279"/>
      <c r="O18" s="279">
        <f>_xlfn.IFNA(VLOOKUP($A18,EY!$A:$H,8,FALSE)+(VLOOKUP($A18,EY!$A:$R,18,FALSE)-$T18),0)</f>
        <v>0</v>
      </c>
      <c r="P18" s="280">
        <f>_xlfn.IFNA((VLOOKUP($A18,HN!$A:$M,8,FALSE)/12),0)</f>
        <v>78333.333333333328</v>
      </c>
      <c r="Q18" s="280">
        <f>_xlfn.IFNA((VLOOKUP($A18,HN!$A:$M,12,FALSE)/12),0)</f>
        <v>0</v>
      </c>
      <c r="R18" s="280">
        <f>_xlfn.IFNA((VLOOKUP($A18,HN!$A:$M,9,FALSE)/12),0)</f>
        <v>0</v>
      </c>
      <c r="S18" s="280">
        <f>_xlfn.IFNA((VLOOKUP($A18,'Post 16'!$A:$AR,22,FALSE)/4),0)</f>
        <v>0</v>
      </c>
      <c r="T18" s="280">
        <f>_xlfn.IFNA((VLOOKUP($A18,EY!$A:$R,16,FALSE)*80%),0)</f>
        <v>0</v>
      </c>
      <c r="U18" s="280">
        <v>147457.23083333336</v>
      </c>
      <c r="V18" s="280">
        <v>0</v>
      </c>
      <c r="W18" s="279">
        <f t="shared" si="1"/>
        <v>0</v>
      </c>
      <c r="X18" s="279">
        <f t="shared" si="2"/>
        <v>0</v>
      </c>
      <c r="Y18" s="280"/>
      <c r="Z18" s="280"/>
      <c r="AA18" s="280"/>
      <c r="AB18" s="279">
        <f t="shared" si="3"/>
        <v>225790.56416666671</v>
      </c>
      <c r="AC18" s="293">
        <f t="shared" si="4"/>
        <v>0</v>
      </c>
      <c r="AD18" s="293"/>
      <c r="AE18" s="293"/>
      <c r="AF18" s="294">
        <f>_xlfn.IFNA((VLOOKUP($A18,HN!$A:$M,8,FALSE)/12),0)</f>
        <v>78333.333333333328</v>
      </c>
      <c r="AG18" s="294">
        <f>_xlfn.IFNA((VLOOKUP($A18,HN!$A:$M,12,FALSE)/12),0)+_xlfn.IFNA(VLOOKUP($A18,HN!$A:$Q,17,FALSE),0)</f>
        <v>0</v>
      </c>
      <c r="AH18" s="294">
        <f>_xlfn.IFNA((VLOOKUP($A18,HN!$A:$M,9,FALSE)/12),0)</f>
        <v>0</v>
      </c>
      <c r="AI18" s="294">
        <f>_xlfn.IFNA((VLOOKUP($A18,'Post 16'!$A:$AR,22,FALSE)/4),0)</f>
        <v>0</v>
      </c>
      <c r="AJ18" s="294"/>
      <c r="AK18" s="294">
        <f>_xlfn.IFNA((VLOOKUP($A18,HN!$A:$M,10,FALSE)/12),0)</f>
        <v>147457.23083333336</v>
      </c>
      <c r="AL18" s="294">
        <f>_xlfn.IFNA((VLOOKUP($A18,HN!$A:$M,13,FALSE)/12),0)</f>
        <v>0</v>
      </c>
      <c r="AM18" s="293">
        <f t="shared" si="5"/>
        <v>0</v>
      </c>
      <c r="AN18" s="293">
        <f t="shared" si="6"/>
        <v>0</v>
      </c>
      <c r="AO18" s="294"/>
      <c r="AP18" s="294"/>
      <c r="AQ18" s="294"/>
      <c r="AR18" s="293">
        <f t="shared" si="7"/>
        <v>225790.56416666671</v>
      </c>
      <c r="AS18" s="286">
        <f t="shared" si="8"/>
        <v>0</v>
      </c>
      <c r="AT18" s="286"/>
      <c r="AU18" s="286">
        <f>_xlfn.IFNA(VLOOKUP(A18,EY!A:AO,40,FALSE),0)</f>
        <v>0</v>
      </c>
      <c r="AV18" s="287">
        <f>_xlfn.IFNA((VLOOKUP($A18,HN!$A:$M,8,FALSE)/12),0)</f>
        <v>78333.333333333328</v>
      </c>
      <c r="AW18" s="287">
        <f>_xlfn.IFNA((VLOOKUP($A18,HN!$A:$M,12,FALSE)/12),0)+_xlfn.IFNA(VLOOKUP($A18,HN!$A$8:$AU$200,19,FALSE),0)</f>
        <v>0</v>
      </c>
      <c r="AX18" s="287">
        <f>_xlfn.IFNA((VLOOKUP($A18,HN!$A:$M,9,FALSE)/12),0)</f>
        <v>0</v>
      </c>
      <c r="AY18" s="287">
        <f>_xlfn.IFNA((VLOOKUP($A18,'Post 16'!$A:$AR,22,FALSE)/4),0)</f>
        <v>0</v>
      </c>
      <c r="AZ18" s="287">
        <f>_xlfn.IFNA(VLOOKUP(A18,EY!A:AO,41,FALSE),0)</f>
        <v>0</v>
      </c>
      <c r="BA18" s="287">
        <f>_xlfn.IFNA(((VLOOKUP($A18,HN!$A:$M,10,FALSE)-$U18-$AK18)/10),0)+_xlfn.IFNA(VLOOKUP($A18,HN!$A:$R,18,FALSE),0)</f>
        <v>147457.23083333333</v>
      </c>
      <c r="BB18" s="287">
        <f>_xlfn.IFNA(((VLOOKUP($A18,HN!$A:$M,13,FALSE)-$V18-$AL18)/10),0)+_xlfn.IFNA(VLOOKUP($A18,HN!$A$8:$AU$200,20,FALSE),0)</f>
        <v>0</v>
      </c>
      <c r="BC18" s="286">
        <f t="shared" si="9"/>
        <v>0</v>
      </c>
      <c r="BD18" s="286">
        <f t="shared" si="10"/>
        <v>0</v>
      </c>
      <c r="BE18" s="287"/>
      <c r="BF18" s="287"/>
      <c r="BG18" s="287"/>
      <c r="BH18" s="286">
        <f t="shared" si="11"/>
        <v>225790.56416666665</v>
      </c>
      <c r="BI18" s="307">
        <f t="shared" si="12"/>
        <v>0</v>
      </c>
      <c r="BJ18" s="307">
        <f>_xlfn.IFNA(VLOOKUP(A18,'LA Deductions'!A:AH,34,FALSE),0)</f>
        <v>0</v>
      </c>
      <c r="BK18" s="307"/>
      <c r="BL18" s="308">
        <f>_xlfn.IFNA((VLOOKUP($A18,HN!$A:$M,8,FALSE)/12),0)</f>
        <v>78333.333333333328</v>
      </c>
      <c r="BM18" s="308">
        <f>_xlfn.IFNA((VLOOKUP($A18,HN!$A:$M,12,FALSE)/12),0)</f>
        <v>0</v>
      </c>
      <c r="BN18" s="308">
        <f>_xlfn.IFNA((VLOOKUP($A18,HN!$A:$M,9,FALSE)/12),0)</f>
        <v>0</v>
      </c>
      <c r="BO18" s="308">
        <f>_xlfn.IFNA((VLOOKUP($A18,'Post 16'!$A:$AR,22,FALSE)/4),0)</f>
        <v>0</v>
      </c>
      <c r="BP18" s="308"/>
      <c r="BQ18" s="308">
        <f>_xlfn.IFNA(((VLOOKUP($A18,HN!$A:$M,10,FALSE)-$U18-$AK18)/10),0)</f>
        <v>147457.23083333333</v>
      </c>
      <c r="BR18" s="308">
        <f>_xlfn.IFNA(((VLOOKUP($A18,HN!$A:$M,13,FALSE)-$V18-$AL18)/10),0)</f>
        <v>0</v>
      </c>
      <c r="BS18" s="307">
        <f t="shared" si="13"/>
        <v>0</v>
      </c>
      <c r="BT18" s="307">
        <f t="shared" si="14"/>
        <v>0</v>
      </c>
      <c r="BU18" s="308"/>
      <c r="BV18" s="308"/>
      <c r="BW18" s="308"/>
      <c r="BX18" s="307">
        <f t="shared" si="15"/>
        <v>225790.56416666665</v>
      </c>
      <c r="BY18" s="300">
        <f t="shared" si="16"/>
        <v>0</v>
      </c>
      <c r="BZ18" s="300"/>
      <c r="CA18" s="300"/>
      <c r="CB18" s="301">
        <f>_xlfn.IFNA((VLOOKUP($A18,HN!$A:$M,8,FALSE)/12),0)</f>
        <v>78333.333333333328</v>
      </c>
      <c r="CC18" s="301">
        <f>_xlfn.IFNA((VLOOKUP($A18,HN!$A:$M,12,FALSE)/12),0)</f>
        <v>0</v>
      </c>
      <c r="CD18" s="301">
        <f>_xlfn.IFNA((VLOOKUP($A18,HN!$A:$M,9,FALSE)/12),0)</f>
        <v>0</v>
      </c>
      <c r="CE18" s="301">
        <f>_xlfn.IFNA((VLOOKUP($A18,'Post 16'!$A:$AG,33,FALSE)/8),0)</f>
        <v>0</v>
      </c>
      <c r="CF18" s="301"/>
      <c r="CG18" s="301">
        <f>_xlfn.IFNA(((VLOOKUP($A18,HN!$A:$M,10,FALSE)-$U18-$AK18)/10),0)</f>
        <v>147457.23083333333</v>
      </c>
      <c r="CH18" s="301">
        <f>_xlfn.IFNA(((VLOOKUP($A18,HN!$A:$M,13,FALSE)-$V18-$AL18)/10),0)</f>
        <v>0</v>
      </c>
      <c r="CI18" s="300">
        <f t="shared" si="17"/>
        <v>0</v>
      </c>
      <c r="CJ18" s="300">
        <f t="shared" si="18"/>
        <v>0</v>
      </c>
      <c r="CK18" s="301"/>
      <c r="CL18" s="301"/>
      <c r="CM18" s="301"/>
      <c r="CN18" s="300">
        <f t="shared" si="19"/>
        <v>225790.56416666665</v>
      </c>
      <c r="CO18" s="332">
        <f t="shared" si="20"/>
        <v>0</v>
      </c>
      <c r="CP18" s="332"/>
      <c r="CQ18" s="332">
        <f>_xlfn.IFNA((VLOOKUP($A18,EY!$A:$AB,28,FALSE)-$CV18),0)</f>
        <v>0</v>
      </c>
      <c r="CR18" s="333">
        <f>_xlfn.IFNA((VLOOKUP($A18,HN!$A:$M,8,FALSE)/12),0)</f>
        <v>78333.333333333328</v>
      </c>
      <c r="CS18" s="333">
        <f>_xlfn.IFNA((VLOOKUP($A18,HN!$A:$M,12,FALSE)/12),0)</f>
        <v>0</v>
      </c>
      <c r="CT18" s="333">
        <f>_xlfn.IFNA((VLOOKUP($A18,HN!$A:$M,9,FALSE)/12),0)</f>
        <v>0</v>
      </c>
      <c r="CU18" s="333">
        <f>_xlfn.IFNA((VLOOKUP($A18,'Post 16'!$A:$AG,33,FALSE)/8),0)</f>
        <v>0</v>
      </c>
      <c r="CV18" s="333">
        <f>_xlfn.IFNA((VLOOKUP($A18,EY!$A:$AB,26,FALSE)*80%),0)</f>
        <v>0</v>
      </c>
      <c r="CW18" s="333">
        <f>_xlfn.IFNA(((VLOOKUP($A18,HN!$A:$M,10,FALSE)-$U18-$AK18)/10),0)</f>
        <v>147457.23083333333</v>
      </c>
      <c r="CX18" s="333">
        <f>_xlfn.IFNA(((VLOOKUP($A18,HN!$A:$M,13,FALSE)-$V18-$AL18)/10),0)</f>
        <v>0</v>
      </c>
      <c r="CY18" s="332">
        <f t="shared" si="21"/>
        <v>0</v>
      </c>
      <c r="CZ18" s="332">
        <f t="shared" si="22"/>
        <v>0</v>
      </c>
      <c r="DA18" s="333"/>
      <c r="DB18" s="333"/>
      <c r="DC18" s="333"/>
      <c r="DD18" s="332">
        <f t="shared" si="23"/>
        <v>225790.56416666665</v>
      </c>
      <c r="DE18" s="314">
        <f t="shared" si="24"/>
        <v>0</v>
      </c>
      <c r="DF18" s="314"/>
      <c r="DG18" s="314"/>
      <c r="DH18" s="315">
        <f>_xlfn.IFNA((VLOOKUP($A18,HN!$A:$M,8,FALSE)/12),0)</f>
        <v>78333.333333333328</v>
      </c>
      <c r="DI18" s="315">
        <f>_xlfn.IFNA((VLOOKUP($A18,HN!$A:$M,12,FALSE)/12),0)</f>
        <v>0</v>
      </c>
      <c r="DJ18" s="315">
        <f>_xlfn.IFNA((VLOOKUP($A18,HN!$A:$M,9,FALSE)/12),0)</f>
        <v>0</v>
      </c>
      <c r="DK18" s="315">
        <f>_xlfn.IFNA((VLOOKUP($A18,'Post 16'!$A:$AG,33,FALSE)/8),0)</f>
        <v>0</v>
      </c>
      <c r="DL18" s="315"/>
      <c r="DM18" s="315">
        <f>_xlfn.IFNA(((VLOOKUP($A18,HN!$A:$M,10,FALSE)-$U18-$AK18)/10),0)</f>
        <v>147457.23083333333</v>
      </c>
      <c r="DN18" s="315">
        <f>_xlfn.IFNA(((VLOOKUP($A18,HN!$A:$M,13,FALSE)-$V18-$AL18)/10),0)</f>
        <v>0</v>
      </c>
      <c r="DO18" s="314">
        <f t="shared" si="25"/>
        <v>0</v>
      </c>
      <c r="DP18" s="314">
        <f t="shared" si="26"/>
        <v>0</v>
      </c>
      <c r="DQ18" s="315"/>
      <c r="DR18" s="315"/>
      <c r="DS18" s="315"/>
      <c r="DT18" s="314">
        <f t="shared" si="27"/>
        <v>225790.56416666665</v>
      </c>
      <c r="DU18" s="307">
        <f t="shared" si="28"/>
        <v>0</v>
      </c>
      <c r="DV18" s="307"/>
      <c r="DW18" s="307"/>
      <c r="DX18" s="308">
        <f>_xlfn.IFNA((VLOOKUP($A18,HN!$A:$M,8,FALSE)/12),0)</f>
        <v>78333.333333333328</v>
      </c>
      <c r="DY18" s="308">
        <f>_xlfn.IFNA((VLOOKUP($A18,HN!$A:$M,12,FALSE)/12),0)</f>
        <v>0</v>
      </c>
      <c r="DZ18" s="308">
        <f>_xlfn.IFNA((VLOOKUP($A18,HN!$A:$M,9,FALSE)/12),0)</f>
        <v>0</v>
      </c>
      <c r="EA18" s="308">
        <f>_xlfn.IFNA((VLOOKUP($A18,'Post 16'!$A:$AG,33,FALSE)/8),0)</f>
        <v>0</v>
      </c>
      <c r="EB18" s="308"/>
      <c r="EC18" s="308">
        <f>_xlfn.IFNA(((VLOOKUP($A18,HN!$A:$M,10,FALSE)-$U18-$AK18)/10),0)</f>
        <v>147457.23083333333</v>
      </c>
      <c r="ED18" s="308">
        <f>_xlfn.IFNA(((VLOOKUP($A18,HN!$A:$M,13,FALSE)-$V18-$AL18)/10),0)</f>
        <v>0</v>
      </c>
      <c r="EE18" s="307">
        <f t="shared" si="29"/>
        <v>0</v>
      </c>
      <c r="EF18" s="307">
        <f t="shared" si="30"/>
        <v>0</v>
      </c>
      <c r="EG18" s="308"/>
      <c r="EH18" s="308"/>
      <c r="EI18" s="308"/>
      <c r="EJ18" s="307">
        <f t="shared" si="31"/>
        <v>225790.56416666665</v>
      </c>
      <c r="EK18" s="320">
        <f t="shared" si="32"/>
        <v>0</v>
      </c>
      <c r="EL18" s="320"/>
      <c r="EM18" s="320"/>
      <c r="EN18" s="321">
        <f>_xlfn.IFNA((VLOOKUP($A18,HN!$A:$M,8,FALSE)/12),0)</f>
        <v>78333.333333333328</v>
      </c>
      <c r="EO18" s="321">
        <f>_xlfn.IFNA((VLOOKUP($A18,HN!$A:$M,12,FALSE)/12),0)</f>
        <v>0</v>
      </c>
      <c r="EP18" s="321">
        <f>_xlfn.IFNA((VLOOKUP($A18,HN!$A:$M,9,FALSE)/12),0)</f>
        <v>0</v>
      </c>
      <c r="EQ18" s="321">
        <f>_xlfn.IFNA((VLOOKUP($A18,'Post 16'!$A:$AG,33,FALSE)/8),0)</f>
        <v>0</v>
      </c>
      <c r="ER18" s="321"/>
      <c r="ES18" s="321">
        <f>_xlfn.IFNA(((VLOOKUP($A18,HN!$A:$M,10,FALSE)-$U18-$AK18)/10),0)</f>
        <v>147457.23083333333</v>
      </c>
      <c r="ET18" s="321">
        <f>_xlfn.IFNA(((VLOOKUP($A18,HN!$A:$M,13,FALSE)-$V18-$AL18)/10),0)</f>
        <v>0</v>
      </c>
      <c r="EU18" s="320">
        <f t="shared" si="33"/>
        <v>0</v>
      </c>
      <c r="EV18" s="320">
        <f t="shared" si="34"/>
        <v>0</v>
      </c>
      <c r="EW18" s="321"/>
      <c r="EX18" s="321"/>
      <c r="EY18" s="321"/>
      <c r="EZ18" s="320">
        <f t="shared" si="35"/>
        <v>225790.56416666665</v>
      </c>
      <c r="FA18" s="286">
        <f t="shared" si="36"/>
        <v>0</v>
      </c>
      <c r="FB18" s="286"/>
      <c r="FC18" s="286"/>
      <c r="FD18" s="287">
        <f>_xlfn.IFNA((VLOOKUP($A18,HN!$A:$M,8,FALSE)/12),0)</f>
        <v>78333.333333333328</v>
      </c>
      <c r="FE18" s="287">
        <f>_xlfn.IFNA((VLOOKUP($A18,HN!$A:$M,12,FALSE)/12),0)</f>
        <v>0</v>
      </c>
      <c r="FF18" s="287">
        <f>_xlfn.IFNA((VLOOKUP($A18,HN!$A:$M,9,FALSE)/12),0)</f>
        <v>0</v>
      </c>
      <c r="FG18" s="287">
        <f>_xlfn.IFNA((VLOOKUP($A18,'Post 16'!$A:$AG,33,FALSE)/8),0)</f>
        <v>0</v>
      </c>
      <c r="FH18" s="287"/>
      <c r="FI18" s="287">
        <f>_xlfn.IFNA(((VLOOKUP($A18,HN!$A:$M,10,FALSE)-$U18-$AK18)/10),0)</f>
        <v>147457.23083333333</v>
      </c>
      <c r="FJ18" s="287">
        <f>_xlfn.IFNA(((VLOOKUP($A18,HN!$A:$M,13,FALSE)-$V18-$AL18)/10),0)</f>
        <v>0</v>
      </c>
      <c r="FK18" s="286">
        <f t="shared" si="37"/>
        <v>0</v>
      </c>
      <c r="FL18" s="286">
        <f t="shared" si="38"/>
        <v>0</v>
      </c>
      <c r="FM18" s="287"/>
      <c r="FN18" s="287"/>
      <c r="FO18" s="287"/>
      <c r="FP18" s="286">
        <f t="shared" si="39"/>
        <v>225790.56416666665</v>
      </c>
      <c r="FQ18" s="293">
        <f t="shared" si="40"/>
        <v>0</v>
      </c>
      <c r="FR18" s="293"/>
      <c r="FS18" s="293"/>
      <c r="FT18" s="294">
        <f>_xlfn.IFNA((VLOOKUP($A18,HN!$A:$M,8,FALSE)/12),0)</f>
        <v>78333.333333333328</v>
      </c>
      <c r="FU18" s="294">
        <f>_xlfn.IFNA((VLOOKUP($A18,HN!$A:$M,12,FALSE)/12),0)</f>
        <v>0</v>
      </c>
      <c r="FV18" s="294">
        <f>_xlfn.IFNA((VLOOKUP($A18,HN!$A:$M,9,FALSE)/12),0)</f>
        <v>0</v>
      </c>
      <c r="FW18" s="294">
        <f>_xlfn.IFNA((VLOOKUP($A18,'Post 16'!$A:$AG,33,FALSE)/8),0)</f>
        <v>0</v>
      </c>
      <c r="FX18" s="294"/>
      <c r="FY18" s="294">
        <f>_xlfn.IFNA(((VLOOKUP($A18,HN!$A:$M,10,FALSE)-$U18-$AK18)/10),0)</f>
        <v>147457.23083333333</v>
      </c>
      <c r="FZ18" s="294">
        <f>_xlfn.IFNA(((VLOOKUP($A18,HN!$A:$M,13,FALSE)-$V18-$AL18)/10),0)</f>
        <v>0</v>
      </c>
      <c r="GA18" s="293">
        <f t="shared" si="41"/>
        <v>0</v>
      </c>
      <c r="GB18" s="293">
        <f t="shared" si="42"/>
        <v>0</v>
      </c>
      <c r="GC18" s="294"/>
      <c r="GD18" s="294"/>
      <c r="GE18" s="294"/>
      <c r="GF18" s="293">
        <f t="shared" si="43"/>
        <v>225790.56416666665</v>
      </c>
      <c r="GG18" s="300">
        <f t="shared" si="44"/>
        <v>0</v>
      </c>
      <c r="GH18" s="300"/>
      <c r="GI18" s="300"/>
      <c r="GJ18" s="301">
        <f>_xlfn.IFNA((VLOOKUP($A18,HN!$A:$M,8,FALSE)/12),0)</f>
        <v>78333.333333333328</v>
      </c>
      <c r="GK18" s="301">
        <f>_xlfn.IFNA((VLOOKUP($A18,HN!$A:$M,12,FALSE)/12),0)</f>
        <v>0</v>
      </c>
      <c r="GL18" s="301">
        <f>_xlfn.IFNA((VLOOKUP($A18,HN!$A:$M,9,FALSE)/12),0)</f>
        <v>0</v>
      </c>
      <c r="GM18" s="301">
        <f>_xlfn.IFNA((VLOOKUP($A18,'Post 16'!$A:$AG,33,FALSE)/8),0)</f>
        <v>0</v>
      </c>
      <c r="GN18" s="301"/>
      <c r="GO18" s="301">
        <f>_xlfn.IFNA(((VLOOKUP($A18,HN!$A:$M,10,FALSE)-$U18-$AK18)/10),0)</f>
        <v>147457.23083333333</v>
      </c>
      <c r="GP18" s="301">
        <f>_xlfn.IFNA(((VLOOKUP($A18,HN!$A:$M,13,FALSE)-$V18-$AL18)/10),0)</f>
        <v>0</v>
      </c>
      <c r="GQ18" s="300">
        <f t="shared" si="45"/>
        <v>0</v>
      </c>
      <c r="GR18" s="300">
        <f t="shared" si="46"/>
        <v>0</v>
      </c>
      <c r="GS18" s="301"/>
      <c r="GT18" s="301"/>
      <c r="GU18" s="301"/>
      <c r="GV18" s="300">
        <f t="shared" si="47"/>
        <v>225790.56416666665</v>
      </c>
      <c r="GX18" s="146">
        <f t="shared" ref="GX18:HC27" si="50">SUMIFS($M18:$GV18,$M$7:$GV$7,GX$7)</f>
        <v>940000.00000000012</v>
      </c>
      <c r="GY18" s="146">
        <f t="shared" si="50"/>
        <v>0</v>
      </c>
      <c r="GZ18" s="146">
        <f t="shared" si="50"/>
        <v>1769486.7700000005</v>
      </c>
      <c r="HA18" s="146">
        <f t="shared" si="50"/>
        <v>0</v>
      </c>
      <c r="HB18" s="146">
        <f t="shared" si="50"/>
        <v>0</v>
      </c>
      <c r="HC18" s="146">
        <f t="shared" si="50"/>
        <v>0</v>
      </c>
      <c r="HE18" s="146">
        <f t="shared" ref="HE18:HJ27" si="51">SUMIFS($M18:$GV18,$M$7:$GV$7,HE$7,$M$4:$GV$4,$HE$6)</f>
        <v>235000</v>
      </c>
      <c r="HF18" s="146">
        <f t="shared" si="51"/>
        <v>0</v>
      </c>
      <c r="HG18" s="146">
        <f t="shared" si="51"/>
        <v>442371.69250000006</v>
      </c>
      <c r="HH18" s="146">
        <f t="shared" si="51"/>
        <v>0</v>
      </c>
      <c r="HI18" s="146">
        <f t="shared" si="51"/>
        <v>0</v>
      </c>
      <c r="HJ18" s="146">
        <f t="shared" si="51"/>
        <v>0</v>
      </c>
      <c r="HL18" s="146"/>
      <c r="HM18" s="57"/>
    </row>
    <row r="19" spans="1:221">
      <c r="A19" s="185">
        <v>2017</v>
      </c>
      <c r="B19" s="185">
        <v>103164</v>
      </c>
      <c r="C19" s="185" t="s">
        <v>59</v>
      </c>
      <c r="D19" s="2" t="s">
        <v>60</v>
      </c>
      <c r="E19" s="190" t="s">
        <v>39</v>
      </c>
      <c r="F19" s="190" t="s">
        <v>890</v>
      </c>
      <c r="H19" s="271">
        <f>_xlfn.IFNA(VLOOKUP($A19,ISB!$A$4:$BY$441,67,FALSE),0)</f>
        <v>1763477.2523184265</v>
      </c>
      <c r="I19" s="271">
        <f>_xlfn.IFNA(VLOOKUP($A19,ISB!$A$4:$BY$441,72,FALSE),0)</f>
        <v>-6200.0999999999995</v>
      </c>
      <c r="J19" s="271">
        <f>-_xlfn.IFNA(VLOOKUP($A19,ISB!$A$4:$BY$441,76,FALSE),0)</f>
        <v>-18095.914199999999</v>
      </c>
      <c r="K19" s="271">
        <f>_xlfn.IFNA(VLOOKUP($A19,ISB!$A$4:$BY$441,77,FALSE),0)</f>
        <v>1739181.2381184264</v>
      </c>
      <c r="M19" s="279">
        <f t="shared" si="0"/>
        <v>146956.4376932022</v>
      </c>
      <c r="N19" s="279"/>
      <c r="O19" s="279">
        <f>_xlfn.IFNA(VLOOKUP($A19,EY!$A:$H,8,FALSE)+(VLOOKUP($A19,EY!$A:$R,18,FALSE)-$T19),0)</f>
        <v>0</v>
      </c>
      <c r="P19" s="280">
        <f>_xlfn.IFNA((VLOOKUP($A19,HN!$A:$M,8,FALSE)/12),0)</f>
        <v>0</v>
      </c>
      <c r="Q19" s="280">
        <f>_xlfn.IFNA((VLOOKUP($A19,HN!$A:$M,12,FALSE)/12),0)</f>
        <v>0</v>
      </c>
      <c r="R19" s="280">
        <f>_xlfn.IFNA((VLOOKUP($A19,HN!$A:$M,9,FALSE)/12),0)</f>
        <v>0</v>
      </c>
      <c r="S19" s="280">
        <f>_xlfn.IFNA((VLOOKUP($A19,'Post 16'!$A:$AR,22,FALSE)/4),0)</f>
        <v>0</v>
      </c>
      <c r="T19" s="280">
        <f>_xlfn.IFNA((VLOOKUP($A19,EY!$A:$R,16,FALSE)*80%),0)</f>
        <v>0</v>
      </c>
      <c r="U19" s="280">
        <v>15096.514166666666</v>
      </c>
      <c r="V19" s="280">
        <v>0</v>
      </c>
      <c r="W19" s="279">
        <f t="shared" si="1"/>
        <v>-516.67499999999995</v>
      </c>
      <c r="X19" s="279">
        <f t="shared" si="2"/>
        <v>-1507.9928499999999</v>
      </c>
      <c r="Y19" s="280"/>
      <c r="Z19" s="280"/>
      <c r="AA19" s="280"/>
      <c r="AB19" s="279">
        <f t="shared" si="3"/>
        <v>160028.28400986886</v>
      </c>
      <c r="AC19" s="293">
        <f t="shared" si="4"/>
        <v>146956.4376932022</v>
      </c>
      <c r="AD19" s="293"/>
      <c r="AE19" s="293"/>
      <c r="AF19" s="294">
        <f>_xlfn.IFNA((VLOOKUP($A19,HN!$A:$M,8,FALSE)/12),0)</f>
        <v>0</v>
      </c>
      <c r="AG19" s="294">
        <f>_xlfn.IFNA((VLOOKUP($A19,HN!$A:$M,12,FALSE)/12),0)+_xlfn.IFNA(VLOOKUP($A19,HN!$A:$Q,17,FALSE),0)</f>
        <v>0</v>
      </c>
      <c r="AH19" s="294">
        <f>_xlfn.IFNA((VLOOKUP($A19,HN!$A:$M,9,FALSE)/12),0)</f>
        <v>0</v>
      </c>
      <c r="AI19" s="294">
        <f>_xlfn.IFNA((VLOOKUP($A19,'Post 16'!$A:$AR,22,FALSE)/4),0)</f>
        <v>0</v>
      </c>
      <c r="AJ19" s="294"/>
      <c r="AK19" s="294">
        <f>_xlfn.IFNA((VLOOKUP($A19,HN!$A:$M,10,FALSE)/12),0)</f>
        <v>5520.625</v>
      </c>
      <c r="AL19" s="294">
        <f>_xlfn.IFNA((VLOOKUP($A19,HN!$A:$M,13,FALSE)/12),0)</f>
        <v>0</v>
      </c>
      <c r="AM19" s="293">
        <f t="shared" si="5"/>
        <v>-516.67499999999995</v>
      </c>
      <c r="AN19" s="293">
        <f t="shared" si="6"/>
        <v>-1507.9928499999999</v>
      </c>
      <c r="AO19" s="294"/>
      <c r="AP19" s="294"/>
      <c r="AQ19" s="294"/>
      <c r="AR19" s="293">
        <f t="shared" si="7"/>
        <v>150452.3948432022</v>
      </c>
      <c r="AS19" s="286">
        <f t="shared" si="8"/>
        <v>146956.4376932022</v>
      </c>
      <c r="AT19" s="286"/>
      <c r="AU19" s="286">
        <f>_xlfn.IFNA(VLOOKUP(A19,EY!A:AO,40,FALSE),0)</f>
        <v>0</v>
      </c>
      <c r="AV19" s="287">
        <f>_xlfn.IFNA((VLOOKUP($A19,HN!$A:$M,8,FALSE)/12),0)</f>
        <v>0</v>
      </c>
      <c r="AW19" s="287">
        <f>_xlfn.IFNA((VLOOKUP($A19,HN!$A:$M,12,FALSE)/12),0)+_xlfn.IFNA(VLOOKUP($A19,HN!$A$8:$AU$200,19,FALSE),0)</f>
        <v>0</v>
      </c>
      <c r="AX19" s="287">
        <f>_xlfn.IFNA((VLOOKUP($A19,HN!$A:$M,9,FALSE)/12),0)</f>
        <v>0</v>
      </c>
      <c r="AY19" s="287">
        <f>_xlfn.IFNA((VLOOKUP($A19,'Post 16'!$A:$AR,22,FALSE)/4),0)</f>
        <v>0</v>
      </c>
      <c r="AZ19" s="287">
        <f>_xlfn.IFNA(VLOOKUP(A19,EY!A:AO,41,FALSE),0)</f>
        <v>0</v>
      </c>
      <c r="BA19" s="287">
        <f>_xlfn.IFNA(((VLOOKUP($A19,HN!$A:$M,10,FALSE)-$U19-$AK19)/10),0)+_xlfn.IFNA(VLOOKUP($A19,HN!$A:$R,18,FALSE),0)</f>
        <v>4563.0360833333334</v>
      </c>
      <c r="BB19" s="287">
        <f>_xlfn.IFNA(((VLOOKUP($A19,HN!$A:$M,13,FALSE)-$V19-$AL19)/10),0)+_xlfn.IFNA(VLOOKUP($A19,HN!$A$8:$AU$200,20,FALSE),0)</f>
        <v>0</v>
      </c>
      <c r="BC19" s="286">
        <f t="shared" si="9"/>
        <v>-516.67499999999995</v>
      </c>
      <c r="BD19" s="286">
        <f t="shared" si="10"/>
        <v>-1507.9928499999999</v>
      </c>
      <c r="BE19" s="287"/>
      <c r="BF19" s="287"/>
      <c r="BG19" s="287"/>
      <c r="BH19" s="286">
        <f t="shared" si="11"/>
        <v>149494.80592653554</v>
      </c>
      <c r="BI19" s="307">
        <f t="shared" si="12"/>
        <v>146956.4376932022</v>
      </c>
      <c r="BJ19" s="307">
        <f>_xlfn.IFNA(VLOOKUP(A19,'LA Deductions'!A:AH,34,FALSE),0)</f>
        <v>0</v>
      </c>
      <c r="BK19" s="307"/>
      <c r="BL19" s="308">
        <f>_xlfn.IFNA((VLOOKUP($A19,HN!$A:$M,8,FALSE)/12),0)</f>
        <v>0</v>
      </c>
      <c r="BM19" s="308">
        <f>_xlfn.IFNA((VLOOKUP($A19,HN!$A:$M,12,FALSE)/12),0)</f>
        <v>0</v>
      </c>
      <c r="BN19" s="308">
        <f>_xlfn.IFNA((VLOOKUP($A19,HN!$A:$M,9,FALSE)/12),0)</f>
        <v>0</v>
      </c>
      <c r="BO19" s="308">
        <f>_xlfn.IFNA((VLOOKUP($A19,'Post 16'!$A:$AR,22,FALSE)/4),0)</f>
        <v>0</v>
      </c>
      <c r="BP19" s="308"/>
      <c r="BQ19" s="308">
        <f>_xlfn.IFNA(((VLOOKUP($A19,HN!$A:$M,10,FALSE)-$U19-$AK19)/10),0)</f>
        <v>4563.0360833333334</v>
      </c>
      <c r="BR19" s="308">
        <f>_xlfn.IFNA(((VLOOKUP($A19,HN!$A:$M,13,FALSE)-$V19-$AL19)/10),0)</f>
        <v>0</v>
      </c>
      <c r="BS19" s="307">
        <f t="shared" si="13"/>
        <v>-516.67499999999995</v>
      </c>
      <c r="BT19" s="307">
        <f t="shared" si="14"/>
        <v>-1507.9928499999999</v>
      </c>
      <c r="BU19" s="308"/>
      <c r="BV19" s="308"/>
      <c r="BW19" s="308"/>
      <c r="BX19" s="307">
        <f t="shared" si="15"/>
        <v>149494.80592653554</v>
      </c>
      <c r="BY19" s="300">
        <f t="shared" si="16"/>
        <v>146956.4376932022</v>
      </c>
      <c r="BZ19" s="300"/>
      <c r="CA19" s="300"/>
      <c r="CB19" s="301">
        <f>_xlfn.IFNA((VLOOKUP($A19,HN!$A:$M,8,FALSE)/12),0)</f>
        <v>0</v>
      </c>
      <c r="CC19" s="301">
        <f>_xlfn.IFNA((VLOOKUP($A19,HN!$A:$M,12,FALSE)/12),0)</f>
        <v>0</v>
      </c>
      <c r="CD19" s="301">
        <f>_xlfn.IFNA((VLOOKUP($A19,HN!$A:$M,9,FALSE)/12),0)</f>
        <v>0</v>
      </c>
      <c r="CE19" s="301">
        <f>_xlfn.IFNA((VLOOKUP($A19,'Post 16'!$A:$AG,33,FALSE)/8),0)</f>
        <v>0</v>
      </c>
      <c r="CF19" s="301"/>
      <c r="CG19" s="301">
        <f>_xlfn.IFNA(((VLOOKUP($A19,HN!$A:$M,10,FALSE)-$U19-$AK19)/10),0)</f>
        <v>4563.0360833333334</v>
      </c>
      <c r="CH19" s="301">
        <f>_xlfn.IFNA(((VLOOKUP($A19,HN!$A:$M,13,FALSE)-$V19-$AL19)/10),0)</f>
        <v>0</v>
      </c>
      <c r="CI19" s="300">
        <f t="shared" si="17"/>
        <v>-516.67499999999995</v>
      </c>
      <c r="CJ19" s="300">
        <f t="shared" si="18"/>
        <v>-1507.9928499999999</v>
      </c>
      <c r="CK19" s="301"/>
      <c r="CL19" s="301"/>
      <c r="CM19" s="301"/>
      <c r="CN19" s="300">
        <f t="shared" si="19"/>
        <v>149494.80592653554</v>
      </c>
      <c r="CO19" s="332">
        <f t="shared" si="20"/>
        <v>146956.4376932022</v>
      </c>
      <c r="CP19" s="332"/>
      <c r="CQ19" s="332">
        <f>_xlfn.IFNA((VLOOKUP($A19,EY!$A:$AB,28,FALSE)-$CV19),0)</f>
        <v>0</v>
      </c>
      <c r="CR19" s="333">
        <f>_xlfn.IFNA((VLOOKUP($A19,HN!$A:$M,8,FALSE)/12),0)</f>
        <v>0</v>
      </c>
      <c r="CS19" s="333">
        <f>_xlfn.IFNA((VLOOKUP($A19,HN!$A:$M,12,FALSE)/12),0)</f>
        <v>0</v>
      </c>
      <c r="CT19" s="333">
        <f>_xlfn.IFNA((VLOOKUP($A19,HN!$A:$M,9,FALSE)/12),0)</f>
        <v>0</v>
      </c>
      <c r="CU19" s="333">
        <f>_xlfn.IFNA((VLOOKUP($A19,'Post 16'!$A:$AG,33,FALSE)/8),0)</f>
        <v>0</v>
      </c>
      <c r="CV19" s="333">
        <f>_xlfn.IFNA((VLOOKUP($A19,EY!$A:$AB,26,FALSE)*80%),0)</f>
        <v>0</v>
      </c>
      <c r="CW19" s="333">
        <f>_xlfn.IFNA(((VLOOKUP($A19,HN!$A:$M,10,FALSE)-$U19-$AK19)/10),0)</f>
        <v>4563.0360833333334</v>
      </c>
      <c r="CX19" s="333">
        <f>_xlfn.IFNA(((VLOOKUP($A19,HN!$A:$M,13,FALSE)-$V19-$AL19)/10),0)</f>
        <v>0</v>
      </c>
      <c r="CY19" s="332">
        <f t="shared" si="21"/>
        <v>-516.67499999999995</v>
      </c>
      <c r="CZ19" s="332">
        <f t="shared" si="22"/>
        <v>-1507.9928499999999</v>
      </c>
      <c r="DA19" s="333"/>
      <c r="DB19" s="333"/>
      <c r="DC19" s="333"/>
      <c r="DD19" s="332">
        <f t="shared" si="23"/>
        <v>149494.80592653554</v>
      </c>
      <c r="DE19" s="314">
        <f t="shared" si="24"/>
        <v>146956.4376932022</v>
      </c>
      <c r="DF19" s="314"/>
      <c r="DG19" s="314"/>
      <c r="DH19" s="315">
        <f>_xlfn.IFNA((VLOOKUP($A19,HN!$A:$M,8,FALSE)/12),0)</f>
        <v>0</v>
      </c>
      <c r="DI19" s="315">
        <f>_xlfn.IFNA((VLOOKUP($A19,HN!$A:$M,12,FALSE)/12),0)</f>
        <v>0</v>
      </c>
      <c r="DJ19" s="315">
        <f>_xlfn.IFNA((VLOOKUP($A19,HN!$A:$M,9,FALSE)/12),0)</f>
        <v>0</v>
      </c>
      <c r="DK19" s="315">
        <f>_xlfn.IFNA((VLOOKUP($A19,'Post 16'!$A:$AG,33,FALSE)/8),0)</f>
        <v>0</v>
      </c>
      <c r="DL19" s="315"/>
      <c r="DM19" s="315">
        <f>_xlfn.IFNA(((VLOOKUP($A19,HN!$A:$M,10,FALSE)-$U19-$AK19)/10),0)</f>
        <v>4563.0360833333334</v>
      </c>
      <c r="DN19" s="315">
        <f>_xlfn.IFNA(((VLOOKUP($A19,HN!$A:$M,13,FALSE)-$V19-$AL19)/10),0)</f>
        <v>0</v>
      </c>
      <c r="DO19" s="314">
        <f t="shared" si="25"/>
        <v>-516.67499999999995</v>
      </c>
      <c r="DP19" s="314">
        <f t="shared" si="26"/>
        <v>-1507.9928499999999</v>
      </c>
      <c r="DQ19" s="315"/>
      <c r="DR19" s="315"/>
      <c r="DS19" s="315"/>
      <c r="DT19" s="314">
        <f t="shared" si="27"/>
        <v>149494.80592653554</v>
      </c>
      <c r="DU19" s="307">
        <f t="shared" si="28"/>
        <v>146956.4376932022</v>
      </c>
      <c r="DV19" s="307"/>
      <c r="DW19" s="307"/>
      <c r="DX19" s="308">
        <f>_xlfn.IFNA((VLOOKUP($A19,HN!$A:$M,8,FALSE)/12),0)</f>
        <v>0</v>
      </c>
      <c r="DY19" s="308">
        <f>_xlfn.IFNA((VLOOKUP($A19,HN!$A:$M,12,FALSE)/12),0)</f>
        <v>0</v>
      </c>
      <c r="DZ19" s="308">
        <f>_xlfn.IFNA((VLOOKUP($A19,HN!$A:$M,9,FALSE)/12),0)</f>
        <v>0</v>
      </c>
      <c r="EA19" s="308">
        <f>_xlfn.IFNA((VLOOKUP($A19,'Post 16'!$A:$AG,33,FALSE)/8),0)</f>
        <v>0</v>
      </c>
      <c r="EB19" s="308"/>
      <c r="EC19" s="308">
        <f>_xlfn.IFNA(((VLOOKUP($A19,HN!$A:$M,10,FALSE)-$U19-$AK19)/10),0)</f>
        <v>4563.0360833333334</v>
      </c>
      <c r="ED19" s="308">
        <f>_xlfn.IFNA(((VLOOKUP($A19,HN!$A:$M,13,FALSE)-$V19-$AL19)/10),0)</f>
        <v>0</v>
      </c>
      <c r="EE19" s="307">
        <f t="shared" si="29"/>
        <v>-516.67499999999995</v>
      </c>
      <c r="EF19" s="307">
        <f t="shared" si="30"/>
        <v>-1507.9928499999999</v>
      </c>
      <c r="EG19" s="308"/>
      <c r="EH19" s="308"/>
      <c r="EI19" s="308"/>
      <c r="EJ19" s="307">
        <f t="shared" si="31"/>
        <v>149494.80592653554</v>
      </c>
      <c r="EK19" s="320">
        <f t="shared" si="32"/>
        <v>146956.4376932022</v>
      </c>
      <c r="EL19" s="320"/>
      <c r="EM19" s="320"/>
      <c r="EN19" s="321">
        <f>_xlfn.IFNA((VLOOKUP($A19,HN!$A:$M,8,FALSE)/12),0)</f>
        <v>0</v>
      </c>
      <c r="EO19" s="321">
        <f>_xlfn.IFNA((VLOOKUP($A19,HN!$A:$M,12,FALSE)/12),0)</f>
        <v>0</v>
      </c>
      <c r="EP19" s="321">
        <f>_xlfn.IFNA((VLOOKUP($A19,HN!$A:$M,9,FALSE)/12),0)</f>
        <v>0</v>
      </c>
      <c r="EQ19" s="321">
        <f>_xlfn.IFNA((VLOOKUP($A19,'Post 16'!$A:$AG,33,FALSE)/8),0)</f>
        <v>0</v>
      </c>
      <c r="ER19" s="321"/>
      <c r="ES19" s="321">
        <f>_xlfn.IFNA(((VLOOKUP($A19,HN!$A:$M,10,FALSE)-$U19-$AK19)/10),0)</f>
        <v>4563.0360833333334</v>
      </c>
      <c r="ET19" s="321">
        <f>_xlfn.IFNA(((VLOOKUP($A19,HN!$A:$M,13,FALSE)-$V19-$AL19)/10),0)</f>
        <v>0</v>
      </c>
      <c r="EU19" s="320">
        <f t="shared" si="33"/>
        <v>-516.67499999999995</v>
      </c>
      <c r="EV19" s="320">
        <f t="shared" si="34"/>
        <v>-1507.9928499999999</v>
      </c>
      <c r="EW19" s="321"/>
      <c r="EX19" s="321"/>
      <c r="EY19" s="321"/>
      <c r="EZ19" s="320">
        <f t="shared" si="35"/>
        <v>149494.80592653554</v>
      </c>
      <c r="FA19" s="286">
        <f t="shared" si="36"/>
        <v>146956.4376932022</v>
      </c>
      <c r="FB19" s="286"/>
      <c r="FC19" s="286"/>
      <c r="FD19" s="287">
        <f>_xlfn.IFNA((VLOOKUP($A19,HN!$A:$M,8,FALSE)/12),0)</f>
        <v>0</v>
      </c>
      <c r="FE19" s="287">
        <f>_xlfn.IFNA((VLOOKUP($A19,HN!$A:$M,12,FALSE)/12),0)</f>
        <v>0</v>
      </c>
      <c r="FF19" s="287">
        <f>_xlfn.IFNA((VLOOKUP($A19,HN!$A:$M,9,FALSE)/12),0)</f>
        <v>0</v>
      </c>
      <c r="FG19" s="287">
        <f>_xlfn.IFNA((VLOOKUP($A19,'Post 16'!$A:$AG,33,FALSE)/8),0)</f>
        <v>0</v>
      </c>
      <c r="FH19" s="287"/>
      <c r="FI19" s="287">
        <f>_xlfn.IFNA(((VLOOKUP($A19,HN!$A:$M,10,FALSE)-$U19-$AK19)/10),0)</f>
        <v>4563.0360833333334</v>
      </c>
      <c r="FJ19" s="287">
        <f>_xlfn.IFNA(((VLOOKUP($A19,HN!$A:$M,13,FALSE)-$V19-$AL19)/10),0)</f>
        <v>0</v>
      </c>
      <c r="FK19" s="286">
        <f t="shared" si="37"/>
        <v>-516.67499999999995</v>
      </c>
      <c r="FL19" s="286">
        <f t="shared" si="38"/>
        <v>-1507.9928499999999</v>
      </c>
      <c r="FM19" s="287"/>
      <c r="FN19" s="287"/>
      <c r="FO19" s="287"/>
      <c r="FP19" s="286">
        <f t="shared" si="39"/>
        <v>149494.80592653554</v>
      </c>
      <c r="FQ19" s="293">
        <f t="shared" si="40"/>
        <v>146956.4376932022</v>
      </c>
      <c r="FR19" s="293"/>
      <c r="FS19" s="293"/>
      <c r="FT19" s="294">
        <f>_xlfn.IFNA((VLOOKUP($A19,HN!$A:$M,8,FALSE)/12),0)</f>
        <v>0</v>
      </c>
      <c r="FU19" s="294">
        <f>_xlfn.IFNA((VLOOKUP($A19,HN!$A:$M,12,FALSE)/12),0)</f>
        <v>0</v>
      </c>
      <c r="FV19" s="294">
        <f>_xlfn.IFNA((VLOOKUP($A19,HN!$A:$M,9,FALSE)/12),0)</f>
        <v>0</v>
      </c>
      <c r="FW19" s="294">
        <f>_xlfn.IFNA((VLOOKUP($A19,'Post 16'!$A:$AG,33,FALSE)/8),0)</f>
        <v>0</v>
      </c>
      <c r="FX19" s="294"/>
      <c r="FY19" s="294">
        <f>_xlfn.IFNA(((VLOOKUP($A19,HN!$A:$M,10,FALSE)-$U19-$AK19)/10),0)</f>
        <v>4563.0360833333334</v>
      </c>
      <c r="FZ19" s="294">
        <f>_xlfn.IFNA(((VLOOKUP($A19,HN!$A:$M,13,FALSE)-$V19-$AL19)/10),0)</f>
        <v>0</v>
      </c>
      <c r="GA19" s="293">
        <f t="shared" si="41"/>
        <v>-516.67499999999995</v>
      </c>
      <c r="GB19" s="293">
        <f t="shared" si="42"/>
        <v>-1507.9928499999999</v>
      </c>
      <c r="GC19" s="294"/>
      <c r="GD19" s="294"/>
      <c r="GE19" s="294"/>
      <c r="GF19" s="293">
        <f t="shared" si="43"/>
        <v>149494.80592653554</v>
      </c>
      <c r="GG19" s="300">
        <f t="shared" si="44"/>
        <v>146956.4376932022</v>
      </c>
      <c r="GH19" s="300"/>
      <c r="GI19" s="300"/>
      <c r="GJ19" s="301">
        <f>_xlfn.IFNA((VLOOKUP($A19,HN!$A:$M,8,FALSE)/12),0)</f>
        <v>0</v>
      </c>
      <c r="GK19" s="301">
        <f>_xlfn.IFNA((VLOOKUP($A19,HN!$A:$M,12,FALSE)/12),0)</f>
        <v>0</v>
      </c>
      <c r="GL19" s="301">
        <f>_xlfn.IFNA((VLOOKUP($A19,HN!$A:$M,9,FALSE)/12),0)</f>
        <v>0</v>
      </c>
      <c r="GM19" s="301">
        <f>_xlfn.IFNA((VLOOKUP($A19,'Post 16'!$A:$AG,33,FALSE)/8),0)</f>
        <v>0</v>
      </c>
      <c r="GN19" s="301"/>
      <c r="GO19" s="301">
        <f>_xlfn.IFNA(((VLOOKUP($A19,HN!$A:$M,10,FALSE)-$U19-$AK19)/10),0)</f>
        <v>4563.0360833333334</v>
      </c>
      <c r="GP19" s="301">
        <f>_xlfn.IFNA(((VLOOKUP($A19,HN!$A:$M,13,FALSE)-$V19-$AL19)/10),0)</f>
        <v>0</v>
      </c>
      <c r="GQ19" s="300">
        <f t="shared" si="45"/>
        <v>-516.67499999999995</v>
      </c>
      <c r="GR19" s="300">
        <f t="shared" si="46"/>
        <v>-1507.9928499999999</v>
      </c>
      <c r="GS19" s="301"/>
      <c r="GT19" s="301"/>
      <c r="GU19" s="301"/>
      <c r="GV19" s="300">
        <f t="shared" si="47"/>
        <v>149494.80592653554</v>
      </c>
      <c r="GX19" s="146">
        <f t="shared" si="50"/>
        <v>1763477.2523184263</v>
      </c>
      <c r="GY19" s="146">
        <f t="shared" si="50"/>
        <v>0</v>
      </c>
      <c r="GZ19" s="146">
        <f t="shared" si="50"/>
        <v>66247.5</v>
      </c>
      <c r="HA19" s="146">
        <f t="shared" si="50"/>
        <v>-6200.1000000000013</v>
      </c>
      <c r="HB19" s="146">
        <f t="shared" si="50"/>
        <v>-18095.914199999999</v>
      </c>
      <c r="HC19" s="146">
        <f t="shared" si="50"/>
        <v>0</v>
      </c>
      <c r="HE19" s="146">
        <f t="shared" si="51"/>
        <v>440869.31307960663</v>
      </c>
      <c r="HF19" s="146">
        <f t="shared" si="51"/>
        <v>0</v>
      </c>
      <c r="HG19" s="146">
        <f t="shared" si="51"/>
        <v>25180.17525</v>
      </c>
      <c r="HH19" s="146">
        <f t="shared" si="51"/>
        <v>-1550.0249999999999</v>
      </c>
      <c r="HI19" s="146">
        <f t="shared" si="51"/>
        <v>-4523.9785499999998</v>
      </c>
      <c r="HJ19" s="146">
        <f t="shared" si="51"/>
        <v>0</v>
      </c>
      <c r="HL19" s="146"/>
      <c r="HM19" s="57"/>
    </row>
    <row r="20" spans="1:221">
      <c r="A20" s="185">
        <v>2016</v>
      </c>
      <c r="B20" s="185">
        <v>103163</v>
      </c>
      <c r="C20" s="185" t="s">
        <v>61</v>
      </c>
      <c r="D20" s="2" t="s">
        <v>62</v>
      </c>
      <c r="E20" s="190" t="s">
        <v>39</v>
      </c>
      <c r="F20" s="190" t="s">
        <v>890</v>
      </c>
      <c r="H20" s="271">
        <f>_xlfn.IFNA(VLOOKUP($A20,ISB!$A$4:$BY$441,67,FALSE),0)</f>
        <v>2391624.5356899118</v>
      </c>
      <c r="I20" s="271">
        <f>_xlfn.IFNA(VLOOKUP($A20,ISB!$A$4:$BY$441,72,FALSE),0)</f>
        <v>-8988.9</v>
      </c>
      <c r="J20" s="271">
        <f>-_xlfn.IFNA(VLOOKUP($A20,ISB!$A$4:$BY$441,76,FALSE),0)</f>
        <v>-8822.1329000000005</v>
      </c>
      <c r="K20" s="271">
        <f>_xlfn.IFNA(VLOOKUP($A20,ISB!$A$4:$BY$441,77,FALSE),0)</f>
        <v>2373813.5027899118</v>
      </c>
      <c r="M20" s="279">
        <f t="shared" si="0"/>
        <v>199302.04464082597</v>
      </c>
      <c r="N20" s="279"/>
      <c r="O20" s="279">
        <f>_xlfn.IFNA(VLOOKUP($A20,EY!$A:$H,8,FALSE)+(VLOOKUP($A20,EY!$A:$R,18,FALSE)-$T20),0)</f>
        <v>0</v>
      </c>
      <c r="P20" s="280">
        <f>_xlfn.IFNA((VLOOKUP($A20,HN!$A:$M,8,FALSE)/12),0)</f>
        <v>0</v>
      </c>
      <c r="Q20" s="280">
        <f>_xlfn.IFNA((VLOOKUP($A20,HN!$A:$M,12,FALSE)/12),0)</f>
        <v>0</v>
      </c>
      <c r="R20" s="280">
        <f>_xlfn.IFNA((VLOOKUP($A20,HN!$A:$M,9,FALSE)/12),0)</f>
        <v>0</v>
      </c>
      <c r="S20" s="280">
        <f>_xlfn.IFNA((VLOOKUP($A20,'Post 16'!$A:$AR,22,FALSE)/4),0)</f>
        <v>0</v>
      </c>
      <c r="T20" s="280">
        <f>_xlfn.IFNA((VLOOKUP($A20,EY!$A:$R,16,FALSE)*80%),0)</f>
        <v>0</v>
      </c>
      <c r="U20" s="280">
        <v>17241.666666666668</v>
      </c>
      <c r="V20" s="280">
        <v>0</v>
      </c>
      <c r="W20" s="279">
        <f t="shared" si="1"/>
        <v>-749.07499999999993</v>
      </c>
      <c r="X20" s="279">
        <f t="shared" si="2"/>
        <v>-735.17774166666675</v>
      </c>
      <c r="Y20" s="280"/>
      <c r="Z20" s="280"/>
      <c r="AA20" s="280"/>
      <c r="AB20" s="279">
        <f t="shared" si="3"/>
        <v>215059.45856582595</v>
      </c>
      <c r="AC20" s="293">
        <f t="shared" si="4"/>
        <v>199302.04464082597</v>
      </c>
      <c r="AD20" s="293"/>
      <c r="AE20" s="293"/>
      <c r="AF20" s="294">
        <f>_xlfn.IFNA((VLOOKUP($A20,HN!$A:$M,8,FALSE)/12),0)</f>
        <v>0</v>
      </c>
      <c r="AG20" s="294">
        <f>_xlfn.IFNA((VLOOKUP($A20,HN!$A:$M,12,FALSE)/12),0)+_xlfn.IFNA(VLOOKUP($A20,HN!$A:$Q,17,FALSE),0)</f>
        <v>0</v>
      </c>
      <c r="AH20" s="294">
        <f>_xlfn.IFNA((VLOOKUP($A20,HN!$A:$M,9,FALSE)/12),0)</f>
        <v>0</v>
      </c>
      <c r="AI20" s="294">
        <f>_xlfn.IFNA((VLOOKUP($A20,'Post 16'!$A:$AR,22,FALSE)/4),0)</f>
        <v>0</v>
      </c>
      <c r="AJ20" s="294"/>
      <c r="AK20" s="294">
        <f>_xlfn.IFNA((VLOOKUP($A20,HN!$A:$M,10,FALSE)/12),0)</f>
        <v>9462.3608333333341</v>
      </c>
      <c r="AL20" s="294">
        <f>_xlfn.IFNA((VLOOKUP($A20,HN!$A:$M,13,FALSE)/12),0)</f>
        <v>0</v>
      </c>
      <c r="AM20" s="293">
        <f t="shared" si="5"/>
        <v>-749.07499999999993</v>
      </c>
      <c r="AN20" s="293">
        <f t="shared" si="6"/>
        <v>-735.17774166666675</v>
      </c>
      <c r="AO20" s="294"/>
      <c r="AP20" s="294"/>
      <c r="AQ20" s="294"/>
      <c r="AR20" s="293">
        <f t="shared" si="7"/>
        <v>207280.15273249263</v>
      </c>
      <c r="AS20" s="286">
        <f t="shared" si="8"/>
        <v>199302.04464082597</v>
      </c>
      <c r="AT20" s="286"/>
      <c r="AU20" s="286">
        <f>_xlfn.IFNA(VLOOKUP(A20,EY!A:AO,40,FALSE),0)</f>
        <v>0</v>
      </c>
      <c r="AV20" s="287">
        <f>_xlfn.IFNA((VLOOKUP($A20,HN!$A:$M,8,FALSE)/12),0)</f>
        <v>0</v>
      </c>
      <c r="AW20" s="287">
        <f>_xlfn.IFNA((VLOOKUP($A20,HN!$A:$M,12,FALSE)/12),0)+_xlfn.IFNA(VLOOKUP($A20,HN!$A$8:$AU$200,19,FALSE),0)</f>
        <v>0</v>
      </c>
      <c r="AX20" s="287">
        <f>_xlfn.IFNA((VLOOKUP($A20,HN!$A:$M,9,FALSE)/12),0)</f>
        <v>0</v>
      </c>
      <c r="AY20" s="287">
        <f>_xlfn.IFNA((VLOOKUP($A20,'Post 16'!$A:$AR,22,FALSE)/4),0)</f>
        <v>0</v>
      </c>
      <c r="AZ20" s="287">
        <f>_xlfn.IFNA(VLOOKUP(A20,EY!A:AO,41,FALSE),0)</f>
        <v>0</v>
      </c>
      <c r="BA20" s="287">
        <f>_xlfn.IFNA(((VLOOKUP($A20,HN!$A:$M,10,FALSE)-$U20-$AK20)/10),0)+_xlfn.IFNA(VLOOKUP($A20,HN!$A:$R,18,FALSE),0)</f>
        <v>8684.4302499999994</v>
      </c>
      <c r="BB20" s="287">
        <f>_xlfn.IFNA(((VLOOKUP($A20,HN!$A:$M,13,FALSE)-$V20-$AL20)/10),0)+_xlfn.IFNA(VLOOKUP($A20,HN!$A$8:$AU$200,20,FALSE),0)</f>
        <v>0</v>
      </c>
      <c r="BC20" s="286">
        <f t="shared" si="9"/>
        <v>-749.07499999999993</v>
      </c>
      <c r="BD20" s="286">
        <f t="shared" si="10"/>
        <v>-735.17774166666675</v>
      </c>
      <c r="BE20" s="287"/>
      <c r="BF20" s="287"/>
      <c r="BG20" s="287"/>
      <c r="BH20" s="286">
        <f t="shared" si="11"/>
        <v>206502.22214915929</v>
      </c>
      <c r="BI20" s="307">
        <f t="shared" si="12"/>
        <v>199302.04464082597</v>
      </c>
      <c r="BJ20" s="307">
        <f>_xlfn.IFNA(VLOOKUP(A20,'LA Deductions'!A:AH,34,FALSE),0)</f>
        <v>0</v>
      </c>
      <c r="BK20" s="307"/>
      <c r="BL20" s="308">
        <f>_xlfn.IFNA((VLOOKUP($A20,HN!$A:$M,8,FALSE)/12),0)</f>
        <v>0</v>
      </c>
      <c r="BM20" s="308">
        <f>_xlfn.IFNA((VLOOKUP($A20,HN!$A:$M,12,FALSE)/12),0)</f>
        <v>0</v>
      </c>
      <c r="BN20" s="308">
        <f>_xlfn.IFNA((VLOOKUP($A20,HN!$A:$M,9,FALSE)/12),0)</f>
        <v>0</v>
      </c>
      <c r="BO20" s="308">
        <f>_xlfn.IFNA((VLOOKUP($A20,'Post 16'!$A:$AR,22,FALSE)/4),0)</f>
        <v>0</v>
      </c>
      <c r="BP20" s="308"/>
      <c r="BQ20" s="308">
        <f>_xlfn.IFNA(((VLOOKUP($A20,HN!$A:$M,10,FALSE)-$U20-$AK20)/10),0)</f>
        <v>8684.4302499999994</v>
      </c>
      <c r="BR20" s="308">
        <f>_xlfn.IFNA(((VLOOKUP($A20,HN!$A:$M,13,FALSE)-$V20-$AL20)/10),0)</f>
        <v>0</v>
      </c>
      <c r="BS20" s="307">
        <f t="shared" si="13"/>
        <v>-749.07499999999993</v>
      </c>
      <c r="BT20" s="307">
        <f t="shared" si="14"/>
        <v>-735.17774166666675</v>
      </c>
      <c r="BU20" s="308"/>
      <c r="BV20" s="308"/>
      <c r="BW20" s="308"/>
      <c r="BX20" s="307">
        <f t="shared" si="15"/>
        <v>206502.22214915929</v>
      </c>
      <c r="BY20" s="300">
        <f t="shared" si="16"/>
        <v>199302.04464082597</v>
      </c>
      <c r="BZ20" s="300"/>
      <c r="CA20" s="300"/>
      <c r="CB20" s="301">
        <f>_xlfn.IFNA((VLOOKUP($A20,HN!$A:$M,8,FALSE)/12),0)</f>
        <v>0</v>
      </c>
      <c r="CC20" s="301">
        <f>_xlfn.IFNA((VLOOKUP($A20,HN!$A:$M,12,FALSE)/12),0)</f>
        <v>0</v>
      </c>
      <c r="CD20" s="301">
        <f>_xlfn.IFNA((VLOOKUP($A20,HN!$A:$M,9,FALSE)/12),0)</f>
        <v>0</v>
      </c>
      <c r="CE20" s="301">
        <f>_xlfn.IFNA((VLOOKUP($A20,'Post 16'!$A:$AG,33,FALSE)/8),0)</f>
        <v>0</v>
      </c>
      <c r="CF20" s="301"/>
      <c r="CG20" s="301">
        <f>_xlfn.IFNA(((VLOOKUP($A20,HN!$A:$M,10,FALSE)-$U20-$AK20)/10),0)</f>
        <v>8684.4302499999994</v>
      </c>
      <c r="CH20" s="301">
        <f>_xlfn.IFNA(((VLOOKUP($A20,HN!$A:$M,13,FALSE)-$V20-$AL20)/10),0)</f>
        <v>0</v>
      </c>
      <c r="CI20" s="300">
        <f t="shared" si="17"/>
        <v>-749.07499999999993</v>
      </c>
      <c r="CJ20" s="300">
        <f t="shared" si="18"/>
        <v>-735.17774166666675</v>
      </c>
      <c r="CK20" s="301"/>
      <c r="CL20" s="301"/>
      <c r="CM20" s="301"/>
      <c r="CN20" s="300">
        <f t="shared" si="19"/>
        <v>206502.22214915929</v>
      </c>
      <c r="CO20" s="332">
        <f t="shared" si="20"/>
        <v>199302.04464082597</v>
      </c>
      <c r="CP20" s="332"/>
      <c r="CQ20" s="332">
        <f>_xlfn.IFNA((VLOOKUP($A20,EY!$A:$AB,28,FALSE)-$CV20),0)</f>
        <v>0</v>
      </c>
      <c r="CR20" s="333">
        <f>_xlfn.IFNA((VLOOKUP($A20,HN!$A:$M,8,FALSE)/12),0)</f>
        <v>0</v>
      </c>
      <c r="CS20" s="333">
        <f>_xlfn.IFNA((VLOOKUP($A20,HN!$A:$M,12,FALSE)/12),0)</f>
        <v>0</v>
      </c>
      <c r="CT20" s="333">
        <f>_xlfn.IFNA((VLOOKUP($A20,HN!$A:$M,9,FALSE)/12),0)</f>
        <v>0</v>
      </c>
      <c r="CU20" s="333">
        <f>_xlfn.IFNA((VLOOKUP($A20,'Post 16'!$A:$AG,33,FALSE)/8),0)</f>
        <v>0</v>
      </c>
      <c r="CV20" s="333">
        <f>_xlfn.IFNA((VLOOKUP($A20,EY!$A:$AB,26,FALSE)*80%),0)</f>
        <v>0</v>
      </c>
      <c r="CW20" s="333">
        <f>_xlfn.IFNA(((VLOOKUP($A20,HN!$A:$M,10,FALSE)-$U20-$AK20)/10),0)</f>
        <v>8684.4302499999994</v>
      </c>
      <c r="CX20" s="333">
        <f>_xlfn.IFNA(((VLOOKUP($A20,HN!$A:$M,13,FALSE)-$V20-$AL20)/10),0)</f>
        <v>0</v>
      </c>
      <c r="CY20" s="332">
        <f t="shared" si="21"/>
        <v>-749.07499999999993</v>
      </c>
      <c r="CZ20" s="332">
        <f t="shared" si="22"/>
        <v>-735.17774166666675</v>
      </c>
      <c r="DA20" s="333"/>
      <c r="DB20" s="333"/>
      <c r="DC20" s="333"/>
      <c r="DD20" s="332">
        <f t="shared" si="23"/>
        <v>206502.22214915929</v>
      </c>
      <c r="DE20" s="314">
        <f t="shared" si="24"/>
        <v>199302.04464082597</v>
      </c>
      <c r="DF20" s="314"/>
      <c r="DG20" s="314"/>
      <c r="DH20" s="315">
        <f>_xlfn.IFNA((VLOOKUP($A20,HN!$A:$M,8,FALSE)/12),0)</f>
        <v>0</v>
      </c>
      <c r="DI20" s="315">
        <f>_xlfn.IFNA((VLOOKUP($A20,HN!$A:$M,12,FALSE)/12),0)</f>
        <v>0</v>
      </c>
      <c r="DJ20" s="315">
        <f>_xlfn.IFNA((VLOOKUP($A20,HN!$A:$M,9,FALSE)/12),0)</f>
        <v>0</v>
      </c>
      <c r="DK20" s="315">
        <f>_xlfn.IFNA((VLOOKUP($A20,'Post 16'!$A:$AG,33,FALSE)/8),0)</f>
        <v>0</v>
      </c>
      <c r="DL20" s="315"/>
      <c r="DM20" s="315">
        <f>_xlfn.IFNA(((VLOOKUP($A20,HN!$A:$M,10,FALSE)-$U20-$AK20)/10),0)</f>
        <v>8684.4302499999994</v>
      </c>
      <c r="DN20" s="315">
        <f>_xlfn.IFNA(((VLOOKUP($A20,HN!$A:$M,13,FALSE)-$V20-$AL20)/10),0)</f>
        <v>0</v>
      </c>
      <c r="DO20" s="314">
        <f t="shared" si="25"/>
        <v>-749.07499999999993</v>
      </c>
      <c r="DP20" s="314">
        <f t="shared" si="26"/>
        <v>-735.17774166666675</v>
      </c>
      <c r="DQ20" s="315"/>
      <c r="DR20" s="315"/>
      <c r="DS20" s="315"/>
      <c r="DT20" s="314">
        <f t="shared" si="27"/>
        <v>206502.22214915929</v>
      </c>
      <c r="DU20" s="307">
        <f t="shared" si="28"/>
        <v>199302.04464082597</v>
      </c>
      <c r="DV20" s="307"/>
      <c r="DW20" s="307"/>
      <c r="DX20" s="308">
        <f>_xlfn.IFNA((VLOOKUP($A20,HN!$A:$M,8,FALSE)/12),0)</f>
        <v>0</v>
      </c>
      <c r="DY20" s="308">
        <f>_xlfn.IFNA((VLOOKUP($A20,HN!$A:$M,12,FALSE)/12),0)</f>
        <v>0</v>
      </c>
      <c r="DZ20" s="308">
        <f>_xlfn.IFNA((VLOOKUP($A20,HN!$A:$M,9,FALSE)/12),0)</f>
        <v>0</v>
      </c>
      <c r="EA20" s="308">
        <f>_xlfn.IFNA((VLOOKUP($A20,'Post 16'!$A:$AG,33,FALSE)/8),0)</f>
        <v>0</v>
      </c>
      <c r="EB20" s="308"/>
      <c r="EC20" s="308">
        <f>_xlfn.IFNA(((VLOOKUP($A20,HN!$A:$M,10,FALSE)-$U20-$AK20)/10),0)</f>
        <v>8684.4302499999994</v>
      </c>
      <c r="ED20" s="308">
        <f>_xlfn.IFNA(((VLOOKUP($A20,HN!$A:$M,13,FALSE)-$V20-$AL20)/10),0)</f>
        <v>0</v>
      </c>
      <c r="EE20" s="307">
        <f t="shared" si="29"/>
        <v>-749.07499999999993</v>
      </c>
      <c r="EF20" s="307">
        <f t="shared" si="30"/>
        <v>-735.17774166666675</v>
      </c>
      <c r="EG20" s="308"/>
      <c r="EH20" s="308"/>
      <c r="EI20" s="308"/>
      <c r="EJ20" s="307">
        <f t="shared" si="31"/>
        <v>206502.22214915929</v>
      </c>
      <c r="EK20" s="320">
        <f t="shared" si="32"/>
        <v>199302.04464082597</v>
      </c>
      <c r="EL20" s="320"/>
      <c r="EM20" s="320"/>
      <c r="EN20" s="321">
        <f>_xlfn.IFNA((VLOOKUP($A20,HN!$A:$M,8,FALSE)/12),0)</f>
        <v>0</v>
      </c>
      <c r="EO20" s="321">
        <f>_xlfn.IFNA((VLOOKUP($A20,HN!$A:$M,12,FALSE)/12),0)</f>
        <v>0</v>
      </c>
      <c r="EP20" s="321">
        <f>_xlfn.IFNA((VLOOKUP($A20,HN!$A:$M,9,FALSE)/12),0)</f>
        <v>0</v>
      </c>
      <c r="EQ20" s="321">
        <f>_xlfn.IFNA((VLOOKUP($A20,'Post 16'!$A:$AG,33,FALSE)/8),0)</f>
        <v>0</v>
      </c>
      <c r="ER20" s="321"/>
      <c r="ES20" s="321">
        <f>_xlfn.IFNA(((VLOOKUP($A20,HN!$A:$M,10,FALSE)-$U20-$AK20)/10),0)</f>
        <v>8684.4302499999994</v>
      </c>
      <c r="ET20" s="321">
        <f>_xlfn.IFNA(((VLOOKUP($A20,HN!$A:$M,13,FALSE)-$V20-$AL20)/10),0)</f>
        <v>0</v>
      </c>
      <c r="EU20" s="320">
        <f t="shared" si="33"/>
        <v>-749.07499999999993</v>
      </c>
      <c r="EV20" s="320">
        <f t="shared" si="34"/>
        <v>-735.17774166666675</v>
      </c>
      <c r="EW20" s="321"/>
      <c r="EX20" s="321"/>
      <c r="EY20" s="321"/>
      <c r="EZ20" s="320">
        <f t="shared" si="35"/>
        <v>206502.22214915929</v>
      </c>
      <c r="FA20" s="286">
        <f t="shared" si="36"/>
        <v>199302.04464082597</v>
      </c>
      <c r="FB20" s="286"/>
      <c r="FC20" s="286"/>
      <c r="FD20" s="287">
        <f>_xlfn.IFNA((VLOOKUP($A20,HN!$A:$M,8,FALSE)/12),0)</f>
        <v>0</v>
      </c>
      <c r="FE20" s="287">
        <f>_xlfn.IFNA((VLOOKUP($A20,HN!$A:$M,12,FALSE)/12),0)</f>
        <v>0</v>
      </c>
      <c r="FF20" s="287">
        <f>_xlfn.IFNA((VLOOKUP($A20,HN!$A:$M,9,FALSE)/12),0)</f>
        <v>0</v>
      </c>
      <c r="FG20" s="287">
        <f>_xlfn.IFNA((VLOOKUP($A20,'Post 16'!$A:$AG,33,FALSE)/8),0)</f>
        <v>0</v>
      </c>
      <c r="FH20" s="287"/>
      <c r="FI20" s="287">
        <f>_xlfn.IFNA(((VLOOKUP($A20,HN!$A:$M,10,FALSE)-$U20-$AK20)/10),0)</f>
        <v>8684.4302499999994</v>
      </c>
      <c r="FJ20" s="287">
        <f>_xlfn.IFNA(((VLOOKUP($A20,HN!$A:$M,13,FALSE)-$V20-$AL20)/10),0)</f>
        <v>0</v>
      </c>
      <c r="FK20" s="286">
        <f t="shared" si="37"/>
        <v>-749.07499999999993</v>
      </c>
      <c r="FL20" s="286">
        <f t="shared" si="38"/>
        <v>-735.17774166666675</v>
      </c>
      <c r="FM20" s="287"/>
      <c r="FN20" s="287"/>
      <c r="FO20" s="287"/>
      <c r="FP20" s="286">
        <f t="shared" si="39"/>
        <v>206502.22214915929</v>
      </c>
      <c r="FQ20" s="293">
        <f t="shared" si="40"/>
        <v>199302.04464082597</v>
      </c>
      <c r="FR20" s="293"/>
      <c r="FS20" s="293"/>
      <c r="FT20" s="294">
        <f>_xlfn.IFNA((VLOOKUP($A20,HN!$A:$M,8,FALSE)/12),0)</f>
        <v>0</v>
      </c>
      <c r="FU20" s="294">
        <f>_xlfn.IFNA((VLOOKUP($A20,HN!$A:$M,12,FALSE)/12),0)</f>
        <v>0</v>
      </c>
      <c r="FV20" s="294">
        <f>_xlfn.IFNA((VLOOKUP($A20,HN!$A:$M,9,FALSE)/12),0)</f>
        <v>0</v>
      </c>
      <c r="FW20" s="294">
        <f>_xlfn.IFNA((VLOOKUP($A20,'Post 16'!$A:$AG,33,FALSE)/8),0)</f>
        <v>0</v>
      </c>
      <c r="FX20" s="294"/>
      <c r="FY20" s="294">
        <f>_xlfn.IFNA(((VLOOKUP($A20,HN!$A:$M,10,FALSE)-$U20-$AK20)/10),0)</f>
        <v>8684.4302499999994</v>
      </c>
      <c r="FZ20" s="294">
        <f>_xlfn.IFNA(((VLOOKUP($A20,HN!$A:$M,13,FALSE)-$V20-$AL20)/10),0)</f>
        <v>0</v>
      </c>
      <c r="GA20" s="293">
        <f t="shared" si="41"/>
        <v>-749.07499999999993</v>
      </c>
      <c r="GB20" s="293">
        <f t="shared" si="42"/>
        <v>-735.17774166666675</v>
      </c>
      <c r="GC20" s="294"/>
      <c r="GD20" s="294"/>
      <c r="GE20" s="294"/>
      <c r="GF20" s="293">
        <f t="shared" si="43"/>
        <v>206502.22214915929</v>
      </c>
      <c r="GG20" s="300">
        <f t="shared" si="44"/>
        <v>199302.04464082597</v>
      </c>
      <c r="GH20" s="300"/>
      <c r="GI20" s="300"/>
      <c r="GJ20" s="301">
        <f>_xlfn.IFNA((VLOOKUP($A20,HN!$A:$M,8,FALSE)/12),0)</f>
        <v>0</v>
      </c>
      <c r="GK20" s="301">
        <f>_xlfn.IFNA((VLOOKUP($A20,HN!$A:$M,12,FALSE)/12),0)</f>
        <v>0</v>
      </c>
      <c r="GL20" s="301">
        <f>_xlfn.IFNA((VLOOKUP($A20,HN!$A:$M,9,FALSE)/12),0)</f>
        <v>0</v>
      </c>
      <c r="GM20" s="301">
        <f>_xlfn.IFNA((VLOOKUP($A20,'Post 16'!$A:$AG,33,FALSE)/8),0)</f>
        <v>0</v>
      </c>
      <c r="GN20" s="301"/>
      <c r="GO20" s="301">
        <f>_xlfn.IFNA(((VLOOKUP($A20,HN!$A:$M,10,FALSE)-$U20-$AK20)/10),0)</f>
        <v>8684.4302499999994</v>
      </c>
      <c r="GP20" s="301">
        <f>_xlfn.IFNA(((VLOOKUP($A20,HN!$A:$M,13,FALSE)-$V20-$AL20)/10),0)</f>
        <v>0</v>
      </c>
      <c r="GQ20" s="300">
        <f t="shared" si="45"/>
        <v>-749.07499999999993</v>
      </c>
      <c r="GR20" s="300">
        <f t="shared" si="46"/>
        <v>-735.17774166666675</v>
      </c>
      <c r="GS20" s="301"/>
      <c r="GT20" s="301"/>
      <c r="GU20" s="301"/>
      <c r="GV20" s="300">
        <f t="shared" si="47"/>
        <v>206502.22214915929</v>
      </c>
      <c r="GX20" s="146">
        <f t="shared" si="50"/>
        <v>2391624.5356899123</v>
      </c>
      <c r="GY20" s="146">
        <f t="shared" si="50"/>
        <v>0</v>
      </c>
      <c r="GZ20" s="146">
        <f t="shared" si="50"/>
        <v>113548.33000000002</v>
      </c>
      <c r="HA20" s="146">
        <f t="shared" si="50"/>
        <v>-8988.9</v>
      </c>
      <c r="HB20" s="146">
        <f t="shared" si="50"/>
        <v>-8822.1328999999987</v>
      </c>
      <c r="HC20" s="146">
        <f t="shared" si="50"/>
        <v>0</v>
      </c>
      <c r="HE20" s="146">
        <f t="shared" si="51"/>
        <v>597906.13392247795</v>
      </c>
      <c r="HF20" s="146">
        <f t="shared" si="51"/>
        <v>0</v>
      </c>
      <c r="HG20" s="146">
        <f t="shared" si="51"/>
        <v>35388.457750000001</v>
      </c>
      <c r="HH20" s="146">
        <f t="shared" si="51"/>
        <v>-2247.2249999999999</v>
      </c>
      <c r="HI20" s="146">
        <f t="shared" si="51"/>
        <v>-2205.5332250000001</v>
      </c>
      <c r="HJ20" s="146">
        <f t="shared" si="51"/>
        <v>0</v>
      </c>
      <c r="HL20" s="146"/>
      <c r="HM20" s="57"/>
    </row>
    <row r="21" spans="1:221">
      <c r="A21" s="185">
        <v>2239</v>
      </c>
      <c r="B21" s="185">
        <v>103289</v>
      </c>
      <c r="C21" s="185" t="s">
        <v>63</v>
      </c>
      <c r="D21" s="2" t="s">
        <v>64</v>
      </c>
      <c r="E21" s="190" t="s">
        <v>39</v>
      </c>
      <c r="F21" s="190" t="s">
        <v>890</v>
      </c>
      <c r="H21" s="271">
        <f>_xlfn.IFNA(VLOOKUP($A21,ISB!$A$4:$BY$441,67,FALSE),0)</f>
        <v>988196.53468629252</v>
      </c>
      <c r="I21" s="271">
        <f>_xlfn.IFNA(VLOOKUP($A21,ISB!$A$4:$BY$441,72,FALSE),0)</f>
        <v>-3461.1</v>
      </c>
      <c r="J21" s="271">
        <f>-_xlfn.IFNA(VLOOKUP($A21,ISB!$A$4:$BY$441,76,FALSE),0)</f>
        <v>-11721.960800000001</v>
      </c>
      <c r="K21" s="271">
        <f>_xlfn.IFNA(VLOOKUP($A21,ISB!$A$4:$BY$441,77,FALSE),0)</f>
        <v>973013.47388629254</v>
      </c>
      <c r="M21" s="279">
        <f t="shared" si="0"/>
        <v>82349.71122385771</v>
      </c>
      <c r="N21" s="279"/>
      <c r="O21" s="279">
        <f>_xlfn.IFNA(VLOOKUP($A21,EY!$A:$H,8,FALSE)+(VLOOKUP($A21,EY!$A:$R,18,FALSE)-$T21),0)</f>
        <v>61607.45978947368</v>
      </c>
      <c r="P21" s="280">
        <f>_xlfn.IFNA((VLOOKUP($A21,HN!$A:$M,8,FALSE)/12),0)</f>
        <v>0</v>
      </c>
      <c r="Q21" s="280">
        <f>_xlfn.IFNA((VLOOKUP($A21,HN!$A:$M,12,FALSE)/12),0)</f>
        <v>0</v>
      </c>
      <c r="R21" s="280">
        <f>_xlfn.IFNA((VLOOKUP($A21,HN!$A:$M,9,FALSE)/12),0)</f>
        <v>0</v>
      </c>
      <c r="S21" s="280">
        <f>_xlfn.IFNA((VLOOKUP($A21,'Post 16'!$A:$AR,22,FALSE)/4),0)</f>
        <v>0</v>
      </c>
      <c r="T21" s="280">
        <f>_xlfn.IFNA((VLOOKUP($A21,EY!$A:$R,16,FALSE)*80%),0)</f>
        <v>2340</v>
      </c>
      <c r="U21" s="280">
        <v>9309.0416666666661</v>
      </c>
      <c r="V21" s="280">
        <v>0</v>
      </c>
      <c r="W21" s="279">
        <f t="shared" si="1"/>
        <v>-288.42500000000001</v>
      </c>
      <c r="X21" s="279">
        <f t="shared" si="2"/>
        <v>-976.83006666666677</v>
      </c>
      <c r="Y21" s="280"/>
      <c r="Z21" s="280"/>
      <c r="AA21" s="280"/>
      <c r="AB21" s="279">
        <f t="shared" si="3"/>
        <v>154340.95761333138</v>
      </c>
      <c r="AC21" s="293">
        <f t="shared" si="4"/>
        <v>82349.71122385771</v>
      </c>
      <c r="AD21" s="293"/>
      <c r="AE21" s="293"/>
      <c r="AF21" s="294">
        <f>_xlfn.IFNA((VLOOKUP($A21,HN!$A:$M,8,FALSE)/12),0)</f>
        <v>0</v>
      </c>
      <c r="AG21" s="294">
        <f>_xlfn.IFNA((VLOOKUP($A21,HN!$A:$M,12,FALSE)/12),0)+_xlfn.IFNA(VLOOKUP($A21,HN!$A:$Q,17,FALSE),0)</f>
        <v>0</v>
      </c>
      <c r="AH21" s="294">
        <f>_xlfn.IFNA((VLOOKUP($A21,HN!$A:$M,9,FALSE)/12),0)</f>
        <v>0</v>
      </c>
      <c r="AI21" s="294">
        <f>_xlfn.IFNA((VLOOKUP($A21,'Post 16'!$A:$AR,22,FALSE)/4),0)</f>
        <v>0</v>
      </c>
      <c r="AJ21" s="294"/>
      <c r="AK21" s="294">
        <f>_xlfn.IFNA((VLOOKUP($A21,HN!$A:$M,10,FALSE)/12),0)</f>
        <v>6283.916666666667</v>
      </c>
      <c r="AL21" s="294">
        <f>_xlfn.IFNA((VLOOKUP($A21,HN!$A:$M,13,FALSE)/12),0)</f>
        <v>0</v>
      </c>
      <c r="AM21" s="293">
        <f t="shared" si="5"/>
        <v>-288.42500000000001</v>
      </c>
      <c r="AN21" s="293">
        <f t="shared" si="6"/>
        <v>-976.83006666666677</v>
      </c>
      <c r="AO21" s="294"/>
      <c r="AP21" s="294"/>
      <c r="AQ21" s="294"/>
      <c r="AR21" s="293">
        <f t="shared" si="7"/>
        <v>87368.372823857717</v>
      </c>
      <c r="AS21" s="286">
        <f t="shared" si="8"/>
        <v>82349.71122385771</v>
      </c>
      <c r="AT21" s="286"/>
      <c r="AU21" s="286">
        <f>_xlfn.IFNA(VLOOKUP(A21,EY!A:AO,40,FALSE),0)</f>
        <v>8362.4962880886433</v>
      </c>
      <c r="AV21" s="287">
        <f>_xlfn.IFNA((VLOOKUP($A21,HN!$A:$M,8,FALSE)/12),0)</f>
        <v>0</v>
      </c>
      <c r="AW21" s="287">
        <f>_xlfn.IFNA((VLOOKUP($A21,HN!$A:$M,12,FALSE)/12),0)+_xlfn.IFNA(VLOOKUP($A21,HN!$A$8:$AU$200,19,FALSE),0)</f>
        <v>0</v>
      </c>
      <c r="AX21" s="287">
        <f>_xlfn.IFNA((VLOOKUP($A21,HN!$A:$M,9,FALSE)/12),0)</f>
        <v>0</v>
      </c>
      <c r="AY21" s="287">
        <f>_xlfn.IFNA((VLOOKUP($A21,'Post 16'!$A:$AR,22,FALSE)/4),0)</f>
        <v>0</v>
      </c>
      <c r="AZ21" s="287">
        <f>_xlfn.IFNA(VLOOKUP(A21,EY!A:AO,41,FALSE),0)</f>
        <v>-224.49639889196675</v>
      </c>
      <c r="BA21" s="287">
        <f>_xlfn.IFNA(((VLOOKUP($A21,HN!$A:$M,10,FALSE)-$U21-$AK21)/10),0)+_xlfn.IFNA(VLOOKUP($A21,HN!$A:$R,18,FALSE),0)</f>
        <v>5981.4041666666662</v>
      </c>
      <c r="BB21" s="287">
        <f>_xlfn.IFNA(((VLOOKUP($A21,HN!$A:$M,13,FALSE)-$V21-$AL21)/10),0)+_xlfn.IFNA(VLOOKUP($A21,HN!$A$8:$AU$200,20,FALSE),0)</f>
        <v>0</v>
      </c>
      <c r="BC21" s="286">
        <f t="shared" si="9"/>
        <v>-288.42500000000001</v>
      </c>
      <c r="BD21" s="286">
        <f t="shared" si="10"/>
        <v>-976.83006666666677</v>
      </c>
      <c r="BE21" s="287"/>
      <c r="BF21" s="287"/>
      <c r="BG21" s="287"/>
      <c r="BH21" s="286">
        <f t="shared" si="11"/>
        <v>95203.860213054388</v>
      </c>
      <c r="BI21" s="307">
        <f t="shared" si="12"/>
        <v>82349.71122385771</v>
      </c>
      <c r="BJ21" s="307">
        <f>_xlfn.IFNA(VLOOKUP(A21,'LA Deductions'!A:AH,34,FALSE),0)</f>
        <v>0</v>
      </c>
      <c r="BK21" s="307"/>
      <c r="BL21" s="308">
        <f>_xlfn.IFNA((VLOOKUP($A21,HN!$A:$M,8,FALSE)/12),0)</f>
        <v>0</v>
      </c>
      <c r="BM21" s="308">
        <f>_xlfn.IFNA((VLOOKUP($A21,HN!$A:$M,12,FALSE)/12),0)</f>
        <v>0</v>
      </c>
      <c r="BN21" s="308">
        <f>_xlfn.IFNA((VLOOKUP($A21,HN!$A:$M,9,FALSE)/12),0)</f>
        <v>0</v>
      </c>
      <c r="BO21" s="308">
        <f>_xlfn.IFNA((VLOOKUP($A21,'Post 16'!$A:$AR,22,FALSE)/4),0)</f>
        <v>0</v>
      </c>
      <c r="BP21" s="308"/>
      <c r="BQ21" s="308">
        <f>_xlfn.IFNA(((VLOOKUP($A21,HN!$A:$M,10,FALSE)-$U21-$AK21)/10),0)</f>
        <v>5981.4041666666662</v>
      </c>
      <c r="BR21" s="308">
        <f>_xlfn.IFNA(((VLOOKUP($A21,HN!$A:$M,13,FALSE)-$V21-$AL21)/10),0)</f>
        <v>0</v>
      </c>
      <c r="BS21" s="307">
        <f t="shared" si="13"/>
        <v>-288.42500000000001</v>
      </c>
      <c r="BT21" s="307">
        <f t="shared" si="14"/>
        <v>-976.83006666666677</v>
      </c>
      <c r="BU21" s="308"/>
      <c r="BV21" s="308"/>
      <c r="BW21" s="308"/>
      <c r="BX21" s="307">
        <f t="shared" si="15"/>
        <v>87065.860323857705</v>
      </c>
      <c r="BY21" s="300">
        <f t="shared" si="16"/>
        <v>82349.71122385771</v>
      </c>
      <c r="BZ21" s="300"/>
      <c r="CA21" s="300"/>
      <c r="CB21" s="301">
        <f>_xlfn.IFNA((VLOOKUP($A21,HN!$A:$M,8,FALSE)/12),0)</f>
        <v>0</v>
      </c>
      <c r="CC21" s="301">
        <f>_xlfn.IFNA((VLOOKUP($A21,HN!$A:$M,12,FALSE)/12),0)</f>
        <v>0</v>
      </c>
      <c r="CD21" s="301">
        <f>_xlfn.IFNA((VLOOKUP($A21,HN!$A:$M,9,FALSE)/12),0)</f>
        <v>0</v>
      </c>
      <c r="CE21" s="301">
        <f>_xlfn.IFNA((VLOOKUP($A21,'Post 16'!$A:$AG,33,FALSE)/8),0)</f>
        <v>0</v>
      </c>
      <c r="CF21" s="301"/>
      <c r="CG21" s="301">
        <f>_xlfn.IFNA(((VLOOKUP($A21,HN!$A:$M,10,FALSE)-$U21-$AK21)/10),0)</f>
        <v>5981.4041666666662</v>
      </c>
      <c r="CH21" s="301">
        <f>_xlfn.IFNA(((VLOOKUP($A21,HN!$A:$M,13,FALSE)-$V21-$AL21)/10),0)</f>
        <v>0</v>
      </c>
      <c r="CI21" s="300">
        <f t="shared" si="17"/>
        <v>-288.42500000000001</v>
      </c>
      <c r="CJ21" s="300">
        <f t="shared" si="18"/>
        <v>-976.83006666666677</v>
      </c>
      <c r="CK21" s="301"/>
      <c r="CL21" s="301"/>
      <c r="CM21" s="301"/>
      <c r="CN21" s="300">
        <f t="shared" si="19"/>
        <v>87065.860323857705</v>
      </c>
      <c r="CO21" s="332">
        <f t="shared" si="20"/>
        <v>82349.71122385771</v>
      </c>
      <c r="CP21" s="332"/>
      <c r="CQ21" s="332">
        <f>_xlfn.IFNA((VLOOKUP($A21,EY!$A:$AB,28,FALSE)-$CV21),0)</f>
        <v>53621.589894736855</v>
      </c>
      <c r="CR21" s="333">
        <f>_xlfn.IFNA((VLOOKUP($A21,HN!$A:$M,8,FALSE)/12),0)</f>
        <v>0</v>
      </c>
      <c r="CS21" s="333">
        <f>_xlfn.IFNA((VLOOKUP($A21,HN!$A:$M,12,FALSE)/12),0)</f>
        <v>0</v>
      </c>
      <c r="CT21" s="333">
        <f>_xlfn.IFNA((VLOOKUP($A21,HN!$A:$M,9,FALSE)/12),0)</f>
        <v>0</v>
      </c>
      <c r="CU21" s="333">
        <f>_xlfn.IFNA((VLOOKUP($A21,'Post 16'!$A:$AG,33,FALSE)/8),0)</f>
        <v>0</v>
      </c>
      <c r="CV21" s="333">
        <f>_xlfn.IFNA((VLOOKUP($A21,EY!$A:$AB,26,FALSE)*80%),0)</f>
        <v>780</v>
      </c>
      <c r="CW21" s="333">
        <f>_xlfn.IFNA(((VLOOKUP($A21,HN!$A:$M,10,FALSE)-$U21-$AK21)/10),0)</f>
        <v>5981.4041666666662</v>
      </c>
      <c r="CX21" s="333">
        <f>_xlfn.IFNA(((VLOOKUP($A21,HN!$A:$M,13,FALSE)-$V21-$AL21)/10),0)</f>
        <v>0</v>
      </c>
      <c r="CY21" s="332">
        <f t="shared" si="21"/>
        <v>-288.42500000000001</v>
      </c>
      <c r="CZ21" s="332">
        <f t="shared" si="22"/>
        <v>-976.83006666666677</v>
      </c>
      <c r="DA21" s="333"/>
      <c r="DB21" s="333"/>
      <c r="DC21" s="333"/>
      <c r="DD21" s="332">
        <f t="shared" si="23"/>
        <v>141467.45021859457</v>
      </c>
      <c r="DE21" s="314">
        <f t="shared" si="24"/>
        <v>82349.71122385771</v>
      </c>
      <c r="DF21" s="314"/>
      <c r="DG21" s="314"/>
      <c r="DH21" s="315">
        <f>_xlfn.IFNA((VLOOKUP($A21,HN!$A:$M,8,FALSE)/12),0)</f>
        <v>0</v>
      </c>
      <c r="DI21" s="315">
        <f>_xlfn.IFNA((VLOOKUP($A21,HN!$A:$M,12,FALSE)/12),0)</f>
        <v>0</v>
      </c>
      <c r="DJ21" s="315">
        <f>_xlfn.IFNA((VLOOKUP($A21,HN!$A:$M,9,FALSE)/12),0)</f>
        <v>0</v>
      </c>
      <c r="DK21" s="315">
        <f>_xlfn.IFNA((VLOOKUP($A21,'Post 16'!$A:$AG,33,FALSE)/8),0)</f>
        <v>0</v>
      </c>
      <c r="DL21" s="315"/>
      <c r="DM21" s="315">
        <f>_xlfn.IFNA(((VLOOKUP($A21,HN!$A:$M,10,FALSE)-$U21-$AK21)/10),0)</f>
        <v>5981.4041666666662</v>
      </c>
      <c r="DN21" s="315">
        <f>_xlfn.IFNA(((VLOOKUP($A21,HN!$A:$M,13,FALSE)-$V21-$AL21)/10),0)</f>
        <v>0</v>
      </c>
      <c r="DO21" s="314">
        <f t="shared" si="25"/>
        <v>-288.42500000000001</v>
      </c>
      <c r="DP21" s="314">
        <f t="shared" si="26"/>
        <v>-976.83006666666677</v>
      </c>
      <c r="DQ21" s="315"/>
      <c r="DR21" s="315"/>
      <c r="DS21" s="315"/>
      <c r="DT21" s="314">
        <f t="shared" si="27"/>
        <v>87065.860323857705</v>
      </c>
      <c r="DU21" s="307">
        <f t="shared" si="28"/>
        <v>82349.71122385771</v>
      </c>
      <c r="DV21" s="307"/>
      <c r="DW21" s="307"/>
      <c r="DX21" s="308">
        <f>_xlfn.IFNA((VLOOKUP($A21,HN!$A:$M,8,FALSE)/12),0)</f>
        <v>0</v>
      </c>
      <c r="DY21" s="308">
        <f>_xlfn.IFNA((VLOOKUP($A21,HN!$A:$M,12,FALSE)/12),0)</f>
        <v>0</v>
      </c>
      <c r="DZ21" s="308">
        <f>_xlfn.IFNA((VLOOKUP($A21,HN!$A:$M,9,FALSE)/12),0)</f>
        <v>0</v>
      </c>
      <c r="EA21" s="308">
        <f>_xlfn.IFNA((VLOOKUP($A21,'Post 16'!$A:$AG,33,FALSE)/8),0)</f>
        <v>0</v>
      </c>
      <c r="EB21" s="308"/>
      <c r="EC21" s="308">
        <f>_xlfn.IFNA(((VLOOKUP($A21,HN!$A:$M,10,FALSE)-$U21-$AK21)/10),0)</f>
        <v>5981.4041666666662</v>
      </c>
      <c r="ED21" s="308">
        <f>_xlfn.IFNA(((VLOOKUP($A21,HN!$A:$M,13,FALSE)-$V21-$AL21)/10),0)</f>
        <v>0</v>
      </c>
      <c r="EE21" s="307">
        <f t="shared" si="29"/>
        <v>-288.42500000000001</v>
      </c>
      <c r="EF21" s="307">
        <f t="shared" si="30"/>
        <v>-976.83006666666677</v>
      </c>
      <c r="EG21" s="308"/>
      <c r="EH21" s="308"/>
      <c r="EI21" s="308"/>
      <c r="EJ21" s="307">
        <f t="shared" si="31"/>
        <v>87065.860323857705</v>
      </c>
      <c r="EK21" s="320">
        <f t="shared" si="32"/>
        <v>82349.71122385771</v>
      </c>
      <c r="EL21" s="320"/>
      <c r="EM21" s="320"/>
      <c r="EN21" s="321">
        <f>_xlfn.IFNA((VLOOKUP($A21,HN!$A:$M,8,FALSE)/12),0)</f>
        <v>0</v>
      </c>
      <c r="EO21" s="321">
        <f>_xlfn.IFNA((VLOOKUP($A21,HN!$A:$M,12,FALSE)/12),0)</f>
        <v>0</v>
      </c>
      <c r="EP21" s="321">
        <f>_xlfn.IFNA((VLOOKUP($A21,HN!$A:$M,9,FALSE)/12),0)</f>
        <v>0</v>
      </c>
      <c r="EQ21" s="321">
        <f>_xlfn.IFNA((VLOOKUP($A21,'Post 16'!$A:$AG,33,FALSE)/8),0)</f>
        <v>0</v>
      </c>
      <c r="ER21" s="321"/>
      <c r="ES21" s="321">
        <f>_xlfn.IFNA(((VLOOKUP($A21,HN!$A:$M,10,FALSE)-$U21-$AK21)/10),0)</f>
        <v>5981.4041666666662</v>
      </c>
      <c r="ET21" s="321">
        <f>_xlfn.IFNA(((VLOOKUP($A21,HN!$A:$M,13,FALSE)-$V21-$AL21)/10),0)</f>
        <v>0</v>
      </c>
      <c r="EU21" s="320">
        <f t="shared" si="33"/>
        <v>-288.42500000000001</v>
      </c>
      <c r="EV21" s="320">
        <f t="shared" si="34"/>
        <v>-976.83006666666677</v>
      </c>
      <c r="EW21" s="321"/>
      <c r="EX21" s="321"/>
      <c r="EY21" s="321"/>
      <c r="EZ21" s="320">
        <f t="shared" si="35"/>
        <v>87065.860323857705</v>
      </c>
      <c r="FA21" s="286">
        <f t="shared" si="36"/>
        <v>82349.71122385771</v>
      </c>
      <c r="FB21" s="286"/>
      <c r="FC21" s="286"/>
      <c r="FD21" s="287">
        <f>_xlfn.IFNA((VLOOKUP($A21,HN!$A:$M,8,FALSE)/12),0)</f>
        <v>0</v>
      </c>
      <c r="FE21" s="287">
        <f>_xlfn.IFNA((VLOOKUP($A21,HN!$A:$M,12,FALSE)/12),0)</f>
        <v>0</v>
      </c>
      <c r="FF21" s="287">
        <f>_xlfn.IFNA((VLOOKUP($A21,HN!$A:$M,9,FALSE)/12),0)</f>
        <v>0</v>
      </c>
      <c r="FG21" s="287">
        <f>_xlfn.IFNA((VLOOKUP($A21,'Post 16'!$A:$AG,33,FALSE)/8),0)</f>
        <v>0</v>
      </c>
      <c r="FH21" s="287"/>
      <c r="FI21" s="287">
        <f>_xlfn.IFNA(((VLOOKUP($A21,HN!$A:$M,10,FALSE)-$U21-$AK21)/10),0)</f>
        <v>5981.4041666666662</v>
      </c>
      <c r="FJ21" s="287">
        <f>_xlfn.IFNA(((VLOOKUP($A21,HN!$A:$M,13,FALSE)-$V21-$AL21)/10),0)</f>
        <v>0</v>
      </c>
      <c r="FK21" s="286">
        <f t="shared" si="37"/>
        <v>-288.42500000000001</v>
      </c>
      <c r="FL21" s="286">
        <f t="shared" si="38"/>
        <v>-976.83006666666677</v>
      </c>
      <c r="FM21" s="287"/>
      <c r="FN21" s="287"/>
      <c r="FO21" s="287"/>
      <c r="FP21" s="286">
        <f t="shared" si="39"/>
        <v>87065.860323857705</v>
      </c>
      <c r="FQ21" s="293">
        <f t="shared" si="40"/>
        <v>82349.71122385771</v>
      </c>
      <c r="FR21" s="293"/>
      <c r="FS21" s="293"/>
      <c r="FT21" s="294">
        <f>_xlfn.IFNA((VLOOKUP($A21,HN!$A:$M,8,FALSE)/12),0)</f>
        <v>0</v>
      </c>
      <c r="FU21" s="294">
        <f>_xlfn.IFNA((VLOOKUP($A21,HN!$A:$M,12,FALSE)/12),0)</f>
        <v>0</v>
      </c>
      <c r="FV21" s="294">
        <f>_xlfn.IFNA((VLOOKUP($A21,HN!$A:$M,9,FALSE)/12),0)</f>
        <v>0</v>
      </c>
      <c r="FW21" s="294">
        <f>_xlfn.IFNA((VLOOKUP($A21,'Post 16'!$A:$AG,33,FALSE)/8),0)</f>
        <v>0</v>
      </c>
      <c r="FX21" s="294"/>
      <c r="FY21" s="294">
        <f>_xlfn.IFNA(((VLOOKUP($A21,HN!$A:$M,10,FALSE)-$U21-$AK21)/10),0)</f>
        <v>5981.4041666666662</v>
      </c>
      <c r="FZ21" s="294">
        <f>_xlfn.IFNA(((VLOOKUP($A21,HN!$A:$M,13,FALSE)-$V21-$AL21)/10),0)</f>
        <v>0</v>
      </c>
      <c r="GA21" s="293">
        <f t="shared" si="41"/>
        <v>-288.42500000000001</v>
      </c>
      <c r="GB21" s="293">
        <f t="shared" si="42"/>
        <v>-976.83006666666677</v>
      </c>
      <c r="GC21" s="294"/>
      <c r="GD21" s="294"/>
      <c r="GE21" s="294"/>
      <c r="GF21" s="293">
        <f t="shared" si="43"/>
        <v>87065.860323857705</v>
      </c>
      <c r="GG21" s="300">
        <f t="shared" si="44"/>
        <v>82349.71122385771</v>
      </c>
      <c r="GH21" s="300"/>
      <c r="GI21" s="300"/>
      <c r="GJ21" s="301">
        <f>_xlfn.IFNA((VLOOKUP($A21,HN!$A:$M,8,FALSE)/12),0)</f>
        <v>0</v>
      </c>
      <c r="GK21" s="301">
        <f>_xlfn.IFNA((VLOOKUP($A21,HN!$A:$M,12,FALSE)/12),0)</f>
        <v>0</v>
      </c>
      <c r="GL21" s="301">
        <f>_xlfn.IFNA((VLOOKUP($A21,HN!$A:$M,9,FALSE)/12),0)</f>
        <v>0</v>
      </c>
      <c r="GM21" s="301">
        <f>_xlfn.IFNA((VLOOKUP($A21,'Post 16'!$A:$AG,33,FALSE)/8),0)</f>
        <v>0</v>
      </c>
      <c r="GN21" s="301"/>
      <c r="GO21" s="301">
        <f>_xlfn.IFNA(((VLOOKUP($A21,HN!$A:$M,10,FALSE)-$U21-$AK21)/10),0)</f>
        <v>5981.4041666666662</v>
      </c>
      <c r="GP21" s="301">
        <f>_xlfn.IFNA(((VLOOKUP($A21,HN!$A:$M,13,FALSE)-$V21-$AL21)/10),0)</f>
        <v>0</v>
      </c>
      <c r="GQ21" s="300">
        <f t="shared" si="45"/>
        <v>-288.42500000000001</v>
      </c>
      <c r="GR21" s="300">
        <f t="shared" si="46"/>
        <v>-976.83006666666677</v>
      </c>
      <c r="GS21" s="301"/>
      <c r="GT21" s="301"/>
      <c r="GU21" s="301"/>
      <c r="GV21" s="300">
        <f t="shared" si="47"/>
        <v>87065.860323857705</v>
      </c>
      <c r="GX21" s="146">
        <f t="shared" si="50"/>
        <v>1111788.0806585918</v>
      </c>
      <c r="GY21" s="146">
        <f t="shared" si="50"/>
        <v>0</v>
      </c>
      <c r="GZ21" s="146">
        <f t="shared" si="50"/>
        <v>78302.503601108023</v>
      </c>
      <c r="HA21" s="146">
        <f t="shared" si="50"/>
        <v>-3461.1000000000008</v>
      </c>
      <c r="HB21" s="146">
        <f t="shared" si="50"/>
        <v>-11721.960800000003</v>
      </c>
      <c r="HC21" s="146">
        <f t="shared" si="50"/>
        <v>0</v>
      </c>
      <c r="HE21" s="146">
        <f t="shared" si="51"/>
        <v>317019.08974913543</v>
      </c>
      <c r="HF21" s="146">
        <f t="shared" si="51"/>
        <v>0</v>
      </c>
      <c r="HG21" s="146">
        <f t="shared" si="51"/>
        <v>23689.866101108033</v>
      </c>
      <c r="HH21" s="146">
        <f t="shared" si="51"/>
        <v>-865.27500000000009</v>
      </c>
      <c r="HI21" s="146">
        <f t="shared" si="51"/>
        <v>-2930.4902000000002</v>
      </c>
      <c r="HJ21" s="146">
        <f t="shared" si="51"/>
        <v>0</v>
      </c>
      <c r="HL21" s="146"/>
      <c r="HM21" s="57"/>
    </row>
    <row r="22" spans="1:221">
      <c r="A22" s="185">
        <v>2241</v>
      </c>
      <c r="B22" s="185">
        <v>103291</v>
      </c>
      <c r="C22" s="185" t="s">
        <v>65</v>
      </c>
      <c r="D22" s="2" t="s">
        <v>66</v>
      </c>
      <c r="E22" s="190" t="s">
        <v>39</v>
      </c>
      <c r="F22" s="190" t="s">
        <v>890</v>
      </c>
      <c r="H22" s="271">
        <f>_xlfn.IFNA(VLOOKUP($A22,ISB!$A$4:$BY$441,67,FALSE),0)</f>
        <v>1535309.2559761342</v>
      </c>
      <c r="I22" s="271">
        <f>_xlfn.IFNA(VLOOKUP($A22,ISB!$A$4:$BY$441,72,FALSE),0)</f>
        <v>-5751.9</v>
      </c>
      <c r="J22" s="271">
        <f>-_xlfn.IFNA(VLOOKUP($A22,ISB!$A$4:$BY$441,76,FALSE),0)</f>
        <v>-15538.427100000001</v>
      </c>
      <c r="K22" s="271">
        <f>_xlfn.IFNA(VLOOKUP($A22,ISB!$A$4:$BY$441,77,FALSE),0)</f>
        <v>1514018.9288761343</v>
      </c>
      <c r="M22" s="279">
        <f t="shared" si="0"/>
        <v>127942.43799801118</v>
      </c>
      <c r="N22" s="279"/>
      <c r="O22" s="279">
        <f>_xlfn.IFNA(VLOOKUP($A22,EY!$A:$H,8,FALSE)+(VLOOKUP($A22,EY!$A:$R,18,FALSE)-$T22),0)</f>
        <v>0</v>
      </c>
      <c r="P22" s="280">
        <f>_xlfn.IFNA((VLOOKUP($A22,HN!$A:$M,8,FALSE)/12),0)</f>
        <v>0</v>
      </c>
      <c r="Q22" s="280">
        <f>_xlfn.IFNA((VLOOKUP($A22,HN!$A:$M,12,FALSE)/12),0)</f>
        <v>10000</v>
      </c>
      <c r="R22" s="280">
        <f>_xlfn.IFNA((VLOOKUP($A22,HN!$A:$M,9,FALSE)/12),0)</f>
        <v>0</v>
      </c>
      <c r="S22" s="280">
        <f>_xlfn.IFNA((VLOOKUP($A22,'Post 16'!$A:$AR,22,FALSE)/4),0)</f>
        <v>0</v>
      </c>
      <c r="T22" s="280">
        <f>_xlfn.IFNA((VLOOKUP($A22,EY!$A:$R,16,FALSE)*80%),0)</f>
        <v>0</v>
      </c>
      <c r="U22" s="280">
        <v>0</v>
      </c>
      <c r="V22" s="280">
        <v>14854.958333333334</v>
      </c>
      <c r="W22" s="279">
        <f t="shared" si="1"/>
        <v>-479.32499999999999</v>
      </c>
      <c r="X22" s="279">
        <f t="shared" si="2"/>
        <v>-1294.868925</v>
      </c>
      <c r="Y22" s="280"/>
      <c r="Z22" s="280"/>
      <c r="AA22" s="280"/>
      <c r="AB22" s="279">
        <f t="shared" si="3"/>
        <v>151023.20240634453</v>
      </c>
      <c r="AC22" s="293">
        <f t="shared" si="4"/>
        <v>127942.43799801118</v>
      </c>
      <c r="AD22" s="293"/>
      <c r="AE22" s="293"/>
      <c r="AF22" s="294">
        <f>_xlfn.IFNA((VLOOKUP($A22,HN!$A:$M,8,FALSE)/12),0)</f>
        <v>0</v>
      </c>
      <c r="AG22" s="294">
        <f>_xlfn.IFNA((VLOOKUP($A22,HN!$A:$M,12,FALSE)/12),0)+_xlfn.IFNA(VLOOKUP($A22,HN!$A:$Q,17,FALSE),0)</f>
        <v>10000</v>
      </c>
      <c r="AH22" s="294">
        <f>_xlfn.IFNA((VLOOKUP($A22,HN!$A:$M,9,FALSE)/12),0)</f>
        <v>0</v>
      </c>
      <c r="AI22" s="294">
        <f>_xlfn.IFNA((VLOOKUP($A22,'Post 16'!$A:$AR,22,FALSE)/4),0)</f>
        <v>0</v>
      </c>
      <c r="AJ22" s="294"/>
      <c r="AK22" s="294">
        <f>_xlfn.IFNA((VLOOKUP($A22,HN!$A:$M,10,FALSE)/12),0)</f>
        <v>0</v>
      </c>
      <c r="AL22" s="294">
        <f>_xlfn.IFNA((VLOOKUP($A22,HN!$A:$M,13,FALSE)/12),0)</f>
        <v>6436.25</v>
      </c>
      <c r="AM22" s="293">
        <f t="shared" si="5"/>
        <v>-479.32499999999999</v>
      </c>
      <c r="AN22" s="293">
        <f t="shared" si="6"/>
        <v>-1294.868925</v>
      </c>
      <c r="AO22" s="294"/>
      <c r="AP22" s="294"/>
      <c r="AQ22" s="294"/>
      <c r="AR22" s="293">
        <f t="shared" si="7"/>
        <v>142604.49407301118</v>
      </c>
      <c r="AS22" s="286">
        <f t="shared" si="8"/>
        <v>127942.43799801118</v>
      </c>
      <c r="AT22" s="286"/>
      <c r="AU22" s="286">
        <f>_xlfn.IFNA(VLOOKUP(A22,EY!A:AO,40,FALSE),0)</f>
        <v>0</v>
      </c>
      <c r="AV22" s="287">
        <f>_xlfn.IFNA((VLOOKUP($A22,HN!$A:$M,8,FALSE)/12),0)</f>
        <v>0</v>
      </c>
      <c r="AW22" s="287">
        <f>_xlfn.IFNA((VLOOKUP($A22,HN!$A:$M,12,FALSE)/12),0)+_xlfn.IFNA(VLOOKUP($A22,HN!$A$8:$AU$200,19,FALSE),0)</f>
        <v>31645</v>
      </c>
      <c r="AX22" s="287">
        <f>_xlfn.IFNA((VLOOKUP($A22,HN!$A:$M,9,FALSE)/12),0)</f>
        <v>0</v>
      </c>
      <c r="AY22" s="287">
        <f>_xlfn.IFNA((VLOOKUP($A22,'Post 16'!$A:$AR,22,FALSE)/4),0)</f>
        <v>0</v>
      </c>
      <c r="AZ22" s="287">
        <f>_xlfn.IFNA(VLOOKUP(A22,EY!A:AO,41,FALSE),0)</f>
        <v>0</v>
      </c>
      <c r="BA22" s="287">
        <f>_xlfn.IFNA(((VLOOKUP($A22,HN!$A:$M,10,FALSE)-$U22-$AK22)/10),0)+_xlfn.IFNA(VLOOKUP($A22,HN!$A:$R,18,FALSE),0)</f>
        <v>0</v>
      </c>
      <c r="BB22" s="287">
        <f>_xlfn.IFNA(((VLOOKUP($A22,HN!$A:$M,13,FALSE)-$V22-$AL22)/10),0)+_xlfn.IFNA(VLOOKUP($A22,HN!$A$8:$AU$200,20,FALSE),0)</f>
        <v>5594.3791666666666</v>
      </c>
      <c r="BC22" s="286">
        <f t="shared" si="9"/>
        <v>-479.32499999999999</v>
      </c>
      <c r="BD22" s="286">
        <f t="shared" si="10"/>
        <v>-1294.868925</v>
      </c>
      <c r="BE22" s="287"/>
      <c r="BF22" s="287"/>
      <c r="BG22" s="287"/>
      <c r="BH22" s="286">
        <f t="shared" si="11"/>
        <v>163407.62323967787</v>
      </c>
      <c r="BI22" s="307">
        <f t="shared" si="12"/>
        <v>127942.43799801118</v>
      </c>
      <c r="BJ22" s="307">
        <f>_xlfn.IFNA(VLOOKUP(A22,'LA Deductions'!A:AH,34,FALSE),0)</f>
        <v>0</v>
      </c>
      <c r="BK22" s="307"/>
      <c r="BL22" s="308">
        <f>_xlfn.IFNA((VLOOKUP($A22,HN!$A:$M,8,FALSE)/12),0)</f>
        <v>0</v>
      </c>
      <c r="BM22" s="308">
        <f>_xlfn.IFNA((VLOOKUP($A22,HN!$A:$M,12,FALSE)/12),0)</f>
        <v>10000</v>
      </c>
      <c r="BN22" s="308">
        <f>_xlfn.IFNA((VLOOKUP($A22,HN!$A:$M,9,FALSE)/12),0)</f>
        <v>0</v>
      </c>
      <c r="BO22" s="308">
        <f>_xlfn.IFNA((VLOOKUP($A22,'Post 16'!$A:$AR,22,FALSE)/4),0)</f>
        <v>0</v>
      </c>
      <c r="BP22" s="308"/>
      <c r="BQ22" s="308">
        <f>_xlfn.IFNA(((VLOOKUP($A22,HN!$A:$M,10,FALSE)-$U22-$AK22)/10),0)</f>
        <v>0</v>
      </c>
      <c r="BR22" s="308">
        <f>_xlfn.IFNA(((VLOOKUP($A22,HN!$A:$M,13,FALSE)-$V22-$AL22)/10),0)</f>
        <v>5594.3791666666666</v>
      </c>
      <c r="BS22" s="307">
        <f t="shared" si="13"/>
        <v>-479.32499999999999</v>
      </c>
      <c r="BT22" s="307">
        <f t="shared" si="14"/>
        <v>-1294.868925</v>
      </c>
      <c r="BU22" s="308"/>
      <c r="BV22" s="308"/>
      <c r="BW22" s="308"/>
      <c r="BX22" s="307">
        <f t="shared" si="15"/>
        <v>141762.62323967787</v>
      </c>
      <c r="BY22" s="300">
        <f t="shared" si="16"/>
        <v>127942.43799801118</v>
      </c>
      <c r="BZ22" s="300"/>
      <c r="CA22" s="300"/>
      <c r="CB22" s="301">
        <f>_xlfn.IFNA((VLOOKUP($A22,HN!$A:$M,8,FALSE)/12),0)</f>
        <v>0</v>
      </c>
      <c r="CC22" s="301">
        <f>_xlfn.IFNA((VLOOKUP($A22,HN!$A:$M,12,FALSE)/12),0)</f>
        <v>10000</v>
      </c>
      <c r="CD22" s="301">
        <f>_xlfn.IFNA((VLOOKUP($A22,HN!$A:$M,9,FALSE)/12),0)</f>
        <v>0</v>
      </c>
      <c r="CE22" s="301">
        <f>_xlfn.IFNA((VLOOKUP($A22,'Post 16'!$A:$AG,33,FALSE)/8),0)</f>
        <v>0</v>
      </c>
      <c r="CF22" s="301"/>
      <c r="CG22" s="301">
        <f>_xlfn.IFNA(((VLOOKUP($A22,HN!$A:$M,10,FALSE)-$U22-$AK22)/10),0)</f>
        <v>0</v>
      </c>
      <c r="CH22" s="301">
        <f>_xlfn.IFNA(((VLOOKUP($A22,HN!$A:$M,13,FALSE)-$V22-$AL22)/10),0)</f>
        <v>5594.3791666666666</v>
      </c>
      <c r="CI22" s="300">
        <f t="shared" si="17"/>
        <v>-479.32499999999999</v>
      </c>
      <c r="CJ22" s="300">
        <f t="shared" si="18"/>
        <v>-1294.868925</v>
      </c>
      <c r="CK22" s="301"/>
      <c r="CL22" s="301"/>
      <c r="CM22" s="301"/>
      <c r="CN22" s="300">
        <f t="shared" si="19"/>
        <v>141762.62323967787</v>
      </c>
      <c r="CO22" s="332">
        <f t="shared" si="20"/>
        <v>127942.43799801118</v>
      </c>
      <c r="CP22" s="332"/>
      <c r="CQ22" s="332">
        <f>_xlfn.IFNA((VLOOKUP($A22,EY!$A:$AB,28,FALSE)-$CV22),0)</f>
        <v>0</v>
      </c>
      <c r="CR22" s="333">
        <f>_xlfn.IFNA((VLOOKUP($A22,HN!$A:$M,8,FALSE)/12),0)</f>
        <v>0</v>
      </c>
      <c r="CS22" s="333">
        <f>_xlfn.IFNA((VLOOKUP($A22,HN!$A:$M,12,FALSE)/12),0)</f>
        <v>10000</v>
      </c>
      <c r="CT22" s="333">
        <f>_xlfn.IFNA((VLOOKUP($A22,HN!$A:$M,9,FALSE)/12),0)</f>
        <v>0</v>
      </c>
      <c r="CU22" s="333">
        <f>_xlfn.IFNA((VLOOKUP($A22,'Post 16'!$A:$AG,33,FALSE)/8),0)</f>
        <v>0</v>
      </c>
      <c r="CV22" s="333">
        <f>_xlfn.IFNA((VLOOKUP($A22,EY!$A:$AB,26,FALSE)*80%),0)</f>
        <v>0</v>
      </c>
      <c r="CW22" s="333">
        <f>_xlfn.IFNA(((VLOOKUP($A22,HN!$A:$M,10,FALSE)-$U22-$AK22)/10),0)</f>
        <v>0</v>
      </c>
      <c r="CX22" s="333">
        <f>_xlfn.IFNA(((VLOOKUP($A22,HN!$A:$M,13,FALSE)-$V22-$AL22)/10),0)</f>
        <v>5594.3791666666666</v>
      </c>
      <c r="CY22" s="332">
        <f t="shared" si="21"/>
        <v>-479.32499999999999</v>
      </c>
      <c r="CZ22" s="332">
        <f t="shared" si="22"/>
        <v>-1294.868925</v>
      </c>
      <c r="DA22" s="333"/>
      <c r="DB22" s="333"/>
      <c r="DC22" s="333"/>
      <c r="DD22" s="332">
        <f t="shared" si="23"/>
        <v>141762.62323967787</v>
      </c>
      <c r="DE22" s="314">
        <f t="shared" si="24"/>
        <v>127942.43799801118</v>
      </c>
      <c r="DF22" s="314"/>
      <c r="DG22" s="314"/>
      <c r="DH22" s="315">
        <f>_xlfn.IFNA((VLOOKUP($A22,HN!$A:$M,8,FALSE)/12),0)</f>
        <v>0</v>
      </c>
      <c r="DI22" s="315">
        <f>_xlfn.IFNA((VLOOKUP($A22,HN!$A:$M,12,FALSE)/12),0)</f>
        <v>10000</v>
      </c>
      <c r="DJ22" s="315">
        <f>_xlfn.IFNA((VLOOKUP($A22,HN!$A:$M,9,FALSE)/12),0)</f>
        <v>0</v>
      </c>
      <c r="DK22" s="315">
        <f>_xlfn.IFNA((VLOOKUP($A22,'Post 16'!$A:$AG,33,FALSE)/8),0)</f>
        <v>0</v>
      </c>
      <c r="DL22" s="315"/>
      <c r="DM22" s="315">
        <f>_xlfn.IFNA(((VLOOKUP($A22,HN!$A:$M,10,FALSE)-$U22-$AK22)/10),0)</f>
        <v>0</v>
      </c>
      <c r="DN22" s="315">
        <f>_xlfn.IFNA(((VLOOKUP($A22,HN!$A:$M,13,FALSE)-$V22-$AL22)/10),0)</f>
        <v>5594.3791666666666</v>
      </c>
      <c r="DO22" s="314">
        <f t="shared" si="25"/>
        <v>-479.32499999999999</v>
      </c>
      <c r="DP22" s="314">
        <f t="shared" si="26"/>
        <v>-1294.868925</v>
      </c>
      <c r="DQ22" s="315"/>
      <c r="DR22" s="315"/>
      <c r="DS22" s="315"/>
      <c r="DT22" s="314">
        <f t="shared" si="27"/>
        <v>141762.62323967787</v>
      </c>
      <c r="DU22" s="307">
        <f t="shared" si="28"/>
        <v>127942.43799801118</v>
      </c>
      <c r="DV22" s="307"/>
      <c r="DW22" s="307"/>
      <c r="DX22" s="308">
        <f>_xlfn.IFNA((VLOOKUP($A22,HN!$A:$M,8,FALSE)/12),0)</f>
        <v>0</v>
      </c>
      <c r="DY22" s="308">
        <f>_xlfn.IFNA((VLOOKUP($A22,HN!$A:$M,12,FALSE)/12),0)</f>
        <v>10000</v>
      </c>
      <c r="DZ22" s="308">
        <f>_xlfn.IFNA((VLOOKUP($A22,HN!$A:$M,9,FALSE)/12),0)</f>
        <v>0</v>
      </c>
      <c r="EA22" s="308">
        <f>_xlfn.IFNA((VLOOKUP($A22,'Post 16'!$A:$AG,33,FALSE)/8),0)</f>
        <v>0</v>
      </c>
      <c r="EB22" s="308"/>
      <c r="EC22" s="308">
        <f>_xlfn.IFNA(((VLOOKUP($A22,HN!$A:$M,10,FALSE)-$U22-$AK22)/10),0)</f>
        <v>0</v>
      </c>
      <c r="ED22" s="308">
        <f>_xlfn.IFNA(((VLOOKUP($A22,HN!$A:$M,13,FALSE)-$V22-$AL22)/10),0)</f>
        <v>5594.3791666666666</v>
      </c>
      <c r="EE22" s="307">
        <f t="shared" si="29"/>
        <v>-479.32499999999999</v>
      </c>
      <c r="EF22" s="307">
        <f t="shared" si="30"/>
        <v>-1294.868925</v>
      </c>
      <c r="EG22" s="308"/>
      <c r="EH22" s="308"/>
      <c r="EI22" s="308"/>
      <c r="EJ22" s="307">
        <f t="shared" si="31"/>
        <v>141762.62323967787</v>
      </c>
      <c r="EK22" s="320">
        <f t="shared" si="32"/>
        <v>127942.43799801118</v>
      </c>
      <c r="EL22" s="320"/>
      <c r="EM22" s="320"/>
      <c r="EN22" s="321">
        <f>_xlfn.IFNA((VLOOKUP($A22,HN!$A:$M,8,FALSE)/12),0)</f>
        <v>0</v>
      </c>
      <c r="EO22" s="321">
        <f>_xlfn.IFNA((VLOOKUP($A22,HN!$A:$M,12,FALSE)/12),0)</f>
        <v>10000</v>
      </c>
      <c r="EP22" s="321">
        <f>_xlfn.IFNA((VLOOKUP($A22,HN!$A:$M,9,FALSE)/12),0)</f>
        <v>0</v>
      </c>
      <c r="EQ22" s="321">
        <f>_xlfn.IFNA((VLOOKUP($A22,'Post 16'!$A:$AG,33,FALSE)/8),0)</f>
        <v>0</v>
      </c>
      <c r="ER22" s="321"/>
      <c r="ES22" s="321">
        <f>_xlfn.IFNA(((VLOOKUP($A22,HN!$A:$M,10,FALSE)-$U22-$AK22)/10),0)</f>
        <v>0</v>
      </c>
      <c r="ET22" s="321">
        <f>_xlfn.IFNA(((VLOOKUP($A22,HN!$A:$M,13,FALSE)-$V22-$AL22)/10),0)</f>
        <v>5594.3791666666666</v>
      </c>
      <c r="EU22" s="320">
        <f t="shared" si="33"/>
        <v>-479.32499999999999</v>
      </c>
      <c r="EV22" s="320">
        <f t="shared" si="34"/>
        <v>-1294.868925</v>
      </c>
      <c r="EW22" s="321"/>
      <c r="EX22" s="321"/>
      <c r="EY22" s="321"/>
      <c r="EZ22" s="320">
        <f t="shared" si="35"/>
        <v>141762.62323967787</v>
      </c>
      <c r="FA22" s="286">
        <f t="shared" si="36"/>
        <v>127942.43799801118</v>
      </c>
      <c r="FB22" s="286"/>
      <c r="FC22" s="286"/>
      <c r="FD22" s="287">
        <f>_xlfn.IFNA((VLOOKUP($A22,HN!$A:$M,8,FALSE)/12),0)</f>
        <v>0</v>
      </c>
      <c r="FE22" s="287">
        <f>_xlfn.IFNA((VLOOKUP($A22,HN!$A:$M,12,FALSE)/12),0)</f>
        <v>10000</v>
      </c>
      <c r="FF22" s="287">
        <f>_xlfn.IFNA((VLOOKUP($A22,HN!$A:$M,9,FALSE)/12),0)</f>
        <v>0</v>
      </c>
      <c r="FG22" s="287">
        <f>_xlfn.IFNA((VLOOKUP($A22,'Post 16'!$A:$AG,33,FALSE)/8),0)</f>
        <v>0</v>
      </c>
      <c r="FH22" s="287"/>
      <c r="FI22" s="287">
        <f>_xlfn.IFNA(((VLOOKUP($A22,HN!$A:$M,10,FALSE)-$U22-$AK22)/10),0)</f>
        <v>0</v>
      </c>
      <c r="FJ22" s="287">
        <f>_xlfn.IFNA(((VLOOKUP($A22,HN!$A:$M,13,FALSE)-$V22-$AL22)/10),0)</f>
        <v>5594.3791666666666</v>
      </c>
      <c r="FK22" s="286">
        <f t="shared" si="37"/>
        <v>-479.32499999999999</v>
      </c>
      <c r="FL22" s="286">
        <f t="shared" si="38"/>
        <v>-1294.868925</v>
      </c>
      <c r="FM22" s="287"/>
      <c r="FN22" s="287"/>
      <c r="FO22" s="287"/>
      <c r="FP22" s="286">
        <f t="shared" si="39"/>
        <v>141762.62323967787</v>
      </c>
      <c r="FQ22" s="293">
        <f t="shared" si="40"/>
        <v>127942.43799801118</v>
      </c>
      <c r="FR22" s="293"/>
      <c r="FS22" s="293"/>
      <c r="FT22" s="294">
        <f>_xlfn.IFNA((VLOOKUP($A22,HN!$A:$M,8,FALSE)/12),0)</f>
        <v>0</v>
      </c>
      <c r="FU22" s="294">
        <f>_xlfn.IFNA((VLOOKUP($A22,HN!$A:$M,12,FALSE)/12),0)</f>
        <v>10000</v>
      </c>
      <c r="FV22" s="294">
        <f>_xlfn.IFNA((VLOOKUP($A22,HN!$A:$M,9,FALSE)/12),0)</f>
        <v>0</v>
      </c>
      <c r="FW22" s="294">
        <f>_xlfn.IFNA((VLOOKUP($A22,'Post 16'!$A:$AG,33,FALSE)/8),0)</f>
        <v>0</v>
      </c>
      <c r="FX22" s="294"/>
      <c r="FY22" s="294">
        <f>_xlfn.IFNA(((VLOOKUP($A22,HN!$A:$M,10,FALSE)-$U22-$AK22)/10),0)</f>
        <v>0</v>
      </c>
      <c r="FZ22" s="294">
        <f>_xlfn.IFNA(((VLOOKUP($A22,HN!$A:$M,13,FALSE)-$V22-$AL22)/10),0)</f>
        <v>5594.3791666666666</v>
      </c>
      <c r="GA22" s="293">
        <f t="shared" si="41"/>
        <v>-479.32499999999999</v>
      </c>
      <c r="GB22" s="293">
        <f t="shared" si="42"/>
        <v>-1294.868925</v>
      </c>
      <c r="GC22" s="294"/>
      <c r="GD22" s="294"/>
      <c r="GE22" s="294"/>
      <c r="GF22" s="293">
        <f t="shared" si="43"/>
        <v>141762.62323967787</v>
      </c>
      <c r="GG22" s="300">
        <f t="shared" si="44"/>
        <v>127942.43799801118</v>
      </c>
      <c r="GH22" s="300"/>
      <c r="GI22" s="300"/>
      <c r="GJ22" s="301">
        <f>_xlfn.IFNA((VLOOKUP($A22,HN!$A:$M,8,FALSE)/12),0)</f>
        <v>0</v>
      </c>
      <c r="GK22" s="301">
        <f>_xlfn.IFNA((VLOOKUP($A22,HN!$A:$M,12,FALSE)/12),0)</f>
        <v>10000</v>
      </c>
      <c r="GL22" s="301">
        <f>_xlfn.IFNA((VLOOKUP($A22,HN!$A:$M,9,FALSE)/12),0)</f>
        <v>0</v>
      </c>
      <c r="GM22" s="301">
        <f>_xlfn.IFNA((VLOOKUP($A22,'Post 16'!$A:$AG,33,FALSE)/8),0)</f>
        <v>0</v>
      </c>
      <c r="GN22" s="301"/>
      <c r="GO22" s="301">
        <f>_xlfn.IFNA(((VLOOKUP($A22,HN!$A:$M,10,FALSE)-$U22-$AK22)/10),0)</f>
        <v>0</v>
      </c>
      <c r="GP22" s="301">
        <f>_xlfn.IFNA(((VLOOKUP($A22,HN!$A:$M,13,FALSE)-$V22-$AL22)/10),0)</f>
        <v>5594.3791666666666</v>
      </c>
      <c r="GQ22" s="300">
        <f t="shared" si="45"/>
        <v>-479.32499999999999</v>
      </c>
      <c r="GR22" s="300">
        <f t="shared" si="46"/>
        <v>-1294.868925</v>
      </c>
      <c r="GS22" s="301"/>
      <c r="GT22" s="301"/>
      <c r="GU22" s="301"/>
      <c r="GV22" s="300">
        <f t="shared" si="47"/>
        <v>141762.62323967787</v>
      </c>
      <c r="GX22" s="146">
        <f t="shared" si="50"/>
        <v>1676954.2559761347</v>
      </c>
      <c r="GY22" s="146">
        <f t="shared" si="50"/>
        <v>0</v>
      </c>
      <c r="GZ22" s="146">
        <f t="shared" si="50"/>
        <v>77235</v>
      </c>
      <c r="HA22" s="146">
        <f t="shared" si="50"/>
        <v>-5751.8999999999987</v>
      </c>
      <c r="HB22" s="146">
        <f t="shared" si="50"/>
        <v>-15538.427100000003</v>
      </c>
      <c r="HC22" s="146">
        <f t="shared" si="50"/>
        <v>0</v>
      </c>
      <c r="HE22" s="146">
        <f t="shared" si="51"/>
        <v>435472.31399403355</v>
      </c>
      <c r="HF22" s="146">
        <f t="shared" si="51"/>
        <v>0</v>
      </c>
      <c r="HG22" s="146">
        <f t="shared" si="51"/>
        <v>26885.587500000001</v>
      </c>
      <c r="HH22" s="146">
        <f t="shared" si="51"/>
        <v>-1437.9749999999999</v>
      </c>
      <c r="HI22" s="146">
        <f t="shared" si="51"/>
        <v>-3884.6067750000002</v>
      </c>
      <c r="HJ22" s="146">
        <f t="shared" si="51"/>
        <v>0</v>
      </c>
      <c r="HL22" s="146"/>
      <c r="HM22" s="57"/>
    </row>
    <row r="23" spans="1:221">
      <c r="A23" s="185">
        <v>2456</v>
      </c>
      <c r="B23" s="185">
        <v>103383</v>
      </c>
      <c r="C23" s="185" t="s">
        <v>67</v>
      </c>
      <c r="D23" s="2" t="s">
        <v>68</v>
      </c>
      <c r="E23" s="190" t="s">
        <v>39</v>
      </c>
      <c r="F23" s="190" t="s">
        <v>890</v>
      </c>
      <c r="H23" s="271">
        <f>_xlfn.IFNA(VLOOKUP($A23,ISB!$A$4:$BY$441,67,FALSE),0)</f>
        <v>1330734.5336983856</v>
      </c>
      <c r="I23" s="271">
        <f>_xlfn.IFNA(VLOOKUP($A23,ISB!$A$4:$BY$441,72,FALSE),0)</f>
        <v>-4905.2999999999993</v>
      </c>
      <c r="J23" s="271">
        <f>-_xlfn.IFNA(VLOOKUP($A23,ISB!$A$4:$BY$441,76,FALSE),0)</f>
        <v>-22911.210800000001</v>
      </c>
      <c r="K23" s="271">
        <f>_xlfn.IFNA(VLOOKUP($A23,ISB!$A$4:$BY$441,77,FALSE),0)</f>
        <v>1302918.0228983855</v>
      </c>
      <c r="M23" s="279">
        <f t="shared" si="0"/>
        <v>110894.54447486547</v>
      </c>
      <c r="N23" s="279"/>
      <c r="O23" s="279">
        <f>_xlfn.IFNA(VLOOKUP($A23,EY!$A:$H,8,FALSE)+(VLOOKUP($A23,EY!$A:$R,18,FALSE)-$T23),0)</f>
        <v>0</v>
      </c>
      <c r="P23" s="280">
        <f>_xlfn.IFNA((VLOOKUP($A23,HN!$A:$M,8,FALSE)/12),0)</f>
        <v>0</v>
      </c>
      <c r="Q23" s="280">
        <f>_xlfn.IFNA((VLOOKUP($A23,HN!$A:$M,12,FALSE)/12),0)</f>
        <v>0</v>
      </c>
      <c r="R23" s="280">
        <f>_xlfn.IFNA((VLOOKUP($A23,HN!$A:$M,9,FALSE)/12),0)</f>
        <v>0</v>
      </c>
      <c r="S23" s="280">
        <f>_xlfn.IFNA((VLOOKUP($A23,'Post 16'!$A:$AR,22,FALSE)/4),0)</f>
        <v>0</v>
      </c>
      <c r="T23" s="280">
        <f>_xlfn.IFNA((VLOOKUP($A23,EY!$A:$R,16,FALSE)*80%),0)</f>
        <v>0</v>
      </c>
      <c r="U23" s="280">
        <v>13893.5</v>
      </c>
      <c r="V23" s="280">
        <v>0</v>
      </c>
      <c r="W23" s="279">
        <f t="shared" si="1"/>
        <v>-408.77499999999992</v>
      </c>
      <c r="X23" s="279">
        <f t="shared" si="2"/>
        <v>-1909.2675666666667</v>
      </c>
      <c r="Y23" s="280"/>
      <c r="Z23" s="280"/>
      <c r="AA23" s="280"/>
      <c r="AB23" s="279">
        <f t="shared" si="3"/>
        <v>122470.00190819881</v>
      </c>
      <c r="AC23" s="293">
        <f t="shared" si="4"/>
        <v>110894.54447486547</v>
      </c>
      <c r="AD23" s="293"/>
      <c r="AE23" s="293"/>
      <c r="AF23" s="294">
        <f>_xlfn.IFNA((VLOOKUP($A23,HN!$A:$M,8,FALSE)/12),0)</f>
        <v>0</v>
      </c>
      <c r="AG23" s="294">
        <f>_xlfn.IFNA((VLOOKUP($A23,HN!$A:$M,12,FALSE)/12),0)+_xlfn.IFNA(VLOOKUP($A23,HN!$A:$Q,17,FALSE),0)</f>
        <v>0</v>
      </c>
      <c r="AH23" s="294">
        <f>_xlfn.IFNA((VLOOKUP($A23,HN!$A:$M,9,FALSE)/12),0)</f>
        <v>0</v>
      </c>
      <c r="AI23" s="294">
        <f>_xlfn.IFNA((VLOOKUP($A23,'Post 16'!$A:$AR,22,FALSE)/4),0)</f>
        <v>0</v>
      </c>
      <c r="AJ23" s="294"/>
      <c r="AK23" s="294">
        <f>_xlfn.IFNA((VLOOKUP($A23,HN!$A:$M,10,FALSE)/12),0)</f>
        <v>7391.416666666667</v>
      </c>
      <c r="AL23" s="294">
        <f>_xlfn.IFNA((VLOOKUP($A23,HN!$A:$M,13,FALSE)/12),0)</f>
        <v>0</v>
      </c>
      <c r="AM23" s="293">
        <f t="shared" si="5"/>
        <v>-408.77499999999992</v>
      </c>
      <c r="AN23" s="293">
        <f t="shared" si="6"/>
        <v>-1909.2675666666667</v>
      </c>
      <c r="AO23" s="294"/>
      <c r="AP23" s="294"/>
      <c r="AQ23" s="294"/>
      <c r="AR23" s="293">
        <f t="shared" si="7"/>
        <v>115967.91857486549</v>
      </c>
      <c r="AS23" s="286">
        <f t="shared" si="8"/>
        <v>110894.54447486547</v>
      </c>
      <c r="AT23" s="286"/>
      <c r="AU23" s="286">
        <f>_xlfn.IFNA(VLOOKUP(A23,EY!A:AO,40,FALSE),0)</f>
        <v>0</v>
      </c>
      <c r="AV23" s="287">
        <f>_xlfn.IFNA((VLOOKUP($A23,HN!$A:$M,8,FALSE)/12),0)</f>
        <v>0</v>
      </c>
      <c r="AW23" s="287">
        <f>_xlfn.IFNA((VLOOKUP($A23,HN!$A:$M,12,FALSE)/12),0)+_xlfn.IFNA(VLOOKUP($A23,HN!$A$8:$AU$200,19,FALSE),0)</f>
        <v>0</v>
      </c>
      <c r="AX23" s="287">
        <f>_xlfn.IFNA((VLOOKUP($A23,HN!$A:$M,9,FALSE)/12),0)</f>
        <v>0</v>
      </c>
      <c r="AY23" s="287">
        <f>_xlfn.IFNA((VLOOKUP($A23,'Post 16'!$A:$AR,22,FALSE)/4),0)</f>
        <v>0</v>
      </c>
      <c r="AZ23" s="287">
        <f>_xlfn.IFNA(VLOOKUP(A23,EY!A:AO,41,FALSE),0)</f>
        <v>0</v>
      </c>
      <c r="BA23" s="287">
        <f>_xlfn.IFNA(((VLOOKUP($A23,HN!$A:$M,10,FALSE)-$U23-$AK23)/10),0)+_xlfn.IFNA(VLOOKUP($A23,HN!$A:$R,18,FALSE),0)</f>
        <v>6741.208333333333</v>
      </c>
      <c r="BB23" s="287">
        <f>_xlfn.IFNA(((VLOOKUP($A23,HN!$A:$M,13,FALSE)-$V23-$AL23)/10),0)+_xlfn.IFNA(VLOOKUP($A23,HN!$A$8:$AU$200,20,FALSE),0)</f>
        <v>0</v>
      </c>
      <c r="BC23" s="286">
        <f t="shared" si="9"/>
        <v>-408.77499999999992</v>
      </c>
      <c r="BD23" s="286">
        <f t="shared" si="10"/>
        <v>-1909.2675666666667</v>
      </c>
      <c r="BE23" s="287"/>
      <c r="BF23" s="287"/>
      <c r="BG23" s="287"/>
      <c r="BH23" s="286">
        <f t="shared" si="11"/>
        <v>115317.71024153214</v>
      </c>
      <c r="BI23" s="307">
        <f t="shared" si="12"/>
        <v>110894.54447486547</v>
      </c>
      <c r="BJ23" s="307">
        <f>_xlfn.IFNA(VLOOKUP(A23,'LA Deductions'!A:AH,34,FALSE),0)</f>
        <v>0</v>
      </c>
      <c r="BK23" s="307"/>
      <c r="BL23" s="308">
        <f>_xlfn.IFNA((VLOOKUP($A23,HN!$A:$M,8,FALSE)/12),0)</f>
        <v>0</v>
      </c>
      <c r="BM23" s="308">
        <f>_xlfn.IFNA((VLOOKUP($A23,HN!$A:$M,12,FALSE)/12),0)</f>
        <v>0</v>
      </c>
      <c r="BN23" s="308">
        <f>_xlfn.IFNA((VLOOKUP($A23,HN!$A:$M,9,FALSE)/12),0)</f>
        <v>0</v>
      </c>
      <c r="BO23" s="308">
        <f>_xlfn.IFNA((VLOOKUP($A23,'Post 16'!$A:$AR,22,FALSE)/4),0)</f>
        <v>0</v>
      </c>
      <c r="BP23" s="308"/>
      <c r="BQ23" s="308">
        <f>_xlfn.IFNA(((VLOOKUP($A23,HN!$A:$M,10,FALSE)-$U23-$AK23)/10),0)</f>
        <v>6741.208333333333</v>
      </c>
      <c r="BR23" s="308">
        <f>_xlfn.IFNA(((VLOOKUP($A23,HN!$A:$M,13,FALSE)-$V23-$AL23)/10),0)</f>
        <v>0</v>
      </c>
      <c r="BS23" s="307">
        <f t="shared" si="13"/>
        <v>-408.77499999999992</v>
      </c>
      <c r="BT23" s="307">
        <f t="shared" si="14"/>
        <v>-1909.2675666666667</v>
      </c>
      <c r="BU23" s="308"/>
      <c r="BV23" s="308"/>
      <c r="BW23" s="308"/>
      <c r="BX23" s="307">
        <f t="shared" si="15"/>
        <v>115317.71024153214</v>
      </c>
      <c r="BY23" s="300">
        <f t="shared" si="16"/>
        <v>110894.54447486547</v>
      </c>
      <c r="BZ23" s="300"/>
      <c r="CA23" s="300"/>
      <c r="CB23" s="301">
        <f>_xlfn.IFNA((VLOOKUP($A23,HN!$A:$M,8,FALSE)/12),0)</f>
        <v>0</v>
      </c>
      <c r="CC23" s="301">
        <f>_xlfn.IFNA((VLOOKUP($A23,HN!$A:$M,12,FALSE)/12),0)</f>
        <v>0</v>
      </c>
      <c r="CD23" s="301">
        <f>_xlfn.IFNA((VLOOKUP($A23,HN!$A:$M,9,FALSE)/12),0)</f>
        <v>0</v>
      </c>
      <c r="CE23" s="301">
        <f>_xlfn.IFNA((VLOOKUP($A23,'Post 16'!$A:$AG,33,FALSE)/8),0)</f>
        <v>0</v>
      </c>
      <c r="CF23" s="301"/>
      <c r="CG23" s="301">
        <f>_xlfn.IFNA(((VLOOKUP($A23,HN!$A:$M,10,FALSE)-$U23-$AK23)/10),0)</f>
        <v>6741.208333333333</v>
      </c>
      <c r="CH23" s="301">
        <f>_xlfn.IFNA(((VLOOKUP($A23,HN!$A:$M,13,FALSE)-$V23-$AL23)/10),0)</f>
        <v>0</v>
      </c>
      <c r="CI23" s="300">
        <f t="shared" si="17"/>
        <v>-408.77499999999992</v>
      </c>
      <c r="CJ23" s="300">
        <f t="shared" si="18"/>
        <v>-1909.2675666666667</v>
      </c>
      <c r="CK23" s="301"/>
      <c r="CL23" s="301"/>
      <c r="CM23" s="301"/>
      <c r="CN23" s="300">
        <f t="shared" si="19"/>
        <v>115317.71024153214</v>
      </c>
      <c r="CO23" s="332">
        <f t="shared" si="20"/>
        <v>110894.54447486547</v>
      </c>
      <c r="CP23" s="332"/>
      <c r="CQ23" s="332">
        <f>_xlfn.IFNA((VLOOKUP($A23,EY!$A:$AB,28,FALSE)-$CV23),0)</f>
        <v>0</v>
      </c>
      <c r="CR23" s="333">
        <f>_xlfn.IFNA((VLOOKUP($A23,HN!$A:$M,8,FALSE)/12),0)</f>
        <v>0</v>
      </c>
      <c r="CS23" s="333">
        <f>_xlfn.IFNA((VLOOKUP($A23,HN!$A:$M,12,FALSE)/12),0)</f>
        <v>0</v>
      </c>
      <c r="CT23" s="333">
        <f>_xlfn.IFNA((VLOOKUP($A23,HN!$A:$M,9,FALSE)/12),0)</f>
        <v>0</v>
      </c>
      <c r="CU23" s="333">
        <f>_xlfn.IFNA((VLOOKUP($A23,'Post 16'!$A:$AG,33,FALSE)/8),0)</f>
        <v>0</v>
      </c>
      <c r="CV23" s="333">
        <f>_xlfn.IFNA((VLOOKUP($A23,EY!$A:$AB,26,FALSE)*80%),0)</f>
        <v>0</v>
      </c>
      <c r="CW23" s="333">
        <f>_xlfn.IFNA(((VLOOKUP($A23,HN!$A:$M,10,FALSE)-$U23-$AK23)/10),0)</f>
        <v>6741.208333333333</v>
      </c>
      <c r="CX23" s="333">
        <f>_xlfn.IFNA(((VLOOKUP($A23,HN!$A:$M,13,FALSE)-$V23-$AL23)/10),0)</f>
        <v>0</v>
      </c>
      <c r="CY23" s="332">
        <f t="shared" si="21"/>
        <v>-408.77499999999992</v>
      </c>
      <c r="CZ23" s="332">
        <f t="shared" si="22"/>
        <v>-1909.2675666666667</v>
      </c>
      <c r="DA23" s="333"/>
      <c r="DB23" s="333"/>
      <c r="DC23" s="333"/>
      <c r="DD23" s="332">
        <f t="shared" si="23"/>
        <v>115317.71024153214</v>
      </c>
      <c r="DE23" s="314">
        <f t="shared" si="24"/>
        <v>110894.54447486547</v>
      </c>
      <c r="DF23" s="314"/>
      <c r="DG23" s="314"/>
      <c r="DH23" s="315">
        <f>_xlfn.IFNA((VLOOKUP($A23,HN!$A:$M,8,FALSE)/12),0)</f>
        <v>0</v>
      </c>
      <c r="DI23" s="315">
        <f>_xlfn.IFNA((VLOOKUP($A23,HN!$A:$M,12,FALSE)/12),0)</f>
        <v>0</v>
      </c>
      <c r="DJ23" s="315">
        <f>_xlfn.IFNA((VLOOKUP($A23,HN!$A:$M,9,FALSE)/12),0)</f>
        <v>0</v>
      </c>
      <c r="DK23" s="315">
        <f>_xlfn.IFNA((VLOOKUP($A23,'Post 16'!$A:$AG,33,FALSE)/8),0)</f>
        <v>0</v>
      </c>
      <c r="DL23" s="315"/>
      <c r="DM23" s="315">
        <f>_xlfn.IFNA(((VLOOKUP($A23,HN!$A:$M,10,FALSE)-$U23-$AK23)/10),0)</f>
        <v>6741.208333333333</v>
      </c>
      <c r="DN23" s="315">
        <f>_xlfn.IFNA(((VLOOKUP($A23,HN!$A:$M,13,FALSE)-$V23-$AL23)/10),0)</f>
        <v>0</v>
      </c>
      <c r="DO23" s="314">
        <f t="shared" si="25"/>
        <v>-408.77499999999992</v>
      </c>
      <c r="DP23" s="314">
        <f t="shared" si="26"/>
        <v>-1909.2675666666667</v>
      </c>
      <c r="DQ23" s="315"/>
      <c r="DR23" s="315"/>
      <c r="DS23" s="315"/>
      <c r="DT23" s="314">
        <f t="shared" si="27"/>
        <v>115317.71024153214</v>
      </c>
      <c r="DU23" s="307">
        <f t="shared" si="28"/>
        <v>110894.54447486547</v>
      </c>
      <c r="DV23" s="307"/>
      <c r="DW23" s="307"/>
      <c r="DX23" s="308">
        <f>_xlfn.IFNA((VLOOKUP($A23,HN!$A:$M,8,FALSE)/12),0)</f>
        <v>0</v>
      </c>
      <c r="DY23" s="308">
        <f>_xlfn.IFNA((VLOOKUP($A23,HN!$A:$M,12,FALSE)/12),0)</f>
        <v>0</v>
      </c>
      <c r="DZ23" s="308">
        <f>_xlfn.IFNA((VLOOKUP($A23,HN!$A:$M,9,FALSE)/12),0)</f>
        <v>0</v>
      </c>
      <c r="EA23" s="308">
        <f>_xlfn.IFNA((VLOOKUP($A23,'Post 16'!$A:$AG,33,FALSE)/8),0)</f>
        <v>0</v>
      </c>
      <c r="EB23" s="308"/>
      <c r="EC23" s="308">
        <f>_xlfn.IFNA(((VLOOKUP($A23,HN!$A:$M,10,FALSE)-$U23-$AK23)/10),0)</f>
        <v>6741.208333333333</v>
      </c>
      <c r="ED23" s="308">
        <f>_xlfn.IFNA(((VLOOKUP($A23,HN!$A:$M,13,FALSE)-$V23-$AL23)/10),0)</f>
        <v>0</v>
      </c>
      <c r="EE23" s="307">
        <f t="shared" si="29"/>
        <v>-408.77499999999992</v>
      </c>
      <c r="EF23" s="307">
        <f t="shared" si="30"/>
        <v>-1909.2675666666667</v>
      </c>
      <c r="EG23" s="308"/>
      <c r="EH23" s="308"/>
      <c r="EI23" s="308"/>
      <c r="EJ23" s="307">
        <f t="shared" si="31"/>
        <v>115317.71024153214</v>
      </c>
      <c r="EK23" s="320">
        <f t="shared" si="32"/>
        <v>110894.54447486547</v>
      </c>
      <c r="EL23" s="320"/>
      <c r="EM23" s="320"/>
      <c r="EN23" s="321">
        <f>_xlfn.IFNA((VLOOKUP($A23,HN!$A:$M,8,FALSE)/12),0)</f>
        <v>0</v>
      </c>
      <c r="EO23" s="321">
        <f>_xlfn.IFNA((VLOOKUP($A23,HN!$A:$M,12,FALSE)/12),0)</f>
        <v>0</v>
      </c>
      <c r="EP23" s="321">
        <f>_xlfn.IFNA((VLOOKUP($A23,HN!$A:$M,9,FALSE)/12),0)</f>
        <v>0</v>
      </c>
      <c r="EQ23" s="321">
        <f>_xlfn.IFNA((VLOOKUP($A23,'Post 16'!$A:$AG,33,FALSE)/8),0)</f>
        <v>0</v>
      </c>
      <c r="ER23" s="321"/>
      <c r="ES23" s="321">
        <f>_xlfn.IFNA(((VLOOKUP($A23,HN!$A:$M,10,FALSE)-$U23-$AK23)/10),0)</f>
        <v>6741.208333333333</v>
      </c>
      <c r="ET23" s="321">
        <f>_xlfn.IFNA(((VLOOKUP($A23,HN!$A:$M,13,FALSE)-$V23-$AL23)/10),0)</f>
        <v>0</v>
      </c>
      <c r="EU23" s="320">
        <f t="shared" si="33"/>
        <v>-408.77499999999992</v>
      </c>
      <c r="EV23" s="320">
        <f t="shared" si="34"/>
        <v>-1909.2675666666667</v>
      </c>
      <c r="EW23" s="321"/>
      <c r="EX23" s="321"/>
      <c r="EY23" s="321"/>
      <c r="EZ23" s="320">
        <f t="shared" si="35"/>
        <v>115317.71024153214</v>
      </c>
      <c r="FA23" s="286">
        <f t="shared" si="36"/>
        <v>110894.54447486547</v>
      </c>
      <c r="FB23" s="286"/>
      <c r="FC23" s="286"/>
      <c r="FD23" s="287">
        <f>_xlfn.IFNA((VLOOKUP($A23,HN!$A:$M,8,FALSE)/12),0)</f>
        <v>0</v>
      </c>
      <c r="FE23" s="287">
        <f>_xlfn.IFNA((VLOOKUP($A23,HN!$A:$M,12,FALSE)/12),0)</f>
        <v>0</v>
      </c>
      <c r="FF23" s="287">
        <f>_xlfn.IFNA((VLOOKUP($A23,HN!$A:$M,9,FALSE)/12),0)</f>
        <v>0</v>
      </c>
      <c r="FG23" s="287">
        <f>_xlfn.IFNA((VLOOKUP($A23,'Post 16'!$A:$AG,33,FALSE)/8),0)</f>
        <v>0</v>
      </c>
      <c r="FH23" s="287"/>
      <c r="FI23" s="287">
        <f>_xlfn.IFNA(((VLOOKUP($A23,HN!$A:$M,10,FALSE)-$U23-$AK23)/10),0)</f>
        <v>6741.208333333333</v>
      </c>
      <c r="FJ23" s="287">
        <f>_xlfn.IFNA(((VLOOKUP($A23,HN!$A:$M,13,FALSE)-$V23-$AL23)/10),0)</f>
        <v>0</v>
      </c>
      <c r="FK23" s="286">
        <f t="shared" si="37"/>
        <v>-408.77499999999992</v>
      </c>
      <c r="FL23" s="286">
        <f t="shared" si="38"/>
        <v>-1909.2675666666667</v>
      </c>
      <c r="FM23" s="287"/>
      <c r="FN23" s="287"/>
      <c r="FO23" s="287"/>
      <c r="FP23" s="286">
        <f t="shared" si="39"/>
        <v>115317.71024153214</v>
      </c>
      <c r="FQ23" s="293">
        <f t="shared" si="40"/>
        <v>110894.54447486547</v>
      </c>
      <c r="FR23" s="293"/>
      <c r="FS23" s="293"/>
      <c r="FT23" s="294">
        <f>_xlfn.IFNA((VLOOKUP($A23,HN!$A:$M,8,FALSE)/12),0)</f>
        <v>0</v>
      </c>
      <c r="FU23" s="294">
        <f>_xlfn.IFNA((VLOOKUP($A23,HN!$A:$M,12,FALSE)/12),0)</f>
        <v>0</v>
      </c>
      <c r="FV23" s="294">
        <f>_xlfn.IFNA((VLOOKUP($A23,HN!$A:$M,9,FALSE)/12),0)</f>
        <v>0</v>
      </c>
      <c r="FW23" s="294">
        <f>_xlfn.IFNA((VLOOKUP($A23,'Post 16'!$A:$AG,33,FALSE)/8),0)</f>
        <v>0</v>
      </c>
      <c r="FX23" s="294"/>
      <c r="FY23" s="294">
        <f>_xlfn.IFNA(((VLOOKUP($A23,HN!$A:$M,10,FALSE)-$U23-$AK23)/10),0)</f>
        <v>6741.208333333333</v>
      </c>
      <c r="FZ23" s="294">
        <f>_xlfn.IFNA(((VLOOKUP($A23,HN!$A:$M,13,FALSE)-$V23-$AL23)/10),0)</f>
        <v>0</v>
      </c>
      <c r="GA23" s="293">
        <f t="shared" si="41"/>
        <v>-408.77499999999992</v>
      </c>
      <c r="GB23" s="293">
        <f t="shared" si="42"/>
        <v>-1909.2675666666667</v>
      </c>
      <c r="GC23" s="294"/>
      <c r="GD23" s="294"/>
      <c r="GE23" s="294"/>
      <c r="GF23" s="293">
        <f t="shared" si="43"/>
        <v>115317.71024153214</v>
      </c>
      <c r="GG23" s="300">
        <f t="shared" si="44"/>
        <v>110894.54447486547</v>
      </c>
      <c r="GH23" s="300"/>
      <c r="GI23" s="300"/>
      <c r="GJ23" s="301">
        <f>_xlfn.IFNA((VLOOKUP($A23,HN!$A:$M,8,FALSE)/12),0)</f>
        <v>0</v>
      </c>
      <c r="GK23" s="301">
        <f>_xlfn.IFNA((VLOOKUP($A23,HN!$A:$M,12,FALSE)/12),0)</f>
        <v>0</v>
      </c>
      <c r="GL23" s="301">
        <f>_xlfn.IFNA((VLOOKUP($A23,HN!$A:$M,9,FALSE)/12),0)</f>
        <v>0</v>
      </c>
      <c r="GM23" s="301">
        <f>_xlfn.IFNA((VLOOKUP($A23,'Post 16'!$A:$AG,33,FALSE)/8),0)</f>
        <v>0</v>
      </c>
      <c r="GN23" s="301"/>
      <c r="GO23" s="301">
        <f>_xlfn.IFNA(((VLOOKUP($A23,HN!$A:$M,10,FALSE)-$U23-$AK23)/10),0)</f>
        <v>6741.208333333333</v>
      </c>
      <c r="GP23" s="301">
        <f>_xlfn.IFNA(((VLOOKUP($A23,HN!$A:$M,13,FALSE)-$V23-$AL23)/10),0)</f>
        <v>0</v>
      </c>
      <c r="GQ23" s="300">
        <f t="shared" si="45"/>
        <v>-408.77499999999992</v>
      </c>
      <c r="GR23" s="300">
        <f t="shared" si="46"/>
        <v>-1909.2675666666667</v>
      </c>
      <c r="GS23" s="301"/>
      <c r="GT23" s="301"/>
      <c r="GU23" s="301"/>
      <c r="GV23" s="300">
        <f t="shared" si="47"/>
        <v>115317.71024153214</v>
      </c>
      <c r="GX23" s="146">
        <f t="shared" si="50"/>
        <v>1330734.5336983856</v>
      </c>
      <c r="GY23" s="146">
        <f t="shared" si="50"/>
        <v>0</v>
      </c>
      <c r="GZ23" s="146">
        <f t="shared" si="50"/>
        <v>88697</v>
      </c>
      <c r="HA23" s="146">
        <f t="shared" si="50"/>
        <v>-4905.2999999999993</v>
      </c>
      <c r="HB23" s="146">
        <f t="shared" si="50"/>
        <v>-22911.210799999997</v>
      </c>
      <c r="HC23" s="146">
        <f t="shared" si="50"/>
        <v>0</v>
      </c>
      <c r="HE23" s="146">
        <f t="shared" si="51"/>
        <v>332683.6334245964</v>
      </c>
      <c r="HF23" s="146">
        <f t="shared" si="51"/>
        <v>0</v>
      </c>
      <c r="HG23" s="146">
        <f t="shared" si="51"/>
        <v>28026.125</v>
      </c>
      <c r="HH23" s="146">
        <f t="shared" si="51"/>
        <v>-1226.3249999999998</v>
      </c>
      <c r="HI23" s="146">
        <f t="shared" si="51"/>
        <v>-5727.8027000000002</v>
      </c>
      <c r="HJ23" s="146">
        <f t="shared" si="51"/>
        <v>0</v>
      </c>
      <c r="HL23" s="146"/>
      <c r="HM23" s="57"/>
    </row>
    <row r="24" spans="1:221">
      <c r="A24" s="185">
        <v>5413</v>
      </c>
      <c r="B24" s="185">
        <v>103560</v>
      </c>
      <c r="C24" s="185" t="s">
        <v>69</v>
      </c>
      <c r="D24" s="2" t="s">
        <v>70</v>
      </c>
      <c r="E24" s="190" t="s">
        <v>71</v>
      </c>
      <c r="F24" s="190" t="s">
        <v>890</v>
      </c>
      <c r="H24" s="271">
        <f>_xlfn.IFNA(VLOOKUP($A24,ISB!$A$4:$BY$441,67,FALSE),0)</f>
        <v>7765477.9587610792</v>
      </c>
      <c r="I24" s="271">
        <f>_xlfn.IFNA(VLOOKUP($A24,ISB!$A$4:$BY$441,72,FALSE),0)</f>
        <v>-19441.5</v>
      </c>
      <c r="J24" s="271">
        <f>-_xlfn.IFNA(VLOOKUP($A24,ISB!$A$4:$BY$441,76,FALSE),0)</f>
        <v>-35730.786</v>
      </c>
      <c r="K24" s="271">
        <f>_xlfn.IFNA(VLOOKUP($A24,ISB!$A$4:$BY$441,77,FALSE),0)</f>
        <v>7710305.6727610789</v>
      </c>
      <c r="M24" s="279">
        <f t="shared" si="0"/>
        <v>647123.16323008994</v>
      </c>
      <c r="N24" s="279"/>
      <c r="O24" s="279">
        <f>_xlfn.IFNA(VLOOKUP($A24,EY!$A:$H,8,FALSE)+(VLOOKUP($A24,EY!$A:$R,18,FALSE)-$T24),0)</f>
        <v>0</v>
      </c>
      <c r="P24" s="280">
        <f>_xlfn.IFNA((VLOOKUP($A24,HN!$A:$M,8,FALSE)/12),0)</f>
        <v>0</v>
      </c>
      <c r="Q24" s="280">
        <f>_xlfn.IFNA((VLOOKUP($A24,HN!$A:$M,12,FALSE)/12),0)</f>
        <v>0</v>
      </c>
      <c r="R24" s="280">
        <f>_xlfn.IFNA((VLOOKUP($A24,HN!$A:$M,9,FALSE)/12),0)</f>
        <v>0</v>
      </c>
      <c r="S24" s="280">
        <f>_xlfn.IFNA((VLOOKUP($A24,'Post 16'!$A:$AR,22,FALSE)/4),0)</f>
        <v>132581.83333333334</v>
      </c>
      <c r="T24" s="280">
        <f>_xlfn.IFNA((VLOOKUP($A24,EY!$A:$R,16,FALSE)*80%),0)</f>
        <v>0</v>
      </c>
      <c r="U24" s="280">
        <v>16165.527500000002</v>
      </c>
      <c r="V24" s="280">
        <v>0</v>
      </c>
      <c r="W24" s="279">
        <f t="shared" si="1"/>
        <v>-1620.125</v>
      </c>
      <c r="X24" s="279">
        <f t="shared" si="2"/>
        <v>-2977.5655000000002</v>
      </c>
      <c r="Y24" s="280"/>
      <c r="Z24" s="280"/>
      <c r="AA24" s="280"/>
      <c r="AB24" s="279">
        <f t="shared" si="3"/>
        <v>791272.83356342325</v>
      </c>
      <c r="AC24" s="293">
        <f t="shared" si="4"/>
        <v>647123.16323008994</v>
      </c>
      <c r="AD24" s="293"/>
      <c r="AE24" s="293"/>
      <c r="AF24" s="294">
        <f>_xlfn.IFNA((VLOOKUP($A24,HN!$A:$M,8,FALSE)/12),0)</f>
        <v>0</v>
      </c>
      <c r="AG24" s="294">
        <f>_xlfn.IFNA((VLOOKUP($A24,HN!$A:$M,12,FALSE)/12),0)+_xlfn.IFNA(VLOOKUP($A24,HN!$A:$Q,17,FALSE),0)</f>
        <v>0</v>
      </c>
      <c r="AH24" s="294">
        <f>_xlfn.IFNA((VLOOKUP($A24,HN!$A:$M,9,FALSE)/12),0)</f>
        <v>0</v>
      </c>
      <c r="AI24" s="294">
        <f>_xlfn.IFNA((VLOOKUP($A24,'Post 16'!$A:$AR,22,FALSE)/4),0)</f>
        <v>132581.83333333334</v>
      </c>
      <c r="AJ24" s="294"/>
      <c r="AK24" s="294">
        <f>_xlfn.IFNA((VLOOKUP($A24,HN!$A:$M,10,FALSE)/12),0)</f>
        <v>8978.9166666666661</v>
      </c>
      <c r="AL24" s="294">
        <f>_xlfn.IFNA((VLOOKUP($A24,HN!$A:$M,13,FALSE)/12),0)</f>
        <v>0</v>
      </c>
      <c r="AM24" s="293">
        <f t="shared" si="5"/>
        <v>-1620.125</v>
      </c>
      <c r="AN24" s="293">
        <f t="shared" si="6"/>
        <v>-2977.5655000000002</v>
      </c>
      <c r="AO24" s="294"/>
      <c r="AP24" s="294"/>
      <c r="AQ24" s="294"/>
      <c r="AR24" s="293">
        <f t="shared" si="7"/>
        <v>784086.22273008991</v>
      </c>
      <c r="AS24" s="286">
        <f t="shared" si="8"/>
        <v>647123.16323008994</v>
      </c>
      <c r="AT24" s="286"/>
      <c r="AU24" s="286">
        <f>_xlfn.IFNA(VLOOKUP(A24,EY!A:AO,40,FALSE),0)</f>
        <v>0</v>
      </c>
      <c r="AV24" s="287">
        <f>_xlfn.IFNA((VLOOKUP($A24,HN!$A:$M,8,FALSE)/12),0)</f>
        <v>0</v>
      </c>
      <c r="AW24" s="287">
        <f>_xlfn.IFNA((VLOOKUP($A24,HN!$A:$M,12,FALSE)/12),0)+_xlfn.IFNA(VLOOKUP($A24,HN!$A$8:$AU$200,19,FALSE),0)</f>
        <v>0</v>
      </c>
      <c r="AX24" s="287">
        <f>_xlfn.IFNA((VLOOKUP($A24,HN!$A:$M,9,FALSE)/12),0)</f>
        <v>0</v>
      </c>
      <c r="AY24" s="287">
        <f>_xlfn.IFNA((VLOOKUP($A24,'Post 16'!$A:$AR,22,FALSE)/4),0)</f>
        <v>132581.83333333334</v>
      </c>
      <c r="AZ24" s="287">
        <f>_xlfn.IFNA(VLOOKUP(A24,EY!A:AO,41,FALSE),0)</f>
        <v>0</v>
      </c>
      <c r="BA24" s="287">
        <f>_xlfn.IFNA(((VLOOKUP($A24,HN!$A:$M,10,FALSE)-$U24-$AK24)/10),0)+_xlfn.IFNA(VLOOKUP($A24,HN!$A:$R,18,FALSE),0)</f>
        <v>8260.2555833333336</v>
      </c>
      <c r="BB24" s="287">
        <f>_xlfn.IFNA(((VLOOKUP($A24,HN!$A:$M,13,FALSE)-$V24-$AL24)/10),0)+_xlfn.IFNA(VLOOKUP($A24,HN!$A$8:$AU$200,20,FALSE),0)</f>
        <v>0</v>
      </c>
      <c r="BC24" s="286">
        <f t="shared" si="9"/>
        <v>-1620.125</v>
      </c>
      <c r="BD24" s="286">
        <f t="shared" si="10"/>
        <v>-2977.5655000000002</v>
      </c>
      <c r="BE24" s="287"/>
      <c r="BF24" s="287"/>
      <c r="BG24" s="287"/>
      <c r="BH24" s="286">
        <f t="shared" si="11"/>
        <v>783367.5616467566</v>
      </c>
      <c r="BI24" s="307">
        <f t="shared" si="12"/>
        <v>647123.16323008994</v>
      </c>
      <c r="BJ24" s="307">
        <f>_xlfn.IFNA(VLOOKUP(A24,'LA Deductions'!A:AH,34,FALSE),0)</f>
        <v>0</v>
      </c>
      <c r="BK24" s="307"/>
      <c r="BL24" s="308">
        <f>_xlfn.IFNA((VLOOKUP($A24,HN!$A:$M,8,FALSE)/12),0)</f>
        <v>0</v>
      </c>
      <c r="BM24" s="308">
        <f>_xlfn.IFNA((VLOOKUP($A24,HN!$A:$M,12,FALSE)/12),0)</f>
        <v>0</v>
      </c>
      <c r="BN24" s="308">
        <f>_xlfn.IFNA((VLOOKUP($A24,HN!$A:$M,9,FALSE)/12),0)</f>
        <v>0</v>
      </c>
      <c r="BO24" s="308">
        <f>_xlfn.IFNA((VLOOKUP($A24,'Post 16'!$A:$AR,22,FALSE)/4),0)</f>
        <v>132581.83333333334</v>
      </c>
      <c r="BP24" s="308"/>
      <c r="BQ24" s="308">
        <f>_xlfn.IFNA(((VLOOKUP($A24,HN!$A:$M,10,FALSE)-$U24-$AK24)/10),0)</f>
        <v>8260.2555833333336</v>
      </c>
      <c r="BR24" s="308">
        <f>_xlfn.IFNA(((VLOOKUP($A24,HN!$A:$M,13,FALSE)-$V24-$AL24)/10),0)</f>
        <v>0</v>
      </c>
      <c r="BS24" s="307">
        <f t="shared" si="13"/>
        <v>-1620.125</v>
      </c>
      <c r="BT24" s="307">
        <f t="shared" si="14"/>
        <v>-2977.5655000000002</v>
      </c>
      <c r="BU24" s="308"/>
      <c r="BV24" s="308"/>
      <c r="BW24" s="308"/>
      <c r="BX24" s="307">
        <f t="shared" si="15"/>
        <v>783367.5616467566</v>
      </c>
      <c r="BY24" s="300">
        <f t="shared" si="16"/>
        <v>647123.16323008994</v>
      </c>
      <c r="BZ24" s="300"/>
      <c r="CA24" s="300"/>
      <c r="CB24" s="301">
        <f>_xlfn.IFNA((VLOOKUP($A24,HN!$A:$M,8,FALSE)/12),0)</f>
        <v>0</v>
      </c>
      <c r="CC24" s="301">
        <f>_xlfn.IFNA((VLOOKUP($A24,HN!$A:$M,12,FALSE)/12),0)</f>
        <v>0</v>
      </c>
      <c r="CD24" s="301">
        <f>_xlfn.IFNA((VLOOKUP($A24,HN!$A:$M,9,FALSE)/12),0)</f>
        <v>0</v>
      </c>
      <c r="CE24" s="301">
        <f>_xlfn.IFNA((VLOOKUP($A24,'Post 16'!$A:$AG,33,FALSE)/8),0)</f>
        <v>96913.25</v>
      </c>
      <c r="CF24" s="301"/>
      <c r="CG24" s="301">
        <f>_xlfn.IFNA(((VLOOKUP($A24,HN!$A:$M,10,FALSE)-$U24-$AK24)/10),0)</f>
        <v>8260.2555833333336</v>
      </c>
      <c r="CH24" s="301">
        <f>_xlfn.IFNA(((VLOOKUP($A24,HN!$A:$M,13,FALSE)-$V24-$AL24)/10),0)</f>
        <v>0</v>
      </c>
      <c r="CI24" s="300">
        <f t="shared" si="17"/>
        <v>-1620.125</v>
      </c>
      <c r="CJ24" s="300">
        <f t="shared" si="18"/>
        <v>-2977.5655000000002</v>
      </c>
      <c r="CK24" s="301"/>
      <c r="CL24" s="301"/>
      <c r="CM24" s="301"/>
      <c r="CN24" s="300">
        <f t="shared" si="19"/>
        <v>747698.97831342323</v>
      </c>
      <c r="CO24" s="332">
        <f t="shared" si="20"/>
        <v>647123.16323008994</v>
      </c>
      <c r="CP24" s="332"/>
      <c r="CQ24" s="332">
        <f>_xlfn.IFNA((VLOOKUP($A24,EY!$A:$AB,28,FALSE)-$CV24),0)</f>
        <v>0</v>
      </c>
      <c r="CR24" s="333">
        <f>_xlfn.IFNA((VLOOKUP($A24,HN!$A:$M,8,FALSE)/12),0)</f>
        <v>0</v>
      </c>
      <c r="CS24" s="333">
        <f>_xlfn.IFNA((VLOOKUP($A24,HN!$A:$M,12,FALSE)/12),0)</f>
        <v>0</v>
      </c>
      <c r="CT24" s="333">
        <f>_xlfn.IFNA((VLOOKUP($A24,HN!$A:$M,9,FALSE)/12),0)</f>
        <v>0</v>
      </c>
      <c r="CU24" s="333">
        <f>_xlfn.IFNA((VLOOKUP($A24,'Post 16'!$A:$AG,33,FALSE)/8),0)</f>
        <v>96913.25</v>
      </c>
      <c r="CV24" s="333">
        <f>_xlfn.IFNA((VLOOKUP($A24,EY!$A:$AB,26,FALSE)*80%),0)</f>
        <v>0</v>
      </c>
      <c r="CW24" s="333">
        <f>_xlfn.IFNA(((VLOOKUP($A24,HN!$A:$M,10,FALSE)-$U24-$AK24)/10),0)</f>
        <v>8260.2555833333336</v>
      </c>
      <c r="CX24" s="333">
        <f>_xlfn.IFNA(((VLOOKUP($A24,HN!$A:$M,13,FALSE)-$V24-$AL24)/10),0)</f>
        <v>0</v>
      </c>
      <c r="CY24" s="332">
        <f t="shared" si="21"/>
        <v>-1620.125</v>
      </c>
      <c r="CZ24" s="332">
        <f t="shared" si="22"/>
        <v>-2977.5655000000002</v>
      </c>
      <c r="DA24" s="333"/>
      <c r="DB24" s="333"/>
      <c r="DC24" s="333"/>
      <c r="DD24" s="332">
        <f t="shared" si="23"/>
        <v>747698.97831342323</v>
      </c>
      <c r="DE24" s="314">
        <f t="shared" si="24"/>
        <v>647123.16323008994</v>
      </c>
      <c r="DF24" s="314"/>
      <c r="DG24" s="314"/>
      <c r="DH24" s="315">
        <f>_xlfn.IFNA((VLOOKUP($A24,HN!$A:$M,8,FALSE)/12),0)</f>
        <v>0</v>
      </c>
      <c r="DI24" s="315">
        <f>_xlfn.IFNA((VLOOKUP($A24,HN!$A:$M,12,FALSE)/12),0)</f>
        <v>0</v>
      </c>
      <c r="DJ24" s="315">
        <f>_xlfn.IFNA((VLOOKUP($A24,HN!$A:$M,9,FALSE)/12),0)</f>
        <v>0</v>
      </c>
      <c r="DK24" s="315">
        <f>_xlfn.IFNA((VLOOKUP($A24,'Post 16'!$A:$AG,33,FALSE)/8),0)</f>
        <v>96913.25</v>
      </c>
      <c r="DL24" s="315"/>
      <c r="DM24" s="315">
        <f>_xlfn.IFNA(((VLOOKUP($A24,HN!$A:$M,10,FALSE)-$U24-$AK24)/10),0)</f>
        <v>8260.2555833333336</v>
      </c>
      <c r="DN24" s="315">
        <f>_xlfn.IFNA(((VLOOKUP($A24,HN!$A:$M,13,FALSE)-$V24-$AL24)/10),0)</f>
        <v>0</v>
      </c>
      <c r="DO24" s="314">
        <f t="shared" si="25"/>
        <v>-1620.125</v>
      </c>
      <c r="DP24" s="314">
        <f t="shared" si="26"/>
        <v>-2977.5655000000002</v>
      </c>
      <c r="DQ24" s="315"/>
      <c r="DR24" s="315"/>
      <c r="DS24" s="315"/>
      <c r="DT24" s="314">
        <f t="shared" si="27"/>
        <v>747698.97831342323</v>
      </c>
      <c r="DU24" s="307">
        <f t="shared" si="28"/>
        <v>647123.16323008994</v>
      </c>
      <c r="DV24" s="307"/>
      <c r="DW24" s="307"/>
      <c r="DX24" s="308">
        <f>_xlfn.IFNA((VLOOKUP($A24,HN!$A:$M,8,FALSE)/12),0)</f>
        <v>0</v>
      </c>
      <c r="DY24" s="308">
        <f>_xlfn.IFNA((VLOOKUP($A24,HN!$A:$M,12,FALSE)/12),0)</f>
        <v>0</v>
      </c>
      <c r="DZ24" s="308">
        <f>_xlfn.IFNA((VLOOKUP($A24,HN!$A:$M,9,FALSE)/12),0)</f>
        <v>0</v>
      </c>
      <c r="EA24" s="308">
        <f>_xlfn.IFNA((VLOOKUP($A24,'Post 16'!$A:$AG,33,FALSE)/8),0)</f>
        <v>96913.25</v>
      </c>
      <c r="EB24" s="308"/>
      <c r="EC24" s="308">
        <f>_xlfn.IFNA(((VLOOKUP($A24,HN!$A:$M,10,FALSE)-$U24-$AK24)/10),0)</f>
        <v>8260.2555833333336</v>
      </c>
      <c r="ED24" s="308">
        <f>_xlfn.IFNA(((VLOOKUP($A24,HN!$A:$M,13,FALSE)-$V24-$AL24)/10),0)</f>
        <v>0</v>
      </c>
      <c r="EE24" s="307">
        <f t="shared" si="29"/>
        <v>-1620.125</v>
      </c>
      <c r="EF24" s="307">
        <f t="shared" si="30"/>
        <v>-2977.5655000000002</v>
      </c>
      <c r="EG24" s="308"/>
      <c r="EH24" s="308"/>
      <c r="EI24" s="308"/>
      <c r="EJ24" s="307">
        <f t="shared" si="31"/>
        <v>747698.97831342323</v>
      </c>
      <c r="EK24" s="320">
        <f t="shared" si="32"/>
        <v>647123.16323008994</v>
      </c>
      <c r="EL24" s="320"/>
      <c r="EM24" s="320"/>
      <c r="EN24" s="321">
        <f>_xlfn.IFNA((VLOOKUP($A24,HN!$A:$M,8,FALSE)/12),0)</f>
        <v>0</v>
      </c>
      <c r="EO24" s="321">
        <f>_xlfn.IFNA((VLOOKUP($A24,HN!$A:$M,12,FALSE)/12),0)</f>
        <v>0</v>
      </c>
      <c r="EP24" s="321">
        <f>_xlfn.IFNA((VLOOKUP($A24,HN!$A:$M,9,FALSE)/12),0)</f>
        <v>0</v>
      </c>
      <c r="EQ24" s="321">
        <f>_xlfn.IFNA((VLOOKUP($A24,'Post 16'!$A:$AG,33,FALSE)/8),0)</f>
        <v>96913.25</v>
      </c>
      <c r="ER24" s="321"/>
      <c r="ES24" s="321">
        <f>_xlfn.IFNA(((VLOOKUP($A24,HN!$A:$M,10,FALSE)-$U24-$AK24)/10),0)</f>
        <v>8260.2555833333336</v>
      </c>
      <c r="ET24" s="321">
        <f>_xlfn.IFNA(((VLOOKUP($A24,HN!$A:$M,13,FALSE)-$V24-$AL24)/10),0)</f>
        <v>0</v>
      </c>
      <c r="EU24" s="320">
        <f t="shared" si="33"/>
        <v>-1620.125</v>
      </c>
      <c r="EV24" s="320">
        <f t="shared" si="34"/>
        <v>-2977.5655000000002</v>
      </c>
      <c r="EW24" s="321"/>
      <c r="EX24" s="321"/>
      <c r="EY24" s="321"/>
      <c r="EZ24" s="320">
        <f t="shared" si="35"/>
        <v>747698.97831342323</v>
      </c>
      <c r="FA24" s="286">
        <f t="shared" si="36"/>
        <v>647123.16323008994</v>
      </c>
      <c r="FB24" s="286"/>
      <c r="FC24" s="286"/>
      <c r="FD24" s="287">
        <f>_xlfn.IFNA((VLOOKUP($A24,HN!$A:$M,8,FALSE)/12),0)</f>
        <v>0</v>
      </c>
      <c r="FE24" s="287">
        <f>_xlfn.IFNA((VLOOKUP($A24,HN!$A:$M,12,FALSE)/12),0)</f>
        <v>0</v>
      </c>
      <c r="FF24" s="287">
        <f>_xlfn.IFNA((VLOOKUP($A24,HN!$A:$M,9,FALSE)/12),0)</f>
        <v>0</v>
      </c>
      <c r="FG24" s="287">
        <f>_xlfn.IFNA((VLOOKUP($A24,'Post 16'!$A:$AG,33,FALSE)/8),0)</f>
        <v>96913.25</v>
      </c>
      <c r="FH24" s="287"/>
      <c r="FI24" s="287">
        <f>_xlfn.IFNA(((VLOOKUP($A24,HN!$A:$M,10,FALSE)-$U24-$AK24)/10),0)</f>
        <v>8260.2555833333336</v>
      </c>
      <c r="FJ24" s="287">
        <f>_xlfn.IFNA(((VLOOKUP($A24,HN!$A:$M,13,FALSE)-$V24-$AL24)/10),0)</f>
        <v>0</v>
      </c>
      <c r="FK24" s="286">
        <f t="shared" si="37"/>
        <v>-1620.125</v>
      </c>
      <c r="FL24" s="286">
        <f t="shared" si="38"/>
        <v>-2977.5655000000002</v>
      </c>
      <c r="FM24" s="287"/>
      <c r="FN24" s="287"/>
      <c r="FO24" s="287"/>
      <c r="FP24" s="286">
        <f t="shared" si="39"/>
        <v>747698.97831342323</v>
      </c>
      <c r="FQ24" s="293">
        <f t="shared" si="40"/>
        <v>647123.16323008994</v>
      </c>
      <c r="FR24" s="293"/>
      <c r="FS24" s="293"/>
      <c r="FT24" s="294">
        <f>_xlfn.IFNA((VLOOKUP($A24,HN!$A:$M,8,FALSE)/12),0)</f>
        <v>0</v>
      </c>
      <c r="FU24" s="294">
        <f>_xlfn.IFNA((VLOOKUP($A24,HN!$A:$M,12,FALSE)/12),0)</f>
        <v>0</v>
      </c>
      <c r="FV24" s="294">
        <f>_xlfn.IFNA((VLOOKUP($A24,HN!$A:$M,9,FALSE)/12),0)</f>
        <v>0</v>
      </c>
      <c r="FW24" s="294">
        <f>_xlfn.IFNA((VLOOKUP($A24,'Post 16'!$A:$AG,33,FALSE)/8),0)</f>
        <v>96913.25</v>
      </c>
      <c r="FX24" s="294"/>
      <c r="FY24" s="294">
        <f>_xlfn.IFNA(((VLOOKUP($A24,HN!$A:$M,10,FALSE)-$U24-$AK24)/10),0)</f>
        <v>8260.2555833333336</v>
      </c>
      <c r="FZ24" s="294">
        <f>_xlfn.IFNA(((VLOOKUP($A24,HN!$A:$M,13,FALSE)-$V24-$AL24)/10),0)</f>
        <v>0</v>
      </c>
      <c r="GA24" s="293">
        <f t="shared" si="41"/>
        <v>-1620.125</v>
      </c>
      <c r="GB24" s="293">
        <f t="shared" si="42"/>
        <v>-2977.5655000000002</v>
      </c>
      <c r="GC24" s="294"/>
      <c r="GD24" s="294"/>
      <c r="GE24" s="294"/>
      <c r="GF24" s="293">
        <f t="shared" si="43"/>
        <v>747698.97831342323</v>
      </c>
      <c r="GG24" s="300">
        <f t="shared" si="44"/>
        <v>647123.16323008994</v>
      </c>
      <c r="GH24" s="300"/>
      <c r="GI24" s="300"/>
      <c r="GJ24" s="301">
        <f>_xlfn.IFNA((VLOOKUP($A24,HN!$A:$M,8,FALSE)/12),0)</f>
        <v>0</v>
      </c>
      <c r="GK24" s="301">
        <f>_xlfn.IFNA((VLOOKUP($A24,HN!$A:$M,12,FALSE)/12),0)</f>
        <v>0</v>
      </c>
      <c r="GL24" s="301">
        <f>_xlfn.IFNA((VLOOKUP($A24,HN!$A:$M,9,FALSE)/12),0)</f>
        <v>0</v>
      </c>
      <c r="GM24" s="301">
        <f>_xlfn.IFNA((VLOOKUP($A24,'Post 16'!$A:$AG,33,FALSE)/8),0)</f>
        <v>96913.25</v>
      </c>
      <c r="GN24" s="301"/>
      <c r="GO24" s="301">
        <f>_xlfn.IFNA(((VLOOKUP($A24,HN!$A:$M,10,FALSE)-$U24-$AK24)/10),0)</f>
        <v>8260.2555833333336</v>
      </c>
      <c r="GP24" s="301">
        <f>_xlfn.IFNA(((VLOOKUP($A24,HN!$A:$M,13,FALSE)-$V24-$AL24)/10),0)</f>
        <v>0</v>
      </c>
      <c r="GQ24" s="300">
        <f t="shared" si="45"/>
        <v>-1620.125</v>
      </c>
      <c r="GR24" s="300">
        <f t="shared" si="46"/>
        <v>-2977.5655000000002</v>
      </c>
      <c r="GS24" s="301"/>
      <c r="GT24" s="301"/>
      <c r="GU24" s="301"/>
      <c r="GV24" s="300">
        <f t="shared" si="47"/>
        <v>747698.97831342323</v>
      </c>
      <c r="GX24" s="146">
        <f t="shared" si="50"/>
        <v>7765477.9587610774</v>
      </c>
      <c r="GY24" s="146">
        <f t="shared" si="50"/>
        <v>1305633.3333333335</v>
      </c>
      <c r="GZ24" s="146">
        <f t="shared" si="50"/>
        <v>107746.99999999999</v>
      </c>
      <c r="HA24" s="146">
        <f t="shared" si="50"/>
        <v>-19441.5</v>
      </c>
      <c r="HB24" s="146">
        <f t="shared" si="50"/>
        <v>-35730.786</v>
      </c>
      <c r="HC24" s="146">
        <f t="shared" si="50"/>
        <v>0</v>
      </c>
      <c r="HE24" s="146">
        <f t="shared" si="51"/>
        <v>1941369.4896902698</v>
      </c>
      <c r="HF24" s="146">
        <f t="shared" si="51"/>
        <v>397745.5</v>
      </c>
      <c r="HG24" s="146">
        <f t="shared" si="51"/>
        <v>33404.69975</v>
      </c>
      <c r="HH24" s="146">
        <f t="shared" si="51"/>
        <v>-4860.375</v>
      </c>
      <c r="HI24" s="146">
        <f t="shared" si="51"/>
        <v>-8932.6965</v>
      </c>
      <c r="HJ24" s="146">
        <f t="shared" si="51"/>
        <v>0</v>
      </c>
      <c r="HL24" s="146"/>
      <c r="HM24" s="57"/>
    </row>
    <row r="25" spans="1:221">
      <c r="A25" s="185">
        <v>2254</v>
      </c>
      <c r="B25" s="185">
        <v>103300</v>
      </c>
      <c r="C25" s="185" t="s">
        <v>72</v>
      </c>
      <c r="D25" s="2" t="s">
        <v>73</v>
      </c>
      <c r="E25" s="190" t="s">
        <v>39</v>
      </c>
      <c r="F25" s="190" t="s">
        <v>890</v>
      </c>
      <c r="H25" s="271">
        <f>_xlfn.IFNA(VLOOKUP($A25,ISB!$A$4:$BY$441,67,FALSE),0)</f>
        <v>3125336.2215761403</v>
      </c>
      <c r="I25" s="271">
        <f>_xlfn.IFNA(VLOOKUP($A25,ISB!$A$4:$BY$441,72,FALSE),0)</f>
        <v>-11553.599999999999</v>
      </c>
      <c r="J25" s="271">
        <f>-_xlfn.IFNA(VLOOKUP($A25,ISB!$A$4:$BY$441,76,FALSE),0)</f>
        <v>-97395.206999999995</v>
      </c>
      <c r="K25" s="271">
        <f>_xlfn.IFNA(VLOOKUP($A25,ISB!$A$4:$BY$441,77,FALSE),0)</f>
        <v>3016387.4145761402</v>
      </c>
      <c r="M25" s="279">
        <f t="shared" si="0"/>
        <v>260444.68513134503</v>
      </c>
      <c r="N25" s="279"/>
      <c r="O25" s="279">
        <f>_xlfn.IFNA(VLOOKUP($A25,EY!$A:$H,8,FALSE)+(VLOOKUP($A25,EY!$A:$R,18,FALSE)-$T25),0)</f>
        <v>0</v>
      </c>
      <c r="P25" s="280">
        <f>_xlfn.IFNA((VLOOKUP($A25,HN!$A:$M,8,FALSE)/12),0)</f>
        <v>0</v>
      </c>
      <c r="Q25" s="280">
        <f>_xlfn.IFNA((VLOOKUP($A25,HN!$A:$M,12,FALSE)/12),0)</f>
        <v>7500</v>
      </c>
      <c r="R25" s="280">
        <f>_xlfn.IFNA((VLOOKUP($A25,HN!$A:$M,9,FALSE)/12),0)</f>
        <v>0</v>
      </c>
      <c r="S25" s="280">
        <f>_xlfn.IFNA((VLOOKUP($A25,'Post 16'!$A:$AR,22,FALSE)/4),0)</f>
        <v>0</v>
      </c>
      <c r="T25" s="280">
        <f>_xlfn.IFNA((VLOOKUP($A25,EY!$A:$R,16,FALSE)*80%),0)</f>
        <v>0</v>
      </c>
      <c r="U25" s="280">
        <v>0</v>
      </c>
      <c r="V25" s="280">
        <v>27503.229166666668</v>
      </c>
      <c r="W25" s="279">
        <f t="shared" si="1"/>
        <v>-962.79999999999984</v>
      </c>
      <c r="X25" s="279">
        <f t="shared" si="2"/>
        <v>-8116.2672499999999</v>
      </c>
      <c r="Y25" s="280"/>
      <c r="Z25" s="280"/>
      <c r="AA25" s="280"/>
      <c r="AB25" s="279">
        <f t="shared" si="3"/>
        <v>286368.84704801178</v>
      </c>
      <c r="AC25" s="293">
        <f t="shared" si="4"/>
        <v>260444.68513134503</v>
      </c>
      <c r="AD25" s="293"/>
      <c r="AE25" s="293"/>
      <c r="AF25" s="294">
        <f>_xlfn.IFNA((VLOOKUP($A25,HN!$A:$M,8,FALSE)/12),0)</f>
        <v>0</v>
      </c>
      <c r="AG25" s="294">
        <f>_xlfn.IFNA((VLOOKUP($A25,HN!$A:$M,12,FALSE)/12),0)+_xlfn.IFNA(VLOOKUP($A25,HN!$A:$Q,17,FALSE),0)</f>
        <v>7500</v>
      </c>
      <c r="AH25" s="294">
        <f>_xlfn.IFNA((VLOOKUP($A25,HN!$A:$M,9,FALSE)/12),0)</f>
        <v>0</v>
      </c>
      <c r="AI25" s="294">
        <f>_xlfn.IFNA((VLOOKUP($A25,'Post 16'!$A:$AR,22,FALSE)/4),0)</f>
        <v>0</v>
      </c>
      <c r="AJ25" s="294"/>
      <c r="AK25" s="294">
        <f>_xlfn.IFNA((VLOOKUP($A25,HN!$A:$M,10,FALSE)/12),0)</f>
        <v>0</v>
      </c>
      <c r="AL25" s="294">
        <f>_xlfn.IFNA((VLOOKUP($A25,HN!$A:$M,13,FALSE)/12),0)</f>
        <v>20750.444166666668</v>
      </c>
      <c r="AM25" s="293">
        <f t="shared" si="5"/>
        <v>-962.79999999999984</v>
      </c>
      <c r="AN25" s="293">
        <f t="shared" si="6"/>
        <v>-8116.2672499999999</v>
      </c>
      <c r="AO25" s="294"/>
      <c r="AP25" s="294"/>
      <c r="AQ25" s="294"/>
      <c r="AR25" s="293">
        <f t="shared" si="7"/>
        <v>279616.06204801175</v>
      </c>
      <c r="AS25" s="286">
        <f t="shared" si="8"/>
        <v>260444.68513134503</v>
      </c>
      <c r="AT25" s="286"/>
      <c r="AU25" s="286">
        <f>_xlfn.IFNA(VLOOKUP(A25,EY!A:AO,40,FALSE),0)</f>
        <v>0</v>
      </c>
      <c r="AV25" s="287">
        <f>_xlfn.IFNA((VLOOKUP($A25,HN!$A:$M,8,FALSE)/12),0)</f>
        <v>0</v>
      </c>
      <c r="AW25" s="287">
        <f>_xlfn.IFNA((VLOOKUP($A25,HN!$A:$M,12,FALSE)/12),0)+_xlfn.IFNA(VLOOKUP($A25,HN!$A$8:$AU$200,19,FALSE),0)</f>
        <v>7500</v>
      </c>
      <c r="AX25" s="287">
        <f>_xlfn.IFNA((VLOOKUP($A25,HN!$A:$M,9,FALSE)/12),0)</f>
        <v>0</v>
      </c>
      <c r="AY25" s="287">
        <f>_xlfn.IFNA((VLOOKUP($A25,'Post 16'!$A:$AR,22,FALSE)/4),0)</f>
        <v>0</v>
      </c>
      <c r="AZ25" s="287">
        <f>_xlfn.IFNA(VLOOKUP(A25,EY!A:AO,41,FALSE),0)</f>
        <v>0</v>
      </c>
      <c r="BA25" s="287">
        <f>_xlfn.IFNA(((VLOOKUP($A25,HN!$A:$M,10,FALSE)-$U25-$AK25)/10),0)+_xlfn.IFNA(VLOOKUP($A25,HN!$A:$R,18,FALSE),0)</f>
        <v>0</v>
      </c>
      <c r="BB25" s="287">
        <f>_xlfn.IFNA(((VLOOKUP($A25,HN!$A:$M,13,FALSE)-$V25-$AL25)/10),0)+_xlfn.IFNA(VLOOKUP($A25,HN!$A$8:$AU$200,20,FALSE),0)</f>
        <v>20075.165666666668</v>
      </c>
      <c r="BC25" s="286">
        <f t="shared" si="9"/>
        <v>-962.79999999999984</v>
      </c>
      <c r="BD25" s="286">
        <f t="shared" si="10"/>
        <v>-8116.2672499999999</v>
      </c>
      <c r="BE25" s="287"/>
      <c r="BF25" s="287"/>
      <c r="BG25" s="287"/>
      <c r="BH25" s="286">
        <f t="shared" si="11"/>
        <v>278940.78354801179</v>
      </c>
      <c r="BI25" s="307">
        <f t="shared" si="12"/>
        <v>260444.68513134503</v>
      </c>
      <c r="BJ25" s="307">
        <f>_xlfn.IFNA(VLOOKUP(A25,'LA Deductions'!A:AH,34,FALSE),0)</f>
        <v>0</v>
      </c>
      <c r="BK25" s="307"/>
      <c r="BL25" s="308">
        <f>_xlfn.IFNA((VLOOKUP($A25,HN!$A:$M,8,FALSE)/12),0)</f>
        <v>0</v>
      </c>
      <c r="BM25" s="308">
        <f>_xlfn.IFNA((VLOOKUP($A25,HN!$A:$M,12,FALSE)/12),0)</f>
        <v>7500</v>
      </c>
      <c r="BN25" s="308">
        <f>_xlfn.IFNA((VLOOKUP($A25,HN!$A:$M,9,FALSE)/12),0)</f>
        <v>0</v>
      </c>
      <c r="BO25" s="308">
        <f>_xlfn.IFNA((VLOOKUP($A25,'Post 16'!$A:$AR,22,FALSE)/4),0)</f>
        <v>0</v>
      </c>
      <c r="BP25" s="308"/>
      <c r="BQ25" s="308">
        <f>_xlfn.IFNA(((VLOOKUP($A25,HN!$A:$M,10,FALSE)-$U25-$AK25)/10),0)</f>
        <v>0</v>
      </c>
      <c r="BR25" s="308">
        <f>_xlfn.IFNA(((VLOOKUP($A25,HN!$A:$M,13,FALSE)-$V25-$AL25)/10),0)</f>
        <v>20075.165666666668</v>
      </c>
      <c r="BS25" s="307">
        <f t="shared" si="13"/>
        <v>-962.79999999999984</v>
      </c>
      <c r="BT25" s="307">
        <f t="shared" si="14"/>
        <v>-8116.2672499999999</v>
      </c>
      <c r="BU25" s="308"/>
      <c r="BV25" s="308"/>
      <c r="BW25" s="308"/>
      <c r="BX25" s="307">
        <f t="shared" si="15"/>
        <v>278940.78354801179</v>
      </c>
      <c r="BY25" s="300">
        <f t="shared" si="16"/>
        <v>260444.68513134503</v>
      </c>
      <c r="BZ25" s="300"/>
      <c r="CA25" s="300"/>
      <c r="CB25" s="301">
        <f>_xlfn.IFNA((VLOOKUP($A25,HN!$A:$M,8,FALSE)/12),0)</f>
        <v>0</v>
      </c>
      <c r="CC25" s="301">
        <f>_xlfn.IFNA((VLOOKUP($A25,HN!$A:$M,12,FALSE)/12),0)</f>
        <v>7500</v>
      </c>
      <c r="CD25" s="301">
        <f>_xlfn.IFNA((VLOOKUP($A25,HN!$A:$M,9,FALSE)/12),0)</f>
        <v>0</v>
      </c>
      <c r="CE25" s="301">
        <f>_xlfn.IFNA((VLOOKUP($A25,'Post 16'!$A:$AG,33,FALSE)/8),0)</f>
        <v>0</v>
      </c>
      <c r="CF25" s="301"/>
      <c r="CG25" s="301">
        <f>_xlfn.IFNA(((VLOOKUP($A25,HN!$A:$M,10,FALSE)-$U25-$AK25)/10),0)</f>
        <v>0</v>
      </c>
      <c r="CH25" s="301">
        <f>_xlfn.IFNA(((VLOOKUP($A25,HN!$A:$M,13,FALSE)-$V25-$AL25)/10),0)</f>
        <v>20075.165666666668</v>
      </c>
      <c r="CI25" s="300">
        <f t="shared" si="17"/>
        <v>-962.79999999999984</v>
      </c>
      <c r="CJ25" s="300">
        <f t="shared" si="18"/>
        <v>-8116.2672499999999</v>
      </c>
      <c r="CK25" s="301"/>
      <c r="CL25" s="301"/>
      <c r="CM25" s="301"/>
      <c r="CN25" s="300">
        <f t="shared" si="19"/>
        <v>278940.78354801179</v>
      </c>
      <c r="CO25" s="332">
        <f t="shared" si="20"/>
        <v>260444.68513134503</v>
      </c>
      <c r="CP25" s="332"/>
      <c r="CQ25" s="332">
        <f>_xlfn.IFNA((VLOOKUP($A25,EY!$A:$AB,28,FALSE)-$CV25),0)</f>
        <v>0</v>
      </c>
      <c r="CR25" s="333">
        <f>_xlfn.IFNA((VLOOKUP($A25,HN!$A:$M,8,FALSE)/12),0)</f>
        <v>0</v>
      </c>
      <c r="CS25" s="333">
        <f>_xlfn.IFNA((VLOOKUP($A25,HN!$A:$M,12,FALSE)/12),0)</f>
        <v>7500</v>
      </c>
      <c r="CT25" s="333">
        <f>_xlfn.IFNA((VLOOKUP($A25,HN!$A:$M,9,FALSE)/12),0)</f>
        <v>0</v>
      </c>
      <c r="CU25" s="333">
        <f>_xlfn.IFNA((VLOOKUP($A25,'Post 16'!$A:$AG,33,FALSE)/8),0)</f>
        <v>0</v>
      </c>
      <c r="CV25" s="333">
        <f>_xlfn.IFNA((VLOOKUP($A25,EY!$A:$AB,26,FALSE)*80%),0)</f>
        <v>0</v>
      </c>
      <c r="CW25" s="333">
        <f>_xlfn.IFNA(((VLOOKUP($A25,HN!$A:$M,10,FALSE)-$U25-$AK25)/10),0)</f>
        <v>0</v>
      </c>
      <c r="CX25" s="333">
        <f>_xlfn.IFNA(((VLOOKUP($A25,HN!$A:$M,13,FALSE)-$V25-$AL25)/10),0)</f>
        <v>20075.165666666668</v>
      </c>
      <c r="CY25" s="332">
        <f t="shared" si="21"/>
        <v>-962.79999999999984</v>
      </c>
      <c r="CZ25" s="332">
        <f t="shared" si="22"/>
        <v>-8116.2672499999999</v>
      </c>
      <c r="DA25" s="333"/>
      <c r="DB25" s="333"/>
      <c r="DC25" s="333"/>
      <c r="DD25" s="332">
        <f t="shared" si="23"/>
        <v>278940.78354801179</v>
      </c>
      <c r="DE25" s="314">
        <f t="shared" si="24"/>
        <v>260444.68513134503</v>
      </c>
      <c r="DF25" s="314"/>
      <c r="DG25" s="314"/>
      <c r="DH25" s="315">
        <f>_xlfn.IFNA((VLOOKUP($A25,HN!$A:$M,8,FALSE)/12),0)</f>
        <v>0</v>
      </c>
      <c r="DI25" s="315">
        <f>_xlfn.IFNA((VLOOKUP($A25,HN!$A:$M,12,FALSE)/12),0)</f>
        <v>7500</v>
      </c>
      <c r="DJ25" s="315">
        <f>_xlfn.IFNA((VLOOKUP($A25,HN!$A:$M,9,FALSE)/12),0)</f>
        <v>0</v>
      </c>
      <c r="DK25" s="315">
        <f>_xlfn.IFNA((VLOOKUP($A25,'Post 16'!$A:$AG,33,FALSE)/8),0)</f>
        <v>0</v>
      </c>
      <c r="DL25" s="315"/>
      <c r="DM25" s="315">
        <f>_xlfn.IFNA(((VLOOKUP($A25,HN!$A:$M,10,FALSE)-$U25-$AK25)/10),0)</f>
        <v>0</v>
      </c>
      <c r="DN25" s="315">
        <f>_xlfn.IFNA(((VLOOKUP($A25,HN!$A:$M,13,FALSE)-$V25-$AL25)/10),0)</f>
        <v>20075.165666666668</v>
      </c>
      <c r="DO25" s="314">
        <f t="shared" si="25"/>
        <v>-962.79999999999984</v>
      </c>
      <c r="DP25" s="314">
        <f t="shared" si="26"/>
        <v>-8116.2672499999999</v>
      </c>
      <c r="DQ25" s="315"/>
      <c r="DR25" s="315"/>
      <c r="DS25" s="315"/>
      <c r="DT25" s="314">
        <f t="shared" si="27"/>
        <v>278940.78354801179</v>
      </c>
      <c r="DU25" s="307">
        <f t="shared" si="28"/>
        <v>260444.68513134503</v>
      </c>
      <c r="DV25" s="307"/>
      <c r="DW25" s="307"/>
      <c r="DX25" s="308">
        <f>_xlfn.IFNA((VLOOKUP($A25,HN!$A:$M,8,FALSE)/12),0)</f>
        <v>0</v>
      </c>
      <c r="DY25" s="308">
        <f>_xlfn.IFNA((VLOOKUP($A25,HN!$A:$M,12,FALSE)/12),0)</f>
        <v>7500</v>
      </c>
      <c r="DZ25" s="308">
        <f>_xlfn.IFNA((VLOOKUP($A25,HN!$A:$M,9,FALSE)/12),0)</f>
        <v>0</v>
      </c>
      <c r="EA25" s="308">
        <f>_xlfn.IFNA((VLOOKUP($A25,'Post 16'!$A:$AG,33,FALSE)/8),0)</f>
        <v>0</v>
      </c>
      <c r="EB25" s="308"/>
      <c r="EC25" s="308">
        <f>_xlfn.IFNA(((VLOOKUP($A25,HN!$A:$M,10,FALSE)-$U25-$AK25)/10),0)</f>
        <v>0</v>
      </c>
      <c r="ED25" s="308">
        <f>_xlfn.IFNA(((VLOOKUP($A25,HN!$A:$M,13,FALSE)-$V25-$AL25)/10),0)</f>
        <v>20075.165666666668</v>
      </c>
      <c r="EE25" s="307">
        <f t="shared" si="29"/>
        <v>-962.79999999999984</v>
      </c>
      <c r="EF25" s="307">
        <f t="shared" si="30"/>
        <v>-8116.2672499999999</v>
      </c>
      <c r="EG25" s="308"/>
      <c r="EH25" s="308"/>
      <c r="EI25" s="308"/>
      <c r="EJ25" s="307">
        <f t="shared" si="31"/>
        <v>278940.78354801179</v>
      </c>
      <c r="EK25" s="320">
        <f t="shared" si="32"/>
        <v>260444.68513134503</v>
      </c>
      <c r="EL25" s="320"/>
      <c r="EM25" s="320"/>
      <c r="EN25" s="321">
        <f>_xlfn.IFNA((VLOOKUP($A25,HN!$A:$M,8,FALSE)/12),0)</f>
        <v>0</v>
      </c>
      <c r="EO25" s="321">
        <f>_xlfn.IFNA((VLOOKUP($A25,HN!$A:$M,12,FALSE)/12),0)</f>
        <v>7500</v>
      </c>
      <c r="EP25" s="321">
        <f>_xlfn.IFNA((VLOOKUP($A25,HN!$A:$M,9,FALSE)/12),0)</f>
        <v>0</v>
      </c>
      <c r="EQ25" s="321">
        <f>_xlfn.IFNA((VLOOKUP($A25,'Post 16'!$A:$AG,33,FALSE)/8),0)</f>
        <v>0</v>
      </c>
      <c r="ER25" s="321"/>
      <c r="ES25" s="321">
        <f>_xlfn.IFNA(((VLOOKUP($A25,HN!$A:$M,10,FALSE)-$U25-$AK25)/10),0)</f>
        <v>0</v>
      </c>
      <c r="ET25" s="321">
        <f>_xlfn.IFNA(((VLOOKUP($A25,HN!$A:$M,13,FALSE)-$V25-$AL25)/10),0)</f>
        <v>20075.165666666668</v>
      </c>
      <c r="EU25" s="320">
        <f t="shared" si="33"/>
        <v>-962.79999999999984</v>
      </c>
      <c r="EV25" s="320">
        <f t="shared" si="34"/>
        <v>-8116.2672499999999</v>
      </c>
      <c r="EW25" s="321"/>
      <c r="EX25" s="321"/>
      <c r="EY25" s="321"/>
      <c r="EZ25" s="320">
        <f t="shared" si="35"/>
        <v>278940.78354801179</v>
      </c>
      <c r="FA25" s="286">
        <f t="shared" si="36"/>
        <v>260444.68513134503</v>
      </c>
      <c r="FB25" s="286"/>
      <c r="FC25" s="286"/>
      <c r="FD25" s="287">
        <f>_xlfn.IFNA((VLOOKUP($A25,HN!$A:$M,8,FALSE)/12),0)</f>
        <v>0</v>
      </c>
      <c r="FE25" s="287">
        <f>_xlfn.IFNA((VLOOKUP($A25,HN!$A:$M,12,FALSE)/12),0)</f>
        <v>7500</v>
      </c>
      <c r="FF25" s="287">
        <f>_xlfn.IFNA((VLOOKUP($A25,HN!$A:$M,9,FALSE)/12),0)</f>
        <v>0</v>
      </c>
      <c r="FG25" s="287">
        <f>_xlfn.IFNA((VLOOKUP($A25,'Post 16'!$A:$AG,33,FALSE)/8),0)</f>
        <v>0</v>
      </c>
      <c r="FH25" s="287"/>
      <c r="FI25" s="287">
        <f>_xlfn.IFNA(((VLOOKUP($A25,HN!$A:$M,10,FALSE)-$U25-$AK25)/10),0)</f>
        <v>0</v>
      </c>
      <c r="FJ25" s="287">
        <f>_xlfn.IFNA(((VLOOKUP($A25,HN!$A:$M,13,FALSE)-$V25-$AL25)/10),0)</f>
        <v>20075.165666666668</v>
      </c>
      <c r="FK25" s="286">
        <f t="shared" si="37"/>
        <v>-962.79999999999984</v>
      </c>
      <c r="FL25" s="286">
        <f t="shared" si="38"/>
        <v>-8116.2672499999999</v>
      </c>
      <c r="FM25" s="287"/>
      <c r="FN25" s="287"/>
      <c r="FO25" s="287"/>
      <c r="FP25" s="286">
        <f t="shared" si="39"/>
        <v>278940.78354801179</v>
      </c>
      <c r="FQ25" s="293">
        <f t="shared" si="40"/>
        <v>260444.68513134503</v>
      </c>
      <c r="FR25" s="293"/>
      <c r="FS25" s="293"/>
      <c r="FT25" s="294">
        <f>_xlfn.IFNA((VLOOKUP($A25,HN!$A:$M,8,FALSE)/12),0)</f>
        <v>0</v>
      </c>
      <c r="FU25" s="294">
        <f>_xlfn.IFNA((VLOOKUP($A25,HN!$A:$M,12,FALSE)/12),0)</f>
        <v>7500</v>
      </c>
      <c r="FV25" s="294">
        <f>_xlfn.IFNA((VLOOKUP($A25,HN!$A:$M,9,FALSE)/12),0)</f>
        <v>0</v>
      </c>
      <c r="FW25" s="294">
        <f>_xlfn.IFNA((VLOOKUP($A25,'Post 16'!$A:$AG,33,FALSE)/8),0)</f>
        <v>0</v>
      </c>
      <c r="FX25" s="294"/>
      <c r="FY25" s="294">
        <f>_xlfn.IFNA(((VLOOKUP($A25,HN!$A:$M,10,FALSE)-$U25-$AK25)/10),0)</f>
        <v>0</v>
      </c>
      <c r="FZ25" s="294">
        <f>_xlfn.IFNA(((VLOOKUP($A25,HN!$A:$M,13,FALSE)-$V25-$AL25)/10),0)</f>
        <v>20075.165666666668</v>
      </c>
      <c r="GA25" s="293">
        <f t="shared" si="41"/>
        <v>-962.79999999999984</v>
      </c>
      <c r="GB25" s="293">
        <f t="shared" si="42"/>
        <v>-8116.2672499999999</v>
      </c>
      <c r="GC25" s="294"/>
      <c r="GD25" s="294"/>
      <c r="GE25" s="294"/>
      <c r="GF25" s="293">
        <f t="shared" si="43"/>
        <v>278940.78354801179</v>
      </c>
      <c r="GG25" s="300">
        <f t="shared" si="44"/>
        <v>260444.68513134503</v>
      </c>
      <c r="GH25" s="300"/>
      <c r="GI25" s="300"/>
      <c r="GJ25" s="301">
        <f>_xlfn.IFNA((VLOOKUP($A25,HN!$A:$M,8,FALSE)/12),0)</f>
        <v>0</v>
      </c>
      <c r="GK25" s="301">
        <f>_xlfn.IFNA((VLOOKUP($A25,HN!$A:$M,12,FALSE)/12),0)</f>
        <v>7500</v>
      </c>
      <c r="GL25" s="301">
        <f>_xlfn.IFNA((VLOOKUP($A25,HN!$A:$M,9,FALSE)/12),0)</f>
        <v>0</v>
      </c>
      <c r="GM25" s="301">
        <f>_xlfn.IFNA((VLOOKUP($A25,'Post 16'!$A:$AG,33,FALSE)/8),0)</f>
        <v>0</v>
      </c>
      <c r="GN25" s="301"/>
      <c r="GO25" s="301">
        <f>_xlfn.IFNA(((VLOOKUP($A25,HN!$A:$M,10,FALSE)-$U25-$AK25)/10),0)</f>
        <v>0</v>
      </c>
      <c r="GP25" s="301">
        <f>_xlfn.IFNA(((VLOOKUP($A25,HN!$A:$M,13,FALSE)-$V25-$AL25)/10),0)</f>
        <v>20075.165666666668</v>
      </c>
      <c r="GQ25" s="300">
        <f t="shared" si="45"/>
        <v>-962.79999999999984</v>
      </c>
      <c r="GR25" s="300">
        <f t="shared" si="46"/>
        <v>-8116.2672499999999</v>
      </c>
      <c r="GS25" s="301"/>
      <c r="GT25" s="301"/>
      <c r="GU25" s="301"/>
      <c r="GV25" s="300">
        <f t="shared" si="47"/>
        <v>278940.78354801179</v>
      </c>
      <c r="GX25" s="146">
        <f t="shared" si="50"/>
        <v>3215336.2215761398</v>
      </c>
      <c r="GY25" s="146">
        <f t="shared" si="50"/>
        <v>0</v>
      </c>
      <c r="GZ25" s="146">
        <f t="shared" si="50"/>
        <v>249005.33000000002</v>
      </c>
      <c r="HA25" s="146">
        <f t="shared" si="50"/>
        <v>-11553.599999999997</v>
      </c>
      <c r="HB25" s="146">
        <f t="shared" si="50"/>
        <v>-97395.207000000009</v>
      </c>
      <c r="HC25" s="146">
        <f t="shared" si="50"/>
        <v>0</v>
      </c>
      <c r="HE25" s="146">
        <f t="shared" si="51"/>
        <v>803834.05539403518</v>
      </c>
      <c r="HF25" s="146">
        <f t="shared" si="51"/>
        <v>0</v>
      </c>
      <c r="HG25" s="146">
        <f t="shared" si="51"/>
        <v>68328.839000000007</v>
      </c>
      <c r="HH25" s="146">
        <f t="shared" si="51"/>
        <v>-2888.3999999999996</v>
      </c>
      <c r="HI25" s="146">
        <f t="shared" si="51"/>
        <v>-24348.801749999999</v>
      </c>
      <c r="HJ25" s="146">
        <f t="shared" si="51"/>
        <v>0</v>
      </c>
      <c r="HL25" s="146"/>
      <c r="HM25" s="57"/>
    </row>
    <row r="26" spans="1:221">
      <c r="A26" s="185">
        <v>1025</v>
      </c>
      <c r="B26" s="185">
        <v>103138</v>
      </c>
      <c r="C26" s="185" t="s">
        <v>74</v>
      </c>
      <c r="D26" s="2" t="s">
        <v>75</v>
      </c>
      <c r="E26" s="190" t="s">
        <v>36</v>
      </c>
      <c r="F26" s="190" t="s">
        <v>890</v>
      </c>
      <c r="H26" s="271">
        <f>_xlfn.IFNA(VLOOKUP($A26,ISB!$A$4:$BY$441,67,FALSE),0)</f>
        <v>0</v>
      </c>
      <c r="I26" s="271">
        <f>_xlfn.IFNA(VLOOKUP($A26,ISB!$A$4:$BY$441,72,FALSE),0)</f>
        <v>0</v>
      </c>
      <c r="J26" s="271">
        <f>-_xlfn.IFNA(VLOOKUP($A26,ISB!$A$4:$BY$441,76,FALSE),0)</f>
        <v>0</v>
      </c>
      <c r="K26" s="271">
        <f>_xlfn.IFNA(VLOOKUP($A26,ISB!$A$4:$BY$441,77,FALSE),0)</f>
        <v>0</v>
      </c>
      <c r="M26" s="279">
        <f t="shared" si="0"/>
        <v>0</v>
      </c>
      <c r="N26" s="279"/>
      <c r="O26" s="279">
        <f>_xlfn.IFNA(VLOOKUP($A26,EY!$A:$H,8,FALSE)+(VLOOKUP($A26,EY!$A:$R,18,FALSE)-$T26),0)</f>
        <v>466562.26985220693</v>
      </c>
      <c r="P26" s="280">
        <f>_xlfn.IFNA((VLOOKUP($A26,HN!$A:$M,8,FALSE)/12),0)</f>
        <v>0</v>
      </c>
      <c r="Q26" s="280">
        <f>_xlfn.IFNA((VLOOKUP($A26,HN!$A:$M,12,FALSE)/12),0)</f>
        <v>0</v>
      </c>
      <c r="R26" s="280">
        <f>_xlfn.IFNA((VLOOKUP($A26,HN!$A:$M,9,FALSE)/12),0)</f>
        <v>0</v>
      </c>
      <c r="S26" s="280">
        <f>_xlfn.IFNA((VLOOKUP($A26,'Post 16'!$A:$AR,22,FALSE)/4),0)</f>
        <v>0</v>
      </c>
      <c r="T26" s="280">
        <f>_xlfn.IFNA((VLOOKUP($A26,EY!$A:$R,16,FALSE)*80%),0)</f>
        <v>8580</v>
      </c>
      <c r="U26" s="280">
        <v>8168.75</v>
      </c>
      <c r="V26" s="280">
        <v>0</v>
      </c>
      <c r="W26" s="279">
        <f t="shared" si="1"/>
        <v>0</v>
      </c>
      <c r="X26" s="279">
        <f t="shared" si="2"/>
        <v>0</v>
      </c>
      <c r="Y26" s="280"/>
      <c r="Z26" s="280"/>
      <c r="AA26" s="280"/>
      <c r="AB26" s="279">
        <f t="shared" si="3"/>
        <v>483311.01985220693</v>
      </c>
      <c r="AC26" s="293">
        <f t="shared" si="4"/>
        <v>0</v>
      </c>
      <c r="AD26" s="293"/>
      <c r="AE26" s="293"/>
      <c r="AF26" s="294">
        <f>_xlfn.IFNA((VLOOKUP($A26,HN!$A:$M,8,FALSE)/12),0)</f>
        <v>0</v>
      </c>
      <c r="AG26" s="294">
        <f>_xlfn.IFNA((VLOOKUP($A26,HN!$A:$M,12,FALSE)/12),0)+_xlfn.IFNA(VLOOKUP($A26,HN!$A:$Q,17,FALSE),0)</f>
        <v>0</v>
      </c>
      <c r="AH26" s="294">
        <f>_xlfn.IFNA((VLOOKUP($A26,HN!$A:$M,9,FALSE)/12),0)</f>
        <v>0</v>
      </c>
      <c r="AI26" s="294">
        <f>_xlfn.IFNA((VLOOKUP($A26,'Post 16'!$A:$AR,22,FALSE)/4),0)</f>
        <v>0</v>
      </c>
      <c r="AJ26" s="294"/>
      <c r="AK26" s="294">
        <v>-8168.75</v>
      </c>
      <c r="AL26" s="294">
        <f>_xlfn.IFNA((VLOOKUP($A26,HN!$A:$M,13,FALSE)/12),0)</f>
        <v>0</v>
      </c>
      <c r="AM26" s="293">
        <f t="shared" si="5"/>
        <v>0</v>
      </c>
      <c r="AN26" s="293">
        <f t="shared" si="6"/>
        <v>0</v>
      </c>
      <c r="AO26" s="294"/>
      <c r="AP26" s="294"/>
      <c r="AQ26" s="294"/>
      <c r="AR26" s="293">
        <f t="shared" si="7"/>
        <v>-8168.75</v>
      </c>
      <c r="AS26" s="286">
        <f t="shared" si="8"/>
        <v>0</v>
      </c>
      <c r="AT26" s="286"/>
      <c r="AU26" s="286">
        <f>_xlfn.IFNA(VLOOKUP(A26,EY!A:AO,40,FALSE),0)</f>
        <v>34300.991385041532</v>
      </c>
      <c r="AV26" s="287">
        <f>_xlfn.IFNA((VLOOKUP($A26,HN!$A:$M,8,FALSE)/12),0)</f>
        <v>0</v>
      </c>
      <c r="AW26" s="287">
        <f>_xlfn.IFNA((VLOOKUP($A26,HN!$A:$M,12,FALSE)/12),0)+_xlfn.IFNA(VLOOKUP($A26,HN!$A$8:$AU$200,19,FALSE),0)</f>
        <v>0</v>
      </c>
      <c r="AX26" s="287">
        <f>_xlfn.IFNA((VLOOKUP($A26,HN!$A:$M,9,FALSE)/12),0)</f>
        <v>0</v>
      </c>
      <c r="AY26" s="287">
        <f>_xlfn.IFNA((VLOOKUP($A26,'Post 16'!$A:$AR,22,FALSE)/4),0)</f>
        <v>0</v>
      </c>
      <c r="AZ26" s="287">
        <f>_xlfn.IFNA(VLOOKUP(A26,EY!A:AO,41,FALSE),0)</f>
        <v>1127.6786703601106</v>
      </c>
      <c r="BA26" s="287">
        <f>_xlfn.IFNA(((VLOOKUP($A26,HN!$A:$M,10,FALSE)-$U26-$AK26)/10),0)+_xlfn.IFNA(VLOOKUP($A26,HN!$A:$R,18,FALSE),0)</f>
        <v>0</v>
      </c>
      <c r="BB26" s="287">
        <f>_xlfn.IFNA(((VLOOKUP($A26,HN!$A:$M,13,FALSE)-$V26-$AL26)/10),0)+_xlfn.IFNA(VLOOKUP($A26,HN!$A$8:$AU$200,20,FALSE),0)</f>
        <v>0</v>
      </c>
      <c r="BC26" s="286">
        <f t="shared" si="9"/>
        <v>0</v>
      </c>
      <c r="BD26" s="286">
        <f t="shared" si="10"/>
        <v>0</v>
      </c>
      <c r="BE26" s="287"/>
      <c r="BF26" s="287"/>
      <c r="BG26" s="287"/>
      <c r="BH26" s="286">
        <f t="shared" si="11"/>
        <v>35428.670055401642</v>
      </c>
      <c r="BI26" s="307">
        <f t="shared" si="12"/>
        <v>0</v>
      </c>
      <c r="BJ26" s="307">
        <f>_xlfn.IFNA(VLOOKUP(A26,'LA Deductions'!A:AH,34,FALSE),0)</f>
        <v>0</v>
      </c>
      <c r="BK26" s="307"/>
      <c r="BL26" s="308">
        <f>_xlfn.IFNA((VLOOKUP($A26,HN!$A:$M,8,FALSE)/12),0)</f>
        <v>0</v>
      </c>
      <c r="BM26" s="308">
        <f>_xlfn.IFNA((VLOOKUP($A26,HN!$A:$M,12,FALSE)/12),0)</f>
        <v>0</v>
      </c>
      <c r="BN26" s="308">
        <f>_xlfn.IFNA((VLOOKUP($A26,HN!$A:$M,9,FALSE)/12),0)</f>
        <v>0</v>
      </c>
      <c r="BO26" s="308">
        <f>_xlfn.IFNA((VLOOKUP($A26,'Post 16'!$A:$AR,22,FALSE)/4),0)</f>
        <v>0</v>
      </c>
      <c r="BP26" s="308"/>
      <c r="BQ26" s="308">
        <f>_xlfn.IFNA(((VLOOKUP($A26,HN!$A:$M,10,FALSE)-$U26-$AK26)/10),0)</f>
        <v>0</v>
      </c>
      <c r="BR26" s="308">
        <f>_xlfn.IFNA(((VLOOKUP($A26,HN!$A:$M,13,FALSE)-$V26-$AL26)/10),0)</f>
        <v>0</v>
      </c>
      <c r="BS26" s="307">
        <f t="shared" si="13"/>
        <v>0</v>
      </c>
      <c r="BT26" s="307">
        <f t="shared" si="14"/>
        <v>0</v>
      </c>
      <c r="BU26" s="308"/>
      <c r="BV26" s="308"/>
      <c r="BW26" s="308"/>
      <c r="BX26" s="307">
        <f t="shared" si="15"/>
        <v>0</v>
      </c>
      <c r="BY26" s="300">
        <f t="shared" si="16"/>
        <v>0</v>
      </c>
      <c r="BZ26" s="300"/>
      <c r="CA26" s="300"/>
      <c r="CB26" s="301">
        <f>_xlfn.IFNA((VLOOKUP($A26,HN!$A:$M,8,FALSE)/12),0)</f>
        <v>0</v>
      </c>
      <c r="CC26" s="301">
        <f>_xlfn.IFNA((VLOOKUP($A26,HN!$A:$M,12,FALSE)/12),0)</f>
        <v>0</v>
      </c>
      <c r="CD26" s="301">
        <f>_xlfn.IFNA((VLOOKUP($A26,HN!$A:$M,9,FALSE)/12),0)</f>
        <v>0</v>
      </c>
      <c r="CE26" s="301">
        <f>_xlfn.IFNA((VLOOKUP($A26,'Post 16'!$A:$AG,33,FALSE)/8),0)</f>
        <v>0</v>
      </c>
      <c r="CF26" s="301"/>
      <c r="CG26" s="301">
        <f>_xlfn.IFNA(((VLOOKUP($A26,HN!$A:$M,10,FALSE)-$U26-$AK26)/10),0)</f>
        <v>0</v>
      </c>
      <c r="CH26" s="301">
        <f>_xlfn.IFNA(((VLOOKUP($A26,HN!$A:$M,13,FALSE)-$V26-$AL26)/10),0)</f>
        <v>0</v>
      </c>
      <c r="CI26" s="300">
        <f t="shared" si="17"/>
        <v>0</v>
      </c>
      <c r="CJ26" s="300">
        <f t="shared" si="18"/>
        <v>0</v>
      </c>
      <c r="CK26" s="301"/>
      <c r="CL26" s="301"/>
      <c r="CM26" s="301"/>
      <c r="CN26" s="300">
        <f t="shared" si="19"/>
        <v>0</v>
      </c>
      <c r="CO26" s="332">
        <f t="shared" si="20"/>
        <v>0</v>
      </c>
      <c r="CP26" s="332"/>
      <c r="CQ26" s="332">
        <f>_xlfn.IFNA((VLOOKUP($A26,EY!$A:$AB,28,FALSE)-$CV26),0)</f>
        <v>154009.37978947366</v>
      </c>
      <c r="CR26" s="333">
        <f>_xlfn.IFNA((VLOOKUP($A26,HN!$A:$M,8,FALSE)/12),0)</f>
        <v>0</v>
      </c>
      <c r="CS26" s="333">
        <f>_xlfn.IFNA((VLOOKUP($A26,HN!$A:$M,12,FALSE)/12),0)</f>
        <v>0</v>
      </c>
      <c r="CT26" s="333">
        <f>_xlfn.IFNA((VLOOKUP($A26,HN!$A:$M,9,FALSE)/12),0)</f>
        <v>0</v>
      </c>
      <c r="CU26" s="333">
        <f>_xlfn.IFNA((VLOOKUP($A26,'Post 16'!$A:$AG,33,FALSE)/8),0)</f>
        <v>0</v>
      </c>
      <c r="CV26" s="333">
        <f>_xlfn.IFNA((VLOOKUP($A26,EY!$A:$AB,26,FALSE)*80%),0)</f>
        <v>2340</v>
      </c>
      <c r="CW26" s="333">
        <f>_xlfn.IFNA(((VLOOKUP($A26,HN!$A:$M,10,FALSE)-$U26-$AK26)/10),0)</f>
        <v>0</v>
      </c>
      <c r="CX26" s="333">
        <f>_xlfn.IFNA(((VLOOKUP($A26,HN!$A:$M,13,FALSE)-$V26-$AL26)/10),0)</f>
        <v>0</v>
      </c>
      <c r="CY26" s="332">
        <f t="shared" si="21"/>
        <v>0</v>
      </c>
      <c r="CZ26" s="332">
        <f t="shared" si="22"/>
        <v>0</v>
      </c>
      <c r="DA26" s="333"/>
      <c r="DB26" s="333"/>
      <c r="DC26" s="333"/>
      <c r="DD26" s="332">
        <f t="shared" si="23"/>
        <v>156349.37978947366</v>
      </c>
      <c r="DE26" s="314">
        <f t="shared" si="24"/>
        <v>0</v>
      </c>
      <c r="DF26" s="314"/>
      <c r="DG26" s="314"/>
      <c r="DH26" s="315">
        <f>_xlfn.IFNA((VLOOKUP($A26,HN!$A:$M,8,FALSE)/12),0)</f>
        <v>0</v>
      </c>
      <c r="DI26" s="315">
        <f>_xlfn.IFNA((VLOOKUP($A26,HN!$A:$M,12,FALSE)/12),0)</f>
        <v>0</v>
      </c>
      <c r="DJ26" s="315">
        <f>_xlfn.IFNA((VLOOKUP($A26,HN!$A:$M,9,FALSE)/12),0)</f>
        <v>0</v>
      </c>
      <c r="DK26" s="315">
        <f>_xlfn.IFNA((VLOOKUP($A26,'Post 16'!$A:$AG,33,FALSE)/8),0)</f>
        <v>0</v>
      </c>
      <c r="DL26" s="315"/>
      <c r="DM26" s="315">
        <f>_xlfn.IFNA(((VLOOKUP($A26,HN!$A:$M,10,FALSE)-$U26-$AK26)/10),0)</f>
        <v>0</v>
      </c>
      <c r="DN26" s="315">
        <f>_xlfn.IFNA(((VLOOKUP($A26,HN!$A:$M,13,FALSE)-$V26-$AL26)/10),0)</f>
        <v>0</v>
      </c>
      <c r="DO26" s="314">
        <f t="shared" si="25"/>
        <v>0</v>
      </c>
      <c r="DP26" s="314">
        <f t="shared" si="26"/>
        <v>0</v>
      </c>
      <c r="DQ26" s="315"/>
      <c r="DR26" s="315"/>
      <c r="DS26" s="315"/>
      <c r="DT26" s="314">
        <f t="shared" si="27"/>
        <v>0</v>
      </c>
      <c r="DU26" s="307">
        <f t="shared" si="28"/>
        <v>0</v>
      </c>
      <c r="DV26" s="307"/>
      <c r="DW26" s="307"/>
      <c r="DX26" s="308">
        <f>_xlfn.IFNA((VLOOKUP($A26,HN!$A:$M,8,FALSE)/12),0)</f>
        <v>0</v>
      </c>
      <c r="DY26" s="308">
        <f>_xlfn.IFNA((VLOOKUP($A26,HN!$A:$M,12,FALSE)/12),0)</f>
        <v>0</v>
      </c>
      <c r="DZ26" s="308">
        <f>_xlfn.IFNA((VLOOKUP($A26,HN!$A:$M,9,FALSE)/12),0)</f>
        <v>0</v>
      </c>
      <c r="EA26" s="308">
        <f>_xlfn.IFNA((VLOOKUP($A26,'Post 16'!$A:$AG,33,FALSE)/8),0)</f>
        <v>0</v>
      </c>
      <c r="EB26" s="308"/>
      <c r="EC26" s="308">
        <f>_xlfn.IFNA(((VLOOKUP($A26,HN!$A:$M,10,FALSE)-$U26-$AK26)/10),0)</f>
        <v>0</v>
      </c>
      <c r="ED26" s="308">
        <f>_xlfn.IFNA(((VLOOKUP($A26,HN!$A:$M,13,FALSE)-$V26-$AL26)/10),0)</f>
        <v>0</v>
      </c>
      <c r="EE26" s="307">
        <f t="shared" si="29"/>
        <v>0</v>
      </c>
      <c r="EF26" s="307">
        <f t="shared" si="30"/>
        <v>0</v>
      </c>
      <c r="EG26" s="308"/>
      <c r="EH26" s="308"/>
      <c r="EI26" s="308"/>
      <c r="EJ26" s="307">
        <f t="shared" si="31"/>
        <v>0</v>
      </c>
      <c r="EK26" s="320">
        <f t="shared" si="32"/>
        <v>0</v>
      </c>
      <c r="EL26" s="320"/>
      <c r="EM26" s="320"/>
      <c r="EN26" s="321">
        <f>_xlfn.IFNA((VLOOKUP($A26,HN!$A:$M,8,FALSE)/12),0)</f>
        <v>0</v>
      </c>
      <c r="EO26" s="321">
        <f>_xlfn.IFNA((VLOOKUP($A26,HN!$A:$M,12,FALSE)/12),0)</f>
        <v>0</v>
      </c>
      <c r="EP26" s="321">
        <f>_xlfn.IFNA((VLOOKUP($A26,HN!$A:$M,9,FALSE)/12),0)</f>
        <v>0</v>
      </c>
      <c r="EQ26" s="321">
        <f>_xlfn.IFNA((VLOOKUP($A26,'Post 16'!$A:$AG,33,FALSE)/8),0)</f>
        <v>0</v>
      </c>
      <c r="ER26" s="321"/>
      <c r="ES26" s="321">
        <f>_xlfn.IFNA(((VLOOKUP($A26,HN!$A:$M,10,FALSE)-$U26-$AK26)/10),0)</f>
        <v>0</v>
      </c>
      <c r="ET26" s="321">
        <f>_xlfn.IFNA(((VLOOKUP($A26,HN!$A:$M,13,FALSE)-$V26-$AL26)/10),0)</f>
        <v>0</v>
      </c>
      <c r="EU26" s="320">
        <f t="shared" si="33"/>
        <v>0</v>
      </c>
      <c r="EV26" s="320">
        <f t="shared" si="34"/>
        <v>0</v>
      </c>
      <c r="EW26" s="321"/>
      <c r="EX26" s="321"/>
      <c r="EY26" s="321"/>
      <c r="EZ26" s="320">
        <f t="shared" si="35"/>
        <v>0</v>
      </c>
      <c r="FA26" s="286">
        <f t="shared" si="36"/>
        <v>0</v>
      </c>
      <c r="FB26" s="286"/>
      <c r="FC26" s="286"/>
      <c r="FD26" s="287">
        <f>_xlfn.IFNA((VLOOKUP($A26,HN!$A:$M,8,FALSE)/12),0)</f>
        <v>0</v>
      </c>
      <c r="FE26" s="287">
        <f>_xlfn.IFNA((VLOOKUP($A26,HN!$A:$M,12,FALSE)/12),0)</f>
        <v>0</v>
      </c>
      <c r="FF26" s="287">
        <f>_xlfn.IFNA((VLOOKUP($A26,HN!$A:$M,9,FALSE)/12),0)</f>
        <v>0</v>
      </c>
      <c r="FG26" s="287">
        <f>_xlfn.IFNA((VLOOKUP($A26,'Post 16'!$A:$AG,33,FALSE)/8),0)</f>
        <v>0</v>
      </c>
      <c r="FH26" s="287"/>
      <c r="FI26" s="287">
        <f>_xlfn.IFNA(((VLOOKUP($A26,HN!$A:$M,10,FALSE)-$U26-$AK26)/10),0)</f>
        <v>0</v>
      </c>
      <c r="FJ26" s="287">
        <f>_xlfn.IFNA(((VLOOKUP($A26,HN!$A:$M,13,FALSE)-$V26-$AL26)/10),0)</f>
        <v>0</v>
      </c>
      <c r="FK26" s="286">
        <f t="shared" si="37"/>
        <v>0</v>
      </c>
      <c r="FL26" s="286">
        <f t="shared" si="38"/>
        <v>0</v>
      </c>
      <c r="FM26" s="287"/>
      <c r="FN26" s="287"/>
      <c r="FO26" s="287"/>
      <c r="FP26" s="286">
        <f t="shared" si="39"/>
        <v>0</v>
      </c>
      <c r="FQ26" s="293">
        <f t="shared" si="40"/>
        <v>0</v>
      </c>
      <c r="FR26" s="293"/>
      <c r="FS26" s="293"/>
      <c r="FT26" s="294">
        <f>_xlfn.IFNA((VLOOKUP($A26,HN!$A:$M,8,FALSE)/12),0)</f>
        <v>0</v>
      </c>
      <c r="FU26" s="294">
        <f>_xlfn.IFNA((VLOOKUP($A26,HN!$A:$M,12,FALSE)/12),0)</f>
        <v>0</v>
      </c>
      <c r="FV26" s="294">
        <f>_xlfn.IFNA((VLOOKUP($A26,HN!$A:$M,9,FALSE)/12),0)</f>
        <v>0</v>
      </c>
      <c r="FW26" s="294">
        <f>_xlfn.IFNA((VLOOKUP($A26,'Post 16'!$A:$AG,33,FALSE)/8),0)</f>
        <v>0</v>
      </c>
      <c r="FX26" s="294"/>
      <c r="FY26" s="294">
        <f>_xlfn.IFNA(((VLOOKUP($A26,HN!$A:$M,10,FALSE)-$U26-$AK26)/10),0)</f>
        <v>0</v>
      </c>
      <c r="FZ26" s="294">
        <f>_xlfn.IFNA(((VLOOKUP($A26,HN!$A:$M,13,FALSE)-$V26-$AL26)/10),0)</f>
        <v>0</v>
      </c>
      <c r="GA26" s="293">
        <f t="shared" si="41"/>
        <v>0</v>
      </c>
      <c r="GB26" s="293">
        <f t="shared" si="42"/>
        <v>0</v>
      </c>
      <c r="GC26" s="294"/>
      <c r="GD26" s="294"/>
      <c r="GE26" s="294"/>
      <c r="GF26" s="293">
        <f t="shared" si="43"/>
        <v>0</v>
      </c>
      <c r="GG26" s="300">
        <f t="shared" si="44"/>
        <v>0</v>
      </c>
      <c r="GH26" s="300"/>
      <c r="GI26" s="300"/>
      <c r="GJ26" s="301">
        <f>_xlfn.IFNA((VLOOKUP($A26,HN!$A:$M,8,FALSE)/12),0)</f>
        <v>0</v>
      </c>
      <c r="GK26" s="301">
        <f>_xlfn.IFNA((VLOOKUP($A26,HN!$A:$M,12,FALSE)/12),0)</f>
        <v>0</v>
      </c>
      <c r="GL26" s="301">
        <f>_xlfn.IFNA((VLOOKUP($A26,HN!$A:$M,9,FALSE)/12),0)</f>
        <v>0</v>
      </c>
      <c r="GM26" s="301">
        <f>_xlfn.IFNA((VLOOKUP($A26,'Post 16'!$A:$AG,33,FALSE)/8),0)</f>
        <v>0</v>
      </c>
      <c r="GN26" s="301"/>
      <c r="GO26" s="301">
        <f>_xlfn.IFNA(((VLOOKUP($A26,HN!$A:$M,10,FALSE)-$U26-$AK26)/10),0)</f>
        <v>0</v>
      </c>
      <c r="GP26" s="301">
        <f>_xlfn.IFNA(((VLOOKUP($A26,HN!$A:$M,13,FALSE)-$V26-$AL26)/10),0)</f>
        <v>0</v>
      </c>
      <c r="GQ26" s="300">
        <f t="shared" si="45"/>
        <v>0</v>
      </c>
      <c r="GR26" s="300">
        <f t="shared" si="46"/>
        <v>0</v>
      </c>
      <c r="GS26" s="301"/>
      <c r="GT26" s="301"/>
      <c r="GU26" s="301"/>
      <c r="GV26" s="300">
        <f t="shared" si="47"/>
        <v>0</v>
      </c>
      <c r="GX26" s="146">
        <f t="shared" si="50"/>
        <v>654872.64102672203</v>
      </c>
      <c r="GY26" s="146">
        <f t="shared" si="50"/>
        <v>0</v>
      </c>
      <c r="GZ26" s="146">
        <f t="shared" si="50"/>
        <v>12047.67867036011</v>
      </c>
      <c r="HA26" s="146">
        <f t="shared" si="50"/>
        <v>0</v>
      </c>
      <c r="HB26" s="146">
        <f t="shared" si="50"/>
        <v>0</v>
      </c>
      <c r="HC26" s="146">
        <f t="shared" si="50"/>
        <v>0</v>
      </c>
      <c r="HE26" s="146">
        <f t="shared" si="51"/>
        <v>500863.26123724843</v>
      </c>
      <c r="HF26" s="146">
        <f t="shared" si="51"/>
        <v>0</v>
      </c>
      <c r="HG26" s="146">
        <f t="shared" si="51"/>
        <v>9707.6786703601101</v>
      </c>
      <c r="HH26" s="146">
        <f t="shared" si="51"/>
        <v>0</v>
      </c>
      <c r="HI26" s="146">
        <f t="shared" si="51"/>
        <v>0</v>
      </c>
      <c r="HJ26" s="146">
        <f t="shared" si="51"/>
        <v>0</v>
      </c>
      <c r="HL26" s="146"/>
      <c r="HM26" s="57"/>
    </row>
    <row r="27" spans="1:221">
      <c r="A27" s="185">
        <v>2402</v>
      </c>
      <c r="B27" s="185">
        <v>103342</v>
      </c>
      <c r="C27" s="185" t="s">
        <v>76</v>
      </c>
      <c r="D27" s="2" t="s">
        <v>77</v>
      </c>
      <c r="E27" s="190" t="s">
        <v>39</v>
      </c>
      <c r="F27" s="190" t="s">
        <v>890</v>
      </c>
      <c r="H27" s="271">
        <f>_xlfn.IFNA(VLOOKUP($A27,ISB!$A$4:$BY$441,67,FALSE),0)</f>
        <v>1434687.5341786819</v>
      </c>
      <c r="I27" s="271">
        <f>_xlfn.IFNA(VLOOKUP($A27,ISB!$A$4:$BY$441,72,FALSE),0)</f>
        <v>-6747.9</v>
      </c>
      <c r="J27" s="271">
        <f>-_xlfn.IFNA(VLOOKUP($A27,ISB!$A$4:$BY$441,76,FALSE),0)</f>
        <v>-23832.926100000001</v>
      </c>
      <c r="K27" s="271">
        <f>_xlfn.IFNA(VLOOKUP($A27,ISB!$A$4:$BY$441,77,FALSE),0)</f>
        <v>1404106.708078682</v>
      </c>
      <c r="M27" s="279">
        <f t="shared" si="0"/>
        <v>119557.29451489016</v>
      </c>
      <c r="N27" s="279"/>
      <c r="O27" s="279">
        <f>_xlfn.IFNA(VLOOKUP($A27,EY!$A:$H,8,FALSE)+(VLOOKUP($A27,EY!$A:$R,18,FALSE)-$T27),0)</f>
        <v>50252.28</v>
      </c>
      <c r="P27" s="280">
        <f>_xlfn.IFNA((VLOOKUP($A27,HN!$A:$M,8,FALSE)/12),0)</f>
        <v>0</v>
      </c>
      <c r="Q27" s="280">
        <f>_xlfn.IFNA((VLOOKUP($A27,HN!$A:$M,12,FALSE)/12),0)</f>
        <v>10166.666666666666</v>
      </c>
      <c r="R27" s="280">
        <f>_xlfn.IFNA((VLOOKUP($A27,HN!$A:$M,9,FALSE)/12),0)</f>
        <v>0</v>
      </c>
      <c r="S27" s="280">
        <f>_xlfn.IFNA((VLOOKUP($A27,'Post 16'!$A:$AR,22,FALSE)/4),0)</f>
        <v>0</v>
      </c>
      <c r="T27" s="280">
        <f>_xlfn.IFNA((VLOOKUP($A27,EY!$A:$R,16,FALSE)*80%),0)</f>
        <v>0</v>
      </c>
      <c r="U27" s="280">
        <v>0</v>
      </c>
      <c r="V27" s="280">
        <v>37096.235000000001</v>
      </c>
      <c r="W27" s="279">
        <f t="shared" si="1"/>
        <v>-562.32499999999993</v>
      </c>
      <c r="X27" s="279">
        <f t="shared" si="2"/>
        <v>-1986.0771750000001</v>
      </c>
      <c r="Y27" s="280"/>
      <c r="Z27" s="280"/>
      <c r="AA27" s="280"/>
      <c r="AB27" s="279">
        <f t="shared" si="3"/>
        <v>214524.0740065568</v>
      </c>
      <c r="AC27" s="293">
        <f t="shared" si="4"/>
        <v>119557.29451489016</v>
      </c>
      <c r="AD27" s="293"/>
      <c r="AE27" s="293"/>
      <c r="AF27" s="294">
        <f>_xlfn.IFNA((VLOOKUP($A27,HN!$A:$M,8,FALSE)/12),0)</f>
        <v>0</v>
      </c>
      <c r="AG27" s="294">
        <f>_xlfn.IFNA((VLOOKUP($A27,HN!$A:$M,12,FALSE)/12),0)+_xlfn.IFNA(VLOOKUP($A27,HN!$A:$Q,17,FALSE),0)</f>
        <v>10166.666666666666</v>
      </c>
      <c r="AH27" s="294">
        <f>_xlfn.IFNA((VLOOKUP($A27,HN!$A:$M,9,FALSE)/12),0)</f>
        <v>0</v>
      </c>
      <c r="AI27" s="294">
        <f>_xlfn.IFNA((VLOOKUP($A27,'Post 16'!$A:$AR,22,FALSE)/4),0)</f>
        <v>0</v>
      </c>
      <c r="AJ27" s="294"/>
      <c r="AK27" s="294">
        <f>_xlfn.IFNA((VLOOKUP($A27,HN!$A:$M,10,FALSE)/12),0)</f>
        <v>0</v>
      </c>
      <c r="AL27" s="294">
        <f>_xlfn.IFNA((VLOOKUP($A27,HN!$A:$M,13,FALSE)/12),0)</f>
        <v>30085.318333333333</v>
      </c>
      <c r="AM27" s="293">
        <f t="shared" si="5"/>
        <v>-562.32499999999993</v>
      </c>
      <c r="AN27" s="293">
        <f t="shared" si="6"/>
        <v>-1986.0771750000001</v>
      </c>
      <c r="AO27" s="294"/>
      <c r="AP27" s="294"/>
      <c r="AQ27" s="294"/>
      <c r="AR27" s="293">
        <f t="shared" si="7"/>
        <v>157260.87733989014</v>
      </c>
      <c r="AS27" s="286">
        <f t="shared" si="8"/>
        <v>119557.29451489016</v>
      </c>
      <c r="AT27" s="286"/>
      <c r="AU27" s="286">
        <f>_xlfn.IFNA(VLOOKUP(A27,EY!A:AO,40,FALSE),0)</f>
        <v>8789.6231578947336</v>
      </c>
      <c r="AV27" s="287">
        <f>_xlfn.IFNA((VLOOKUP($A27,HN!$A:$M,8,FALSE)/12),0)</f>
        <v>0</v>
      </c>
      <c r="AW27" s="287">
        <f>_xlfn.IFNA((VLOOKUP($A27,HN!$A:$M,12,FALSE)/12),0)+_xlfn.IFNA(VLOOKUP($A27,HN!$A$8:$AU$200,19,FALSE),0)</f>
        <v>10166.666666666666</v>
      </c>
      <c r="AX27" s="287">
        <f>_xlfn.IFNA((VLOOKUP($A27,HN!$A:$M,9,FALSE)/12),0)</f>
        <v>0</v>
      </c>
      <c r="AY27" s="287">
        <f>_xlfn.IFNA((VLOOKUP($A27,'Post 16'!$A:$AR,22,FALSE)/4),0)</f>
        <v>0</v>
      </c>
      <c r="AZ27" s="287">
        <f>_xlfn.IFNA(VLOOKUP(A27,EY!A:AO,41,FALSE),0)</f>
        <v>0</v>
      </c>
      <c r="BA27" s="287">
        <f>_xlfn.IFNA(((VLOOKUP($A27,HN!$A:$M,10,FALSE)-$U27-$AK27)/10),0)+_xlfn.IFNA(VLOOKUP($A27,HN!$A:$R,18,FALSE),0)</f>
        <v>0</v>
      </c>
      <c r="BB27" s="287">
        <f>_xlfn.IFNA(((VLOOKUP($A27,HN!$A:$M,13,FALSE)-$V27-$AL27)/10),0)+_xlfn.IFNA(VLOOKUP($A27,HN!$A$8:$AU$200,20,FALSE),0)</f>
        <v>29384.226666666666</v>
      </c>
      <c r="BC27" s="286">
        <f t="shared" si="9"/>
        <v>-562.32499999999993</v>
      </c>
      <c r="BD27" s="286">
        <f t="shared" si="10"/>
        <v>-1986.0771750000001</v>
      </c>
      <c r="BE27" s="287"/>
      <c r="BF27" s="287"/>
      <c r="BG27" s="287"/>
      <c r="BH27" s="286">
        <f t="shared" si="11"/>
        <v>165349.4088311182</v>
      </c>
      <c r="BI27" s="307">
        <f t="shared" si="12"/>
        <v>119557.29451489016</v>
      </c>
      <c r="BJ27" s="307">
        <f>_xlfn.IFNA(VLOOKUP(A27,'LA Deductions'!A:AH,34,FALSE),0)</f>
        <v>0</v>
      </c>
      <c r="BK27" s="307"/>
      <c r="BL27" s="308">
        <f>_xlfn.IFNA((VLOOKUP($A27,HN!$A:$M,8,FALSE)/12),0)</f>
        <v>0</v>
      </c>
      <c r="BM27" s="308">
        <f>_xlfn.IFNA((VLOOKUP($A27,HN!$A:$M,12,FALSE)/12),0)</f>
        <v>10166.666666666666</v>
      </c>
      <c r="BN27" s="308">
        <f>_xlfn.IFNA((VLOOKUP($A27,HN!$A:$M,9,FALSE)/12),0)</f>
        <v>0</v>
      </c>
      <c r="BO27" s="308">
        <f>_xlfn.IFNA((VLOOKUP($A27,'Post 16'!$A:$AR,22,FALSE)/4),0)</f>
        <v>0</v>
      </c>
      <c r="BP27" s="308"/>
      <c r="BQ27" s="308">
        <f>_xlfn.IFNA(((VLOOKUP($A27,HN!$A:$M,10,FALSE)-$U27-$AK27)/10),0)</f>
        <v>0</v>
      </c>
      <c r="BR27" s="308">
        <f>_xlfn.IFNA(((VLOOKUP($A27,HN!$A:$M,13,FALSE)-$V27-$AL27)/10),0)</f>
        <v>29384.226666666666</v>
      </c>
      <c r="BS27" s="307">
        <f t="shared" si="13"/>
        <v>-562.32499999999993</v>
      </c>
      <c r="BT27" s="307">
        <f t="shared" si="14"/>
        <v>-1986.0771750000001</v>
      </c>
      <c r="BU27" s="308"/>
      <c r="BV27" s="308"/>
      <c r="BW27" s="308"/>
      <c r="BX27" s="307">
        <f t="shared" si="15"/>
        <v>156559.78567322346</v>
      </c>
      <c r="BY27" s="300">
        <f t="shared" si="16"/>
        <v>119557.29451489016</v>
      </c>
      <c r="BZ27" s="300"/>
      <c r="CA27" s="300"/>
      <c r="CB27" s="301">
        <f>_xlfn.IFNA((VLOOKUP($A27,HN!$A:$M,8,FALSE)/12),0)</f>
        <v>0</v>
      </c>
      <c r="CC27" s="301">
        <f>_xlfn.IFNA((VLOOKUP($A27,HN!$A:$M,12,FALSE)/12),0)</f>
        <v>10166.666666666666</v>
      </c>
      <c r="CD27" s="301">
        <f>_xlfn.IFNA((VLOOKUP($A27,HN!$A:$M,9,FALSE)/12),0)</f>
        <v>0</v>
      </c>
      <c r="CE27" s="301">
        <f>_xlfn.IFNA((VLOOKUP($A27,'Post 16'!$A:$AG,33,FALSE)/8),0)</f>
        <v>0</v>
      </c>
      <c r="CF27" s="301"/>
      <c r="CG27" s="301">
        <f>_xlfn.IFNA(((VLOOKUP($A27,HN!$A:$M,10,FALSE)-$U27-$AK27)/10),0)</f>
        <v>0</v>
      </c>
      <c r="CH27" s="301">
        <f>_xlfn.IFNA(((VLOOKUP($A27,HN!$A:$M,13,FALSE)-$V27-$AL27)/10),0)</f>
        <v>29384.226666666666</v>
      </c>
      <c r="CI27" s="300">
        <f t="shared" si="17"/>
        <v>-562.32499999999993</v>
      </c>
      <c r="CJ27" s="300">
        <f t="shared" si="18"/>
        <v>-1986.0771750000001</v>
      </c>
      <c r="CK27" s="301"/>
      <c r="CL27" s="301"/>
      <c r="CM27" s="301"/>
      <c r="CN27" s="300">
        <f t="shared" si="19"/>
        <v>156559.78567322346</v>
      </c>
      <c r="CO27" s="332">
        <f t="shared" si="20"/>
        <v>119557.29451489016</v>
      </c>
      <c r="CP27" s="332"/>
      <c r="CQ27" s="332">
        <f>_xlfn.IFNA((VLOOKUP($A27,EY!$A:$AB,28,FALSE)-$CV27),0)</f>
        <v>46890.896000000008</v>
      </c>
      <c r="CR27" s="333">
        <f>_xlfn.IFNA((VLOOKUP($A27,HN!$A:$M,8,FALSE)/12),0)</f>
        <v>0</v>
      </c>
      <c r="CS27" s="333">
        <f>_xlfn.IFNA((VLOOKUP($A27,HN!$A:$M,12,FALSE)/12),0)</f>
        <v>10166.666666666666</v>
      </c>
      <c r="CT27" s="333">
        <f>_xlfn.IFNA((VLOOKUP($A27,HN!$A:$M,9,FALSE)/12),0)</f>
        <v>0</v>
      </c>
      <c r="CU27" s="333">
        <f>_xlfn.IFNA((VLOOKUP($A27,'Post 16'!$A:$AG,33,FALSE)/8),0)</f>
        <v>0</v>
      </c>
      <c r="CV27" s="333">
        <f>_xlfn.IFNA((VLOOKUP($A27,EY!$A:$AB,26,FALSE)*80%),0)</f>
        <v>0</v>
      </c>
      <c r="CW27" s="333">
        <f>_xlfn.IFNA(((VLOOKUP($A27,HN!$A:$M,10,FALSE)-$U27-$AK27)/10),0)</f>
        <v>0</v>
      </c>
      <c r="CX27" s="333">
        <f>_xlfn.IFNA(((VLOOKUP($A27,HN!$A:$M,13,FALSE)-$V27-$AL27)/10),0)</f>
        <v>29384.226666666666</v>
      </c>
      <c r="CY27" s="332">
        <f t="shared" si="21"/>
        <v>-562.32499999999993</v>
      </c>
      <c r="CZ27" s="332">
        <f t="shared" si="22"/>
        <v>-1986.0771750000001</v>
      </c>
      <c r="DA27" s="333"/>
      <c r="DB27" s="333"/>
      <c r="DC27" s="333"/>
      <c r="DD27" s="332">
        <f t="shared" si="23"/>
        <v>203450.68167322347</v>
      </c>
      <c r="DE27" s="314">
        <f t="shared" si="24"/>
        <v>119557.29451489016</v>
      </c>
      <c r="DF27" s="314"/>
      <c r="DG27" s="314"/>
      <c r="DH27" s="315">
        <f>_xlfn.IFNA((VLOOKUP($A27,HN!$A:$M,8,FALSE)/12),0)</f>
        <v>0</v>
      </c>
      <c r="DI27" s="315">
        <f>_xlfn.IFNA((VLOOKUP($A27,HN!$A:$M,12,FALSE)/12),0)</f>
        <v>10166.666666666666</v>
      </c>
      <c r="DJ27" s="315">
        <f>_xlfn.IFNA((VLOOKUP($A27,HN!$A:$M,9,FALSE)/12),0)</f>
        <v>0</v>
      </c>
      <c r="DK27" s="315">
        <f>_xlfn.IFNA((VLOOKUP($A27,'Post 16'!$A:$AG,33,FALSE)/8),0)</f>
        <v>0</v>
      </c>
      <c r="DL27" s="315"/>
      <c r="DM27" s="315">
        <f>_xlfn.IFNA(((VLOOKUP($A27,HN!$A:$M,10,FALSE)-$U27-$AK27)/10),0)</f>
        <v>0</v>
      </c>
      <c r="DN27" s="315">
        <f>_xlfn.IFNA(((VLOOKUP($A27,HN!$A:$M,13,FALSE)-$V27-$AL27)/10),0)</f>
        <v>29384.226666666666</v>
      </c>
      <c r="DO27" s="314">
        <f t="shared" si="25"/>
        <v>-562.32499999999993</v>
      </c>
      <c r="DP27" s="314">
        <f t="shared" si="26"/>
        <v>-1986.0771750000001</v>
      </c>
      <c r="DQ27" s="315"/>
      <c r="DR27" s="315"/>
      <c r="DS27" s="315"/>
      <c r="DT27" s="314">
        <f t="shared" si="27"/>
        <v>156559.78567322346</v>
      </c>
      <c r="DU27" s="307">
        <f t="shared" si="28"/>
        <v>119557.29451489016</v>
      </c>
      <c r="DV27" s="307"/>
      <c r="DW27" s="307"/>
      <c r="DX27" s="308">
        <f>_xlfn.IFNA((VLOOKUP($A27,HN!$A:$M,8,FALSE)/12),0)</f>
        <v>0</v>
      </c>
      <c r="DY27" s="308">
        <f>_xlfn.IFNA((VLOOKUP($A27,HN!$A:$M,12,FALSE)/12),0)</f>
        <v>10166.666666666666</v>
      </c>
      <c r="DZ27" s="308">
        <f>_xlfn.IFNA((VLOOKUP($A27,HN!$A:$M,9,FALSE)/12),0)</f>
        <v>0</v>
      </c>
      <c r="EA27" s="308">
        <f>_xlfn.IFNA((VLOOKUP($A27,'Post 16'!$A:$AG,33,FALSE)/8),0)</f>
        <v>0</v>
      </c>
      <c r="EB27" s="308"/>
      <c r="EC27" s="308">
        <f>_xlfn.IFNA(((VLOOKUP($A27,HN!$A:$M,10,FALSE)-$U27-$AK27)/10),0)</f>
        <v>0</v>
      </c>
      <c r="ED27" s="308">
        <f>_xlfn.IFNA(((VLOOKUP($A27,HN!$A:$M,13,FALSE)-$V27-$AL27)/10),0)</f>
        <v>29384.226666666666</v>
      </c>
      <c r="EE27" s="307">
        <f t="shared" si="29"/>
        <v>-562.32499999999993</v>
      </c>
      <c r="EF27" s="307">
        <f t="shared" si="30"/>
        <v>-1986.0771750000001</v>
      </c>
      <c r="EG27" s="308"/>
      <c r="EH27" s="308"/>
      <c r="EI27" s="308"/>
      <c r="EJ27" s="307">
        <f t="shared" si="31"/>
        <v>156559.78567322346</v>
      </c>
      <c r="EK27" s="320">
        <f t="shared" si="32"/>
        <v>119557.29451489016</v>
      </c>
      <c r="EL27" s="320"/>
      <c r="EM27" s="320"/>
      <c r="EN27" s="321">
        <f>_xlfn.IFNA((VLOOKUP($A27,HN!$A:$M,8,FALSE)/12),0)</f>
        <v>0</v>
      </c>
      <c r="EO27" s="321">
        <f>_xlfn.IFNA((VLOOKUP($A27,HN!$A:$M,12,FALSE)/12),0)</f>
        <v>10166.666666666666</v>
      </c>
      <c r="EP27" s="321">
        <f>_xlfn.IFNA((VLOOKUP($A27,HN!$A:$M,9,FALSE)/12),0)</f>
        <v>0</v>
      </c>
      <c r="EQ27" s="321">
        <f>_xlfn.IFNA((VLOOKUP($A27,'Post 16'!$A:$AG,33,FALSE)/8),0)</f>
        <v>0</v>
      </c>
      <c r="ER27" s="321"/>
      <c r="ES27" s="321">
        <f>_xlfn.IFNA(((VLOOKUP($A27,HN!$A:$M,10,FALSE)-$U27-$AK27)/10),0)</f>
        <v>0</v>
      </c>
      <c r="ET27" s="321">
        <f>_xlfn.IFNA(((VLOOKUP($A27,HN!$A:$M,13,FALSE)-$V27-$AL27)/10),0)</f>
        <v>29384.226666666666</v>
      </c>
      <c r="EU27" s="320">
        <f t="shared" si="33"/>
        <v>-562.32499999999993</v>
      </c>
      <c r="EV27" s="320">
        <f t="shared" si="34"/>
        <v>-1986.0771750000001</v>
      </c>
      <c r="EW27" s="321"/>
      <c r="EX27" s="321"/>
      <c r="EY27" s="321"/>
      <c r="EZ27" s="320">
        <f t="shared" si="35"/>
        <v>156559.78567322346</v>
      </c>
      <c r="FA27" s="286">
        <f t="shared" si="36"/>
        <v>119557.29451489016</v>
      </c>
      <c r="FB27" s="286"/>
      <c r="FC27" s="286"/>
      <c r="FD27" s="287">
        <f>_xlfn.IFNA((VLOOKUP($A27,HN!$A:$M,8,FALSE)/12),0)</f>
        <v>0</v>
      </c>
      <c r="FE27" s="287">
        <f>_xlfn.IFNA((VLOOKUP($A27,HN!$A:$M,12,FALSE)/12),0)</f>
        <v>10166.666666666666</v>
      </c>
      <c r="FF27" s="287">
        <f>_xlfn.IFNA((VLOOKUP($A27,HN!$A:$M,9,FALSE)/12),0)</f>
        <v>0</v>
      </c>
      <c r="FG27" s="287">
        <f>_xlfn.IFNA((VLOOKUP($A27,'Post 16'!$A:$AG,33,FALSE)/8),0)</f>
        <v>0</v>
      </c>
      <c r="FH27" s="287"/>
      <c r="FI27" s="287">
        <f>_xlfn.IFNA(((VLOOKUP($A27,HN!$A:$M,10,FALSE)-$U27-$AK27)/10),0)</f>
        <v>0</v>
      </c>
      <c r="FJ27" s="287">
        <f>_xlfn.IFNA(((VLOOKUP($A27,HN!$A:$M,13,FALSE)-$V27-$AL27)/10),0)</f>
        <v>29384.226666666666</v>
      </c>
      <c r="FK27" s="286">
        <f t="shared" si="37"/>
        <v>-562.32499999999993</v>
      </c>
      <c r="FL27" s="286">
        <f t="shared" si="38"/>
        <v>-1986.0771750000001</v>
      </c>
      <c r="FM27" s="287"/>
      <c r="FN27" s="287"/>
      <c r="FO27" s="287"/>
      <c r="FP27" s="286">
        <f t="shared" si="39"/>
        <v>156559.78567322346</v>
      </c>
      <c r="FQ27" s="293">
        <f t="shared" si="40"/>
        <v>119557.29451489016</v>
      </c>
      <c r="FR27" s="293"/>
      <c r="FS27" s="293"/>
      <c r="FT27" s="294">
        <f>_xlfn.IFNA((VLOOKUP($A27,HN!$A:$M,8,FALSE)/12),0)</f>
        <v>0</v>
      </c>
      <c r="FU27" s="294">
        <f>_xlfn.IFNA((VLOOKUP($A27,HN!$A:$M,12,FALSE)/12),0)</f>
        <v>10166.666666666666</v>
      </c>
      <c r="FV27" s="294">
        <f>_xlfn.IFNA((VLOOKUP($A27,HN!$A:$M,9,FALSE)/12),0)</f>
        <v>0</v>
      </c>
      <c r="FW27" s="294">
        <f>_xlfn.IFNA((VLOOKUP($A27,'Post 16'!$A:$AG,33,FALSE)/8),0)</f>
        <v>0</v>
      </c>
      <c r="FX27" s="294"/>
      <c r="FY27" s="294">
        <f>_xlfn.IFNA(((VLOOKUP($A27,HN!$A:$M,10,FALSE)-$U27-$AK27)/10),0)</f>
        <v>0</v>
      </c>
      <c r="FZ27" s="294">
        <f>_xlfn.IFNA(((VLOOKUP($A27,HN!$A:$M,13,FALSE)-$V27-$AL27)/10),0)</f>
        <v>29384.226666666666</v>
      </c>
      <c r="GA27" s="293">
        <f t="shared" si="41"/>
        <v>-562.32499999999993</v>
      </c>
      <c r="GB27" s="293">
        <f t="shared" si="42"/>
        <v>-1986.0771750000001</v>
      </c>
      <c r="GC27" s="294"/>
      <c r="GD27" s="294"/>
      <c r="GE27" s="294"/>
      <c r="GF27" s="293">
        <f t="shared" si="43"/>
        <v>156559.78567322346</v>
      </c>
      <c r="GG27" s="300">
        <f t="shared" si="44"/>
        <v>119557.29451489016</v>
      </c>
      <c r="GH27" s="300"/>
      <c r="GI27" s="300"/>
      <c r="GJ27" s="301">
        <f>_xlfn.IFNA((VLOOKUP($A27,HN!$A:$M,8,FALSE)/12),0)</f>
        <v>0</v>
      </c>
      <c r="GK27" s="301">
        <f>_xlfn.IFNA((VLOOKUP($A27,HN!$A:$M,12,FALSE)/12),0)</f>
        <v>10166.666666666666</v>
      </c>
      <c r="GL27" s="301">
        <f>_xlfn.IFNA((VLOOKUP($A27,HN!$A:$M,9,FALSE)/12),0)</f>
        <v>0</v>
      </c>
      <c r="GM27" s="301">
        <f>_xlfn.IFNA((VLOOKUP($A27,'Post 16'!$A:$AG,33,FALSE)/8),0)</f>
        <v>0</v>
      </c>
      <c r="GN27" s="301"/>
      <c r="GO27" s="301">
        <f>_xlfn.IFNA(((VLOOKUP($A27,HN!$A:$M,10,FALSE)-$U27-$AK27)/10),0)</f>
        <v>0</v>
      </c>
      <c r="GP27" s="301">
        <f>_xlfn.IFNA(((VLOOKUP($A27,HN!$A:$M,13,FALSE)-$V27-$AL27)/10),0)</f>
        <v>29384.226666666666</v>
      </c>
      <c r="GQ27" s="300">
        <f t="shared" si="45"/>
        <v>-562.32499999999993</v>
      </c>
      <c r="GR27" s="300">
        <f t="shared" si="46"/>
        <v>-1986.0771750000001</v>
      </c>
      <c r="GS27" s="301"/>
      <c r="GT27" s="301"/>
      <c r="GU27" s="301"/>
      <c r="GV27" s="300">
        <f t="shared" si="47"/>
        <v>156559.78567322346</v>
      </c>
      <c r="GX27" s="146">
        <f t="shared" si="50"/>
        <v>1662620.3333365766</v>
      </c>
      <c r="GY27" s="146">
        <f t="shared" si="50"/>
        <v>0</v>
      </c>
      <c r="GZ27" s="146">
        <f t="shared" si="50"/>
        <v>361023.82</v>
      </c>
      <c r="HA27" s="146">
        <f t="shared" si="50"/>
        <v>-6747.8999999999987</v>
      </c>
      <c r="HB27" s="146">
        <f t="shared" si="50"/>
        <v>-23832.926099999997</v>
      </c>
      <c r="HC27" s="146">
        <f t="shared" si="50"/>
        <v>0</v>
      </c>
      <c r="HE27" s="146">
        <f t="shared" si="51"/>
        <v>448213.78670256521</v>
      </c>
      <c r="HF27" s="146">
        <f t="shared" si="51"/>
        <v>0</v>
      </c>
      <c r="HG27" s="146">
        <f t="shared" si="51"/>
        <v>96565.78</v>
      </c>
      <c r="HH27" s="146">
        <f t="shared" si="51"/>
        <v>-1686.9749999999999</v>
      </c>
      <c r="HI27" s="146">
        <f t="shared" si="51"/>
        <v>-5958.2315250000001</v>
      </c>
      <c r="HJ27" s="146">
        <f t="shared" si="51"/>
        <v>0</v>
      </c>
      <c r="HL27" s="146"/>
      <c r="HM27" s="57"/>
    </row>
    <row r="28" spans="1:221">
      <c r="A28" s="185">
        <v>2401</v>
      </c>
      <c r="B28" s="185">
        <v>103341</v>
      </c>
      <c r="C28" s="185" t="s">
        <v>78</v>
      </c>
      <c r="D28" s="2" t="s">
        <v>79</v>
      </c>
      <c r="E28" s="190" t="s">
        <v>39</v>
      </c>
      <c r="F28" s="190" t="s">
        <v>890</v>
      </c>
      <c r="H28" s="271">
        <f>_xlfn.IFNA(VLOOKUP($A28,ISB!$A$4:$BY$441,67,FALSE),0)</f>
        <v>1975396.665</v>
      </c>
      <c r="I28" s="271">
        <f>_xlfn.IFNA(VLOOKUP($A28,ISB!$A$4:$BY$441,72,FALSE),0)</f>
        <v>-9462</v>
      </c>
      <c r="J28" s="271">
        <f>-_xlfn.IFNA(VLOOKUP($A28,ISB!$A$4:$BY$441,76,FALSE),0)</f>
        <v>-31696.665000000001</v>
      </c>
      <c r="K28" s="271">
        <f>_xlfn.IFNA(VLOOKUP($A28,ISB!$A$4:$BY$441,77,FALSE),0)</f>
        <v>1934238</v>
      </c>
      <c r="M28" s="279">
        <f t="shared" si="0"/>
        <v>164616.38875000001</v>
      </c>
      <c r="N28" s="279"/>
      <c r="O28" s="279">
        <f>_xlfn.IFNA(VLOOKUP($A28,EY!$A:$H,8,FALSE)+(VLOOKUP($A28,EY!$A:$R,18,FALSE)-$T28),0)</f>
        <v>0</v>
      </c>
      <c r="P28" s="280">
        <f>_xlfn.IFNA((VLOOKUP($A28,HN!$A:$M,8,FALSE)/12),0)</f>
        <v>0</v>
      </c>
      <c r="Q28" s="280">
        <f>_xlfn.IFNA((VLOOKUP($A28,HN!$A:$M,12,FALSE)/12),0)</f>
        <v>0</v>
      </c>
      <c r="R28" s="280">
        <f>_xlfn.IFNA((VLOOKUP($A28,HN!$A:$M,9,FALSE)/12),0)</f>
        <v>0</v>
      </c>
      <c r="S28" s="280">
        <f>_xlfn.IFNA((VLOOKUP($A28,'Post 16'!$A:$AR,22,FALSE)/4),0)</f>
        <v>0</v>
      </c>
      <c r="T28" s="280">
        <f>_xlfn.IFNA((VLOOKUP($A28,EY!$A:$R,16,FALSE)*80%),0)</f>
        <v>0</v>
      </c>
      <c r="U28" s="280">
        <v>13719.048333333334</v>
      </c>
      <c r="V28" s="280">
        <v>0</v>
      </c>
      <c r="W28" s="279">
        <f t="shared" si="1"/>
        <v>-788.5</v>
      </c>
      <c r="X28" s="279">
        <f t="shared" si="2"/>
        <v>-2641.3887500000001</v>
      </c>
      <c r="Y28" s="280"/>
      <c r="Z28" s="280"/>
      <c r="AA28" s="280"/>
      <c r="AB28" s="279">
        <f t="shared" si="3"/>
        <v>174905.54833333334</v>
      </c>
      <c r="AC28" s="293">
        <f t="shared" si="4"/>
        <v>164616.38875000001</v>
      </c>
      <c r="AD28" s="293"/>
      <c r="AE28" s="293"/>
      <c r="AF28" s="294">
        <f>_xlfn.IFNA((VLOOKUP($A28,HN!$A:$M,8,FALSE)/12),0)</f>
        <v>0</v>
      </c>
      <c r="AG28" s="294">
        <f>_xlfn.IFNA((VLOOKUP($A28,HN!$A:$M,12,FALSE)/12),0)+_xlfn.IFNA(VLOOKUP($A28,HN!$A:$Q,17,FALSE),0)</f>
        <v>0</v>
      </c>
      <c r="AH28" s="294">
        <f>_xlfn.IFNA((VLOOKUP($A28,HN!$A:$M,9,FALSE)/12),0)</f>
        <v>0</v>
      </c>
      <c r="AI28" s="294">
        <f>_xlfn.IFNA((VLOOKUP($A28,'Post 16'!$A:$AR,22,FALSE)/4),0)</f>
        <v>0</v>
      </c>
      <c r="AJ28" s="294"/>
      <c r="AK28" s="294">
        <f>_xlfn.IFNA((VLOOKUP($A28,HN!$A:$M,10,FALSE)/12),0)</f>
        <v>4069.7158333333332</v>
      </c>
      <c r="AL28" s="294">
        <f>_xlfn.IFNA((VLOOKUP($A28,HN!$A:$M,13,FALSE)/12),0)</f>
        <v>0</v>
      </c>
      <c r="AM28" s="293">
        <f t="shared" si="5"/>
        <v>-788.5</v>
      </c>
      <c r="AN28" s="293">
        <f t="shared" si="6"/>
        <v>-2641.3887500000001</v>
      </c>
      <c r="AO28" s="294"/>
      <c r="AP28" s="294"/>
      <c r="AQ28" s="294"/>
      <c r="AR28" s="293">
        <f t="shared" si="7"/>
        <v>165256.21583333332</v>
      </c>
      <c r="AS28" s="286">
        <f t="shared" si="8"/>
        <v>164616.38875000001</v>
      </c>
      <c r="AT28" s="286"/>
      <c r="AU28" s="286">
        <f>_xlfn.IFNA(VLOOKUP(A28,EY!A:AO,40,FALSE),0)</f>
        <v>0</v>
      </c>
      <c r="AV28" s="287">
        <f>_xlfn.IFNA((VLOOKUP($A28,HN!$A:$M,8,FALSE)/12),0)</f>
        <v>0</v>
      </c>
      <c r="AW28" s="287">
        <f>_xlfn.IFNA((VLOOKUP($A28,HN!$A:$M,12,FALSE)/12),0)+_xlfn.IFNA(VLOOKUP($A28,HN!$A$8:$AU$200,19,FALSE),0)</f>
        <v>0</v>
      </c>
      <c r="AX28" s="287">
        <f>_xlfn.IFNA((VLOOKUP($A28,HN!$A:$M,9,FALSE)/12),0)</f>
        <v>0</v>
      </c>
      <c r="AY28" s="287">
        <f>_xlfn.IFNA((VLOOKUP($A28,'Post 16'!$A:$AR,22,FALSE)/4),0)</f>
        <v>0</v>
      </c>
      <c r="AZ28" s="287">
        <f>_xlfn.IFNA(VLOOKUP(A28,EY!A:AO,41,FALSE),0)</f>
        <v>0</v>
      </c>
      <c r="BA28" s="287">
        <f>_xlfn.IFNA(((VLOOKUP($A28,HN!$A:$M,10,FALSE)-$U28-$AK28)/10),0)+_xlfn.IFNA(VLOOKUP($A28,HN!$A:$R,18,FALSE),0)</f>
        <v>3104.7825833333332</v>
      </c>
      <c r="BB28" s="287">
        <f>_xlfn.IFNA(((VLOOKUP($A28,HN!$A:$M,13,FALSE)-$V28-$AL28)/10),0)+_xlfn.IFNA(VLOOKUP($A28,HN!$A$8:$AU$200,20,FALSE),0)</f>
        <v>0</v>
      </c>
      <c r="BC28" s="286">
        <f t="shared" si="9"/>
        <v>-788.5</v>
      </c>
      <c r="BD28" s="286">
        <f t="shared" si="10"/>
        <v>-2641.3887500000001</v>
      </c>
      <c r="BE28" s="287"/>
      <c r="BF28" s="287"/>
      <c r="BG28" s="287"/>
      <c r="BH28" s="286">
        <f t="shared" si="11"/>
        <v>164291.28258333332</v>
      </c>
      <c r="BI28" s="307">
        <f t="shared" si="12"/>
        <v>164616.38875000001</v>
      </c>
      <c r="BJ28" s="307">
        <f>_xlfn.IFNA(VLOOKUP(A28,'LA Deductions'!A:AH,34,FALSE),0)</f>
        <v>0</v>
      </c>
      <c r="BK28" s="307"/>
      <c r="BL28" s="308">
        <f>_xlfn.IFNA((VLOOKUP($A28,HN!$A:$M,8,FALSE)/12),0)</f>
        <v>0</v>
      </c>
      <c r="BM28" s="308">
        <f>_xlfn.IFNA((VLOOKUP($A28,HN!$A:$M,12,FALSE)/12),0)</f>
        <v>0</v>
      </c>
      <c r="BN28" s="308">
        <f>_xlfn.IFNA((VLOOKUP($A28,HN!$A:$M,9,FALSE)/12),0)</f>
        <v>0</v>
      </c>
      <c r="BO28" s="308">
        <f>_xlfn.IFNA((VLOOKUP($A28,'Post 16'!$A:$AR,22,FALSE)/4),0)</f>
        <v>0</v>
      </c>
      <c r="BP28" s="308"/>
      <c r="BQ28" s="308">
        <f>_xlfn.IFNA(((VLOOKUP($A28,HN!$A:$M,10,FALSE)-$U28-$AK28)/10),0)</f>
        <v>3104.7825833333332</v>
      </c>
      <c r="BR28" s="308">
        <f>_xlfn.IFNA(((VLOOKUP($A28,HN!$A:$M,13,FALSE)-$V28-$AL28)/10),0)</f>
        <v>0</v>
      </c>
      <c r="BS28" s="307">
        <f t="shared" si="13"/>
        <v>-788.5</v>
      </c>
      <c r="BT28" s="307">
        <f t="shared" si="14"/>
        <v>-2641.3887500000001</v>
      </c>
      <c r="BU28" s="308"/>
      <c r="BV28" s="308"/>
      <c r="BW28" s="308"/>
      <c r="BX28" s="307">
        <f t="shared" si="15"/>
        <v>164291.28258333332</v>
      </c>
      <c r="BY28" s="300">
        <f t="shared" si="16"/>
        <v>164616.38875000001</v>
      </c>
      <c r="BZ28" s="300"/>
      <c r="CA28" s="300"/>
      <c r="CB28" s="301">
        <f>_xlfn.IFNA((VLOOKUP($A28,HN!$A:$M,8,FALSE)/12),0)</f>
        <v>0</v>
      </c>
      <c r="CC28" s="301">
        <f>_xlfn.IFNA((VLOOKUP($A28,HN!$A:$M,12,FALSE)/12),0)</f>
        <v>0</v>
      </c>
      <c r="CD28" s="301">
        <f>_xlfn.IFNA((VLOOKUP($A28,HN!$A:$M,9,FALSE)/12),0)</f>
        <v>0</v>
      </c>
      <c r="CE28" s="301">
        <f>_xlfn.IFNA((VLOOKUP($A28,'Post 16'!$A:$AG,33,FALSE)/8),0)</f>
        <v>0</v>
      </c>
      <c r="CF28" s="301"/>
      <c r="CG28" s="301">
        <f>_xlfn.IFNA(((VLOOKUP($A28,HN!$A:$M,10,FALSE)-$U28-$AK28)/10),0)</f>
        <v>3104.7825833333332</v>
      </c>
      <c r="CH28" s="301">
        <f>_xlfn.IFNA(((VLOOKUP($A28,HN!$A:$M,13,FALSE)-$V28-$AL28)/10),0)</f>
        <v>0</v>
      </c>
      <c r="CI28" s="300">
        <f t="shared" si="17"/>
        <v>-788.5</v>
      </c>
      <c r="CJ28" s="300">
        <f t="shared" si="18"/>
        <v>-2641.3887500000001</v>
      </c>
      <c r="CK28" s="301"/>
      <c r="CL28" s="301"/>
      <c r="CM28" s="301"/>
      <c r="CN28" s="300">
        <f t="shared" si="19"/>
        <v>164291.28258333332</v>
      </c>
      <c r="CO28" s="332">
        <f t="shared" si="20"/>
        <v>164616.38875000001</v>
      </c>
      <c r="CP28" s="332"/>
      <c r="CQ28" s="332">
        <f>_xlfn.IFNA((VLOOKUP($A28,EY!$A:$AB,28,FALSE)-$CV28),0)</f>
        <v>0</v>
      </c>
      <c r="CR28" s="333">
        <f>_xlfn.IFNA((VLOOKUP($A28,HN!$A:$M,8,FALSE)/12),0)</f>
        <v>0</v>
      </c>
      <c r="CS28" s="333">
        <f>_xlfn.IFNA((VLOOKUP($A28,HN!$A:$M,12,FALSE)/12),0)</f>
        <v>0</v>
      </c>
      <c r="CT28" s="333">
        <f>_xlfn.IFNA((VLOOKUP($A28,HN!$A:$M,9,FALSE)/12),0)</f>
        <v>0</v>
      </c>
      <c r="CU28" s="333">
        <f>_xlfn.IFNA((VLOOKUP($A28,'Post 16'!$A:$AG,33,FALSE)/8),0)</f>
        <v>0</v>
      </c>
      <c r="CV28" s="333">
        <f>_xlfn.IFNA((VLOOKUP($A28,EY!$A:$AB,26,FALSE)*80%),0)</f>
        <v>0</v>
      </c>
      <c r="CW28" s="333">
        <f>_xlfn.IFNA(((VLOOKUP($A28,HN!$A:$M,10,FALSE)-$U28-$AK28)/10),0)</f>
        <v>3104.7825833333332</v>
      </c>
      <c r="CX28" s="333">
        <f>_xlfn.IFNA(((VLOOKUP($A28,HN!$A:$M,13,FALSE)-$V28-$AL28)/10),0)</f>
        <v>0</v>
      </c>
      <c r="CY28" s="332">
        <f t="shared" si="21"/>
        <v>-788.5</v>
      </c>
      <c r="CZ28" s="332">
        <f t="shared" si="22"/>
        <v>-2641.3887500000001</v>
      </c>
      <c r="DA28" s="333"/>
      <c r="DB28" s="333"/>
      <c r="DC28" s="333"/>
      <c r="DD28" s="332">
        <f t="shared" si="23"/>
        <v>164291.28258333332</v>
      </c>
      <c r="DE28" s="314">
        <f t="shared" si="24"/>
        <v>164616.38875000001</v>
      </c>
      <c r="DF28" s="314"/>
      <c r="DG28" s="314"/>
      <c r="DH28" s="315">
        <f>_xlfn.IFNA((VLOOKUP($A28,HN!$A:$M,8,FALSE)/12),0)</f>
        <v>0</v>
      </c>
      <c r="DI28" s="315">
        <f>_xlfn.IFNA((VLOOKUP($A28,HN!$A:$M,12,FALSE)/12),0)</f>
        <v>0</v>
      </c>
      <c r="DJ28" s="315">
        <f>_xlfn.IFNA((VLOOKUP($A28,HN!$A:$M,9,FALSE)/12),0)</f>
        <v>0</v>
      </c>
      <c r="DK28" s="315">
        <f>_xlfn.IFNA((VLOOKUP($A28,'Post 16'!$A:$AG,33,FALSE)/8),0)</f>
        <v>0</v>
      </c>
      <c r="DL28" s="315"/>
      <c r="DM28" s="315">
        <f>_xlfn.IFNA(((VLOOKUP($A28,HN!$A:$M,10,FALSE)-$U28-$AK28)/10),0)</f>
        <v>3104.7825833333332</v>
      </c>
      <c r="DN28" s="315">
        <f>_xlfn.IFNA(((VLOOKUP($A28,HN!$A:$M,13,FALSE)-$V28-$AL28)/10),0)</f>
        <v>0</v>
      </c>
      <c r="DO28" s="314">
        <f t="shared" si="25"/>
        <v>-788.5</v>
      </c>
      <c r="DP28" s="314">
        <f t="shared" si="26"/>
        <v>-2641.3887500000001</v>
      </c>
      <c r="DQ28" s="315"/>
      <c r="DR28" s="315"/>
      <c r="DS28" s="315"/>
      <c r="DT28" s="314">
        <f t="shared" si="27"/>
        <v>164291.28258333332</v>
      </c>
      <c r="DU28" s="307">
        <f t="shared" si="28"/>
        <v>164616.38875000001</v>
      </c>
      <c r="DV28" s="307"/>
      <c r="DW28" s="307"/>
      <c r="DX28" s="308">
        <f>_xlfn.IFNA((VLOOKUP($A28,HN!$A:$M,8,FALSE)/12),0)</f>
        <v>0</v>
      </c>
      <c r="DY28" s="308">
        <f>_xlfn.IFNA((VLOOKUP($A28,HN!$A:$M,12,FALSE)/12),0)</f>
        <v>0</v>
      </c>
      <c r="DZ28" s="308">
        <f>_xlfn.IFNA((VLOOKUP($A28,HN!$A:$M,9,FALSE)/12),0)</f>
        <v>0</v>
      </c>
      <c r="EA28" s="308">
        <f>_xlfn.IFNA((VLOOKUP($A28,'Post 16'!$A:$AG,33,FALSE)/8),0)</f>
        <v>0</v>
      </c>
      <c r="EB28" s="308"/>
      <c r="EC28" s="308">
        <f>_xlfn.IFNA(((VLOOKUP($A28,HN!$A:$M,10,FALSE)-$U28-$AK28)/10),0)</f>
        <v>3104.7825833333332</v>
      </c>
      <c r="ED28" s="308">
        <f>_xlfn.IFNA(((VLOOKUP($A28,HN!$A:$M,13,FALSE)-$V28-$AL28)/10),0)</f>
        <v>0</v>
      </c>
      <c r="EE28" s="307">
        <f t="shared" si="29"/>
        <v>-788.5</v>
      </c>
      <c r="EF28" s="307">
        <f t="shared" si="30"/>
        <v>-2641.3887500000001</v>
      </c>
      <c r="EG28" s="308"/>
      <c r="EH28" s="308"/>
      <c r="EI28" s="308"/>
      <c r="EJ28" s="307">
        <f t="shared" si="31"/>
        <v>164291.28258333332</v>
      </c>
      <c r="EK28" s="320">
        <f t="shared" si="32"/>
        <v>164616.38875000001</v>
      </c>
      <c r="EL28" s="320"/>
      <c r="EM28" s="320"/>
      <c r="EN28" s="321">
        <f>_xlfn.IFNA((VLOOKUP($A28,HN!$A:$M,8,FALSE)/12),0)</f>
        <v>0</v>
      </c>
      <c r="EO28" s="321">
        <f>_xlfn.IFNA((VLOOKUP($A28,HN!$A:$M,12,FALSE)/12),0)</f>
        <v>0</v>
      </c>
      <c r="EP28" s="321">
        <f>_xlfn.IFNA((VLOOKUP($A28,HN!$A:$M,9,FALSE)/12),0)</f>
        <v>0</v>
      </c>
      <c r="EQ28" s="321">
        <f>_xlfn.IFNA((VLOOKUP($A28,'Post 16'!$A:$AG,33,FALSE)/8),0)</f>
        <v>0</v>
      </c>
      <c r="ER28" s="321"/>
      <c r="ES28" s="321">
        <f>_xlfn.IFNA(((VLOOKUP($A28,HN!$A:$M,10,FALSE)-$U28-$AK28)/10),0)</f>
        <v>3104.7825833333332</v>
      </c>
      <c r="ET28" s="321">
        <f>_xlfn.IFNA(((VLOOKUP($A28,HN!$A:$M,13,FALSE)-$V28-$AL28)/10),0)</f>
        <v>0</v>
      </c>
      <c r="EU28" s="320">
        <f t="shared" si="33"/>
        <v>-788.5</v>
      </c>
      <c r="EV28" s="320">
        <f t="shared" si="34"/>
        <v>-2641.3887500000001</v>
      </c>
      <c r="EW28" s="321"/>
      <c r="EX28" s="321"/>
      <c r="EY28" s="321"/>
      <c r="EZ28" s="320">
        <f t="shared" si="35"/>
        <v>164291.28258333332</v>
      </c>
      <c r="FA28" s="286">
        <f t="shared" si="36"/>
        <v>164616.38875000001</v>
      </c>
      <c r="FB28" s="286"/>
      <c r="FC28" s="286"/>
      <c r="FD28" s="287">
        <f>_xlfn.IFNA((VLOOKUP($A28,HN!$A:$M,8,FALSE)/12),0)</f>
        <v>0</v>
      </c>
      <c r="FE28" s="287">
        <f>_xlfn.IFNA((VLOOKUP($A28,HN!$A:$M,12,FALSE)/12),0)</f>
        <v>0</v>
      </c>
      <c r="FF28" s="287">
        <f>_xlfn.IFNA((VLOOKUP($A28,HN!$A:$M,9,FALSE)/12),0)</f>
        <v>0</v>
      </c>
      <c r="FG28" s="287">
        <f>_xlfn.IFNA((VLOOKUP($A28,'Post 16'!$A:$AG,33,FALSE)/8),0)</f>
        <v>0</v>
      </c>
      <c r="FH28" s="287"/>
      <c r="FI28" s="287">
        <f>_xlfn.IFNA(((VLOOKUP($A28,HN!$A:$M,10,FALSE)-$U28-$AK28)/10),0)</f>
        <v>3104.7825833333332</v>
      </c>
      <c r="FJ28" s="287">
        <f>_xlfn.IFNA(((VLOOKUP($A28,HN!$A:$M,13,FALSE)-$V28-$AL28)/10),0)</f>
        <v>0</v>
      </c>
      <c r="FK28" s="286">
        <f t="shared" si="37"/>
        <v>-788.5</v>
      </c>
      <c r="FL28" s="286">
        <f t="shared" si="38"/>
        <v>-2641.3887500000001</v>
      </c>
      <c r="FM28" s="287"/>
      <c r="FN28" s="287"/>
      <c r="FO28" s="287"/>
      <c r="FP28" s="286">
        <f t="shared" si="39"/>
        <v>164291.28258333332</v>
      </c>
      <c r="FQ28" s="293">
        <f t="shared" si="40"/>
        <v>164616.38875000001</v>
      </c>
      <c r="FR28" s="293"/>
      <c r="FS28" s="293"/>
      <c r="FT28" s="294">
        <f>_xlfn.IFNA((VLOOKUP($A28,HN!$A:$M,8,FALSE)/12),0)</f>
        <v>0</v>
      </c>
      <c r="FU28" s="294">
        <f>_xlfn.IFNA((VLOOKUP($A28,HN!$A:$M,12,FALSE)/12),0)</f>
        <v>0</v>
      </c>
      <c r="FV28" s="294">
        <f>_xlfn.IFNA((VLOOKUP($A28,HN!$A:$M,9,FALSE)/12),0)</f>
        <v>0</v>
      </c>
      <c r="FW28" s="294">
        <f>_xlfn.IFNA((VLOOKUP($A28,'Post 16'!$A:$AG,33,FALSE)/8),0)</f>
        <v>0</v>
      </c>
      <c r="FX28" s="294"/>
      <c r="FY28" s="294">
        <f>_xlfn.IFNA(((VLOOKUP($A28,HN!$A:$M,10,FALSE)-$U28-$AK28)/10),0)</f>
        <v>3104.7825833333332</v>
      </c>
      <c r="FZ28" s="294">
        <f>_xlfn.IFNA(((VLOOKUP($A28,HN!$A:$M,13,FALSE)-$V28-$AL28)/10),0)</f>
        <v>0</v>
      </c>
      <c r="GA28" s="293">
        <f t="shared" si="41"/>
        <v>-788.5</v>
      </c>
      <c r="GB28" s="293">
        <f t="shared" si="42"/>
        <v>-2641.3887500000001</v>
      </c>
      <c r="GC28" s="294"/>
      <c r="GD28" s="294"/>
      <c r="GE28" s="294"/>
      <c r="GF28" s="293">
        <f t="shared" si="43"/>
        <v>164291.28258333332</v>
      </c>
      <c r="GG28" s="300">
        <f t="shared" si="44"/>
        <v>164616.38875000001</v>
      </c>
      <c r="GH28" s="300"/>
      <c r="GI28" s="300"/>
      <c r="GJ28" s="301">
        <f>_xlfn.IFNA((VLOOKUP($A28,HN!$A:$M,8,FALSE)/12),0)</f>
        <v>0</v>
      </c>
      <c r="GK28" s="301">
        <f>_xlfn.IFNA((VLOOKUP($A28,HN!$A:$M,12,FALSE)/12),0)</f>
        <v>0</v>
      </c>
      <c r="GL28" s="301">
        <f>_xlfn.IFNA((VLOOKUP($A28,HN!$A:$M,9,FALSE)/12),0)</f>
        <v>0</v>
      </c>
      <c r="GM28" s="301">
        <f>_xlfn.IFNA((VLOOKUP($A28,'Post 16'!$A:$AG,33,FALSE)/8),0)</f>
        <v>0</v>
      </c>
      <c r="GN28" s="301"/>
      <c r="GO28" s="301">
        <f>_xlfn.IFNA(((VLOOKUP($A28,HN!$A:$M,10,FALSE)-$U28-$AK28)/10),0)</f>
        <v>3104.7825833333332</v>
      </c>
      <c r="GP28" s="301">
        <f>_xlfn.IFNA(((VLOOKUP($A28,HN!$A:$M,13,FALSE)-$V28-$AL28)/10),0)</f>
        <v>0</v>
      </c>
      <c r="GQ28" s="300">
        <f t="shared" si="45"/>
        <v>-788.5</v>
      </c>
      <c r="GR28" s="300">
        <f t="shared" si="46"/>
        <v>-2641.3887500000001</v>
      </c>
      <c r="GS28" s="301"/>
      <c r="GT28" s="301"/>
      <c r="GU28" s="301"/>
      <c r="GV28" s="300">
        <f t="shared" si="47"/>
        <v>164291.28258333332</v>
      </c>
      <c r="GX28" s="146">
        <f t="shared" ref="GX28:HC37" si="52">SUMIFS($M28:$GV28,$M$7:$GV$7,GX$7)</f>
        <v>1975396.6649999998</v>
      </c>
      <c r="GY28" s="146">
        <f t="shared" si="52"/>
        <v>0</v>
      </c>
      <c r="GZ28" s="146">
        <f t="shared" si="52"/>
        <v>48836.590000000004</v>
      </c>
      <c r="HA28" s="146">
        <f t="shared" si="52"/>
        <v>-9462</v>
      </c>
      <c r="HB28" s="146">
        <f t="shared" si="52"/>
        <v>-31696.664999999994</v>
      </c>
      <c r="HC28" s="146">
        <f t="shared" si="52"/>
        <v>0</v>
      </c>
      <c r="HE28" s="146">
        <f t="shared" ref="HE28:HJ37" si="53">SUMIFS($M28:$GV28,$M$7:$GV$7,HE$7,$M$4:$GV$4,$HE$6)</f>
        <v>493849.16625000001</v>
      </c>
      <c r="HF28" s="146">
        <f t="shared" si="53"/>
        <v>0</v>
      </c>
      <c r="HG28" s="146">
        <f t="shared" si="53"/>
        <v>20893.546750000001</v>
      </c>
      <c r="HH28" s="146">
        <f t="shared" si="53"/>
        <v>-2365.5</v>
      </c>
      <c r="HI28" s="146">
        <f t="shared" si="53"/>
        <v>-7924.1662500000002</v>
      </c>
      <c r="HJ28" s="146">
        <f t="shared" si="53"/>
        <v>0</v>
      </c>
      <c r="HL28" s="146"/>
      <c r="HM28" s="57"/>
    </row>
    <row r="29" spans="1:221">
      <c r="A29" s="185">
        <v>1001</v>
      </c>
      <c r="B29" s="185">
        <v>103120</v>
      </c>
      <c r="C29" s="185" t="s">
        <v>80</v>
      </c>
      <c r="D29" s="2" t="s">
        <v>81</v>
      </c>
      <c r="E29" s="190" t="s">
        <v>36</v>
      </c>
      <c r="F29" s="190" t="s">
        <v>890</v>
      </c>
      <c r="H29" s="271">
        <f>_xlfn.IFNA(VLOOKUP($A29,ISB!$A$4:$BY$441,67,FALSE),0)</f>
        <v>0</v>
      </c>
      <c r="I29" s="271">
        <f>_xlfn.IFNA(VLOOKUP($A29,ISB!$A$4:$BY$441,72,FALSE),0)</f>
        <v>0</v>
      </c>
      <c r="J29" s="271">
        <f>-_xlfn.IFNA(VLOOKUP($A29,ISB!$A$4:$BY$441,76,FALSE),0)</f>
        <v>0</v>
      </c>
      <c r="K29" s="271">
        <f>_xlfn.IFNA(VLOOKUP($A29,ISB!$A$4:$BY$441,77,FALSE),0)</f>
        <v>0</v>
      </c>
      <c r="M29" s="279">
        <f t="shared" si="0"/>
        <v>0</v>
      </c>
      <c r="N29" s="279"/>
      <c r="O29" s="279">
        <f>_xlfn.IFNA(VLOOKUP($A29,EY!$A:$H,8,FALSE)+(VLOOKUP($A29,EY!$A:$R,18,FALSE)-$T29),0)</f>
        <v>295989.59845434775</v>
      </c>
      <c r="P29" s="280">
        <f>_xlfn.IFNA((VLOOKUP($A29,HN!$A:$M,8,FALSE)/12),0)</f>
        <v>0</v>
      </c>
      <c r="Q29" s="280">
        <f>_xlfn.IFNA((VLOOKUP($A29,HN!$A:$M,12,FALSE)/12),0)</f>
        <v>0</v>
      </c>
      <c r="R29" s="280">
        <f>_xlfn.IFNA((VLOOKUP($A29,HN!$A:$M,9,FALSE)/12),0)</f>
        <v>0</v>
      </c>
      <c r="S29" s="280">
        <f>_xlfn.IFNA((VLOOKUP($A29,'Post 16'!$A:$AR,22,FALSE)/4),0)</f>
        <v>0</v>
      </c>
      <c r="T29" s="280">
        <f>_xlfn.IFNA((VLOOKUP($A29,EY!$A:$R,16,FALSE)*80%),0)</f>
        <v>780</v>
      </c>
      <c r="U29" s="280">
        <v>1607.5</v>
      </c>
      <c r="V29" s="280">
        <v>0</v>
      </c>
      <c r="W29" s="279">
        <f t="shared" si="1"/>
        <v>0</v>
      </c>
      <c r="X29" s="279">
        <f t="shared" si="2"/>
        <v>0</v>
      </c>
      <c r="Y29" s="280"/>
      <c r="Z29" s="280"/>
      <c r="AA29" s="280"/>
      <c r="AB29" s="279">
        <f t="shared" si="3"/>
        <v>298377.09845434775</v>
      </c>
      <c r="AC29" s="293">
        <f t="shared" si="4"/>
        <v>0</v>
      </c>
      <c r="AD29" s="293"/>
      <c r="AE29" s="293"/>
      <c r="AF29" s="294">
        <f>_xlfn.IFNA((VLOOKUP($A29,HN!$A:$M,8,FALSE)/12),0)</f>
        <v>0</v>
      </c>
      <c r="AG29" s="294">
        <f>_xlfn.IFNA((VLOOKUP($A29,HN!$A:$M,12,FALSE)/12),0)+_xlfn.IFNA(VLOOKUP($A29,HN!$A:$Q,17,FALSE),0)</f>
        <v>0</v>
      </c>
      <c r="AH29" s="294">
        <f>_xlfn.IFNA((VLOOKUP($A29,HN!$A:$M,9,FALSE)/12),0)</f>
        <v>0</v>
      </c>
      <c r="AI29" s="294">
        <f>_xlfn.IFNA((VLOOKUP($A29,'Post 16'!$A:$AR,22,FALSE)/4),0)</f>
        <v>0</v>
      </c>
      <c r="AJ29" s="294"/>
      <c r="AK29" s="294">
        <f>_xlfn.IFNA((VLOOKUP($A29,HN!$A:$M,10,FALSE)/12),0)</f>
        <v>461.45833333333331</v>
      </c>
      <c r="AL29" s="294">
        <f>_xlfn.IFNA((VLOOKUP($A29,HN!$A:$M,13,FALSE)/12),0)</f>
        <v>0</v>
      </c>
      <c r="AM29" s="293">
        <f t="shared" si="5"/>
        <v>0</v>
      </c>
      <c r="AN29" s="293">
        <f t="shared" si="6"/>
        <v>0</v>
      </c>
      <c r="AO29" s="294"/>
      <c r="AP29" s="294"/>
      <c r="AQ29" s="294"/>
      <c r="AR29" s="293">
        <f t="shared" si="7"/>
        <v>461.45833333333331</v>
      </c>
      <c r="AS29" s="286">
        <f t="shared" si="8"/>
        <v>0</v>
      </c>
      <c r="AT29" s="286"/>
      <c r="AU29" s="286">
        <f>_xlfn.IFNA(VLOOKUP(A29,EY!A:AO,40,FALSE),0)</f>
        <v>37426.357368421042</v>
      </c>
      <c r="AV29" s="287">
        <f>_xlfn.IFNA((VLOOKUP($A29,HN!$A:$M,8,FALSE)/12),0)</f>
        <v>0</v>
      </c>
      <c r="AW29" s="287">
        <f>_xlfn.IFNA((VLOOKUP($A29,HN!$A:$M,12,FALSE)/12),0)+_xlfn.IFNA(VLOOKUP($A29,HN!$A$8:$AU$200,19,FALSE),0)</f>
        <v>0</v>
      </c>
      <c r="AX29" s="287">
        <f>_xlfn.IFNA((VLOOKUP($A29,HN!$A:$M,9,FALSE)/12),0)</f>
        <v>0</v>
      </c>
      <c r="AY29" s="287">
        <f>_xlfn.IFNA((VLOOKUP($A29,'Post 16'!$A:$AR,22,FALSE)/4),0)</f>
        <v>0</v>
      </c>
      <c r="AZ29" s="287">
        <f>_xlfn.IFNA(VLOOKUP(A29,EY!A:AO,41,FALSE),0)</f>
        <v>-224.49639889196675</v>
      </c>
      <c r="BA29" s="287">
        <f>_xlfn.IFNA(((VLOOKUP($A29,HN!$A:$M,10,FALSE)-$U29-$AK29)/10),0)+_xlfn.IFNA(VLOOKUP($A29,HN!$A:$R,18,FALSE),0)</f>
        <v>346.85416666666663</v>
      </c>
      <c r="BB29" s="287">
        <f>_xlfn.IFNA(((VLOOKUP($A29,HN!$A:$M,13,FALSE)-$V29-$AL29)/10),0)+_xlfn.IFNA(VLOOKUP($A29,HN!$A$8:$AU$200,20,FALSE),0)</f>
        <v>0</v>
      </c>
      <c r="BC29" s="286">
        <f t="shared" si="9"/>
        <v>0</v>
      </c>
      <c r="BD29" s="286">
        <f t="shared" si="10"/>
        <v>0</v>
      </c>
      <c r="BE29" s="287"/>
      <c r="BF29" s="287"/>
      <c r="BG29" s="287"/>
      <c r="BH29" s="286">
        <f t="shared" si="11"/>
        <v>37548.715136195737</v>
      </c>
      <c r="BI29" s="307">
        <f t="shared" si="12"/>
        <v>0</v>
      </c>
      <c r="BJ29" s="307">
        <f>_xlfn.IFNA(VLOOKUP(A29,'LA Deductions'!A:AH,34,FALSE),0)</f>
        <v>0</v>
      </c>
      <c r="BK29" s="307"/>
      <c r="BL29" s="308">
        <f>_xlfn.IFNA((VLOOKUP($A29,HN!$A:$M,8,FALSE)/12),0)</f>
        <v>0</v>
      </c>
      <c r="BM29" s="308">
        <f>_xlfn.IFNA((VLOOKUP($A29,HN!$A:$M,12,FALSE)/12),0)</f>
        <v>0</v>
      </c>
      <c r="BN29" s="308">
        <f>_xlfn.IFNA((VLOOKUP($A29,HN!$A:$M,9,FALSE)/12),0)</f>
        <v>0</v>
      </c>
      <c r="BO29" s="308">
        <f>_xlfn.IFNA((VLOOKUP($A29,'Post 16'!$A:$AR,22,FALSE)/4),0)</f>
        <v>0</v>
      </c>
      <c r="BP29" s="308"/>
      <c r="BQ29" s="308">
        <f>_xlfn.IFNA(((VLOOKUP($A29,HN!$A:$M,10,FALSE)-$U29-$AK29)/10),0)</f>
        <v>346.85416666666663</v>
      </c>
      <c r="BR29" s="308">
        <f>_xlfn.IFNA(((VLOOKUP($A29,HN!$A:$M,13,FALSE)-$V29-$AL29)/10),0)</f>
        <v>0</v>
      </c>
      <c r="BS29" s="307">
        <f t="shared" si="13"/>
        <v>0</v>
      </c>
      <c r="BT29" s="307">
        <f t="shared" si="14"/>
        <v>0</v>
      </c>
      <c r="BU29" s="308"/>
      <c r="BV29" s="308"/>
      <c r="BW29" s="308"/>
      <c r="BX29" s="307">
        <f t="shared" si="15"/>
        <v>346.85416666666663</v>
      </c>
      <c r="BY29" s="300">
        <f t="shared" si="16"/>
        <v>0</v>
      </c>
      <c r="BZ29" s="300"/>
      <c r="CA29" s="300"/>
      <c r="CB29" s="301">
        <f>_xlfn.IFNA((VLOOKUP($A29,HN!$A:$M,8,FALSE)/12),0)</f>
        <v>0</v>
      </c>
      <c r="CC29" s="301">
        <f>_xlfn.IFNA((VLOOKUP($A29,HN!$A:$M,12,FALSE)/12),0)</f>
        <v>0</v>
      </c>
      <c r="CD29" s="301">
        <f>_xlfn.IFNA((VLOOKUP($A29,HN!$A:$M,9,FALSE)/12),0)</f>
        <v>0</v>
      </c>
      <c r="CE29" s="301">
        <f>_xlfn.IFNA((VLOOKUP($A29,'Post 16'!$A:$AG,33,FALSE)/8),0)</f>
        <v>0</v>
      </c>
      <c r="CF29" s="301"/>
      <c r="CG29" s="301">
        <f>_xlfn.IFNA(((VLOOKUP($A29,HN!$A:$M,10,FALSE)-$U29-$AK29)/10),0)</f>
        <v>346.85416666666663</v>
      </c>
      <c r="CH29" s="301">
        <f>_xlfn.IFNA(((VLOOKUP($A29,HN!$A:$M,13,FALSE)-$V29-$AL29)/10),0)</f>
        <v>0</v>
      </c>
      <c r="CI29" s="300">
        <f t="shared" si="17"/>
        <v>0</v>
      </c>
      <c r="CJ29" s="300">
        <f t="shared" si="18"/>
        <v>0</v>
      </c>
      <c r="CK29" s="301"/>
      <c r="CL29" s="301"/>
      <c r="CM29" s="301"/>
      <c r="CN29" s="300">
        <f t="shared" si="19"/>
        <v>346.85416666666663</v>
      </c>
      <c r="CO29" s="332">
        <f t="shared" si="20"/>
        <v>0</v>
      </c>
      <c r="CP29" s="332"/>
      <c r="CQ29" s="332">
        <f>_xlfn.IFNA((VLOOKUP($A29,EY!$A:$AB,28,FALSE)-$CV29),0)</f>
        <v>113175.65600000002</v>
      </c>
      <c r="CR29" s="333">
        <f>_xlfn.IFNA((VLOOKUP($A29,HN!$A:$M,8,FALSE)/12),0)</f>
        <v>0</v>
      </c>
      <c r="CS29" s="333">
        <f>_xlfn.IFNA((VLOOKUP($A29,HN!$A:$M,12,FALSE)/12),0)</f>
        <v>0</v>
      </c>
      <c r="CT29" s="333">
        <f>_xlfn.IFNA((VLOOKUP($A29,HN!$A:$M,9,FALSE)/12),0)</f>
        <v>0</v>
      </c>
      <c r="CU29" s="333">
        <f>_xlfn.IFNA((VLOOKUP($A29,'Post 16'!$A:$AG,33,FALSE)/8),0)</f>
        <v>0</v>
      </c>
      <c r="CV29" s="333">
        <f>_xlfn.IFNA((VLOOKUP($A29,EY!$A:$AB,26,FALSE)*80%),0)</f>
        <v>0</v>
      </c>
      <c r="CW29" s="333">
        <f>_xlfn.IFNA(((VLOOKUP($A29,HN!$A:$M,10,FALSE)-$U29-$AK29)/10),0)</f>
        <v>346.85416666666663</v>
      </c>
      <c r="CX29" s="333">
        <f>_xlfn.IFNA(((VLOOKUP($A29,HN!$A:$M,13,FALSE)-$V29-$AL29)/10),0)</f>
        <v>0</v>
      </c>
      <c r="CY29" s="332">
        <f t="shared" si="21"/>
        <v>0</v>
      </c>
      <c r="CZ29" s="332">
        <f t="shared" si="22"/>
        <v>0</v>
      </c>
      <c r="DA29" s="333"/>
      <c r="DB29" s="333"/>
      <c r="DC29" s="333"/>
      <c r="DD29" s="332">
        <f t="shared" si="23"/>
        <v>113522.51016666669</v>
      </c>
      <c r="DE29" s="314">
        <f t="shared" si="24"/>
        <v>0</v>
      </c>
      <c r="DF29" s="314"/>
      <c r="DG29" s="314"/>
      <c r="DH29" s="315">
        <f>_xlfn.IFNA((VLOOKUP($A29,HN!$A:$M,8,FALSE)/12),0)</f>
        <v>0</v>
      </c>
      <c r="DI29" s="315">
        <f>_xlfn.IFNA((VLOOKUP($A29,HN!$A:$M,12,FALSE)/12),0)</f>
        <v>0</v>
      </c>
      <c r="DJ29" s="315">
        <f>_xlfn.IFNA((VLOOKUP($A29,HN!$A:$M,9,FALSE)/12),0)</f>
        <v>0</v>
      </c>
      <c r="DK29" s="315">
        <f>_xlfn.IFNA((VLOOKUP($A29,'Post 16'!$A:$AG,33,FALSE)/8),0)</f>
        <v>0</v>
      </c>
      <c r="DL29" s="315"/>
      <c r="DM29" s="315">
        <f>_xlfn.IFNA(((VLOOKUP($A29,HN!$A:$M,10,FALSE)-$U29-$AK29)/10),0)</f>
        <v>346.85416666666663</v>
      </c>
      <c r="DN29" s="315">
        <f>_xlfn.IFNA(((VLOOKUP($A29,HN!$A:$M,13,FALSE)-$V29-$AL29)/10),0)</f>
        <v>0</v>
      </c>
      <c r="DO29" s="314">
        <f t="shared" si="25"/>
        <v>0</v>
      </c>
      <c r="DP29" s="314">
        <f t="shared" si="26"/>
        <v>0</v>
      </c>
      <c r="DQ29" s="315"/>
      <c r="DR29" s="315"/>
      <c r="DS29" s="315"/>
      <c r="DT29" s="314">
        <f t="shared" si="27"/>
        <v>346.85416666666663</v>
      </c>
      <c r="DU29" s="307">
        <f t="shared" si="28"/>
        <v>0</v>
      </c>
      <c r="DV29" s="307"/>
      <c r="DW29" s="307"/>
      <c r="DX29" s="308">
        <f>_xlfn.IFNA((VLOOKUP($A29,HN!$A:$M,8,FALSE)/12),0)</f>
        <v>0</v>
      </c>
      <c r="DY29" s="308">
        <f>_xlfn.IFNA((VLOOKUP($A29,HN!$A:$M,12,FALSE)/12),0)</f>
        <v>0</v>
      </c>
      <c r="DZ29" s="308">
        <f>_xlfn.IFNA((VLOOKUP($A29,HN!$A:$M,9,FALSE)/12),0)</f>
        <v>0</v>
      </c>
      <c r="EA29" s="308">
        <f>_xlfn.IFNA((VLOOKUP($A29,'Post 16'!$A:$AG,33,FALSE)/8),0)</f>
        <v>0</v>
      </c>
      <c r="EB29" s="308"/>
      <c r="EC29" s="308">
        <f>_xlfn.IFNA(((VLOOKUP($A29,HN!$A:$M,10,FALSE)-$U29-$AK29)/10),0)</f>
        <v>346.85416666666663</v>
      </c>
      <c r="ED29" s="308">
        <f>_xlfn.IFNA(((VLOOKUP($A29,HN!$A:$M,13,FALSE)-$V29-$AL29)/10),0)</f>
        <v>0</v>
      </c>
      <c r="EE29" s="307">
        <f t="shared" si="29"/>
        <v>0</v>
      </c>
      <c r="EF29" s="307">
        <f t="shared" si="30"/>
        <v>0</v>
      </c>
      <c r="EG29" s="308"/>
      <c r="EH29" s="308"/>
      <c r="EI29" s="308"/>
      <c r="EJ29" s="307">
        <f t="shared" si="31"/>
        <v>346.85416666666663</v>
      </c>
      <c r="EK29" s="320">
        <f t="shared" si="32"/>
        <v>0</v>
      </c>
      <c r="EL29" s="320"/>
      <c r="EM29" s="320"/>
      <c r="EN29" s="321">
        <f>_xlfn.IFNA((VLOOKUP($A29,HN!$A:$M,8,FALSE)/12),0)</f>
        <v>0</v>
      </c>
      <c r="EO29" s="321">
        <f>_xlfn.IFNA((VLOOKUP($A29,HN!$A:$M,12,FALSE)/12),0)</f>
        <v>0</v>
      </c>
      <c r="EP29" s="321">
        <f>_xlfn.IFNA((VLOOKUP($A29,HN!$A:$M,9,FALSE)/12),0)</f>
        <v>0</v>
      </c>
      <c r="EQ29" s="321">
        <f>_xlfn.IFNA((VLOOKUP($A29,'Post 16'!$A:$AG,33,FALSE)/8),0)</f>
        <v>0</v>
      </c>
      <c r="ER29" s="321"/>
      <c r="ES29" s="321">
        <f>_xlfn.IFNA(((VLOOKUP($A29,HN!$A:$M,10,FALSE)-$U29-$AK29)/10),0)</f>
        <v>346.85416666666663</v>
      </c>
      <c r="ET29" s="321">
        <f>_xlfn.IFNA(((VLOOKUP($A29,HN!$A:$M,13,FALSE)-$V29-$AL29)/10),0)</f>
        <v>0</v>
      </c>
      <c r="EU29" s="320">
        <f t="shared" si="33"/>
        <v>0</v>
      </c>
      <c r="EV29" s="320">
        <f t="shared" si="34"/>
        <v>0</v>
      </c>
      <c r="EW29" s="321"/>
      <c r="EX29" s="321"/>
      <c r="EY29" s="321"/>
      <c r="EZ29" s="320">
        <f t="shared" si="35"/>
        <v>346.85416666666663</v>
      </c>
      <c r="FA29" s="286">
        <f t="shared" si="36"/>
        <v>0</v>
      </c>
      <c r="FB29" s="286"/>
      <c r="FC29" s="286"/>
      <c r="FD29" s="287">
        <f>_xlfn.IFNA((VLOOKUP($A29,HN!$A:$M,8,FALSE)/12),0)</f>
        <v>0</v>
      </c>
      <c r="FE29" s="287">
        <f>_xlfn.IFNA((VLOOKUP($A29,HN!$A:$M,12,FALSE)/12),0)</f>
        <v>0</v>
      </c>
      <c r="FF29" s="287">
        <f>_xlfn.IFNA((VLOOKUP($A29,HN!$A:$M,9,FALSE)/12),0)</f>
        <v>0</v>
      </c>
      <c r="FG29" s="287">
        <f>_xlfn.IFNA((VLOOKUP($A29,'Post 16'!$A:$AG,33,FALSE)/8),0)</f>
        <v>0</v>
      </c>
      <c r="FH29" s="287"/>
      <c r="FI29" s="287">
        <f>_xlfn.IFNA(((VLOOKUP($A29,HN!$A:$M,10,FALSE)-$U29-$AK29)/10),0)</f>
        <v>346.85416666666663</v>
      </c>
      <c r="FJ29" s="287">
        <f>_xlfn.IFNA(((VLOOKUP($A29,HN!$A:$M,13,FALSE)-$V29-$AL29)/10),0)</f>
        <v>0</v>
      </c>
      <c r="FK29" s="286">
        <f t="shared" si="37"/>
        <v>0</v>
      </c>
      <c r="FL29" s="286">
        <f t="shared" si="38"/>
        <v>0</v>
      </c>
      <c r="FM29" s="287"/>
      <c r="FN29" s="287"/>
      <c r="FO29" s="287"/>
      <c r="FP29" s="286">
        <f t="shared" si="39"/>
        <v>346.85416666666663</v>
      </c>
      <c r="FQ29" s="293">
        <f t="shared" si="40"/>
        <v>0</v>
      </c>
      <c r="FR29" s="293"/>
      <c r="FS29" s="293"/>
      <c r="FT29" s="294">
        <f>_xlfn.IFNA((VLOOKUP($A29,HN!$A:$M,8,FALSE)/12),0)</f>
        <v>0</v>
      </c>
      <c r="FU29" s="294">
        <f>_xlfn.IFNA((VLOOKUP($A29,HN!$A:$M,12,FALSE)/12),0)</f>
        <v>0</v>
      </c>
      <c r="FV29" s="294">
        <f>_xlfn.IFNA((VLOOKUP($A29,HN!$A:$M,9,FALSE)/12),0)</f>
        <v>0</v>
      </c>
      <c r="FW29" s="294">
        <f>_xlfn.IFNA((VLOOKUP($A29,'Post 16'!$A:$AG,33,FALSE)/8),0)</f>
        <v>0</v>
      </c>
      <c r="FX29" s="294"/>
      <c r="FY29" s="294">
        <f>_xlfn.IFNA(((VLOOKUP($A29,HN!$A:$M,10,FALSE)-$U29-$AK29)/10),0)</f>
        <v>346.85416666666663</v>
      </c>
      <c r="FZ29" s="294">
        <f>_xlfn.IFNA(((VLOOKUP($A29,HN!$A:$M,13,FALSE)-$V29-$AL29)/10),0)</f>
        <v>0</v>
      </c>
      <c r="GA29" s="293">
        <f t="shared" si="41"/>
        <v>0</v>
      </c>
      <c r="GB29" s="293">
        <f t="shared" si="42"/>
        <v>0</v>
      </c>
      <c r="GC29" s="294"/>
      <c r="GD29" s="294"/>
      <c r="GE29" s="294"/>
      <c r="GF29" s="293">
        <f t="shared" si="43"/>
        <v>346.85416666666663</v>
      </c>
      <c r="GG29" s="300">
        <f t="shared" si="44"/>
        <v>0</v>
      </c>
      <c r="GH29" s="300"/>
      <c r="GI29" s="300"/>
      <c r="GJ29" s="301">
        <f>_xlfn.IFNA((VLOOKUP($A29,HN!$A:$M,8,FALSE)/12),0)</f>
        <v>0</v>
      </c>
      <c r="GK29" s="301">
        <f>_xlfn.IFNA((VLOOKUP($A29,HN!$A:$M,12,FALSE)/12),0)</f>
        <v>0</v>
      </c>
      <c r="GL29" s="301">
        <f>_xlfn.IFNA((VLOOKUP($A29,HN!$A:$M,9,FALSE)/12),0)</f>
        <v>0</v>
      </c>
      <c r="GM29" s="301">
        <f>_xlfn.IFNA((VLOOKUP($A29,'Post 16'!$A:$AG,33,FALSE)/8),0)</f>
        <v>0</v>
      </c>
      <c r="GN29" s="301"/>
      <c r="GO29" s="301">
        <f>_xlfn.IFNA(((VLOOKUP($A29,HN!$A:$M,10,FALSE)-$U29-$AK29)/10),0)</f>
        <v>346.85416666666663</v>
      </c>
      <c r="GP29" s="301">
        <f>_xlfn.IFNA(((VLOOKUP($A29,HN!$A:$M,13,FALSE)-$V29-$AL29)/10),0)</f>
        <v>0</v>
      </c>
      <c r="GQ29" s="300">
        <f t="shared" si="45"/>
        <v>0</v>
      </c>
      <c r="GR29" s="300">
        <f t="shared" si="46"/>
        <v>0</v>
      </c>
      <c r="GS29" s="301"/>
      <c r="GT29" s="301"/>
      <c r="GU29" s="301"/>
      <c r="GV29" s="300">
        <f t="shared" si="47"/>
        <v>346.85416666666663</v>
      </c>
      <c r="GX29" s="146">
        <f t="shared" si="52"/>
        <v>446591.61182276881</v>
      </c>
      <c r="GY29" s="146">
        <f t="shared" si="52"/>
        <v>0</v>
      </c>
      <c r="GZ29" s="146">
        <f t="shared" si="52"/>
        <v>6093.0036011080347</v>
      </c>
      <c r="HA29" s="146">
        <f t="shared" si="52"/>
        <v>0</v>
      </c>
      <c r="HB29" s="146">
        <f t="shared" si="52"/>
        <v>0</v>
      </c>
      <c r="HC29" s="146">
        <f t="shared" si="52"/>
        <v>0</v>
      </c>
      <c r="HE29" s="146">
        <f t="shared" si="53"/>
        <v>333415.9558227688</v>
      </c>
      <c r="HF29" s="146">
        <f t="shared" si="53"/>
        <v>0</v>
      </c>
      <c r="HG29" s="146">
        <f t="shared" si="53"/>
        <v>2971.3161011080333</v>
      </c>
      <c r="HH29" s="146">
        <f t="shared" si="53"/>
        <v>0</v>
      </c>
      <c r="HI29" s="146">
        <f t="shared" si="53"/>
        <v>0</v>
      </c>
      <c r="HJ29" s="146">
        <f t="shared" si="53"/>
        <v>0</v>
      </c>
      <c r="HL29" s="146"/>
      <c r="HM29" s="57"/>
    </row>
    <row r="30" spans="1:221">
      <c r="A30" s="185">
        <v>4115</v>
      </c>
      <c r="B30" s="185">
        <v>103493</v>
      </c>
      <c r="C30" s="185" t="s">
        <v>82</v>
      </c>
      <c r="D30" s="2" t="s">
        <v>83</v>
      </c>
      <c r="E30" s="190" t="s">
        <v>71</v>
      </c>
      <c r="F30" s="190" t="s">
        <v>890</v>
      </c>
      <c r="H30" s="271">
        <f>_xlfn.IFNA(VLOOKUP($A30,ISB!$A$4:$BY$441,67,FALSE),0)</f>
        <v>5519993.3549427353</v>
      </c>
      <c r="I30" s="271">
        <f>_xlfn.IFNA(VLOOKUP($A30,ISB!$A$4:$BY$441,72,FALSE),0)</f>
        <v>-12051</v>
      </c>
      <c r="J30" s="271">
        <f>-_xlfn.IFNA(VLOOKUP($A30,ISB!$A$4:$BY$441,76,FALSE),0)</f>
        <v>-33713.7255</v>
      </c>
      <c r="K30" s="271">
        <f>_xlfn.IFNA(VLOOKUP($A30,ISB!$A$4:$BY$441,77,FALSE),0)</f>
        <v>5474228.6294427356</v>
      </c>
      <c r="M30" s="279">
        <f t="shared" si="0"/>
        <v>459999.44624522794</v>
      </c>
      <c r="N30" s="279"/>
      <c r="O30" s="279">
        <f>_xlfn.IFNA(VLOOKUP($A30,EY!$A:$H,8,FALSE)+(VLOOKUP($A30,EY!$A:$R,18,FALSE)-$T30),0)</f>
        <v>0</v>
      </c>
      <c r="P30" s="280">
        <f>_xlfn.IFNA((VLOOKUP($A30,HN!$A:$M,8,FALSE)/12),0)</f>
        <v>0</v>
      </c>
      <c r="Q30" s="280">
        <f>_xlfn.IFNA((VLOOKUP($A30,HN!$A:$M,12,FALSE)/12),0)</f>
        <v>6000</v>
      </c>
      <c r="R30" s="280">
        <f>_xlfn.IFNA((VLOOKUP($A30,HN!$A:$M,9,FALSE)/12),0)</f>
        <v>0</v>
      </c>
      <c r="S30" s="280">
        <f>_xlfn.IFNA((VLOOKUP($A30,'Post 16'!$A:$AR,22,FALSE)/4),0)</f>
        <v>197073.33333333334</v>
      </c>
      <c r="T30" s="280">
        <f>_xlfn.IFNA((VLOOKUP($A30,EY!$A:$R,16,FALSE)*80%),0)</f>
        <v>0</v>
      </c>
      <c r="U30" s="280">
        <v>0</v>
      </c>
      <c r="V30" s="280">
        <v>28361.446666666667</v>
      </c>
      <c r="W30" s="279">
        <f t="shared" si="1"/>
        <v>-1004.25</v>
      </c>
      <c r="X30" s="279">
        <f t="shared" si="2"/>
        <v>-2809.4771249999999</v>
      </c>
      <c r="Y30" s="280"/>
      <c r="Z30" s="280"/>
      <c r="AA30" s="280"/>
      <c r="AB30" s="279">
        <f t="shared" si="3"/>
        <v>687620.49912022799</v>
      </c>
      <c r="AC30" s="293">
        <f t="shared" si="4"/>
        <v>459999.44624522794</v>
      </c>
      <c r="AD30" s="293"/>
      <c r="AE30" s="293"/>
      <c r="AF30" s="294">
        <f>_xlfn.IFNA((VLOOKUP($A30,HN!$A:$M,8,FALSE)/12),0)</f>
        <v>0</v>
      </c>
      <c r="AG30" s="294">
        <f>_xlfn.IFNA((VLOOKUP($A30,HN!$A:$M,12,FALSE)/12),0)+_xlfn.IFNA(VLOOKUP($A30,HN!$A:$Q,17,FALSE),0)</f>
        <v>6000</v>
      </c>
      <c r="AH30" s="294">
        <f>_xlfn.IFNA((VLOOKUP($A30,HN!$A:$M,9,FALSE)/12),0)</f>
        <v>0</v>
      </c>
      <c r="AI30" s="294">
        <f>_xlfn.IFNA((VLOOKUP($A30,'Post 16'!$A:$AR,22,FALSE)/4),0)</f>
        <v>197073.33333333334</v>
      </c>
      <c r="AJ30" s="294"/>
      <c r="AK30" s="294">
        <f>_xlfn.IFNA((VLOOKUP($A30,HN!$A:$M,10,FALSE)/12),0)</f>
        <v>0</v>
      </c>
      <c r="AL30" s="294">
        <f>_xlfn.IFNA((VLOOKUP($A30,HN!$A:$M,13,FALSE)/12),0)</f>
        <v>25313.668333333335</v>
      </c>
      <c r="AM30" s="293">
        <f t="shared" si="5"/>
        <v>-1004.25</v>
      </c>
      <c r="AN30" s="293">
        <f t="shared" si="6"/>
        <v>-2809.4771249999999</v>
      </c>
      <c r="AO30" s="294"/>
      <c r="AP30" s="294"/>
      <c r="AQ30" s="294"/>
      <c r="AR30" s="293">
        <f t="shared" si="7"/>
        <v>684572.72078689467</v>
      </c>
      <c r="AS30" s="286">
        <f t="shared" si="8"/>
        <v>459999.44624522794</v>
      </c>
      <c r="AT30" s="286"/>
      <c r="AU30" s="286">
        <f>_xlfn.IFNA(VLOOKUP(A30,EY!A:AO,40,FALSE),0)</f>
        <v>0</v>
      </c>
      <c r="AV30" s="287">
        <f>_xlfn.IFNA((VLOOKUP($A30,HN!$A:$M,8,FALSE)/12),0)</f>
        <v>0</v>
      </c>
      <c r="AW30" s="287">
        <f>_xlfn.IFNA((VLOOKUP($A30,HN!$A:$M,12,FALSE)/12),0)+_xlfn.IFNA(VLOOKUP($A30,HN!$A$8:$AU$200,19,FALSE),0)</f>
        <v>6000</v>
      </c>
      <c r="AX30" s="287">
        <f>_xlfn.IFNA((VLOOKUP($A30,HN!$A:$M,9,FALSE)/12),0)</f>
        <v>0</v>
      </c>
      <c r="AY30" s="287">
        <f>_xlfn.IFNA((VLOOKUP($A30,'Post 16'!$A:$AR,22,FALSE)/4),0)</f>
        <v>197073.33333333334</v>
      </c>
      <c r="AZ30" s="287">
        <f>_xlfn.IFNA(VLOOKUP(A30,EY!A:AO,41,FALSE),0)</f>
        <v>0</v>
      </c>
      <c r="BA30" s="287">
        <f>_xlfn.IFNA(((VLOOKUP($A30,HN!$A:$M,10,FALSE)-$U30-$AK30)/10),0)+_xlfn.IFNA(VLOOKUP($A30,HN!$A:$R,18,FALSE),0)</f>
        <v>0</v>
      </c>
      <c r="BB30" s="287">
        <f>_xlfn.IFNA(((VLOOKUP($A30,HN!$A:$M,13,FALSE)-$V30-$AL30)/10),0)+_xlfn.IFNA(VLOOKUP($A30,HN!$A$8:$AU$200,20,FALSE),0)</f>
        <v>25008.890500000001</v>
      </c>
      <c r="BC30" s="286">
        <f t="shared" si="9"/>
        <v>-1004.25</v>
      </c>
      <c r="BD30" s="286">
        <f t="shared" si="10"/>
        <v>-2809.4771249999999</v>
      </c>
      <c r="BE30" s="287"/>
      <c r="BF30" s="287"/>
      <c r="BG30" s="287"/>
      <c r="BH30" s="286">
        <f t="shared" si="11"/>
        <v>684267.94295356132</v>
      </c>
      <c r="BI30" s="307">
        <f t="shared" si="12"/>
        <v>459999.44624522794</v>
      </c>
      <c r="BJ30" s="307">
        <f>_xlfn.IFNA(VLOOKUP(A30,'LA Deductions'!A:AH,34,FALSE),0)</f>
        <v>0</v>
      </c>
      <c r="BK30" s="307"/>
      <c r="BL30" s="308">
        <f>_xlfn.IFNA((VLOOKUP($A30,HN!$A:$M,8,FALSE)/12),0)</f>
        <v>0</v>
      </c>
      <c r="BM30" s="308">
        <f>_xlfn.IFNA((VLOOKUP($A30,HN!$A:$M,12,FALSE)/12),0)</f>
        <v>6000</v>
      </c>
      <c r="BN30" s="308">
        <f>_xlfn.IFNA((VLOOKUP($A30,HN!$A:$M,9,FALSE)/12),0)</f>
        <v>0</v>
      </c>
      <c r="BO30" s="308">
        <f>_xlfn.IFNA((VLOOKUP($A30,'Post 16'!$A:$AR,22,FALSE)/4),0)</f>
        <v>197073.33333333334</v>
      </c>
      <c r="BP30" s="308"/>
      <c r="BQ30" s="308">
        <f>_xlfn.IFNA(((VLOOKUP($A30,HN!$A:$M,10,FALSE)-$U30-$AK30)/10),0)</f>
        <v>0</v>
      </c>
      <c r="BR30" s="308">
        <f>_xlfn.IFNA(((VLOOKUP($A30,HN!$A:$M,13,FALSE)-$V30-$AL30)/10),0)</f>
        <v>25008.890500000001</v>
      </c>
      <c r="BS30" s="307">
        <f t="shared" si="13"/>
        <v>-1004.25</v>
      </c>
      <c r="BT30" s="307">
        <f t="shared" si="14"/>
        <v>-2809.4771249999999</v>
      </c>
      <c r="BU30" s="308"/>
      <c r="BV30" s="308"/>
      <c r="BW30" s="308"/>
      <c r="BX30" s="307">
        <f t="shared" si="15"/>
        <v>684267.94295356132</v>
      </c>
      <c r="BY30" s="300">
        <f t="shared" si="16"/>
        <v>459999.44624522794</v>
      </c>
      <c r="BZ30" s="300"/>
      <c r="CA30" s="300"/>
      <c r="CB30" s="301">
        <f>_xlfn.IFNA((VLOOKUP($A30,HN!$A:$M,8,FALSE)/12),0)</f>
        <v>0</v>
      </c>
      <c r="CC30" s="301">
        <f>_xlfn.IFNA((VLOOKUP($A30,HN!$A:$M,12,FALSE)/12),0)</f>
        <v>6000</v>
      </c>
      <c r="CD30" s="301">
        <f>_xlfn.IFNA((VLOOKUP($A30,HN!$A:$M,9,FALSE)/12),0)</f>
        <v>0</v>
      </c>
      <c r="CE30" s="301">
        <f>_xlfn.IFNA((VLOOKUP($A30,'Post 16'!$A:$AG,33,FALSE)/8),0)</f>
        <v>191938.58333333331</v>
      </c>
      <c r="CF30" s="301"/>
      <c r="CG30" s="301">
        <f>_xlfn.IFNA(((VLOOKUP($A30,HN!$A:$M,10,FALSE)-$U30-$AK30)/10),0)</f>
        <v>0</v>
      </c>
      <c r="CH30" s="301">
        <f>_xlfn.IFNA(((VLOOKUP($A30,HN!$A:$M,13,FALSE)-$V30-$AL30)/10),0)</f>
        <v>25008.890500000001</v>
      </c>
      <c r="CI30" s="300">
        <f t="shared" si="17"/>
        <v>-1004.25</v>
      </c>
      <c r="CJ30" s="300">
        <f t="shared" si="18"/>
        <v>-2809.4771249999999</v>
      </c>
      <c r="CK30" s="301"/>
      <c r="CL30" s="301"/>
      <c r="CM30" s="301"/>
      <c r="CN30" s="300">
        <f t="shared" si="19"/>
        <v>679133.1929535612</v>
      </c>
      <c r="CO30" s="332">
        <f t="shared" si="20"/>
        <v>459999.44624522794</v>
      </c>
      <c r="CP30" s="332"/>
      <c r="CQ30" s="332">
        <f>_xlfn.IFNA((VLOOKUP($A30,EY!$A:$AB,28,FALSE)-$CV30),0)</f>
        <v>0</v>
      </c>
      <c r="CR30" s="333">
        <f>_xlfn.IFNA((VLOOKUP($A30,HN!$A:$M,8,FALSE)/12),0)</f>
        <v>0</v>
      </c>
      <c r="CS30" s="333">
        <f>_xlfn.IFNA((VLOOKUP($A30,HN!$A:$M,12,FALSE)/12),0)</f>
        <v>6000</v>
      </c>
      <c r="CT30" s="333">
        <f>_xlfn.IFNA((VLOOKUP($A30,HN!$A:$M,9,FALSE)/12),0)</f>
        <v>0</v>
      </c>
      <c r="CU30" s="333">
        <f>_xlfn.IFNA((VLOOKUP($A30,'Post 16'!$A:$AG,33,FALSE)/8),0)</f>
        <v>191938.58333333331</v>
      </c>
      <c r="CV30" s="333">
        <f>_xlfn.IFNA((VLOOKUP($A30,EY!$A:$AB,26,FALSE)*80%),0)</f>
        <v>0</v>
      </c>
      <c r="CW30" s="333">
        <f>_xlfn.IFNA(((VLOOKUP($A30,HN!$A:$M,10,FALSE)-$U30-$AK30)/10),0)</f>
        <v>0</v>
      </c>
      <c r="CX30" s="333">
        <f>_xlfn.IFNA(((VLOOKUP($A30,HN!$A:$M,13,FALSE)-$V30-$AL30)/10),0)</f>
        <v>25008.890500000001</v>
      </c>
      <c r="CY30" s="332">
        <f t="shared" si="21"/>
        <v>-1004.25</v>
      </c>
      <c r="CZ30" s="332">
        <f t="shared" si="22"/>
        <v>-2809.4771249999999</v>
      </c>
      <c r="DA30" s="333"/>
      <c r="DB30" s="333"/>
      <c r="DC30" s="333"/>
      <c r="DD30" s="332">
        <f t="shared" si="23"/>
        <v>679133.1929535612</v>
      </c>
      <c r="DE30" s="314">
        <f t="shared" si="24"/>
        <v>459999.44624522794</v>
      </c>
      <c r="DF30" s="314"/>
      <c r="DG30" s="314"/>
      <c r="DH30" s="315">
        <f>_xlfn.IFNA((VLOOKUP($A30,HN!$A:$M,8,FALSE)/12),0)</f>
        <v>0</v>
      </c>
      <c r="DI30" s="315">
        <f>_xlfn.IFNA((VLOOKUP($A30,HN!$A:$M,12,FALSE)/12),0)</f>
        <v>6000</v>
      </c>
      <c r="DJ30" s="315">
        <f>_xlfn.IFNA((VLOOKUP($A30,HN!$A:$M,9,FALSE)/12),0)</f>
        <v>0</v>
      </c>
      <c r="DK30" s="315">
        <f>_xlfn.IFNA((VLOOKUP($A30,'Post 16'!$A:$AG,33,FALSE)/8),0)</f>
        <v>191938.58333333331</v>
      </c>
      <c r="DL30" s="315"/>
      <c r="DM30" s="315">
        <f>_xlfn.IFNA(((VLOOKUP($A30,HN!$A:$M,10,FALSE)-$U30-$AK30)/10),0)</f>
        <v>0</v>
      </c>
      <c r="DN30" s="315">
        <f>_xlfn.IFNA(((VLOOKUP($A30,HN!$A:$M,13,FALSE)-$V30-$AL30)/10),0)</f>
        <v>25008.890500000001</v>
      </c>
      <c r="DO30" s="314">
        <f t="shared" si="25"/>
        <v>-1004.25</v>
      </c>
      <c r="DP30" s="314">
        <f t="shared" si="26"/>
        <v>-2809.4771249999999</v>
      </c>
      <c r="DQ30" s="315"/>
      <c r="DR30" s="315"/>
      <c r="DS30" s="315"/>
      <c r="DT30" s="314">
        <f t="shared" si="27"/>
        <v>679133.1929535612</v>
      </c>
      <c r="DU30" s="307">
        <f t="shared" si="28"/>
        <v>459999.44624522794</v>
      </c>
      <c r="DV30" s="307"/>
      <c r="DW30" s="307"/>
      <c r="DX30" s="308">
        <f>_xlfn.IFNA((VLOOKUP($A30,HN!$A:$M,8,FALSE)/12),0)</f>
        <v>0</v>
      </c>
      <c r="DY30" s="308">
        <f>_xlfn.IFNA((VLOOKUP($A30,HN!$A:$M,12,FALSE)/12),0)</f>
        <v>6000</v>
      </c>
      <c r="DZ30" s="308">
        <f>_xlfn.IFNA((VLOOKUP($A30,HN!$A:$M,9,FALSE)/12),0)</f>
        <v>0</v>
      </c>
      <c r="EA30" s="308">
        <f>_xlfn.IFNA((VLOOKUP($A30,'Post 16'!$A:$AG,33,FALSE)/8),0)</f>
        <v>191938.58333333331</v>
      </c>
      <c r="EB30" s="308"/>
      <c r="EC30" s="308">
        <f>_xlfn.IFNA(((VLOOKUP($A30,HN!$A:$M,10,FALSE)-$U30-$AK30)/10),0)</f>
        <v>0</v>
      </c>
      <c r="ED30" s="308">
        <f>_xlfn.IFNA(((VLOOKUP($A30,HN!$A:$M,13,FALSE)-$V30-$AL30)/10),0)</f>
        <v>25008.890500000001</v>
      </c>
      <c r="EE30" s="307">
        <f t="shared" si="29"/>
        <v>-1004.25</v>
      </c>
      <c r="EF30" s="307">
        <f t="shared" si="30"/>
        <v>-2809.4771249999999</v>
      </c>
      <c r="EG30" s="308"/>
      <c r="EH30" s="308"/>
      <c r="EI30" s="308"/>
      <c r="EJ30" s="307">
        <f t="shared" si="31"/>
        <v>679133.1929535612</v>
      </c>
      <c r="EK30" s="320">
        <f t="shared" si="32"/>
        <v>459999.44624522794</v>
      </c>
      <c r="EL30" s="320"/>
      <c r="EM30" s="320"/>
      <c r="EN30" s="321">
        <f>_xlfn.IFNA((VLOOKUP($A30,HN!$A:$M,8,FALSE)/12),0)</f>
        <v>0</v>
      </c>
      <c r="EO30" s="321">
        <f>_xlfn.IFNA((VLOOKUP($A30,HN!$A:$M,12,FALSE)/12),0)</f>
        <v>6000</v>
      </c>
      <c r="EP30" s="321">
        <f>_xlfn.IFNA((VLOOKUP($A30,HN!$A:$M,9,FALSE)/12),0)</f>
        <v>0</v>
      </c>
      <c r="EQ30" s="321">
        <f>_xlfn.IFNA((VLOOKUP($A30,'Post 16'!$A:$AG,33,FALSE)/8),0)</f>
        <v>191938.58333333331</v>
      </c>
      <c r="ER30" s="321"/>
      <c r="ES30" s="321">
        <f>_xlfn.IFNA(((VLOOKUP($A30,HN!$A:$M,10,FALSE)-$U30-$AK30)/10),0)</f>
        <v>0</v>
      </c>
      <c r="ET30" s="321">
        <f>_xlfn.IFNA(((VLOOKUP($A30,HN!$A:$M,13,FALSE)-$V30-$AL30)/10),0)</f>
        <v>25008.890500000001</v>
      </c>
      <c r="EU30" s="320">
        <f t="shared" si="33"/>
        <v>-1004.25</v>
      </c>
      <c r="EV30" s="320">
        <f t="shared" si="34"/>
        <v>-2809.4771249999999</v>
      </c>
      <c r="EW30" s="321"/>
      <c r="EX30" s="321"/>
      <c r="EY30" s="321"/>
      <c r="EZ30" s="320">
        <f t="shared" si="35"/>
        <v>679133.1929535612</v>
      </c>
      <c r="FA30" s="286">
        <f t="shared" si="36"/>
        <v>459999.44624522794</v>
      </c>
      <c r="FB30" s="286"/>
      <c r="FC30" s="286"/>
      <c r="FD30" s="287">
        <f>_xlfn.IFNA((VLOOKUP($A30,HN!$A:$M,8,FALSE)/12),0)</f>
        <v>0</v>
      </c>
      <c r="FE30" s="287">
        <f>_xlfn.IFNA((VLOOKUP($A30,HN!$A:$M,12,FALSE)/12),0)</f>
        <v>6000</v>
      </c>
      <c r="FF30" s="287">
        <f>_xlfn.IFNA((VLOOKUP($A30,HN!$A:$M,9,FALSE)/12),0)</f>
        <v>0</v>
      </c>
      <c r="FG30" s="287">
        <f>_xlfn.IFNA((VLOOKUP($A30,'Post 16'!$A:$AG,33,FALSE)/8),0)</f>
        <v>191938.58333333331</v>
      </c>
      <c r="FH30" s="287"/>
      <c r="FI30" s="287">
        <f>_xlfn.IFNA(((VLOOKUP($A30,HN!$A:$M,10,FALSE)-$U30-$AK30)/10),0)</f>
        <v>0</v>
      </c>
      <c r="FJ30" s="287">
        <f>_xlfn.IFNA(((VLOOKUP($A30,HN!$A:$M,13,FALSE)-$V30-$AL30)/10),0)</f>
        <v>25008.890500000001</v>
      </c>
      <c r="FK30" s="286">
        <f t="shared" si="37"/>
        <v>-1004.25</v>
      </c>
      <c r="FL30" s="286">
        <f t="shared" si="38"/>
        <v>-2809.4771249999999</v>
      </c>
      <c r="FM30" s="287"/>
      <c r="FN30" s="287"/>
      <c r="FO30" s="287"/>
      <c r="FP30" s="286">
        <f t="shared" si="39"/>
        <v>679133.1929535612</v>
      </c>
      <c r="FQ30" s="293">
        <f t="shared" si="40"/>
        <v>459999.44624522794</v>
      </c>
      <c r="FR30" s="293"/>
      <c r="FS30" s="293"/>
      <c r="FT30" s="294">
        <f>_xlfn.IFNA((VLOOKUP($A30,HN!$A:$M,8,FALSE)/12),0)</f>
        <v>0</v>
      </c>
      <c r="FU30" s="294">
        <f>_xlfn.IFNA((VLOOKUP($A30,HN!$A:$M,12,FALSE)/12),0)</f>
        <v>6000</v>
      </c>
      <c r="FV30" s="294">
        <f>_xlfn.IFNA((VLOOKUP($A30,HN!$A:$M,9,FALSE)/12),0)</f>
        <v>0</v>
      </c>
      <c r="FW30" s="294">
        <f>_xlfn.IFNA((VLOOKUP($A30,'Post 16'!$A:$AG,33,FALSE)/8),0)</f>
        <v>191938.58333333331</v>
      </c>
      <c r="FX30" s="294"/>
      <c r="FY30" s="294">
        <f>_xlfn.IFNA(((VLOOKUP($A30,HN!$A:$M,10,FALSE)-$U30-$AK30)/10),0)</f>
        <v>0</v>
      </c>
      <c r="FZ30" s="294">
        <f>_xlfn.IFNA(((VLOOKUP($A30,HN!$A:$M,13,FALSE)-$V30-$AL30)/10),0)</f>
        <v>25008.890500000001</v>
      </c>
      <c r="GA30" s="293">
        <f t="shared" si="41"/>
        <v>-1004.25</v>
      </c>
      <c r="GB30" s="293">
        <f t="shared" si="42"/>
        <v>-2809.4771249999999</v>
      </c>
      <c r="GC30" s="294"/>
      <c r="GD30" s="294"/>
      <c r="GE30" s="294"/>
      <c r="GF30" s="293">
        <f t="shared" si="43"/>
        <v>679133.1929535612</v>
      </c>
      <c r="GG30" s="300">
        <f t="shared" si="44"/>
        <v>459999.44624522794</v>
      </c>
      <c r="GH30" s="300"/>
      <c r="GI30" s="300"/>
      <c r="GJ30" s="301">
        <f>_xlfn.IFNA((VLOOKUP($A30,HN!$A:$M,8,FALSE)/12),0)</f>
        <v>0</v>
      </c>
      <c r="GK30" s="301">
        <f>_xlfn.IFNA((VLOOKUP($A30,HN!$A:$M,12,FALSE)/12),0)</f>
        <v>6000</v>
      </c>
      <c r="GL30" s="301">
        <f>_xlfn.IFNA((VLOOKUP($A30,HN!$A:$M,9,FALSE)/12),0)</f>
        <v>0</v>
      </c>
      <c r="GM30" s="301">
        <f>_xlfn.IFNA((VLOOKUP($A30,'Post 16'!$A:$AG,33,FALSE)/8),0)</f>
        <v>191938.58333333331</v>
      </c>
      <c r="GN30" s="301"/>
      <c r="GO30" s="301">
        <f>_xlfn.IFNA(((VLOOKUP($A30,HN!$A:$M,10,FALSE)-$U30-$AK30)/10),0)</f>
        <v>0</v>
      </c>
      <c r="GP30" s="301">
        <f>_xlfn.IFNA(((VLOOKUP($A30,HN!$A:$M,13,FALSE)-$V30-$AL30)/10),0)</f>
        <v>25008.890500000001</v>
      </c>
      <c r="GQ30" s="300">
        <f t="shared" si="45"/>
        <v>-1004.25</v>
      </c>
      <c r="GR30" s="300">
        <f t="shared" si="46"/>
        <v>-2809.4771249999999</v>
      </c>
      <c r="GS30" s="301"/>
      <c r="GT30" s="301"/>
      <c r="GU30" s="301"/>
      <c r="GV30" s="300">
        <f t="shared" si="47"/>
        <v>679133.1929535612</v>
      </c>
      <c r="GX30" s="146">
        <f t="shared" si="52"/>
        <v>5591993.3549427353</v>
      </c>
      <c r="GY30" s="146">
        <f t="shared" si="52"/>
        <v>2323802</v>
      </c>
      <c r="GZ30" s="146">
        <f t="shared" si="52"/>
        <v>303764.02</v>
      </c>
      <c r="HA30" s="146">
        <f t="shared" si="52"/>
        <v>-12051</v>
      </c>
      <c r="HB30" s="146">
        <f t="shared" si="52"/>
        <v>-33713.725500000008</v>
      </c>
      <c r="HC30" s="146">
        <f t="shared" si="52"/>
        <v>0</v>
      </c>
      <c r="HE30" s="146">
        <f t="shared" si="53"/>
        <v>1397998.3387356838</v>
      </c>
      <c r="HF30" s="146">
        <f t="shared" si="53"/>
        <v>591220</v>
      </c>
      <c r="HG30" s="146">
        <f t="shared" si="53"/>
        <v>78684.005499999999</v>
      </c>
      <c r="HH30" s="146">
        <f t="shared" si="53"/>
        <v>-3012.75</v>
      </c>
      <c r="HI30" s="146">
        <f t="shared" si="53"/>
        <v>-8428.4313750000001</v>
      </c>
      <c r="HJ30" s="146">
        <f t="shared" si="53"/>
        <v>0</v>
      </c>
      <c r="HL30" s="146"/>
      <c r="HM30" s="57"/>
    </row>
    <row r="31" spans="1:221">
      <c r="A31" s="185">
        <v>2030</v>
      </c>
      <c r="B31" s="185">
        <v>103172</v>
      </c>
      <c r="C31" s="185" t="s">
        <v>84</v>
      </c>
      <c r="D31" s="2" t="s">
        <v>85</v>
      </c>
      <c r="E31" s="190" t="s">
        <v>39</v>
      </c>
      <c r="F31" s="190" t="s">
        <v>890</v>
      </c>
      <c r="H31" s="271">
        <f>_xlfn.IFNA(VLOOKUP($A31,ISB!$A$4:$BY$441,67,FALSE),0)</f>
        <v>3889046.0179993068</v>
      </c>
      <c r="I31" s="271">
        <f>_xlfn.IFNA(VLOOKUP($A31,ISB!$A$4:$BY$441,72,FALSE),0)</f>
        <v>-15189</v>
      </c>
      <c r="J31" s="271">
        <f>-_xlfn.IFNA(VLOOKUP($A31,ISB!$A$4:$BY$441,76,FALSE),0)</f>
        <v>-12332.8842</v>
      </c>
      <c r="K31" s="271">
        <f>_xlfn.IFNA(VLOOKUP($A31,ISB!$A$4:$BY$441,77,FALSE),0)</f>
        <v>3861524.1337993066</v>
      </c>
      <c r="M31" s="279">
        <f t="shared" si="0"/>
        <v>324087.1681666089</v>
      </c>
      <c r="N31" s="279"/>
      <c r="O31" s="279">
        <f>_xlfn.IFNA(VLOOKUP($A31,EY!$A:$H,8,FALSE)+(VLOOKUP($A31,EY!$A:$R,18,FALSE)-$T31),0)</f>
        <v>55812.12000000001</v>
      </c>
      <c r="P31" s="280">
        <f>_xlfn.IFNA((VLOOKUP($A31,HN!$A:$M,8,FALSE)/12),0)</f>
        <v>0</v>
      </c>
      <c r="Q31" s="280">
        <f>_xlfn.IFNA((VLOOKUP($A31,HN!$A:$M,12,FALSE)/12),0)</f>
        <v>0</v>
      </c>
      <c r="R31" s="280">
        <f>_xlfn.IFNA((VLOOKUP($A31,HN!$A:$M,9,FALSE)/12),0)</f>
        <v>0</v>
      </c>
      <c r="S31" s="280">
        <f>_xlfn.IFNA((VLOOKUP($A31,'Post 16'!$A:$AR,22,FALSE)/4),0)</f>
        <v>0</v>
      </c>
      <c r="T31" s="280">
        <f>_xlfn.IFNA((VLOOKUP($A31,EY!$A:$R,16,FALSE)*80%),0)</f>
        <v>0</v>
      </c>
      <c r="U31" s="280">
        <v>6283.916666666667</v>
      </c>
      <c r="V31" s="280">
        <v>0</v>
      </c>
      <c r="W31" s="279">
        <f t="shared" si="1"/>
        <v>-1265.75</v>
      </c>
      <c r="X31" s="279">
        <f t="shared" si="2"/>
        <v>-1027.74035</v>
      </c>
      <c r="Y31" s="280"/>
      <c r="Z31" s="280"/>
      <c r="AA31" s="280"/>
      <c r="AB31" s="279">
        <f t="shared" si="3"/>
        <v>383889.7144832756</v>
      </c>
      <c r="AC31" s="293">
        <f t="shared" si="4"/>
        <v>324087.1681666089</v>
      </c>
      <c r="AD31" s="293"/>
      <c r="AE31" s="293"/>
      <c r="AF31" s="294">
        <f>_xlfn.IFNA((VLOOKUP($A31,HN!$A:$M,8,FALSE)/12),0)</f>
        <v>0</v>
      </c>
      <c r="AG31" s="294">
        <f>_xlfn.IFNA((VLOOKUP($A31,HN!$A:$M,12,FALSE)/12),0)+_xlfn.IFNA(VLOOKUP($A31,HN!$A:$Q,17,FALSE),0)</f>
        <v>0</v>
      </c>
      <c r="AH31" s="294">
        <f>_xlfn.IFNA((VLOOKUP($A31,HN!$A:$M,9,FALSE)/12),0)</f>
        <v>0</v>
      </c>
      <c r="AI31" s="294">
        <f>_xlfn.IFNA((VLOOKUP($A31,'Post 16'!$A:$AR,22,FALSE)/4),0)</f>
        <v>0</v>
      </c>
      <c r="AJ31" s="294"/>
      <c r="AK31" s="294">
        <f>_xlfn.IFNA((VLOOKUP($A31,HN!$A:$M,10,FALSE)/12),0)</f>
        <v>3227.75</v>
      </c>
      <c r="AL31" s="294">
        <f>_xlfn.IFNA((VLOOKUP($A31,HN!$A:$M,13,FALSE)/12),0)</f>
        <v>0</v>
      </c>
      <c r="AM31" s="293">
        <f t="shared" si="5"/>
        <v>-1265.75</v>
      </c>
      <c r="AN31" s="293">
        <f t="shared" si="6"/>
        <v>-1027.74035</v>
      </c>
      <c r="AO31" s="294"/>
      <c r="AP31" s="294"/>
      <c r="AQ31" s="294"/>
      <c r="AR31" s="293">
        <f t="shared" si="7"/>
        <v>325021.42781660892</v>
      </c>
      <c r="AS31" s="286">
        <f t="shared" si="8"/>
        <v>324087.1681666089</v>
      </c>
      <c r="AT31" s="286"/>
      <c r="AU31" s="286">
        <f>_xlfn.IFNA(VLOOKUP(A31,EY!A:AO,40,FALSE),0)</f>
        <v>-12483.314736842103</v>
      </c>
      <c r="AV31" s="287">
        <f>_xlfn.IFNA((VLOOKUP($A31,HN!$A:$M,8,FALSE)/12),0)</f>
        <v>0</v>
      </c>
      <c r="AW31" s="287">
        <f>_xlfn.IFNA((VLOOKUP($A31,HN!$A:$M,12,FALSE)/12),0)+_xlfn.IFNA(VLOOKUP($A31,HN!$A$8:$AU$200,19,FALSE),0)</f>
        <v>0</v>
      </c>
      <c r="AX31" s="287">
        <f>_xlfn.IFNA((VLOOKUP($A31,HN!$A:$M,9,FALSE)/12),0)</f>
        <v>0</v>
      </c>
      <c r="AY31" s="287">
        <f>_xlfn.IFNA((VLOOKUP($A31,'Post 16'!$A:$AR,22,FALSE)/4),0)</f>
        <v>0</v>
      </c>
      <c r="AZ31" s="287">
        <f>_xlfn.IFNA(VLOOKUP(A31,EY!A:AO,41,FALSE),0)</f>
        <v>0</v>
      </c>
      <c r="BA31" s="287">
        <f>_xlfn.IFNA(((VLOOKUP($A31,HN!$A:$M,10,FALSE)-$U31-$AK31)/10),0)+_xlfn.IFNA(VLOOKUP($A31,HN!$A:$R,18,FALSE),0)</f>
        <v>2922.1333333333332</v>
      </c>
      <c r="BB31" s="287">
        <f>_xlfn.IFNA(((VLOOKUP($A31,HN!$A:$M,13,FALSE)-$V31-$AL31)/10),0)+_xlfn.IFNA(VLOOKUP($A31,HN!$A$8:$AU$200,20,FALSE),0)</f>
        <v>0</v>
      </c>
      <c r="BC31" s="286">
        <f t="shared" si="9"/>
        <v>-1265.75</v>
      </c>
      <c r="BD31" s="286">
        <f t="shared" si="10"/>
        <v>-1027.74035</v>
      </c>
      <c r="BE31" s="287"/>
      <c r="BF31" s="287"/>
      <c r="BG31" s="287"/>
      <c r="BH31" s="286">
        <f t="shared" si="11"/>
        <v>312232.49641310016</v>
      </c>
      <c r="BI31" s="307">
        <f t="shared" si="12"/>
        <v>324087.1681666089</v>
      </c>
      <c r="BJ31" s="307">
        <f>_xlfn.IFNA(VLOOKUP(A31,'LA Deductions'!A:AH,34,FALSE),0)</f>
        <v>0</v>
      </c>
      <c r="BK31" s="307"/>
      <c r="BL31" s="308">
        <f>_xlfn.IFNA((VLOOKUP($A31,HN!$A:$M,8,FALSE)/12),0)</f>
        <v>0</v>
      </c>
      <c r="BM31" s="308">
        <f>_xlfn.IFNA((VLOOKUP($A31,HN!$A:$M,12,FALSE)/12),0)</f>
        <v>0</v>
      </c>
      <c r="BN31" s="308">
        <f>_xlfn.IFNA((VLOOKUP($A31,HN!$A:$M,9,FALSE)/12),0)</f>
        <v>0</v>
      </c>
      <c r="BO31" s="308">
        <f>_xlfn.IFNA((VLOOKUP($A31,'Post 16'!$A:$AR,22,FALSE)/4),0)</f>
        <v>0</v>
      </c>
      <c r="BP31" s="308"/>
      <c r="BQ31" s="308">
        <f>_xlfn.IFNA(((VLOOKUP($A31,HN!$A:$M,10,FALSE)-$U31-$AK31)/10),0)</f>
        <v>2922.1333333333332</v>
      </c>
      <c r="BR31" s="308">
        <f>_xlfn.IFNA(((VLOOKUP($A31,HN!$A:$M,13,FALSE)-$V31-$AL31)/10),0)</f>
        <v>0</v>
      </c>
      <c r="BS31" s="307">
        <f t="shared" si="13"/>
        <v>-1265.75</v>
      </c>
      <c r="BT31" s="307">
        <f t="shared" si="14"/>
        <v>-1027.74035</v>
      </c>
      <c r="BU31" s="308"/>
      <c r="BV31" s="308"/>
      <c r="BW31" s="308"/>
      <c r="BX31" s="307">
        <f t="shared" si="15"/>
        <v>324715.81114994228</v>
      </c>
      <c r="BY31" s="300">
        <f t="shared" si="16"/>
        <v>324087.1681666089</v>
      </c>
      <c r="BZ31" s="300"/>
      <c r="CA31" s="300"/>
      <c r="CB31" s="301">
        <f>_xlfn.IFNA((VLOOKUP($A31,HN!$A:$M,8,FALSE)/12),0)</f>
        <v>0</v>
      </c>
      <c r="CC31" s="301">
        <f>_xlfn.IFNA((VLOOKUP($A31,HN!$A:$M,12,FALSE)/12),0)</f>
        <v>0</v>
      </c>
      <c r="CD31" s="301">
        <f>_xlfn.IFNA((VLOOKUP($A31,HN!$A:$M,9,FALSE)/12),0)</f>
        <v>0</v>
      </c>
      <c r="CE31" s="301">
        <f>_xlfn.IFNA((VLOOKUP($A31,'Post 16'!$A:$AG,33,FALSE)/8),0)</f>
        <v>0</v>
      </c>
      <c r="CF31" s="301"/>
      <c r="CG31" s="301">
        <f>_xlfn.IFNA(((VLOOKUP($A31,HN!$A:$M,10,FALSE)-$U31-$AK31)/10),0)</f>
        <v>2922.1333333333332</v>
      </c>
      <c r="CH31" s="301">
        <f>_xlfn.IFNA(((VLOOKUP($A31,HN!$A:$M,13,FALSE)-$V31-$AL31)/10),0)</f>
        <v>0</v>
      </c>
      <c r="CI31" s="300">
        <f t="shared" si="17"/>
        <v>-1265.75</v>
      </c>
      <c r="CJ31" s="300">
        <f t="shared" si="18"/>
        <v>-1027.74035</v>
      </c>
      <c r="CK31" s="301"/>
      <c r="CL31" s="301"/>
      <c r="CM31" s="301"/>
      <c r="CN31" s="300">
        <f t="shared" si="19"/>
        <v>324715.81114994228</v>
      </c>
      <c r="CO31" s="332">
        <f t="shared" si="20"/>
        <v>324087.1681666089</v>
      </c>
      <c r="CP31" s="332"/>
      <c r="CQ31" s="332">
        <f>_xlfn.IFNA((VLOOKUP($A31,EY!$A:$AB,28,FALSE)-$CV31),0)</f>
        <v>34992.360000000008</v>
      </c>
      <c r="CR31" s="333">
        <f>_xlfn.IFNA((VLOOKUP($A31,HN!$A:$M,8,FALSE)/12),0)</f>
        <v>0</v>
      </c>
      <c r="CS31" s="333">
        <f>_xlfn.IFNA((VLOOKUP($A31,HN!$A:$M,12,FALSE)/12),0)</f>
        <v>0</v>
      </c>
      <c r="CT31" s="333">
        <f>_xlfn.IFNA((VLOOKUP($A31,HN!$A:$M,9,FALSE)/12),0)</f>
        <v>0</v>
      </c>
      <c r="CU31" s="333">
        <f>_xlfn.IFNA((VLOOKUP($A31,'Post 16'!$A:$AG,33,FALSE)/8),0)</f>
        <v>0</v>
      </c>
      <c r="CV31" s="333">
        <f>_xlfn.IFNA((VLOOKUP($A31,EY!$A:$AB,26,FALSE)*80%),0)</f>
        <v>0</v>
      </c>
      <c r="CW31" s="333">
        <f>_xlfn.IFNA(((VLOOKUP($A31,HN!$A:$M,10,FALSE)-$U31-$AK31)/10),0)</f>
        <v>2922.1333333333332</v>
      </c>
      <c r="CX31" s="333">
        <f>_xlfn.IFNA(((VLOOKUP($A31,HN!$A:$M,13,FALSE)-$V31-$AL31)/10),0)</f>
        <v>0</v>
      </c>
      <c r="CY31" s="332">
        <f t="shared" si="21"/>
        <v>-1265.75</v>
      </c>
      <c r="CZ31" s="332">
        <f t="shared" si="22"/>
        <v>-1027.74035</v>
      </c>
      <c r="DA31" s="333"/>
      <c r="DB31" s="333"/>
      <c r="DC31" s="333"/>
      <c r="DD31" s="332">
        <f t="shared" si="23"/>
        <v>359708.17114994227</v>
      </c>
      <c r="DE31" s="314">
        <f t="shared" si="24"/>
        <v>324087.1681666089</v>
      </c>
      <c r="DF31" s="314"/>
      <c r="DG31" s="314"/>
      <c r="DH31" s="315">
        <f>_xlfn.IFNA((VLOOKUP($A31,HN!$A:$M,8,FALSE)/12),0)</f>
        <v>0</v>
      </c>
      <c r="DI31" s="315">
        <f>_xlfn.IFNA((VLOOKUP($A31,HN!$A:$M,12,FALSE)/12),0)</f>
        <v>0</v>
      </c>
      <c r="DJ31" s="315">
        <f>_xlfn.IFNA((VLOOKUP($A31,HN!$A:$M,9,FALSE)/12),0)</f>
        <v>0</v>
      </c>
      <c r="DK31" s="315">
        <f>_xlfn.IFNA((VLOOKUP($A31,'Post 16'!$A:$AG,33,FALSE)/8),0)</f>
        <v>0</v>
      </c>
      <c r="DL31" s="315"/>
      <c r="DM31" s="315">
        <f>_xlfn.IFNA(((VLOOKUP($A31,HN!$A:$M,10,FALSE)-$U31-$AK31)/10),0)</f>
        <v>2922.1333333333332</v>
      </c>
      <c r="DN31" s="315">
        <f>_xlfn.IFNA(((VLOOKUP($A31,HN!$A:$M,13,FALSE)-$V31-$AL31)/10),0)</f>
        <v>0</v>
      </c>
      <c r="DO31" s="314">
        <f t="shared" si="25"/>
        <v>-1265.75</v>
      </c>
      <c r="DP31" s="314">
        <f t="shared" si="26"/>
        <v>-1027.74035</v>
      </c>
      <c r="DQ31" s="315"/>
      <c r="DR31" s="315"/>
      <c r="DS31" s="315"/>
      <c r="DT31" s="314">
        <f t="shared" si="27"/>
        <v>324715.81114994228</v>
      </c>
      <c r="DU31" s="307">
        <f t="shared" si="28"/>
        <v>324087.1681666089</v>
      </c>
      <c r="DV31" s="307"/>
      <c r="DW31" s="307"/>
      <c r="DX31" s="308">
        <f>_xlfn.IFNA((VLOOKUP($A31,HN!$A:$M,8,FALSE)/12),0)</f>
        <v>0</v>
      </c>
      <c r="DY31" s="308">
        <f>_xlfn.IFNA((VLOOKUP($A31,HN!$A:$M,12,FALSE)/12),0)</f>
        <v>0</v>
      </c>
      <c r="DZ31" s="308">
        <f>_xlfn.IFNA((VLOOKUP($A31,HN!$A:$M,9,FALSE)/12),0)</f>
        <v>0</v>
      </c>
      <c r="EA31" s="308">
        <f>_xlfn.IFNA((VLOOKUP($A31,'Post 16'!$A:$AG,33,FALSE)/8),0)</f>
        <v>0</v>
      </c>
      <c r="EB31" s="308"/>
      <c r="EC31" s="308">
        <f>_xlfn.IFNA(((VLOOKUP($A31,HN!$A:$M,10,FALSE)-$U31-$AK31)/10),0)</f>
        <v>2922.1333333333332</v>
      </c>
      <c r="ED31" s="308">
        <f>_xlfn.IFNA(((VLOOKUP($A31,HN!$A:$M,13,FALSE)-$V31-$AL31)/10),0)</f>
        <v>0</v>
      </c>
      <c r="EE31" s="307">
        <f t="shared" si="29"/>
        <v>-1265.75</v>
      </c>
      <c r="EF31" s="307">
        <f t="shared" si="30"/>
        <v>-1027.74035</v>
      </c>
      <c r="EG31" s="308"/>
      <c r="EH31" s="308"/>
      <c r="EI31" s="308"/>
      <c r="EJ31" s="307">
        <f t="shared" si="31"/>
        <v>324715.81114994228</v>
      </c>
      <c r="EK31" s="320">
        <f t="shared" si="32"/>
        <v>324087.1681666089</v>
      </c>
      <c r="EL31" s="320"/>
      <c r="EM31" s="320"/>
      <c r="EN31" s="321">
        <f>_xlfn.IFNA((VLOOKUP($A31,HN!$A:$M,8,FALSE)/12),0)</f>
        <v>0</v>
      </c>
      <c r="EO31" s="321">
        <f>_xlfn.IFNA((VLOOKUP($A31,HN!$A:$M,12,FALSE)/12),0)</f>
        <v>0</v>
      </c>
      <c r="EP31" s="321">
        <f>_xlfn.IFNA((VLOOKUP($A31,HN!$A:$M,9,FALSE)/12),0)</f>
        <v>0</v>
      </c>
      <c r="EQ31" s="321">
        <f>_xlfn.IFNA((VLOOKUP($A31,'Post 16'!$A:$AG,33,FALSE)/8),0)</f>
        <v>0</v>
      </c>
      <c r="ER31" s="321"/>
      <c r="ES31" s="321">
        <f>_xlfn.IFNA(((VLOOKUP($A31,HN!$A:$M,10,FALSE)-$U31-$AK31)/10),0)</f>
        <v>2922.1333333333332</v>
      </c>
      <c r="ET31" s="321">
        <f>_xlfn.IFNA(((VLOOKUP($A31,HN!$A:$M,13,FALSE)-$V31-$AL31)/10),0)</f>
        <v>0</v>
      </c>
      <c r="EU31" s="320">
        <f t="shared" si="33"/>
        <v>-1265.75</v>
      </c>
      <c r="EV31" s="320">
        <f t="shared" si="34"/>
        <v>-1027.74035</v>
      </c>
      <c r="EW31" s="321"/>
      <c r="EX31" s="321"/>
      <c r="EY31" s="321"/>
      <c r="EZ31" s="320">
        <f t="shared" si="35"/>
        <v>324715.81114994228</v>
      </c>
      <c r="FA31" s="286">
        <f t="shared" si="36"/>
        <v>324087.1681666089</v>
      </c>
      <c r="FB31" s="286"/>
      <c r="FC31" s="286"/>
      <c r="FD31" s="287">
        <f>_xlfn.IFNA((VLOOKUP($A31,HN!$A:$M,8,FALSE)/12),0)</f>
        <v>0</v>
      </c>
      <c r="FE31" s="287">
        <f>_xlfn.IFNA((VLOOKUP($A31,HN!$A:$M,12,FALSE)/12),0)</f>
        <v>0</v>
      </c>
      <c r="FF31" s="287">
        <f>_xlfn.IFNA((VLOOKUP($A31,HN!$A:$M,9,FALSE)/12),0)</f>
        <v>0</v>
      </c>
      <c r="FG31" s="287">
        <f>_xlfn.IFNA((VLOOKUP($A31,'Post 16'!$A:$AG,33,FALSE)/8),0)</f>
        <v>0</v>
      </c>
      <c r="FH31" s="287"/>
      <c r="FI31" s="287">
        <f>_xlfn.IFNA(((VLOOKUP($A31,HN!$A:$M,10,FALSE)-$U31-$AK31)/10),0)</f>
        <v>2922.1333333333332</v>
      </c>
      <c r="FJ31" s="287">
        <f>_xlfn.IFNA(((VLOOKUP($A31,HN!$A:$M,13,FALSE)-$V31-$AL31)/10),0)</f>
        <v>0</v>
      </c>
      <c r="FK31" s="286">
        <f t="shared" si="37"/>
        <v>-1265.75</v>
      </c>
      <c r="FL31" s="286">
        <f t="shared" si="38"/>
        <v>-1027.74035</v>
      </c>
      <c r="FM31" s="287"/>
      <c r="FN31" s="287"/>
      <c r="FO31" s="287"/>
      <c r="FP31" s="286">
        <f t="shared" si="39"/>
        <v>324715.81114994228</v>
      </c>
      <c r="FQ31" s="293">
        <f t="shared" si="40"/>
        <v>324087.1681666089</v>
      </c>
      <c r="FR31" s="293"/>
      <c r="FS31" s="293"/>
      <c r="FT31" s="294">
        <f>_xlfn.IFNA((VLOOKUP($A31,HN!$A:$M,8,FALSE)/12),0)</f>
        <v>0</v>
      </c>
      <c r="FU31" s="294">
        <f>_xlfn.IFNA((VLOOKUP($A31,HN!$A:$M,12,FALSE)/12),0)</f>
        <v>0</v>
      </c>
      <c r="FV31" s="294">
        <f>_xlfn.IFNA((VLOOKUP($A31,HN!$A:$M,9,FALSE)/12),0)</f>
        <v>0</v>
      </c>
      <c r="FW31" s="294">
        <f>_xlfn.IFNA((VLOOKUP($A31,'Post 16'!$A:$AG,33,FALSE)/8),0)</f>
        <v>0</v>
      </c>
      <c r="FX31" s="294"/>
      <c r="FY31" s="294">
        <f>_xlfn.IFNA(((VLOOKUP($A31,HN!$A:$M,10,FALSE)-$U31-$AK31)/10),0)</f>
        <v>2922.1333333333332</v>
      </c>
      <c r="FZ31" s="294">
        <f>_xlfn.IFNA(((VLOOKUP($A31,HN!$A:$M,13,FALSE)-$V31-$AL31)/10),0)</f>
        <v>0</v>
      </c>
      <c r="GA31" s="293">
        <f t="shared" si="41"/>
        <v>-1265.75</v>
      </c>
      <c r="GB31" s="293">
        <f t="shared" si="42"/>
        <v>-1027.74035</v>
      </c>
      <c r="GC31" s="294"/>
      <c r="GD31" s="294"/>
      <c r="GE31" s="294"/>
      <c r="GF31" s="293">
        <f t="shared" si="43"/>
        <v>324715.81114994228</v>
      </c>
      <c r="GG31" s="300">
        <f t="shared" si="44"/>
        <v>324087.1681666089</v>
      </c>
      <c r="GH31" s="300"/>
      <c r="GI31" s="300"/>
      <c r="GJ31" s="301">
        <f>_xlfn.IFNA((VLOOKUP($A31,HN!$A:$M,8,FALSE)/12),0)</f>
        <v>0</v>
      </c>
      <c r="GK31" s="301">
        <f>_xlfn.IFNA((VLOOKUP($A31,HN!$A:$M,12,FALSE)/12),0)</f>
        <v>0</v>
      </c>
      <c r="GL31" s="301">
        <f>_xlfn.IFNA((VLOOKUP($A31,HN!$A:$M,9,FALSE)/12),0)</f>
        <v>0</v>
      </c>
      <c r="GM31" s="301">
        <f>_xlfn.IFNA((VLOOKUP($A31,'Post 16'!$A:$AG,33,FALSE)/8),0)</f>
        <v>0</v>
      </c>
      <c r="GN31" s="301"/>
      <c r="GO31" s="301">
        <f>_xlfn.IFNA(((VLOOKUP($A31,HN!$A:$M,10,FALSE)-$U31-$AK31)/10),0)</f>
        <v>2922.1333333333332</v>
      </c>
      <c r="GP31" s="301">
        <f>_xlfn.IFNA(((VLOOKUP($A31,HN!$A:$M,13,FALSE)-$V31-$AL31)/10),0)</f>
        <v>0</v>
      </c>
      <c r="GQ31" s="300">
        <f t="shared" si="45"/>
        <v>-1265.75</v>
      </c>
      <c r="GR31" s="300">
        <f t="shared" si="46"/>
        <v>-1027.74035</v>
      </c>
      <c r="GS31" s="301"/>
      <c r="GT31" s="301"/>
      <c r="GU31" s="301"/>
      <c r="GV31" s="300">
        <f t="shared" si="47"/>
        <v>324715.81114994228</v>
      </c>
      <c r="GX31" s="146">
        <f t="shared" si="52"/>
        <v>3967367.1832624655</v>
      </c>
      <c r="GY31" s="146">
        <f t="shared" si="52"/>
        <v>0</v>
      </c>
      <c r="GZ31" s="146">
        <f t="shared" si="52"/>
        <v>38732.999999999985</v>
      </c>
      <c r="HA31" s="146">
        <f t="shared" si="52"/>
        <v>-15189</v>
      </c>
      <c r="HB31" s="146">
        <f t="shared" si="52"/>
        <v>-12332.8842</v>
      </c>
      <c r="HC31" s="146">
        <f t="shared" si="52"/>
        <v>0</v>
      </c>
      <c r="HE31" s="146">
        <f t="shared" si="53"/>
        <v>1015590.3097629846</v>
      </c>
      <c r="HF31" s="146">
        <f t="shared" si="53"/>
        <v>0</v>
      </c>
      <c r="HG31" s="146">
        <f t="shared" si="53"/>
        <v>12433.800000000001</v>
      </c>
      <c r="HH31" s="146">
        <f t="shared" si="53"/>
        <v>-3797.25</v>
      </c>
      <c r="HI31" s="146">
        <f t="shared" si="53"/>
        <v>-3083.2210500000001</v>
      </c>
      <c r="HJ31" s="146">
        <f t="shared" si="53"/>
        <v>0</v>
      </c>
      <c r="HL31" s="146"/>
      <c r="HM31" s="57"/>
    </row>
    <row r="32" spans="1:221">
      <c r="A32" s="185">
        <v>3353</v>
      </c>
      <c r="B32" s="185">
        <v>103445</v>
      </c>
      <c r="C32" s="185" t="s">
        <v>86</v>
      </c>
      <c r="D32" s="2" t="s">
        <v>87</v>
      </c>
      <c r="E32" s="190" t="s">
        <v>39</v>
      </c>
      <c r="F32" s="190" t="s">
        <v>890</v>
      </c>
      <c r="H32" s="271">
        <f>_xlfn.IFNA(VLOOKUP($A32,ISB!$A$4:$BY$441,67,FALSE),0)</f>
        <v>3319836.0843000002</v>
      </c>
      <c r="I32" s="271">
        <f>_xlfn.IFNA(VLOOKUP($A32,ISB!$A$4:$BY$441,72,FALSE),0)</f>
        <v>-16110.3</v>
      </c>
      <c r="J32" s="271">
        <f>-_xlfn.IFNA(VLOOKUP($A32,ISB!$A$4:$BY$441,76,FALSE),0)</f>
        <v>-10431.0843</v>
      </c>
      <c r="K32" s="271">
        <f>_xlfn.IFNA(VLOOKUP($A32,ISB!$A$4:$BY$441,77,FALSE),0)</f>
        <v>3293294.7</v>
      </c>
      <c r="M32" s="279">
        <f t="shared" si="0"/>
        <v>276653.007025</v>
      </c>
      <c r="N32" s="279"/>
      <c r="O32" s="279">
        <f>_xlfn.IFNA(VLOOKUP($A32,EY!$A:$H,8,FALSE)+(VLOOKUP($A32,EY!$A:$R,18,FALSE)-$T32),0)</f>
        <v>0</v>
      </c>
      <c r="P32" s="280">
        <f>_xlfn.IFNA((VLOOKUP($A32,HN!$A:$M,8,FALSE)/12),0)</f>
        <v>0</v>
      </c>
      <c r="Q32" s="280">
        <f>_xlfn.IFNA((VLOOKUP($A32,HN!$A:$M,12,FALSE)/12),0)</f>
        <v>0</v>
      </c>
      <c r="R32" s="280">
        <f>_xlfn.IFNA((VLOOKUP($A32,HN!$A:$M,9,FALSE)/12),0)</f>
        <v>0</v>
      </c>
      <c r="S32" s="280">
        <f>_xlfn.IFNA((VLOOKUP($A32,'Post 16'!$A:$AR,22,FALSE)/4),0)</f>
        <v>0</v>
      </c>
      <c r="T32" s="280">
        <f>_xlfn.IFNA((VLOOKUP($A32,EY!$A:$R,16,FALSE)*80%),0)</f>
        <v>0</v>
      </c>
      <c r="U32" s="280">
        <v>9230.5416666666661</v>
      </c>
      <c r="V32" s="280">
        <v>0</v>
      </c>
      <c r="W32" s="279">
        <f t="shared" si="1"/>
        <v>-1342.5249999999999</v>
      </c>
      <c r="X32" s="279">
        <f t="shared" si="2"/>
        <v>-869.257025</v>
      </c>
      <c r="Y32" s="280"/>
      <c r="Z32" s="280"/>
      <c r="AA32" s="280"/>
      <c r="AB32" s="279">
        <f t="shared" si="3"/>
        <v>283671.76666666666</v>
      </c>
      <c r="AC32" s="293">
        <f t="shared" si="4"/>
        <v>276653.007025</v>
      </c>
      <c r="AD32" s="293"/>
      <c r="AE32" s="293"/>
      <c r="AF32" s="294">
        <f>_xlfn.IFNA((VLOOKUP($A32,HN!$A:$M,8,FALSE)/12),0)</f>
        <v>0</v>
      </c>
      <c r="AG32" s="294">
        <f>_xlfn.IFNA((VLOOKUP($A32,HN!$A:$M,12,FALSE)/12),0)+_xlfn.IFNA(VLOOKUP($A32,HN!$A:$Q,17,FALSE),0)</f>
        <v>0</v>
      </c>
      <c r="AH32" s="294">
        <f>_xlfn.IFNA((VLOOKUP($A32,HN!$A:$M,9,FALSE)/12),0)</f>
        <v>0</v>
      </c>
      <c r="AI32" s="294">
        <f>_xlfn.IFNA((VLOOKUP($A32,'Post 16'!$A:$AR,22,FALSE)/4),0)</f>
        <v>0</v>
      </c>
      <c r="AJ32" s="294"/>
      <c r="AK32" s="294">
        <f>_xlfn.IFNA((VLOOKUP($A32,HN!$A:$M,10,FALSE)/12),0)</f>
        <v>9411.2433333333338</v>
      </c>
      <c r="AL32" s="294">
        <f>_xlfn.IFNA((VLOOKUP($A32,HN!$A:$M,13,FALSE)/12),0)</f>
        <v>0</v>
      </c>
      <c r="AM32" s="293">
        <f t="shared" si="5"/>
        <v>-1342.5249999999999</v>
      </c>
      <c r="AN32" s="293">
        <f t="shared" si="6"/>
        <v>-869.257025</v>
      </c>
      <c r="AO32" s="294"/>
      <c r="AP32" s="294"/>
      <c r="AQ32" s="294"/>
      <c r="AR32" s="293">
        <f t="shared" si="7"/>
        <v>283852.46833333332</v>
      </c>
      <c r="AS32" s="286">
        <f t="shared" si="8"/>
        <v>276653.007025</v>
      </c>
      <c r="AT32" s="286"/>
      <c r="AU32" s="286">
        <f>_xlfn.IFNA(VLOOKUP(A32,EY!A:AO,40,FALSE),0)</f>
        <v>0</v>
      </c>
      <c r="AV32" s="287">
        <f>_xlfn.IFNA((VLOOKUP($A32,HN!$A:$M,8,FALSE)/12),0)</f>
        <v>0</v>
      </c>
      <c r="AW32" s="287">
        <f>_xlfn.IFNA((VLOOKUP($A32,HN!$A:$M,12,FALSE)/12),0)+_xlfn.IFNA(VLOOKUP($A32,HN!$A$8:$AU$200,19,FALSE),0)</f>
        <v>0</v>
      </c>
      <c r="AX32" s="287">
        <f>_xlfn.IFNA((VLOOKUP($A32,HN!$A:$M,9,FALSE)/12),0)</f>
        <v>0</v>
      </c>
      <c r="AY32" s="287">
        <f>_xlfn.IFNA((VLOOKUP($A32,'Post 16'!$A:$AR,22,FALSE)/4),0)</f>
        <v>0</v>
      </c>
      <c r="AZ32" s="287">
        <f>_xlfn.IFNA(VLOOKUP(A32,EY!A:AO,41,FALSE),0)</f>
        <v>0</v>
      </c>
      <c r="BA32" s="287">
        <f>_xlfn.IFNA(((VLOOKUP($A32,HN!$A:$M,10,FALSE)-$U32-$AK32)/10),0)+_xlfn.IFNA(VLOOKUP($A32,HN!$A:$R,18,FALSE),0)</f>
        <v>9429.3135000000002</v>
      </c>
      <c r="BB32" s="287">
        <f>_xlfn.IFNA(((VLOOKUP($A32,HN!$A:$M,13,FALSE)-$V32-$AL32)/10),0)+_xlfn.IFNA(VLOOKUP($A32,HN!$A$8:$AU$200,20,FALSE),0)</f>
        <v>0</v>
      </c>
      <c r="BC32" s="286">
        <f t="shared" si="9"/>
        <v>-1342.5249999999999</v>
      </c>
      <c r="BD32" s="286">
        <f t="shared" si="10"/>
        <v>-869.257025</v>
      </c>
      <c r="BE32" s="287"/>
      <c r="BF32" s="287"/>
      <c r="BG32" s="287"/>
      <c r="BH32" s="286">
        <f t="shared" si="11"/>
        <v>283870.53849999997</v>
      </c>
      <c r="BI32" s="307">
        <f t="shared" si="12"/>
        <v>276653.007025</v>
      </c>
      <c r="BJ32" s="307">
        <f>_xlfn.IFNA(VLOOKUP(A32,'LA Deductions'!A:AH,34,FALSE),0)</f>
        <v>0</v>
      </c>
      <c r="BK32" s="307"/>
      <c r="BL32" s="308">
        <f>_xlfn.IFNA((VLOOKUP($A32,HN!$A:$M,8,FALSE)/12),0)</f>
        <v>0</v>
      </c>
      <c r="BM32" s="308">
        <f>_xlfn.IFNA((VLOOKUP($A32,HN!$A:$M,12,FALSE)/12),0)</f>
        <v>0</v>
      </c>
      <c r="BN32" s="308">
        <f>_xlfn.IFNA((VLOOKUP($A32,HN!$A:$M,9,FALSE)/12),0)</f>
        <v>0</v>
      </c>
      <c r="BO32" s="308">
        <f>_xlfn.IFNA((VLOOKUP($A32,'Post 16'!$A:$AR,22,FALSE)/4),0)</f>
        <v>0</v>
      </c>
      <c r="BP32" s="308"/>
      <c r="BQ32" s="308">
        <f>_xlfn.IFNA(((VLOOKUP($A32,HN!$A:$M,10,FALSE)-$U32-$AK32)/10),0)</f>
        <v>9429.3135000000002</v>
      </c>
      <c r="BR32" s="308">
        <f>_xlfn.IFNA(((VLOOKUP($A32,HN!$A:$M,13,FALSE)-$V32-$AL32)/10),0)</f>
        <v>0</v>
      </c>
      <c r="BS32" s="307">
        <f t="shared" si="13"/>
        <v>-1342.5249999999999</v>
      </c>
      <c r="BT32" s="307">
        <f t="shared" si="14"/>
        <v>-869.257025</v>
      </c>
      <c r="BU32" s="308"/>
      <c r="BV32" s="308"/>
      <c r="BW32" s="308"/>
      <c r="BX32" s="307">
        <f t="shared" si="15"/>
        <v>283870.53849999997</v>
      </c>
      <c r="BY32" s="300">
        <f t="shared" si="16"/>
        <v>276653.007025</v>
      </c>
      <c r="BZ32" s="300"/>
      <c r="CA32" s="300"/>
      <c r="CB32" s="301">
        <f>_xlfn.IFNA((VLOOKUP($A32,HN!$A:$M,8,FALSE)/12),0)</f>
        <v>0</v>
      </c>
      <c r="CC32" s="301">
        <f>_xlfn.IFNA((VLOOKUP($A32,HN!$A:$M,12,FALSE)/12),0)</f>
        <v>0</v>
      </c>
      <c r="CD32" s="301">
        <f>_xlfn.IFNA((VLOOKUP($A32,HN!$A:$M,9,FALSE)/12),0)</f>
        <v>0</v>
      </c>
      <c r="CE32" s="301">
        <f>_xlfn.IFNA((VLOOKUP($A32,'Post 16'!$A:$AG,33,FALSE)/8),0)</f>
        <v>0</v>
      </c>
      <c r="CF32" s="301"/>
      <c r="CG32" s="301">
        <f>_xlfn.IFNA(((VLOOKUP($A32,HN!$A:$M,10,FALSE)-$U32-$AK32)/10),0)</f>
        <v>9429.3135000000002</v>
      </c>
      <c r="CH32" s="301">
        <f>_xlfn.IFNA(((VLOOKUP($A32,HN!$A:$M,13,FALSE)-$V32-$AL32)/10),0)</f>
        <v>0</v>
      </c>
      <c r="CI32" s="300">
        <f t="shared" si="17"/>
        <v>-1342.5249999999999</v>
      </c>
      <c r="CJ32" s="300">
        <f t="shared" si="18"/>
        <v>-869.257025</v>
      </c>
      <c r="CK32" s="301"/>
      <c r="CL32" s="301"/>
      <c r="CM32" s="301"/>
      <c r="CN32" s="300">
        <f t="shared" si="19"/>
        <v>283870.53849999997</v>
      </c>
      <c r="CO32" s="332">
        <f t="shared" si="20"/>
        <v>276653.007025</v>
      </c>
      <c r="CP32" s="332"/>
      <c r="CQ32" s="332">
        <f>_xlfn.IFNA((VLOOKUP($A32,EY!$A:$AB,28,FALSE)-$CV32),0)</f>
        <v>0</v>
      </c>
      <c r="CR32" s="333">
        <f>_xlfn.IFNA((VLOOKUP($A32,HN!$A:$M,8,FALSE)/12),0)</f>
        <v>0</v>
      </c>
      <c r="CS32" s="333">
        <f>_xlfn.IFNA((VLOOKUP($A32,HN!$A:$M,12,FALSE)/12),0)</f>
        <v>0</v>
      </c>
      <c r="CT32" s="333">
        <f>_xlfn.IFNA((VLOOKUP($A32,HN!$A:$M,9,FALSE)/12),0)</f>
        <v>0</v>
      </c>
      <c r="CU32" s="333">
        <f>_xlfn.IFNA((VLOOKUP($A32,'Post 16'!$A:$AG,33,FALSE)/8),0)</f>
        <v>0</v>
      </c>
      <c r="CV32" s="333">
        <f>_xlfn.IFNA((VLOOKUP($A32,EY!$A:$AB,26,FALSE)*80%),0)</f>
        <v>0</v>
      </c>
      <c r="CW32" s="333">
        <f>_xlfn.IFNA(((VLOOKUP($A32,HN!$A:$M,10,FALSE)-$U32-$AK32)/10),0)</f>
        <v>9429.3135000000002</v>
      </c>
      <c r="CX32" s="333">
        <f>_xlfn.IFNA(((VLOOKUP($A32,HN!$A:$M,13,FALSE)-$V32-$AL32)/10),0)</f>
        <v>0</v>
      </c>
      <c r="CY32" s="332">
        <f t="shared" si="21"/>
        <v>-1342.5249999999999</v>
      </c>
      <c r="CZ32" s="332">
        <f t="shared" si="22"/>
        <v>-869.257025</v>
      </c>
      <c r="DA32" s="333"/>
      <c r="DB32" s="333"/>
      <c r="DC32" s="333"/>
      <c r="DD32" s="332">
        <f t="shared" si="23"/>
        <v>283870.53849999997</v>
      </c>
      <c r="DE32" s="314">
        <f t="shared" si="24"/>
        <v>276653.007025</v>
      </c>
      <c r="DF32" s="314"/>
      <c r="DG32" s="314"/>
      <c r="DH32" s="315">
        <f>_xlfn.IFNA((VLOOKUP($A32,HN!$A:$M,8,FALSE)/12),0)</f>
        <v>0</v>
      </c>
      <c r="DI32" s="315">
        <f>_xlfn.IFNA((VLOOKUP($A32,HN!$A:$M,12,FALSE)/12),0)</f>
        <v>0</v>
      </c>
      <c r="DJ32" s="315">
        <f>_xlfn.IFNA((VLOOKUP($A32,HN!$A:$M,9,FALSE)/12),0)</f>
        <v>0</v>
      </c>
      <c r="DK32" s="315">
        <f>_xlfn.IFNA((VLOOKUP($A32,'Post 16'!$A:$AG,33,FALSE)/8),0)</f>
        <v>0</v>
      </c>
      <c r="DL32" s="315"/>
      <c r="DM32" s="315">
        <f>_xlfn.IFNA(((VLOOKUP($A32,HN!$A:$M,10,FALSE)-$U32-$AK32)/10),0)</f>
        <v>9429.3135000000002</v>
      </c>
      <c r="DN32" s="315">
        <f>_xlfn.IFNA(((VLOOKUP($A32,HN!$A:$M,13,FALSE)-$V32-$AL32)/10),0)</f>
        <v>0</v>
      </c>
      <c r="DO32" s="314">
        <f t="shared" si="25"/>
        <v>-1342.5249999999999</v>
      </c>
      <c r="DP32" s="314">
        <f t="shared" si="26"/>
        <v>-869.257025</v>
      </c>
      <c r="DQ32" s="315"/>
      <c r="DR32" s="315"/>
      <c r="DS32" s="315"/>
      <c r="DT32" s="314">
        <f t="shared" si="27"/>
        <v>283870.53849999997</v>
      </c>
      <c r="DU32" s="307">
        <f t="shared" si="28"/>
        <v>276653.007025</v>
      </c>
      <c r="DV32" s="307"/>
      <c r="DW32" s="307"/>
      <c r="DX32" s="308">
        <f>_xlfn.IFNA((VLOOKUP($A32,HN!$A:$M,8,FALSE)/12),0)</f>
        <v>0</v>
      </c>
      <c r="DY32" s="308">
        <f>_xlfn.IFNA((VLOOKUP($A32,HN!$A:$M,12,FALSE)/12),0)</f>
        <v>0</v>
      </c>
      <c r="DZ32" s="308">
        <f>_xlfn.IFNA((VLOOKUP($A32,HN!$A:$M,9,FALSE)/12),0)</f>
        <v>0</v>
      </c>
      <c r="EA32" s="308">
        <f>_xlfn.IFNA((VLOOKUP($A32,'Post 16'!$A:$AG,33,FALSE)/8),0)</f>
        <v>0</v>
      </c>
      <c r="EB32" s="308"/>
      <c r="EC32" s="308">
        <f>_xlfn.IFNA(((VLOOKUP($A32,HN!$A:$M,10,FALSE)-$U32-$AK32)/10),0)</f>
        <v>9429.3135000000002</v>
      </c>
      <c r="ED32" s="308">
        <f>_xlfn.IFNA(((VLOOKUP($A32,HN!$A:$M,13,FALSE)-$V32-$AL32)/10),0)</f>
        <v>0</v>
      </c>
      <c r="EE32" s="307">
        <f t="shared" si="29"/>
        <v>-1342.5249999999999</v>
      </c>
      <c r="EF32" s="307">
        <f t="shared" si="30"/>
        <v>-869.257025</v>
      </c>
      <c r="EG32" s="308"/>
      <c r="EH32" s="308"/>
      <c r="EI32" s="308"/>
      <c r="EJ32" s="307">
        <f t="shared" si="31"/>
        <v>283870.53849999997</v>
      </c>
      <c r="EK32" s="320">
        <f t="shared" si="32"/>
        <v>276653.007025</v>
      </c>
      <c r="EL32" s="320"/>
      <c r="EM32" s="320"/>
      <c r="EN32" s="321">
        <f>_xlfn.IFNA((VLOOKUP($A32,HN!$A:$M,8,FALSE)/12),0)</f>
        <v>0</v>
      </c>
      <c r="EO32" s="321">
        <f>_xlfn.IFNA((VLOOKUP($A32,HN!$A:$M,12,FALSE)/12),0)</f>
        <v>0</v>
      </c>
      <c r="EP32" s="321">
        <f>_xlfn.IFNA((VLOOKUP($A32,HN!$A:$M,9,FALSE)/12),0)</f>
        <v>0</v>
      </c>
      <c r="EQ32" s="321">
        <f>_xlfn.IFNA((VLOOKUP($A32,'Post 16'!$A:$AG,33,FALSE)/8),0)</f>
        <v>0</v>
      </c>
      <c r="ER32" s="321"/>
      <c r="ES32" s="321">
        <f>_xlfn.IFNA(((VLOOKUP($A32,HN!$A:$M,10,FALSE)-$U32-$AK32)/10),0)</f>
        <v>9429.3135000000002</v>
      </c>
      <c r="ET32" s="321">
        <f>_xlfn.IFNA(((VLOOKUP($A32,HN!$A:$M,13,FALSE)-$V32-$AL32)/10),0)</f>
        <v>0</v>
      </c>
      <c r="EU32" s="320">
        <f t="shared" si="33"/>
        <v>-1342.5249999999999</v>
      </c>
      <c r="EV32" s="320">
        <f t="shared" si="34"/>
        <v>-869.257025</v>
      </c>
      <c r="EW32" s="321"/>
      <c r="EX32" s="321"/>
      <c r="EY32" s="321"/>
      <c r="EZ32" s="320">
        <f t="shared" si="35"/>
        <v>283870.53849999997</v>
      </c>
      <c r="FA32" s="286">
        <f t="shared" si="36"/>
        <v>276653.007025</v>
      </c>
      <c r="FB32" s="286"/>
      <c r="FC32" s="286"/>
      <c r="FD32" s="287">
        <f>_xlfn.IFNA((VLOOKUP($A32,HN!$A:$M,8,FALSE)/12),0)</f>
        <v>0</v>
      </c>
      <c r="FE32" s="287">
        <f>_xlfn.IFNA((VLOOKUP($A32,HN!$A:$M,12,FALSE)/12),0)</f>
        <v>0</v>
      </c>
      <c r="FF32" s="287">
        <f>_xlfn.IFNA((VLOOKUP($A32,HN!$A:$M,9,FALSE)/12),0)</f>
        <v>0</v>
      </c>
      <c r="FG32" s="287">
        <f>_xlfn.IFNA((VLOOKUP($A32,'Post 16'!$A:$AG,33,FALSE)/8),0)</f>
        <v>0</v>
      </c>
      <c r="FH32" s="287"/>
      <c r="FI32" s="287">
        <f>_xlfn.IFNA(((VLOOKUP($A32,HN!$A:$M,10,FALSE)-$U32-$AK32)/10),0)</f>
        <v>9429.3135000000002</v>
      </c>
      <c r="FJ32" s="287">
        <f>_xlfn.IFNA(((VLOOKUP($A32,HN!$A:$M,13,FALSE)-$V32-$AL32)/10),0)</f>
        <v>0</v>
      </c>
      <c r="FK32" s="286">
        <f t="shared" si="37"/>
        <v>-1342.5249999999999</v>
      </c>
      <c r="FL32" s="286">
        <f t="shared" si="38"/>
        <v>-869.257025</v>
      </c>
      <c r="FM32" s="287"/>
      <c r="FN32" s="287"/>
      <c r="FO32" s="287"/>
      <c r="FP32" s="286">
        <f t="shared" si="39"/>
        <v>283870.53849999997</v>
      </c>
      <c r="FQ32" s="293">
        <f t="shared" si="40"/>
        <v>276653.007025</v>
      </c>
      <c r="FR32" s="293"/>
      <c r="FS32" s="293"/>
      <c r="FT32" s="294">
        <f>_xlfn.IFNA((VLOOKUP($A32,HN!$A:$M,8,FALSE)/12),0)</f>
        <v>0</v>
      </c>
      <c r="FU32" s="294">
        <f>_xlfn.IFNA((VLOOKUP($A32,HN!$A:$M,12,FALSE)/12),0)</f>
        <v>0</v>
      </c>
      <c r="FV32" s="294">
        <f>_xlfn.IFNA((VLOOKUP($A32,HN!$A:$M,9,FALSE)/12),0)</f>
        <v>0</v>
      </c>
      <c r="FW32" s="294">
        <f>_xlfn.IFNA((VLOOKUP($A32,'Post 16'!$A:$AG,33,FALSE)/8),0)</f>
        <v>0</v>
      </c>
      <c r="FX32" s="294"/>
      <c r="FY32" s="294">
        <f>_xlfn.IFNA(((VLOOKUP($A32,HN!$A:$M,10,FALSE)-$U32-$AK32)/10),0)</f>
        <v>9429.3135000000002</v>
      </c>
      <c r="FZ32" s="294">
        <f>_xlfn.IFNA(((VLOOKUP($A32,HN!$A:$M,13,FALSE)-$V32-$AL32)/10),0)</f>
        <v>0</v>
      </c>
      <c r="GA32" s="293">
        <f t="shared" si="41"/>
        <v>-1342.5249999999999</v>
      </c>
      <c r="GB32" s="293">
        <f t="shared" si="42"/>
        <v>-869.257025</v>
      </c>
      <c r="GC32" s="294"/>
      <c r="GD32" s="294"/>
      <c r="GE32" s="294"/>
      <c r="GF32" s="293">
        <f t="shared" si="43"/>
        <v>283870.53849999997</v>
      </c>
      <c r="GG32" s="300">
        <f t="shared" si="44"/>
        <v>276653.007025</v>
      </c>
      <c r="GH32" s="300"/>
      <c r="GI32" s="300"/>
      <c r="GJ32" s="301">
        <f>_xlfn.IFNA((VLOOKUP($A32,HN!$A:$M,8,FALSE)/12),0)</f>
        <v>0</v>
      </c>
      <c r="GK32" s="301">
        <f>_xlfn.IFNA((VLOOKUP($A32,HN!$A:$M,12,FALSE)/12),0)</f>
        <v>0</v>
      </c>
      <c r="GL32" s="301">
        <f>_xlfn.IFNA((VLOOKUP($A32,HN!$A:$M,9,FALSE)/12),0)</f>
        <v>0</v>
      </c>
      <c r="GM32" s="301">
        <f>_xlfn.IFNA((VLOOKUP($A32,'Post 16'!$A:$AG,33,FALSE)/8),0)</f>
        <v>0</v>
      </c>
      <c r="GN32" s="301"/>
      <c r="GO32" s="301">
        <f>_xlfn.IFNA(((VLOOKUP($A32,HN!$A:$M,10,FALSE)-$U32-$AK32)/10),0)</f>
        <v>9429.3135000000002</v>
      </c>
      <c r="GP32" s="301">
        <f>_xlfn.IFNA(((VLOOKUP($A32,HN!$A:$M,13,FALSE)-$V32-$AL32)/10),0)</f>
        <v>0</v>
      </c>
      <c r="GQ32" s="300">
        <f t="shared" si="45"/>
        <v>-1342.5249999999999</v>
      </c>
      <c r="GR32" s="300">
        <f t="shared" si="46"/>
        <v>-869.257025</v>
      </c>
      <c r="GS32" s="301"/>
      <c r="GT32" s="301"/>
      <c r="GU32" s="301"/>
      <c r="GV32" s="300">
        <f t="shared" si="47"/>
        <v>283870.53849999997</v>
      </c>
      <c r="GX32" s="146">
        <f t="shared" si="52"/>
        <v>3319836.0843000007</v>
      </c>
      <c r="GY32" s="146">
        <f t="shared" si="52"/>
        <v>0</v>
      </c>
      <c r="GZ32" s="146">
        <f t="shared" si="52"/>
        <v>112934.92000000003</v>
      </c>
      <c r="HA32" s="146">
        <f t="shared" si="52"/>
        <v>-16110.299999999997</v>
      </c>
      <c r="HB32" s="146">
        <f t="shared" si="52"/>
        <v>-10431.084300000002</v>
      </c>
      <c r="HC32" s="146">
        <f t="shared" si="52"/>
        <v>0</v>
      </c>
      <c r="HE32" s="146">
        <f t="shared" si="53"/>
        <v>829959.02107500006</v>
      </c>
      <c r="HF32" s="146">
        <f t="shared" si="53"/>
        <v>0</v>
      </c>
      <c r="HG32" s="146">
        <f t="shared" si="53"/>
        <v>28071.0985</v>
      </c>
      <c r="HH32" s="146">
        <f t="shared" si="53"/>
        <v>-4027.5749999999998</v>
      </c>
      <c r="HI32" s="146">
        <f t="shared" si="53"/>
        <v>-2607.7710750000001</v>
      </c>
      <c r="HJ32" s="146">
        <f t="shared" si="53"/>
        <v>0</v>
      </c>
      <c r="HL32" s="146"/>
      <c r="HM32" s="57"/>
    </row>
    <row r="33" spans="1:221">
      <c r="A33" s="185">
        <v>7030</v>
      </c>
      <c r="B33" s="185">
        <v>103611</v>
      </c>
      <c r="C33" s="185" t="s">
        <v>88</v>
      </c>
      <c r="D33" s="2" t="s">
        <v>89</v>
      </c>
      <c r="E33" s="190" t="s">
        <v>56</v>
      </c>
      <c r="F33" s="190" t="s">
        <v>890</v>
      </c>
      <c r="H33" s="271">
        <f>_xlfn.IFNA(VLOOKUP($A33,ISB!$A$4:$BY$441,67,FALSE),0)</f>
        <v>0</v>
      </c>
      <c r="I33" s="271">
        <f>_xlfn.IFNA(VLOOKUP($A33,ISB!$A$4:$BY$441,72,FALSE),0)</f>
        <v>0</v>
      </c>
      <c r="J33" s="271">
        <f>-_xlfn.IFNA(VLOOKUP($A33,ISB!$A$4:$BY$441,76,FALSE),0)</f>
        <v>0</v>
      </c>
      <c r="K33" s="271">
        <f>_xlfn.IFNA(VLOOKUP($A33,ISB!$A$4:$BY$441,77,FALSE),0)</f>
        <v>0</v>
      </c>
      <c r="M33" s="279">
        <f t="shared" si="0"/>
        <v>0</v>
      </c>
      <c r="N33" s="279"/>
      <c r="O33" s="279">
        <f>_xlfn.IFNA(VLOOKUP($A33,EY!$A:$H,8,FALSE)+(VLOOKUP($A33,EY!$A:$R,18,FALSE)-$T33),0)</f>
        <v>0</v>
      </c>
      <c r="P33" s="280">
        <f>_xlfn.IFNA((VLOOKUP($A33,HN!$A:$M,8,FALSE)/12),0)</f>
        <v>52083.333333333336</v>
      </c>
      <c r="Q33" s="280">
        <f>_xlfn.IFNA((VLOOKUP($A33,HN!$A:$M,12,FALSE)/12),0)</f>
        <v>0</v>
      </c>
      <c r="R33" s="280">
        <f>_xlfn.IFNA((VLOOKUP($A33,HN!$A:$M,9,FALSE)/12),0)</f>
        <v>14166.666666666666</v>
      </c>
      <c r="S33" s="280">
        <f>_xlfn.IFNA((VLOOKUP($A33,'Post 16'!$A:$AR,22,FALSE)/4),0)</f>
        <v>0</v>
      </c>
      <c r="T33" s="280">
        <f>_xlfn.IFNA((VLOOKUP($A33,EY!$A:$R,16,FALSE)*80%),0)</f>
        <v>0</v>
      </c>
      <c r="U33" s="280">
        <v>85860.150000000009</v>
      </c>
      <c r="V33" s="280">
        <v>0</v>
      </c>
      <c r="W33" s="279">
        <f t="shared" si="1"/>
        <v>0</v>
      </c>
      <c r="X33" s="279">
        <f t="shared" si="2"/>
        <v>0</v>
      </c>
      <c r="Y33" s="280"/>
      <c r="Z33" s="280"/>
      <c r="AA33" s="280"/>
      <c r="AB33" s="279">
        <f t="shared" si="3"/>
        <v>152110.15000000002</v>
      </c>
      <c r="AC33" s="293">
        <f t="shared" si="4"/>
        <v>0</v>
      </c>
      <c r="AD33" s="293"/>
      <c r="AE33" s="293"/>
      <c r="AF33" s="294">
        <f>_xlfn.IFNA((VLOOKUP($A33,HN!$A:$M,8,FALSE)/12),0)</f>
        <v>52083.333333333336</v>
      </c>
      <c r="AG33" s="294">
        <f>_xlfn.IFNA((VLOOKUP($A33,HN!$A:$M,12,FALSE)/12),0)+_xlfn.IFNA(VLOOKUP($A33,HN!$A:$Q,17,FALSE),0)</f>
        <v>0</v>
      </c>
      <c r="AH33" s="294">
        <f>_xlfn.IFNA((VLOOKUP($A33,HN!$A:$M,9,FALSE)/12),0)</f>
        <v>14166.666666666666</v>
      </c>
      <c r="AI33" s="294">
        <f>_xlfn.IFNA((VLOOKUP($A33,'Post 16'!$A:$AR,22,FALSE)/4),0)</f>
        <v>0</v>
      </c>
      <c r="AJ33" s="294"/>
      <c r="AK33" s="294">
        <f>_xlfn.IFNA((VLOOKUP($A33,HN!$A:$M,10,FALSE)/12),0)</f>
        <v>85860.150000000009</v>
      </c>
      <c r="AL33" s="294">
        <f>_xlfn.IFNA((VLOOKUP($A33,HN!$A:$M,13,FALSE)/12),0)</f>
        <v>0</v>
      </c>
      <c r="AM33" s="293">
        <f t="shared" si="5"/>
        <v>0</v>
      </c>
      <c r="AN33" s="293">
        <f t="shared" si="6"/>
        <v>0</v>
      </c>
      <c r="AO33" s="294"/>
      <c r="AP33" s="294"/>
      <c r="AQ33" s="294"/>
      <c r="AR33" s="293">
        <f t="shared" si="7"/>
        <v>152110.15000000002</v>
      </c>
      <c r="AS33" s="286">
        <f t="shared" si="8"/>
        <v>0</v>
      </c>
      <c r="AT33" s="286"/>
      <c r="AU33" s="286">
        <f>_xlfn.IFNA(VLOOKUP(A33,EY!A:AO,40,FALSE),0)</f>
        <v>0</v>
      </c>
      <c r="AV33" s="287">
        <f>_xlfn.IFNA((VLOOKUP($A33,HN!$A:$M,8,FALSE)/12),0)</f>
        <v>52083.333333333336</v>
      </c>
      <c r="AW33" s="287">
        <f>_xlfn.IFNA((VLOOKUP($A33,HN!$A:$M,12,FALSE)/12),0)+_xlfn.IFNA(VLOOKUP($A33,HN!$A$8:$AU$200,19,FALSE),0)</f>
        <v>0</v>
      </c>
      <c r="AX33" s="287">
        <f>_xlfn.IFNA((VLOOKUP($A33,HN!$A:$M,9,FALSE)/12),0)</f>
        <v>14166.666666666666</v>
      </c>
      <c r="AY33" s="287">
        <f>_xlfn.IFNA((VLOOKUP($A33,'Post 16'!$A:$AR,22,FALSE)/4),0)</f>
        <v>0</v>
      </c>
      <c r="AZ33" s="287">
        <f>_xlfn.IFNA(VLOOKUP(A33,EY!A:AO,41,FALSE),0)</f>
        <v>0</v>
      </c>
      <c r="BA33" s="287">
        <f>_xlfn.IFNA(((VLOOKUP($A33,HN!$A:$M,10,FALSE)-$U33-$AK33)/10),0)+_xlfn.IFNA(VLOOKUP($A33,HN!$A:$R,18,FALSE),0)</f>
        <v>85860.15</v>
      </c>
      <c r="BB33" s="287">
        <f>_xlfn.IFNA(((VLOOKUP($A33,HN!$A:$M,13,FALSE)-$V33-$AL33)/10),0)+_xlfn.IFNA(VLOOKUP($A33,HN!$A$8:$AU$200,20,FALSE),0)</f>
        <v>0</v>
      </c>
      <c r="BC33" s="286">
        <f t="shared" si="9"/>
        <v>0</v>
      </c>
      <c r="BD33" s="286">
        <f t="shared" si="10"/>
        <v>0</v>
      </c>
      <c r="BE33" s="287"/>
      <c r="BF33" s="287"/>
      <c r="BG33" s="287"/>
      <c r="BH33" s="286">
        <f t="shared" si="11"/>
        <v>152110.15</v>
      </c>
      <c r="BI33" s="307">
        <f t="shared" si="12"/>
        <v>0</v>
      </c>
      <c r="BJ33" s="307">
        <f>_xlfn.IFNA(VLOOKUP(A33,'LA Deductions'!A:AH,34,FALSE),0)</f>
        <v>0</v>
      </c>
      <c r="BK33" s="307"/>
      <c r="BL33" s="308">
        <f>_xlfn.IFNA((VLOOKUP($A33,HN!$A:$M,8,FALSE)/12),0)</f>
        <v>52083.333333333336</v>
      </c>
      <c r="BM33" s="308">
        <f>_xlfn.IFNA((VLOOKUP($A33,HN!$A:$M,12,FALSE)/12),0)</f>
        <v>0</v>
      </c>
      <c r="BN33" s="308">
        <f>_xlfn.IFNA((VLOOKUP($A33,HN!$A:$M,9,FALSE)/12),0)</f>
        <v>14166.666666666666</v>
      </c>
      <c r="BO33" s="308">
        <f>_xlfn.IFNA((VLOOKUP($A33,'Post 16'!$A:$AR,22,FALSE)/4),0)</f>
        <v>0</v>
      </c>
      <c r="BP33" s="308"/>
      <c r="BQ33" s="308">
        <f>_xlfn.IFNA(((VLOOKUP($A33,HN!$A:$M,10,FALSE)-$U33-$AK33)/10),0)</f>
        <v>85860.15</v>
      </c>
      <c r="BR33" s="308">
        <f>_xlfn.IFNA(((VLOOKUP($A33,HN!$A:$M,13,FALSE)-$V33-$AL33)/10),0)</f>
        <v>0</v>
      </c>
      <c r="BS33" s="307">
        <f t="shared" si="13"/>
        <v>0</v>
      </c>
      <c r="BT33" s="307">
        <f t="shared" si="14"/>
        <v>0</v>
      </c>
      <c r="BU33" s="308"/>
      <c r="BV33" s="308"/>
      <c r="BW33" s="308"/>
      <c r="BX33" s="307">
        <f t="shared" si="15"/>
        <v>152110.15</v>
      </c>
      <c r="BY33" s="300">
        <f t="shared" si="16"/>
        <v>0</v>
      </c>
      <c r="BZ33" s="300"/>
      <c r="CA33" s="300"/>
      <c r="CB33" s="301">
        <f>_xlfn.IFNA((VLOOKUP($A33,HN!$A:$M,8,FALSE)/12),0)</f>
        <v>52083.333333333336</v>
      </c>
      <c r="CC33" s="301">
        <f>_xlfn.IFNA((VLOOKUP($A33,HN!$A:$M,12,FALSE)/12),0)</f>
        <v>0</v>
      </c>
      <c r="CD33" s="301">
        <f>_xlfn.IFNA((VLOOKUP($A33,HN!$A:$M,9,FALSE)/12),0)</f>
        <v>14166.666666666666</v>
      </c>
      <c r="CE33" s="301">
        <f>_xlfn.IFNA((VLOOKUP($A33,'Post 16'!$A:$AG,33,FALSE)/8),0)</f>
        <v>0</v>
      </c>
      <c r="CF33" s="301"/>
      <c r="CG33" s="301">
        <f>_xlfn.IFNA(((VLOOKUP($A33,HN!$A:$M,10,FALSE)-$U33-$AK33)/10),0)</f>
        <v>85860.15</v>
      </c>
      <c r="CH33" s="301">
        <f>_xlfn.IFNA(((VLOOKUP($A33,HN!$A:$M,13,FALSE)-$V33-$AL33)/10),0)</f>
        <v>0</v>
      </c>
      <c r="CI33" s="300">
        <f t="shared" si="17"/>
        <v>0</v>
      </c>
      <c r="CJ33" s="300">
        <f t="shared" si="18"/>
        <v>0</v>
      </c>
      <c r="CK33" s="301"/>
      <c r="CL33" s="301"/>
      <c r="CM33" s="301"/>
      <c r="CN33" s="300">
        <f t="shared" si="19"/>
        <v>152110.15</v>
      </c>
      <c r="CO33" s="332">
        <f t="shared" si="20"/>
        <v>0</v>
      </c>
      <c r="CP33" s="332"/>
      <c r="CQ33" s="332">
        <f>_xlfn.IFNA((VLOOKUP($A33,EY!$A:$AB,28,FALSE)-$CV33),0)</f>
        <v>0</v>
      </c>
      <c r="CR33" s="333">
        <f>_xlfn.IFNA((VLOOKUP($A33,HN!$A:$M,8,FALSE)/12),0)</f>
        <v>52083.333333333336</v>
      </c>
      <c r="CS33" s="333">
        <f>_xlfn.IFNA((VLOOKUP($A33,HN!$A:$M,12,FALSE)/12),0)</f>
        <v>0</v>
      </c>
      <c r="CT33" s="333">
        <f>_xlfn.IFNA((VLOOKUP($A33,HN!$A:$M,9,FALSE)/12),0)</f>
        <v>14166.666666666666</v>
      </c>
      <c r="CU33" s="333">
        <f>_xlfn.IFNA((VLOOKUP($A33,'Post 16'!$A:$AG,33,FALSE)/8),0)</f>
        <v>0</v>
      </c>
      <c r="CV33" s="333">
        <f>_xlfn.IFNA((VLOOKUP($A33,EY!$A:$AB,26,FALSE)*80%),0)</f>
        <v>0</v>
      </c>
      <c r="CW33" s="333">
        <f>_xlfn.IFNA(((VLOOKUP($A33,HN!$A:$M,10,FALSE)-$U33-$AK33)/10),0)</f>
        <v>85860.15</v>
      </c>
      <c r="CX33" s="333">
        <f>_xlfn.IFNA(((VLOOKUP($A33,HN!$A:$M,13,FALSE)-$V33-$AL33)/10),0)</f>
        <v>0</v>
      </c>
      <c r="CY33" s="332">
        <f t="shared" si="21"/>
        <v>0</v>
      </c>
      <c r="CZ33" s="332">
        <f t="shared" si="22"/>
        <v>0</v>
      </c>
      <c r="DA33" s="333"/>
      <c r="DB33" s="333"/>
      <c r="DC33" s="333"/>
      <c r="DD33" s="332">
        <f t="shared" si="23"/>
        <v>152110.15</v>
      </c>
      <c r="DE33" s="314">
        <f t="shared" si="24"/>
        <v>0</v>
      </c>
      <c r="DF33" s="314"/>
      <c r="DG33" s="314"/>
      <c r="DH33" s="315">
        <f>_xlfn.IFNA((VLOOKUP($A33,HN!$A:$M,8,FALSE)/12),0)</f>
        <v>52083.333333333336</v>
      </c>
      <c r="DI33" s="315">
        <f>_xlfn.IFNA((VLOOKUP($A33,HN!$A:$M,12,FALSE)/12),0)</f>
        <v>0</v>
      </c>
      <c r="DJ33" s="315">
        <f>_xlfn.IFNA((VLOOKUP($A33,HN!$A:$M,9,FALSE)/12),0)</f>
        <v>14166.666666666666</v>
      </c>
      <c r="DK33" s="315">
        <f>_xlfn.IFNA((VLOOKUP($A33,'Post 16'!$A:$AG,33,FALSE)/8),0)</f>
        <v>0</v>
      </c>
      <c r="DL33" s="315"/>
      <c r="DM33" s="315">
        <f>_xlfn.IFNA(((VLOOKUP($A33,HN!$A:$M,10,FALSE)-$U33-$AK33)/10),0)</f>
        <v>85860.15</v>
      </c>
      <c r="DN33" s="315">
        <f>_xlfn.IFNA(((VLOOKUP($A33,HN!$A:$M,13,FALSE)-$V33-$AL33)/10),0)</f>
        <v>0</v>
      </c>
      <c r="DO33" s="314">
        <f t="shared" si="25"/>
        <v>0</v>
      </c>
      <c r="DP33" s="314">
        <f t="shared" si="26"/>
        <v>0</v>
      </c>
      <c r="DQ33" s="315"/>
      <c r="DR33" s="315"/>
      <c r="DS33" s="315"/>
      <c r="DT33" s="314">
        <f t="shared" si="27"/>
        <v>152110.15</v>
      </c>
      <c r="DU33" s="307">
        <f t="shared" si="28"/>
        <v>0</v>
      </c>
      <c r="DV33" s="307"/>
      <c r="DW33" s="307"/>
      <c r="DX33" s="308">
        <f>_xlfn.IFNA((VLOOKUP($A33,HN!$A:$M,8,FALSE)/12),0)</f>
        <v>52083.333333333336</v>
      </c>
      <c r="DY33" s="308">
        <f>_xlfn.IFNA((VLOOKUP($A33,HN!$A:$M,12,FALSE)/12),0)</f>
        <v>0</v>
      </c>
      <c r="DZ33" s="308">
        <f>_xlfn.IFNA((VLOOKUP($A33,HN!$A:$M,9,FALSE)/12),0)</f>
        <v>14166.666666666666</v>
      </c>
      <c r="EA33" s="308">
        <f>_xlfn.IFNA((VLOOKUP($A33,'Post 16'!$A:$AG,33,FALSE)/8),0)</f>
        <v>0</v>
      </c>
      <c r="EB33" s="308"/>
      <c r="EC33" s="308">
        <f>_xlfn.IFNA(((VLOOKUP($A33,HN!$A:$M,10,FALSE)-$U33-$AK33)/10),0)</f>
        <v>85860.15</v>
      </c>
      <c r="ED33" s="308">
        <f>_xlfn.IFNA(((VLOOKUP($A33,HN!$A:$M,13,FALSE)-$V33-$AL33)/10),0)</f>
        <v>0</v>
      </c>
      <c r="EE33" s="307">
        <f t="shared" si="29"/>
        <v>0</v>
      </c>
      <c r="EF33" s="307">
        <f t="shared" si="30"/>
        <v>0</v>
      </c>
      <c r="EG33" s="308"/>
      <c r="EH33" s="308"/>
      <c r="EI33" s="308"/>
      <c r="EJ33" s="307">
        <f t="shared" si="31"/>
        <v>152110.15</v>
      </c>
      <c r="EK33" s="320">
        <f t="shared" si="32"/>
        <v>0</v>
      </c>
      <c r="EL33" s="320"/>
      <c r="EM33" s="320"/>
      <c r="EN33" s="321">
        <f>_xlfn.IFNA((VLOOKUP($A33,HN!$A:$M,8,FALSE)/12),0)</f>
        <v>52083.333333333336</v>
      </c>
      <c r="EO33" s="321">
        <f>_xlfn.IFNA((VLOOKUP($A33,HN!$A:$M,12,FALSE)/12),0)</f>
        <v>0</v>
      </c>
      <c r="EP33" s="321">
        <f>_xlfn.IFNA((VLOOKUP($A33,HN!$A:$M,9,FALSE)/12),0)</f>
        <v>14166.666666666666</v>
      </c>
      <c r="EQ33" s="321">
        <f>_xlfn.IFNA((VLOOKUP($A33,'Post 16'!$A:$AG,33,FALSE)/8),0)</f>
        <v>0</v>
      </c>
      <c r="ER33" s="321"/>
      <c r="ES33" s="321">
        <f>_xlfn.IFNA(((VLOOKUP($A33,HN!$A:$M,10,FALSE)-$U33-$AK33)/10),0)</f>
        <v>85860.15</v>
      </c>
      <c r="ET33" s="321">
        <f>_xlfn.IFNA(((VLOOKUP($A33,HN!$A:$M,13,FALSE)-$V33-$AL33)/10),0)</f>
        <v>0</v>
      </c>
      <c r="EU33" s="320">
        <f t="shared" si="33"/>
        <v>0</v>
      </c>
      <c r="EV33" s="320">
        <f t="shared" si="34"/>
        <v>0</v>
      </c>
      <c r="EW33" s="321"/>
      <c r="EX33" s="321"/>
      <c r="EY33" s="321"/>
      <c r="EZ33" s="320">
        <f t="shared" si="35"/>
        <v>152110.15</v>
      </c>
      <c r="FA33" s="286">
        <f t="shared" si="36"/>
        <v>0</v>
      </c>
      <c r="FB33" s="286"/>
      <c r="FC33" s="286"/>
      <c r="FD33" s="287">
        <f>_xlfn.IFNA((VLOOKUP($A33,HN!$A:$M,8,FALSE)/12),0)</f>
        <v>52083.333333333336</v>
      </c>
      <c r="FE33" s="287">
        <f>_xlfn.IFNA((VLOOKUP($A33,HN!$A:$M,12,FALSE)/12),0)</f>
        <v>0</v>
      </c>
      <c r="FF33" s="287">
        <f>_xlfn.IFNA((VLOOKUP($A33,HN!$A:$M,9,FALSE)/12),0)</f>
        <v>14166.666666666666</v>
      </c>
      <c r="FG33" s="287">
        <f>_xlfn.IFNA((VLOOKUP($A33,'Post 16'!$A:$AG,33,FALSE)/8),0)</f>
        <v>0</v>
      </c>
      <c r="FH33" s="287"/>
      <c r="FI33" s="287">
        <f>_xlfn.IFNA(((VLOOKUP($A33,HN!$A:$M,10,FALSE)-$U33-$AK33)/10),0)</f>
        <v>85860.15</v>
      </c>
      <c r="FJ33" s="287">
        <f>_xlfn.IFNA(((VLOOKUP($A33,HN!$A:$M,13,FALSE)-$V33-$AL33)/10),0)</f>
        <v>0</v>
      </c>
      <c r="FK33" s="286">
        <f t="shared" si="37"/>
        <v>0</v>
      </c>
      <c r="FL33" s="286">
        <f t="shared" si="38"/>
        <v>0</v>
      </c>
      <c r="FM33" s="287"/>
      <c r="FN33" s="287"/>
      <c r="FO33" s="287"/>
      <c r="FP33" s="286">
        <f t="shared" si="39"/>
        <v>152110.15</v>
      </c>
      <c r="FQ33" s="293">
        <f t="shared" si="40"/>
        <v>0</v>
      </c>
      <c r="FR33" s="293"/>
      <c r="FS33" s="293"/>
      <c r="FT33" s="294">
        <f>_xlfn.IFNA((VLOOKUP($A33,HN!$A:$M,8,FALSE)/12),0)</f>
        <v>52083.333333333336</v>
      </c>
      <c r="FU33" s="294">
        <f>_xlfn.IFNA((VLOOKUP($A33,HN!$A:$M,12,FALSE)/12),0)</f>
        <v>0</v>
      </c>
      <c r="FV33" s="294">
        <f>_xlfn.IFNA((VLOOKUP($A33,HN!$A:$M,9,FALSE)/12),0)</f>
        <v>14166.666666666666</v>
      </c>
      <c r="FW33" s="294">
        <f>_xlfn.IFNA((VLOOKUP($A33,'Post 16'!$A:$AG,33,FALSE)/8),0)</f>
        <v>0</v>
      </c>
      <c r="FX33" s="294"/>
      <c r="FY33" s="294">
        <f>_xlfn.IFNA(((VLOOKUP($A33,HN!$A:$M,10,FALSE)-$U33-$AK33)/10),0)</f>
        <v>85860.15</v>
      </c>
      <c r="FZ33" s="294">
        <f>_xlfn.IFNA(((VLOOKUP($A33,HN!$A:$M,13,FALSE)-$V33-$AL33)/10),0)</f>
        <v>0</v>
      </c>
      <c r="GA33" s="293">
        <f t="shared" si="41"/>
        <v>0</v>
      </c>
      <c r="GB33" s="293">
        <f t="shared" si="42"/>
        <v>0</v>
      </c>
      <c r="GC33" s="294"/>
      <c r="GD33" s="294"/>
      <c r="GE33" s="294"/>
      <c r="GF33" s="293">
        <f t="shared" si="43"/>
        <v>152110.15</v>
      </c>
      <c r="GG33" s="300">
        <f t="shared" si="44"/>
        <v>0</v>
      </c>
      <c r="GH33" s="300"/>
      <c r="GI33" s="300"/>
      <c r="GJ33" s="301">
        <f>_xlfn.IFNA((VLOOKUP($A33,HN!$A:$M,8,FALSE)/12),0)</f>
        <v>52083.333333333336</v>
      </c>
      <c r="GK33" s="301">
        <f>_xlfn.IFNA((VLOOKUP($A33,HN!$A:$M,12,FALSE)/12),0)</f>
        <v>0</v>
      </c>
      <c r="GL33" s="301">
        <f>_xlfn.IFNA((VLOOKUP($A33,HN!$A:$M,9,FALSE)/12),0)</f>
        <v>14166.666666666666</v>
      </c>
      <c r="GM33" s="301">
        <f>_xlfn.IFNA((VLOOKUP($A33,'Post 16'!$A:$AG,33,FALSE)/8),0)</f>
        <v>0</v>
      </c>
      <c r="GN33" s="301"/>
      <c r="GO33" s="301">
        <f>_xlfn.IFNA(((VLOOKUP($A33,HN!$A:$M,10,FALSE)-$U33-$AK33)/10),0)</f>
        <v>85860.15</v>
      </c>
      <c r="GP33" s="301">
        <f>_xlfn.IFNA(((VLOOKUP($A33,HN!$A:$M,13,FALSE)-$V33-$AL33)/10),0)</f>
        <v>0</v>
      </c>
      <c r="GQ33" s="300">
        <f t="shared" si="45"/>
        <v>0</v>
      </c>
      <c r="GR33" s="300">
        <f t="shared" si="46"/>
        <v>0</v>
      </c>
      <c r="GS33" s="301"/>
      <c r="GT33" s="301"/>
      <c r="GU33" s="301"/>
      <c r="GV33" s="300">
        <f t="shared" si="47"/>
        <v>152110.15</v>
      </c>
      <c r="GX33" s="146">
        <f t="shared" si="52"/>
        <v>625000</v>
      </c>
      <c r="GY33" s="146">
        <f t="shared" si="52"/>
        <v>170000</v>
      </c>
      <c r="GZ33" s="146">
        <f t="shared" si="52"/>
        <v>1030321.8000000002</v>
      </c>
      <c r="HA33" s="146">
        <f t="shared" si="52"/>
        <v>0</v>
      </c>
      <c r="HB33" s="146">
        <f t="shared" si="52"/>
        <v>0</v>
      </c>
      <c r="HC33" s="146">
        <f t="shared" si="52"/>
        <v>0</v>
      </c>
      <c r="HE33" s="146">
        <f t="shared" si="53"/>
        <v>156250</v>
      </c>
      <c r="HF33" s="146">
        <f t="shared" si="53"/>
        <v>42500</v>
      </c>
      <c r="HG33" s="146">
        <f t="shared" si="53"/>
        <v>257580.45</v>
      </c>
      <c r="HH33" s="146">
        <f t="shared" si="53"/>
        <v>0</v>
      </c>
      <c r="HI33" s="146">
        <f t="shared" si="53"/>
        <v>0</v>
      </c>
      <c r="HJ33" s="146">
        <f t="shared" si="53"/>
        <v>0</v>
      </c>
      <c r="HL33" s="146"/>
      <c r="HM33" s="57"/>
    </row>
    <row r="34" spans="1:221">
      <c r="A34" s="185">
        <v>1002</v>
      </c>
      <c r="B34" s="185">
        <v>103121</v>
      </c>
      <c r="C34" s="185" t="s">
        <v>90</v>
      </c>
      <c r="D34" s="2" t="s">
        <v>91</v>
      </c>
      <c r="E34" s="190" t="s">
        <v>36</v>
      </c>
      <c r="F34" s="190" t="s">
        <v>890</v>
      </c>
      <c r="H34" s="271">
        <f>_xlfn.IFNA(VLOOKUP($A34,ISB!$A$4:$BY$441,67,FALSE),0)</f>
        <v>0</v>
      </c>
      <c r="I34" s="271">
        <f>_xlfn.IFNA(VLOOKUP($A34,ISB!$A$4:$BY$441,72,FALSE),0)</f>
        <v>0</v>
      </c>
      <c r="J34" s="271">
        <f>-_xlfn.IFNA(VLOOKUP($A34,ISB!$A$4:$BY$441,76,FALSE),0)</f>
        <v>0</v>
      </c>
      <c r="K34" s="271">
        <f>_xlfn.IFNA(VLOOKUP($A34,ISB!$A$4:$BY$441,77,FALSE),0)</f>
        <v>0</v>
      </c>
      <c r="M34" s="279">
        <f t="shared" si="0"/>
        <v>0</v>
      </c>
      <c r="N34" s="279"/>
      <c r="O34" s="279">
        <f>_xlfn.IFNA(VLOOKUP($A34,EY!$A:$H,8,FALSE)+(VLOOKUP($A34,EY!$A:$R,18,FALSE)-$T34),0)</f>
        <v>400905.01332939102</v>
      </c>
      <c r="P34" s="280">
        <f>_xlfn.IFNA((VLOOKUP($A34,HN!$A:$M,8,FALSE)/12),0)</f>
        <v>0</v>
      </c>
      <c r="Q34" s="280">
        <f>_xlfn.IFNA((VLOOKUP($A34,HN!$A:$M,12,FALSE)/12),0)</f>
        <v>0</v>
      </c>
      <c r="R34" s="280">
        <f>_xlfn.IFNA((VLOOKUP($A34,HN!$A:$M,9,FALSE)/12),0)</f>
        <v>0</v>
      </c>
      <c r="S34" s="280">
        <f>_xlfn.IFNA((VLOOKUP($A34,'Post 16'!$A:$AR,22,FALSE)/4),0)</f>
        <v>0</v>
      </c>
      <c r="T34" s="280">
        <f>_xlfn.IFNA((VLOOKUP($A34,EY!$A:$R,16,FALSE)*80%),0)</f>
        <v>780</v>
      </c>
      <c r="U34" s="280">
        <v>6664.25</v>
      </c>
      <c r="V34" s="280">
        <v>0</v>
      </c>
      <c r="W34" s="279">
        <f t="shared" si="1"/>
        <v>0</v>
      </c>
      <c r="X34" s="279">
        <f t="shared" si="2"/>
        <v>0</v>
      </c>
      <c r="Y34" s="280"/>
      <c r="Z34" s="280"/>
      <c r="AA34" s="280"/>
      <c r="AB34" s="279">
        <f t="shared" si="3"/>
        <v>408349.26332939102</v>
      </c>
      <c r="AC34" s="293">
        <f t="shared" si="4"/>
        <v>0</v>
      </c>
      <c r="AD34" s="293"/>
      <c r="AE34" s="293"/>
      <c r="AF34" s="294">
        <f>_xlfn.IFNA((VLOOKUP($A34,HN!$A:$M,8,FALSE)/12),0)</f>
        <v>0</v>
      </c>
      <c r="AG34" s="294">
        <f>_xlfn.IFNA((VLOOKUP($A34,HN!$A:$M,12,FALSE)/12),0)+_xlfn.IFNA(VLOOKUP($A34,HN!$A:$Q,17,FALSE),0)</f>
        <v>0</v>
      </c>
      <c r="AH34" s="294">
        <f>_xlfn.IFNA((VLOOKUP($A34,HN!$A:$M,9,FALSE)/12),0)</f>
        <v>0</v>
      </c>
      <c r="AI34" s="294">
        <f>_xlfn.IFNA((VLOOKUP($A34,'Post 16'!$A:$AR,22,FALSE)/4),0)</f>
        <v>0</v>
      </c>
      <c r="AJ34" s="294"/>
      <c r="AK34" s="294">
        <v>-6664.25</v>
      </c>
      <c r="AL34" s="294">
        <f>_xlfn.IFNA((VLOOKUP($A34,HN!$A:$M,13,FALSE)/12),0)</f>
        <v>0</v>
      </c>
      <c r="AM34" s="293">
        <f t="shared" si="5"/>
        <v>0</v>
      </c>
      <c r="AN34" s="293">
        <f t="shared" si="6"/>
        <v>0</v>
      </c>
      <c r="AO34" s="294"/>
      <c r="AP34" s="294"/>
      <c r="AQ34" s="294"/>
      <c r="AR34" s="293">
        <f t="shared" si="7"/>
        <v>-6664.25</v>
      </c>
      <c r="AS34" s="286">
        <f t="shared" si="8"/>
        <v>0</v>
      </c>
      <c r="AT34" s="286"/>
      <c r="AU34" s="286">
        <f>_xlfn.IFNA(VLOOKUP(A34,EY!A:AO,40,FALSE),0)</f>
        <v>1041.5341551246397</v>
      </c>
      <c r="AV34" s="287">
        <f>_xlfn.IFNA((VLOOKUP($A34,HN!$A:$M,8,FALSE)/12),0)</f>
        <v>0</v>
      </c>
      <c r="AW34" s="287">
        <f>_xlfn.IFNA((VLOOKUP($A34,HN!$A:$M,12,FALSE)/12),0)+_xlfn.IFNA(VLOOKUP($A34,HN!$A$8:$AU$200,19,FALSE),0)</f>
        <v>0</v>
      </c>
      <c r="AX34" s="287">
        <f>_xlfn.IFNA((VLOOKUP($A34,HN!$A:$M,9,FALSE)/12),0)</f>
        <v>0</v>
      </c>
      <c r="AY34" s="287">
        <f>_xlfn.IFNA((VLOOKUP($A34,'Post 16'!$A:$AR,22,FALSE)/4),0)</f>
        <v>0</v>
      </c>
      <c r="AZ34" s="287">
        <f>_xlfn.IFNA(VLOOKUP(A34,EY!A:AO,41,FALSE),0)</f>
        <v>-448.9927977839335</v>
      </c>
      <c r="BA34" s="287">
        <f>_xlfn.IFNA(((VLOOKUP($A34,HN!$A:$M,10,FALSE)-$U34-$AK34)/10),0)+_xlfn.IFNA(VLOOKUP($A34,HN!$A:$R,18,FALSE),0)</f>
        <v>0</v>
      </c>
      <c r="BB34" s="287">
        <f>_xlfn.IFNA(((VLOOKUP($A34,HN!$A:$M,13,FALSE)-$V34-$AL34)/10),0)+_xlfn.IFNA(VLOOKUP($A34,HN!$A$8:$AU$200,20,FALSE),0)</f>
        <v>0</v>
      </c>
      <c r="BC34" s="286">
        <f t="shared" si="9"/>
        <v>0</v>
      </c>
      <c r="BD34" s="286">
        <f t="shared" si="10"/>
        <v>0</v>
      </c>
      <c r="BE34" s="287"/>
      <c r="BF34" s="287"/>
      <c r="BG34" s="287"/>
      <c r="BH34" s="286">
        <f t="shared" si="11"/>
        <v>592.54135734070621</v>
      </c>
      <c r="BI34" s="307">
        <f t="shared" si="12"/>
        <v>0</v>
      </c>
      <c r="BJ34" s="307">
        <f>_xlfn.IFNA(VLOOKUP(A34,'LA Deductions'!A:AH,34,FALSE),0)</f>
        <v>0</v>
      </c>
      <c r="BK34" s="307"/>
      <c r="BL34" s="308">
        <f>_xlfn.IFNA((VLOOKUP($A34,HN!$A:$M,8,FALSE)/12),0)</f>
        <v>0</v>
      </c>
      <c r="BM34" s="308">
        <f>_xlfn.IFNA((VLOOKUP($A34,HN!$A:$M,12,FALSE)/12),0)</f>
        <v>0</v>
      </c>
      <c r="BN34" s="308">
        <f>_xlfn.IFNA((VLOOKUP($A34,HN!$A:$M,9,FALSE)/12),0)</f>
        <v>0</v>
      </c>
      <c r="BO34" s="308">
        <f>_xlfn.IFNA((VLOOKUP($A34,'Post 16'!$A:$AR,22,FALSE)/4),0)</f>
        <v>0</v>
      </c>
      <c r="BP34" s="308"/>
      <c r="BQ34" s="308">
        <f>_xlfn.IFNA(((VLOOKUP($A34,HN!$A:$M,10,FALSE)-$U34-$AK34)/10),0)</f>
        <v>0</v>
      </c>
      <c r="BR34" s="308">
        <f>_xlfn.IFNA(((VLOOKUP($A34,HN!$A:$M,13,FALSE)-$V34-$AL34)/10),0)</f>
        <v>0</v>
      </c>
      <c r="BS34" s="307">
        <f t="shared" si="13"/>
        <v>0</v>
      </c>
      <c r="BT34" s="307">
        <f t="shared" si="14"/>
        <v>0</v>
      </c>
      <c r="BU34" s="308"/>
      <c r="BV34" s="308"/>
      <c r="BW34" s="308"/>
      <c r="BX34" s="307">
        <f t="shared" si="15"/>
        <v>0</v>
      </c>
      <c r="BY34" s="300">
        <f t="shared" si="16"/>
        <v>0</v>
      </c>
      <c r="BZ34" s="300"/>
      <c r="CA34" s="300"/>
      <c r="CB34" s="301">
        <f>_xlfn.IFNA((VLOOKUP($A34,HN!$A:$M,8,FALSE)/12),0)</f>
        <v>0</v>
      </c>
      <c r="CC34" s="301">
        <f>_xlfn.IFNA((VLOOKUP($A34,HN!$A:$M,12,FALSE)/12),0)</f>
        <v>0</v>
      </c>
      <c r="CD34" s="301">
        <f>_xlfn.IFNA((VLOOKUP($A34,HN!$A:$M,9,FALSE)/12),0)</f>
        <v>0</v>
      </c>
      <c r="CE34" s="301">
        <f>_xlfn.IFNA((VLOOKUP($A34,'Post 16'!$A:$AG,33,FALSE)/8),0)</f>
        <v>0</v>
      </c>
      <c r="CF34" s="301"/>
      <c r="CG34" s="301">
        <f>_xlfn.IFNA(((VLOOKUP($A34,HN!$A:$M,10,FALSE)-$U34-$AK34)/10),0)</f>
        <v>0</v>
      </c>
      <c r="CH34" s="301">
        <f>_xlfn.IFNA(((VLOOKUP($A34,HN!$A:$M,13,FALSE)-$V34-$AL34)/10),0)</f>
        <v>0</v>
      </c>
      <c r="CI34" s="300">
        <f t="shared" si="17"/>
        <v>0</v>
      </c>
      <c r="CJ34" s="300">
        <f t="shared" si="18"/>
        <v>0</v>
      </c>
      <c r="CK34" s="301"/>
      <c r="CL34" s="301"/>
      <c r="CM34" s="301"/>
      <c r="CN34" s="300">
        <f t="shared" si="19"/>
        <v>0</v>
      </c>
      <c r="CO34" s="332">
        <f t="shared" si="20"/>
        <v>0</v>
      </c>
      <c r="CP34" s="332"/>
      <c r="CQ34" s="332">
        <f>_xlfn.IFNA((VLOOKUP($A34,EY!$A:$AB,28,FALSE)-$CV34),0)</f>
        <v>122347.6</v>
      </c>
      <c r="CR34" s="333">
        <f>_xlfn.IFNA((VLOOKUP($A34,HN!$A:$M,8,FALSE)/12),0)</f>
        <v>0</v>
      </c>
      <c r="CS34" s="333">
        <f>_xlfn.IFNA((VLOOKUP($A34,HN!$A:$M,12,FALSE)/12),0)</f>
        <v>0</v>
      </c>
      <c r="CT34" s="333">
        <f>_xlfn.IFNA((VLOOKUP($A34,HN!$A:$M,9,FALSE)/12),0)</f>
        <v>0</v>
      </c>
      <c r="CU34" s="333">
        <f>_xlfn.IFNA((VLOOKUP($A34,'Post 16'!$A:$AG,33,FALSE)/8),0)</f>
        <v>0</v>
      </c>
      <c r="CV34" s="333">
        <f>_xlfn.IFNA((VLOOKUP($A34,EY!$A:$AB,26,FALSE)*80%),0)</f>
        <v>0</v>
      </c>
      <c r="CW34" s="333">
        <f>_xlfn.IFNA(((VLOOKUP($A34,HN!$A:$M,10,FALSE)-$U34-$AK34)/10),0)</f>
        <v>0</v>
      </c>
      <c r="CX34" s="333">
        <f>_xlfn.IFNA(((VLOOKUP($A34,HN!$A:$M,13,FALSE)-$V34-$AL34)/10),0)</f>
        <v>0</v>
      </c>
      <c r="CY34" s="332">
        <f t="shared" si="21"/>
        <v>0</v>
      </c>
      <c r="CZ34" s="332">
        <f t="shared" si="22"/>
        <v>0</v>
      </c>
      <c r="DA34" s="333"/>
      <c r="DB34" s="333"/>
      <c r="DC34" s="333"/>
      <c r="DD34" s="332">
        <f t="shared" si="23"/>
        <v>122347.6</v>
      </c>
      <c r="DE34" s="314">
        <f t="shared" si="24"/>
        <v>0</v>
      </c>
      <c r="DF34" s="314"/>
      <c r="DG34" s="314"/>
      <c r="DH34" s="315">
        <f>_xlfn.IFNA((VLOOKUP($A34,HN!$A:$M,8,FALSE)/12),0)</f>
        <v>0</v>
      </c>
      <c r="DI34" s="315">
        <f>_xlfn.IFNA((VLOOKUP($A34,HN!$A:$M,12,FALSE)/12),0)</f>
        <v>0</v>
      </c>
      <c r="DJ34" s="315">
        <f>_xlfn.IFNA((VLOOKUP($A34,HN!$A:$M,9,FALSE)/12),0)</f>
        <v>0</v>
      </c>
      <c r="DK34" s="315">
        <f>_xlfn.IFNA((VLOOKUP($A34,'Post 16'!$A:$AG,33,FALSE)/8),0)</f>
        <v>0</v>
      </c>
      <c r="DL34" s="315"/>
      <c r="DM34" s="315">
        <f>_xlfn.IFNA(((VLOOKUP($A34,HN!$A:$M,10,FALSE)-$U34-$AK34)/10),0)</f>
        <v>0</v>
      </c>
      <c r="DN34" s="315">
        <f>_xlfn.IFNA(((VLOOKUP($A34,HN!$A:$M,13,FALSE)-$V34-$AL34)/10),0)</f>
        <v>0</v>
      </c>
      <c r="DO34" s="314">
        <f t="shared" si="25"/>
        <v>0</v>
      </c>
      <c r="DP34" s="314">
        <f t="shared" si="26"/>
        <v>0</v>
      </c>
      <c r="DQ34" s="315"/>
      <c r="DR34" s="315"/>
      <c r="DS34" s="315"/>
      <c r="DT34" s="314">
        <f t="shared" si="27"/>
        <v>0</v>
      </c>
      <c r="DU34" s="307">
        <f t="shared" si="28"/>
        <v>0</v>
      </c>
      <c r="DV34" s="307"/>
      <c r="DW34" s="307"/>
      <c r="DX34" s="308">
        <f>_xlfn.IFNA((VLOOKUP($A34,HN!$A:$M,8,FALSE)/12),0)</f>
        <v>0</v>
      </c>
      <c r="DY34" s="308">
        <f>_xlfn.IFNA((VLOOKUP($A34,HN!$A:$M,12,FALSE)/12),0)</f>
        <v>0</v>
      </c>
      <c r="DZ34" s="308">
        <f>_xlfn.IFNA((VLOOKUP($A34,HN!$A:$M,9,FALSE)/12),0)</f>
        <v>0</v>
      </c>
      <c r="EA34" s="308">
        <f>_xlfn.IFNA((VLOOKUP($A34,'Post 16'!$A:$AG,33,FALSE)/8),0)</f>
        <v>0</v>
      </c>
      <c r="EB34" s="308"/>
      <c r="EC34" s="308">
        <f>_xlfn.IFNA(((VLOOKUP($A34,HN!$A:$M,10,FALSE)-$U34-$AK34)/10),0)</f>
        <v>0</v>
      </c>
      <c r="ED34" s="308">
        <f>_xlfn.IFNA(((VLOOKUP($A34,HN!$A:$M,13,FALSE)-$V34-$AL34)/10),0)</f>
        <v>0</v>
      </c>
      <c r="EE34" s="307">
        <f t="shared" si="29"/>
        <v>0</v>
      </c>
      <c r="EF34" s="307">
        <f t="shared" si="30"/>
        <v>0</v>
      </c>
      <c r="EG34" s="308"/>
      <c r="EH34" s="308"/>
      <c r="EI34" s="308"/>
      <c r="EJ34" s="307">
        <f t="shared" si="31"/>
        <v>0</v>
      </c>
      <c r="EK34" s="320">
        <f t="shared" si="32"/>
        <v>0</v>
      </c>
      <c r="EL34" s="320"/>
      <c r="EM34" s="320"/>
      <c r="EN34" s="321">
        <f>_xlfn.IFNA((VLOOKUP($A34,HN!$A:$M,8,FALSE)/12),0)</f>
        <v>0</v>
      </c>
      <c r="EO34" s="321">
        <f>_xlfn.IFNA((VLOOKUP($A34,HN!$A:$M,12,FALSE)/12),0)</f>
        <v>0</v>
      </c>
      <c r="EP34" s="321">
        <f>_xlfn.IFNA((VLOOKUP($A34,HN!$A:$M,9,FALSE)/12),0)</f>
        <v>0</v>
      </c>
      <c r="EQ34" s="321">
        <f>_xlfn.IFNA((VLOOKUP($A34,'Post 16'!$A:$AG,33,FALSE)/8),0)</f>
        <v>0</v>
      </c>
      <c r="ER34" s="321"/>
      <c r="ES34" s="321">
        <f>_xlfn.IFNA(((VLOOKUP($A34,HN!$A:$M,10,FALSE)-$U34-$AK34)/10),0)</f>
        <v>0</v>
      </c>
      <c r="ET34" s="321">
        <f>_xlfn.IFNA(((VLOOKUP($A34,HN!$A:$M,13,FALSE)-$V34-$AL34)/10),0)</f>
        <v>0</v>
      </c>
      <c r="EU34" s="320">
        <f t="shared" si="33"/>
        <v>0</v>
      </c>
      <c r="EV34" s="320">
        <f t="shared" si="34"/>
        <v>0</v>
      </c>
      <c r="EW34" s="321"/>
      <c r="EX34" s="321"/>
      <c r="EY34" s="321"/>
      <c r="EZ34" s="320">
        <f t="shared" si="35"/>
        <v>0</v>
      </c>
      <c r="FA34" s="286">
        <f t="shared" si="36"/>
        <v>0</v>
      </c>
      <c r="FB34" s="286"/>
      <c r="FC34" s="286"/>
      <c r="FD34" s="287">
        <f>_xlfn.IFNA((VLOOKUP($A34,HN!$A:$M,8,FALSE)/12),0)</f>
        <v>0</v>
      </c>
      <c r="FE34" s="287">
        <f>_xlfn.IFNA((VLOOKUP($A34,HN!$A:$M,12,FALSE)/12),0)</f>
        <v>0</v>
      </c>
      <c r="FF34" s="287">
        <f>_xlfn.IFNA((VLOOKUP($A34,HN!$A:$M,9,FALSE)/12),0)</f>
        <v>0</v>
      </c>
      <c r="FG34" s="287">
        <f>_xlfn.IFNA((VLOOKUP($A34,'Post 16'!$A:$AG,33,FALSE)/8),0)</f>
        <v>0</v>
      </c>
      <c r="FH34" s="287"/>
      <c r="FI34" s="287">
        <f>_xlfn.IFNA(((VLOOKUP($A34,HN!$A:$M,10,FALSE)-$U34-$AK34)/10),0)</f>
        <v>0</v>
      </c>
      <c r="FJ34" s="287">
        <f>_xlfn.IFNA(((VLOOKUP($A34,HN!$A:$M,13,FALSE)-$V34-$AL34)/10),0)</f>
        <v>0</v>
      </c>
      <c r="FK34" s="286">
        <f t="shared" si="37"/>
        <v>0</v>
      </c>
      <c r="FL34" s="286">
        <f t="shared" si="38"/>
        <v>0</v>
      </c>
      <c r="FM34" s="287"/>
      <c r="FN34" s="287"/>
      <c r="FO34" s="287"/>
      <c r="FP34" s="286">
        <f t="shared" si="39"/>
        <v>0</v>
      </c>
      <c r="FQ34" s="293">
        <f t="shared" si="40"/>
        <v>0</v>
      </c>
      <c r="FR34" s="293"/>
      <c r="FS34" s="293"/>
      <c r="FT34" s="294">
        <f>_xlfn.IFNA((VLOOKUP($A34,HN!$A:$M,8,FALSE)/12),0)</f>
        <v>0</v>
      </c>
      <c r="FU34" s="294">
        <f>_xlfn.IFNA((VLOOKUP($A34,HN!$A:$M,12,FALSE)/12),0)</f>
        <v>0</v>
      </c>
      <c r="FV34" s="294">
        <f>_xlfn.IFNA((VLOOKUP($A34,HN!$A:$M,9,FALSE)/12),0)</f>
        <v>0</v>
      </c>
      <c r="FW34" s="294">
        <f>_xlfn.IFNA((VLOOKUP($A34,'Post 16'!$A:$AG,33,FALSE)/8),0)</f>
        <v>0</v>
      </c>
      <c r="FX34" s="294"/>
      <c r="FY34" s="294">
        <f>_xlfn.IFNA(((VLOOKUP($A34,HN!$A:$M,10,FALSE)-$U34-$AK34)/10),0)</f>
        <v>0</v>
      </c>
      <c r="FZ34" s="294">
        <f>_xlfn.IFNA(((VLOOKUP($A34,HN!$A:$M,13,FALSE)-$V34-$AL34)/10),0)</f>
        <v>0</v>
      </c>
      <c r="GA34" s="293">
        <f t="shared" si="41"/>
        <v>0</v>
      </c>
      <c r="GB34" s="293">
        <f t="shared" si="42"/>
        <v>0</v>
      </c>
      <c r="GC34" s="294"/>
      <c r="GD34" s="294"/>
      <c r="GE34" s="294"/>
      <c r="GF34" s="293">
        <f t="shared" si="43"/>
        <v>0</v>
      </c>
      <c r="GG34" s="300">
        <f t="shared" si="44"/>
        <v>0</v>
      </c>
      <c r="GH34" s="300"/>
      <c r="GI34" s="300"/>
      <c r="GJ34" s="301">
        <f>_xlfn.IFNA((VLOOKUP($A34,HN!$A:$M,8,FALSE)/12),0)</f>
        <v>0</v>
      </c>
      <c r="GK34" s="301">
        <f>_xlfn.IFNA((VLOOKUP($A34,HN!$A:$M,12,FALSE)/12),0)</f>
        <v>0</v>
      </c>
      <c r="GL34" s="301">
        <f>_xlfn.IFNA((VLOOKUP($A34,HN!$A:$M,9,FALSE)/12),0)</f>
        <v>0</v>
      </c>
      <c r="GM34" s="301">
        <f>_xlfn.IFNA((VLOOKUP($A34,'Post 16'!$A:$AG,33,FALSE)/8),0)</f>
        <v>0</v>
      </c>
      <c r="GN34" s="301"/>
      <c r="GO34" s="301">
        <f>_xlfn.IFNA(((VLOOKUP($A34,HN!$A:$M,10,FALSE)-$U34-$AK34)/10),0)</f>
        <v>0</v>
      </c>
      <c r="GP34" s="301">
        <f>_xlfn.IFNA(((VLOOKUP($A34,HN!$A:$M,13,FALSE)-$V34-$AL34)/10),0)</f>
        <v>0</v>
      </c>
      <c r="GQ34" s="300">
        <f t="shared" si="45"/>
        <v>0</v>
      </c>
      <c r="GR34" s="300">
        <f t="shared" si="46"/>
        <v>0</v>
      </c>
      <c r="GS34" s="301"/>
      <c r="GT34" s="301"/>
      <c r="GU34" s="301"/>
      <c r="GV34" s="300">
        <f t="shared" si="47"/>
        <v>0</v>
      </c>
      <c r="GX34" s="146">
        <f t="shared" si="52"/>
        <v>524294.14748451568</v>
      </c>
      <c r="GY34" s="146">
        <f t="shared" si="52"/>
        <v>0</v>
      </c>
      <c r="GZ34" s="146">
        <f t="shared" si="52"/>
        <v>331.0072022160665</v>
      </c>
      <c r="HA34" s="146">
        <f t="shared" si="52"/>
        <v>0</v>
      </c>
      <c r="HB34" s="146">
        <f t="shared" si="52"/>
        <v>0</v>
      </c>
      <c r="HC34" s="146">
        <f t="shared" si="52"/>
        <v>0</v>
      </c>
      <c r="HE34" s="146">
        <f t="shared" si="53"/>
        <v>401946.54748451564</v>
      </c>
      <c r="HF34" s="146">
        <f t="shared" si="53"/>
        <v>0</v>
      </c>
      <c r="HG34" s="146">
        <f t="shared" si="53"/>
        <v>331.0072022160665</v>
      </c>
      <c r="HH34" s="146">
        <f t="shared" si="53"/>
        <v>0</v>
      </c>
      <c r="HI34" s="146">
        <f t="shared" si="53"/>
        <v>0</v>
      </c>
      <c r="HJ34" s="146">
        <f t="shared" si="53"/>
        <v>0</v>
      </c>
      <c r="HL34" s="146"/>
      <c r="HM34" s="57"/>
    </row>
    <row r="35" spans="1:221">
      <c r="A35" s="185">
        <v>2465</v>
      </c>
      <c r="B35" s="185">
        <v>103391</v>
      </c>
      <c r="C35" s="185" t="s">
        <v>92</v>
      </c>
      <c r="D35" s="2" t="s">
        <v>93</v>
      </c>
      <c r="E35" s="190" t="s">
        <v>39</v>
      </c>
      <c r="F35" s="190" t="s">
        <v>890</v>
      </c>
      <c r="H35" s="271">
        <f>_xlfn.IFNA(VLOOKUP($A35,ISB!$A$4:$BY$441,67,FALSE),0)</f>
        <v>2819101.9251143113</v>
      </c>
      <c r="I35" s="271">
        <f>_xlfn.IFNA(VLOOKUP($A35,ISB!$A$4:$BY$441,72,FALSE),0)</f>
        <v>-10258.799999999999</v>
      </c>
      <c r="J35" s="271">
        <f>-_xlfn.IFNA(VLOOKUP($A35,ISB!$A$4:$BY$441,76,FALSE),0)</f>
        <v>-42646.421999999999</v>
      </c>
      <c r="K35" s="271">
        <f>_xlfn.IFNA(VLOOKUP($A35,ISB!$A$4:$BY$441,77,FALSE),0)</f>
        <v>2766196.7031143117</v>
      </c>
      <c r="M35" s="279">
        <f t="shared" si="0"/>
        <v>234925.1604261926</v>
      </c>
      <c r="N35" s="279"/>
      <c r="O35" s="279">
        <f>_xlfn.IFNA(VLOOKUP($A35,EY!$A:$H,8,FALSE)+(VLOOKUP($A35,EY!$A:$R,18,FALSE)-$T35),0)</f>
        <v>30870.840000000004</v>
      </c>
      <c r="P35" s="280">
        <f>_xlfn.IFNA((VLOOKUP($A35,HN!$A:$M,8,FALSE)/12),0)</f>
        <v>0</v>
      </c>
      <c r="Q35" s="280">
        <f>_xlfn.IFNA((VLOOKUP($A35,HN!$A:$M,12,FALSE)/12),0)</f>
        <v>0</v>
      </c>
      <c r="R35" s="280">
        <f>_xlfn.IFNA((VLOOKUP($A35,HN!$A:$M,9,FALSE)/12),0)</f>
        <v>0</v>
      </c>
      <c r="S35" s="280">
        <f>_xlfn.IFNA((VLOOKUP($A35,'Post 16'!$A:$AR,22,FALSE)/4),0)</f>
        <v>0</v>
      </c>
      <c r="T35" s="280">
        <f>_xlfn.IFNA((VLOOKUP($A35,EY!$A:$R,16,FALSE)*80%),0)</f>
        <v>0</v>
      </c>
      <c r="U35" s="280">
        <v>15655.527500000002</v>
      </c>
      <c r="V35" s="280">
        <v>0</v>
      </c>
      <c r="W35" s="279">
        <f t="shared" si="1"/>
        <v>-854.9</v>
      </c>
      <c r="X35" s="279">
        <f t="shared" si="2"/>
        <v>-3553.8685</v>
      </c>
      <c r="Y35" s="280"/>
      <c r="Z35" s="280"/>
      <c r="AA35" s="280"/>
      <c r="AB35" s="279">
        <f t="shared" si="3"/>
        <v>277042.75942619261</v>
      </c>
      <c r="AC35" s="293">
        <f t="shared" si="4"/>
        <v>234925.1604261926</v>
      </c>
      <c r="AD35" s="293"/>
      <c r="AE35" s="293"/>
      <c r="AF35" s="294">
        <f>_xlfn.IFNA((VLOOKUP($A35,HN!$A:$M,8,FALSE)/12),0)</f>
        <v>0</v>
      </c>
      <c r="AG35" s="294">
        <f>_xlfn.IFNA((VLOOKUP($A35,HN!$A:$M,12,FALSE)/12),0)+_xlfn.IFNA(VLOOKUP($A35,HN!$A:$Q,17,FALSE),0)</f>
        <v>0</v>
      </c>
      <c r="AH35" s="294">
        <f>_xlfn.IFNA((VLOOKUP($A35,HN!$A:$M,9,FALSE)/12),0)</f>
        <v>0</v>
      </c>
      <c r="AI35" s="294">
        <f>_xlfn.IFNA((VLOOKUP($A35,'Post 16'!$A:$AR,22,FALSE)/4),0)</f>
        <v>0</v>
      </c>
      <c r="AJ35" s="294"/>
      <c r="AK35" s="294">
        <f>_xlfn.IFNA((VLOOKUP($A35,HN!$A:$M,10,FALSE)/12),0)</f>
        <v>10491.833333333334</v>
      </c>
      <c r="AL35" s="294">
        <f>_xlfn.IFNA((VLOOKUP($A35,HN!$A:$M,13,FALSE)/12),0)</f>
        <v>0</v>
      </c>
      <c r="AM35" s="293">
        <f t="shared" si="5"/>
        <v>-854.9</v>
      </c>
      <c r="AN35" s="293">
        <f t="shared" si="6"/>
        <v>-3553.8685</v>
      </c>
      <c r="AO35" s="294"/>
      <c r="AP35" s="294"/>
      <c r="AQ35" s="294"/>
      <c r="AR35" s="293">
        <f t="shared" si="7"/>
        <v>241008.22525952593</v>
      </c>
      <c r="AS35" s="286">
        <f t="shared" si="8"/>
        <v>234925.1604261926</v>
      </c>
      <c r="AT35" s="286"/>
      <c r="AU35" s="286">
        <f>_xlfn.IFNA(VLOOKUP(A35,EY!A:AO,40,FALSE),0)</f>
        <v>-4510.6052631579014</v>
      </c>
      <c r="AV35" s="287">
        <f>_xlfn.IFNA((VLOOKUP($A35,HN!$A:$M,8,FALSE)/12),0)</f>
        <v>0</v>
      </c>
      <c r="AW35" s="287">
        <f>_xlfn.IFNA((VLOOKUP($A35,HN!$A:$M,12,FALSE)/12),0)+_xlfn.IFNA(VLOOKUP($A35,HN!$A$8:$AU$200,19,FALSE),0)</f>
        <v>0</v>
      </c>
      <c r="AX35" s="287">
        <f>_xlfn.IFNA((VLOOKUP($A35,HN!$A:$M,9,FALSE)/12),0)</f>
        <v>0</v>
      </c>
      <c r="AY35" s="287">
        <f>_xlfn.IFNA((VLOOKUP($A35,'Post 16'!$A:$AR,22,FALSE)/4),0)</f>
        <v>0</v>
      </c>
      <c r="AZ35" s="287">
        <f>_xlfn.IFNA(VLOOKUP(A35,EY!A:AO,41,FALSE),0)</f>
        <v>0</v>
      </c>
      <c r="BA35" s="287">
        <f>_xlfn.IFNA(((VLOOKUP($A35,HN!$A:$M,10,FALSE)-$U35-$AK35)/10),0)+_xlfn.IFNA(VLOOKUP($A35,HN!$A:$R,18,FALSE),0)</f>
        <v>9975.4639166666675</v>
      </c>
      <c r="BB35" s="287">
        <f>_xlfn.IFNA(((VLOOKUP($A35,HN!$A:$M,13,FALSE)-$V35-$AL35)/10),0)+_xlfn.IFNA(VLOOKUP($A35,HN!$A$8:$AU$200,20,FALSE),0)</f>
        <v>0</v>
      </c>
      <c r="BC35" s="286">
        <f t="shared" si="9"/>
        <v>-854.9</v>
      </c>
      <c r="BD35" s="286">
        <f t="shared" si="10"/>
        <v>-3553.8685</v>
      </c>
      <c r="BE35" s="287"/>
      <c r="BF35" s="287"/>
      <c r="BG35" s="287"/>
      <c r="BH35" s="286">
        <f t="shared" si="11"/>
        <v>235981.25057970136</v>
      </c>
      <c r="BI35" s="307">
        <f t="shared" si="12"/>
        <v>234925.1604261926</v>
      </c>
      <c r="BJ35" s="307">
        <f>_xlfn.IFNA(VLOOKUP(A35,'LA Deductions'!A:AH,34,FALSE),0)</f>
        <v>0</v>
      </c>
      <c r="BK35" s="307"/>
      <c r="BL35" s="308">
        <f>_xlfn.IFNA((VLOOKUP($A35,HN!$A:$M,8,FALSE)/12),0)</f>
        <v>0</v>
      </c>
      <c r="BM35" s="308">
        <f>_xlfn.IFNA((VLOOKUP($A35,HN!$A:$M,12,FALSE)/12),0)</f>
        <v>0</v>
      </c>
      <c r="BN35" s="308">
        <f>_xlfn.IFNA((VLOOKUP($A35,HN!$A:$M,9,FALSE)/12),0)</f>
        <v>0</v>
      </c>
      <c r="BO35" s="308">
        <f>_xlfn.IFNA((VLOOKUP($A35,'Post 16'!$A:$AR,22,FALSE)/4),0)</f>
        <v>0</v>
      </c>
      <c r="BP35" s="308"/>
      <c r="BQ35" s="308">
        <f>_xlfn.IFNA(((VLOOKUP($A35,HN!$A:$M,10,FALSE)-$U35-$AK35)/10),0)</f>
        <v>9975.4639166666675</v>
      </c>
      <c r="BR35" s="308">
        <f>_xlfn.IFNA(((VLOOKUP($A35,HN!$A:$M,13,FALSE)-$V35-$AL35)/10),0)</f>
        <v>0</v>
      </c>
      <c r="BS35" s="307">
        <f t="shared" si="13"/>
        <v>-854.9</v>
      </c>
      <c r="BT35" s="307">
        <f t="shared" si="14"/>
        <v>-3553.8685</v>
      </c>
      <c r="BU35" s="308"/>
      <c r="BV35" s="308"/>
      <c r="BW35" s="308"/>
      <c r="BX35" s="307">
        <f t="shared" si="15"/>
        <v>240491.85584285925</v>
      </c>
      <c r="BY35" s="300">
        <f t="shared" si="16"/>
        <v>234925.1604261926</v>
      </c>
      <c r="BZ35" s="300"/>
      <c r="CA35" s="300"/>
      <c r="CB35" s="301">
        <f>_xlfn.IFNA((VLOOKUP($A35,HN!$A:$M,8,FALSE)/12),0)</f>
        <v>0</v>
      </c>
      <c r="CC35" s="301">
        <f>_xlfn.IFNA((VLOOKUP($A35,HN!$A:$M,12,FALSE)/12),0)</f>
        <v>0</v>
      </c>
      <c r="CD35" s="301">
        <f>_xlfn.IFNA((VLOOKUP($A35,HN!$A:$M,9,FALSE)/12),0)</f>
        <v>0</v>
      </c>
      <c r="CE35" s="301">
        <f>_xlfn.IFNA((VLOOKUP($A35,'Post 16'!$A:$AG,33,FALSE)/8),0)</f>
        <v>0</v>
      </c>
      <c r="CF35" s="301"/>
      <c r="CG35" s="301">
        <f>_xlfn.IFNA(((VLOOKUP($A35,HN!$A:$M,10,FALSE)-$U35-$AK35)/10),0)</f>
        <v>9975.4639166666675</v>
      </c>
      <c r="CH35" s="301">
        <f>_xlfn.IFNA(((VLOOKUP($A35,HN!$A:$M,13,FALSE)-$V35-$AL35)/10),0)</f>
        <v>0</v>
      </c>
      <c r="CI35" s="300">
        <f t="shared" si="17"/>
        <v>-854.9</v>
      </c>
      <c r="CJ35" s="300">
        <f t="shared" si="18"/>
        <v>-3553.8685</v>
      </c>
      <c r="CK35" s="301"/>
      <c r="CL35" s="301"/>
      <c r="CM35" s="301"/>
      <c r="CN35" s="300">
        <f t="shared" si="19"/>
        <v>240491.85584285925</v>
      </c>
      <c r="CO35" s="332">
        <f t="shared" si="20"/>
        <v>234925.1604261926</v>
      </c>
      <c r="CP35" s="332"/>
      <c r="CQ35" s="332">
        <f>_xlfn.IFNA((VLOOKUP($A35,EY!$A:$AB,28,FALSE)-$CV35),0)</f>
        <v>53047.367578947371</v>
      </c>
      <c r="CR35" s="333">
        <f>_xlfn.IFNA((VLOOKUP($A35,HN!$A:$M,8,FALSE)/12),0)</f>
        <v>0</v>
      </c>
      <c r="CS35" s="333">
        <f>_xlfn.IFNA((VLOOKUP($A35,HN!$A:$M,12,FALSE)/12),0)</f>
        <v>0</v>
      </c>
      <c r="CT35" s="333">
        <f>_xlfn.IFNA((VLOOKUP($A35,HN!$A:$M,9,FALSE)/12),0)</f>
        <v>0</v>
      </c>
      <c r="CU35" s="333">
        <f>_xlfn.IFNA((VLOOKUP($A35,'Post 16'!$A:$AG,33,FALSE)/8),0)</f>
        <v>0</v>
      </c>
      <c r="CV35" s="333">
        <f>_xlfn.IFNA((VLOOKUP($A35,EY!$A:$AB,26,FALSE)*80%),0)</f>
        <v>0</v>
      </c>
      <c r="CW35" s="333">
        <f>_xlfn.IFNA(((VLOOKUP($A35,HN!$A:$M,10,FALSE)-$U35-$AK35)/10),0)</f>
        <v>9975.4639166666675</v>
      </c>
      <c r="CX35" s="333">
        <f>_xlfn.IFNA(((VLOOKUP($A35,HN!$A:$M,13,FALSE)-$V35-$AL35)/10),0)</f>
        <v>0</v>
      </c>
      <c r="CY35" s="332">
        <f t="shared" si="21"/>
        <v>-854.9</v>
      </c>
      <c r="CZ35" s="332">
        <f t="shared" si="22"/>
        <v>-3553.8685</v>
      </c>
      <c r="DA35" s="333"/>
      <c r="DB35" s="333"/>
      <c r="DC35" s="333"/>
      <c r="DD35" s="332">
        <f t="shared" si="23"/>
        <v>293539.22342180664</v>
      </c>
      <c r="DE35" s="314">
        <f t="shared" si="24"/>
        <v>234925.1604261926</v>
      </c>
      <c r="DF35" s="314"/>
      <c r="DG35" s="314"/>
      <c r="DH35" s="315">
        <f>_xlfn.IFNA((VLOOKUP($A35,HN!$A:$M,8,FALSE)/12),0)</f>
        <v>0</v>
      </c>
      <c r="DI35" s="315">
        <f>_xlfn.IFNA((VLOOKUP($A35,HN!$A:$M,12,FALSE)/12),0)</f>
        <v>0</v>
      </c>
      <c r="DJ35" s="315">
        <f>_xlfn.IFNA((VLOOKUP($A35,HN!$A:$M,9,FALSE)/12),0)</f>
        <v>0</v>
      </c>
      <c r="DK35" s="315">
        <f>_xlfn.IFNA((VLOOKUP($A35,'Post 16'!$A:$AG,33,FALSE)/8),0)</f>
        <v>0</v>
      </c>
      <c r="DL35" s="315"/>
      <c r="DM35" s="315">
        <f>_xlfn.IFNA(((VLOOKUP($A35,HN!$A:$M,10,FALSE)-$U35-$AK35)/10),0)</f>
        <v>9975.4639166666675</v>
      </c>
      <c r="DN35" s="315">
        <f>_xlfn.IFNA(((VLOOKUP($A35,HN!$A:$M,13,FALSE)-$V35-$AL35)/10),0)</f>
        <v>0</v>
      </c>
      <c r="DO35" s="314">
        <f t="shared" si="25"/>
        <v>-854.9</v>
      </c>
      <c r="DP35" s="314">
        <f t="shared" si="26"/>
        <v>-3553.8685</v>
      </c>
      <c r="DQ35" s="315"/>
      <c r="DR35" s="315"/>
      <c r="DS35" s="315"/>
      <c r="DT35" s="314">
        <f t="shared" si="27"/>
        <v>240491.85584285925</v>
      </c>
      <c r="DU35" s="307">
        <f t="shared" si="28"/>
        <v>234925.1604261926</v>
      </c>
      <c r="DV35" s="307"/>
      <c r="DW35" s="307"/>
      <c r="DX35" s="308">
        <f>_xlfn.IFNA((VLOOKUP($A35,HN!$A:$M,8,FALSE)/12),0)</f>
        <v>0</v>
      </c>
      <c r="DY35" s="308">
        <f>_xlfn.IFNA((VLOOKUP($A35,HN!$A:$M,12,FALSE)/12),0)</f>
        <v>0</v>
      </c>
      <c r="DZ35" s="308">
        <f>_xlfn.IFNA((VLOOKUP($A35,HN!$A:$M,9,FALSE)/12),0)</f>
        <v>0</v>
      </c>
      <c r="EA35" s="308">
        <f>_xlfn.IFNA((VLOOKUP($A35,'Post 16'!$A:$AG,33,FALSE)/8),0)</f>
        <v>0</v>
      </c>
      <c r="EB35" s="308"/>
      <c r="EC35" s="308">
        <f>_xlfn.IFNA(((VLOOKUP($A35,HN!$A:$M,10,FALSE)-$U35-$AK35)/10),0)</f>
        <v>9975.4639166666675</v>
      </c>
      <c r="ED35" s="308">
        <f>_xlfn.IFNA(((VLOOKUP($A35,HN!$A:$M,13,FALSE)-$V35-$AL35)/10),0)</f>
        <v>0</v>
      </c>
      <c r="EE35" s="307">
        <f t="shared" si="29"/>
        <v>-854.9</v>
      </c>
      <c r="EF35" s="307">
        <f t="shared" si="30"/>
        <v>-3553.8685</v>
      </c>
      <c r="EG35" s="308"/>
      <c r="EH35" s="308"/>
      <c r="EI35" s="308"/>
      <c r="EJ35" s="307">
        <f t="shared" si="31"/>
        <v>240491.85584285925</v>
      </c>
      <c r="EK35" s="320">
        <f t="shared" si="32"/>
        <v>234925.1604261926</v>
      </c>
      <c r="EL35" s="320"/>
      <c r="EM35" s="320"/>
      <c r="EN35" s="321">
        <f>_xlfn.IFNA((VLOOKUP($A35,HN!$A:$M,8,FALSE)/12),0)</f>
        <v>0</v>
      </c>
      <c r="EO35" s="321">
        <f>_xlfn.IFNA((VLOOKUP($A35,HN!$A:$M,12,FALSE)/12),0)</f>
        <v>0</v>
      </c>
      <c r="EP35" s="321">
        <f>_xlfn.IFNA((VLOOKUP($A35,HN!$A:$M,9,FALSE)/12),0)</f>
        <v>0</v>
      </c>
      <c r="EQ35" s="321">
        <f>_xlfn.IFNA((VLOOKUP($A35,'Post 16'!$A:$AG,33,FALSE)/8),0)</f>
        <v>0</v>
      </c>
      <c r="ER35" s="321"/>
      <c r="ES35" s="321">
        <f>_xlfn.IFNA(((VLOOKUP($A35,HN!$A:$M,10,FALSE)-$U35-$AK35)/10),0)</f>
        <v>9975.4639166666675</v>
      </c>
      <c r="ET35" s="321">
        <f>_xlfn.IFNA(((VLOOKUP($A35,HN!$A:$M,13,FALSE)-$V35-$AL35)/10),0)</f>
        <v>0</v>
      </c>
      <c r="EU35" s="320">
        <f t="shared" si="33"/>
        <v>-854.9</v>
      </c>
      <c r="EV35" s="320">
        <f t="shared" si="34"/>
        <v>-3553.8685</v>
      </c>
      <c r="EW35" s="321"/>
      <c r="EX35" s="321"/>
      <c r="EY35" s="321"/>
      <c r="EZ35" s="320">
        <f t="shared" si="35"/>
        <v>240491.85584285925</v>
      </c>
      <c r="FA35" s="286">
        <f t="shared" si="36"/>
        <v>234925.1604261926</v>
      </c>
      <c r="FB35" s="286"/>
      <c r="FC35" s="286"/>
      <c r="FD35" s="287">
        <f>_xlfn.IFNA((VLOOKUP($A35,HN!$A:$M,8,FALSE)/12),0)</f>
        <v>0</v>
      </c>
      <c r="FE35" s="287">
        <f>_xlfn.IFNA((VLOOKUP($A35,HN!$A:$M,12,FALSE)/12),0)</f>
        <v>0</v>
      </c>
      <c r="FF35" s="287">
        <f>_xlfn.IFNA((VLOOKUP($A35,HN!$A:$M,9,FALSE)/12),0)</f>
        <v>0</v>
      </c>
      <c r="FG35" s="287">
        <f>_xlfn.IFNA((VLOOKUP($A35,'Post 16'!$A:$AG,33,FALSE)/8),0)</f>
        <v>0</v>
      </c>
      <c r="FH35" s="287"/>
      <c r="FI35" s="287">
        <f>_xlfn.IFNA(((VLOOKUP($A35,HN!$A:$M,10,FALSE)-$U35-$AK35)/10),0)</f>
        <v>9975.4639166666675</v>
      </c>
      <c r="FJ35" s="287">
        <f>_xlfn.IFNA(((VLOOKUP($A35,HN!$A:$M,13,FALSE)-$V35-$AL35)/10),0)</f>
        <v>0</v>
      </c>
      <c r="FK35" s="286">
        <f t="shared" si="37"/>
        <v>-854.9</v>
      </c>
      <c r="FL35" s="286">
        <f t="shared" si="38"/>
        <v>-3553.8685</v>
      </c>
      <c r="FM35" s="287"/>
      <c r="FN35" s="287"/>
      <c r="FO35" s="287"/>
      <c r="FP35" s="286">
        <f t="shared" si="39"/>
        <v>240491.85584285925</v>
      </c>
      <c r="FQ35" s="293">
        <f t="shared" si="40"/>
        <v>234925.1604261926</v>
      </c>
      <c r="FR35" s="293"/>
      <c r="FS35" s="293"/>
      <c r="FT35" s="294">
        <f>_xlfn.IFNA((VLOOKUP($A35,HN!$A:$M,8,FALSE)/12),0)</f>
        <v>0</v>
      </c>
      <c r="FU35" s="294">
        <f>_xlfn.IFNA((VLOOKUP($A35,HN!$A:$M,12,FALSE)/12),0)</f>
        <v>0</v>
      </c>
      <c r="FV35" s="294">
        <f>_xlfn.IFNA((VLOOKUP($A35,HN!$A:$M,9,FALSE)/12),0)</f>
        <v>0</v>
      </c>
      <c r="FW35" s="294">
        <f>_xlfn.IFNA((VLOOKUP($A35,'Post 16'!$A:$AG,33,FALSE)/8),0)</f>
        <v>0</v>
      </c>
      <c r="FX35" s="294"/>
      <c r="FY35" s="294">
        <f>_xlfn.IFNA(((VLOOKUP($A35,HN!$A:$M,10,FALSE)-$U35-$AK35)/10),0)</f>
        <v>9975.4639166666675</v>
      </c>
      <c r="FZ35" s="294">
        <f>_xlfn.IFNA(((VLOOKUP($A35,HN!$A:$M,13,FALSE)-$V35-$AL35)/10),0)</f>
        <v>0</v>
      </c>
      <c r="GA35" s="293">
        <f t="shared" si="41"/>
        <v>-854.9</v>
      </c>
      <c r="GB35" s="293">
        <f t="shared" si="42"/>
        <v>-3553.8685</v>
      </c>
      <c r="GC35" s="294"/>
      <c r="GD35" s="294"/>
      <c r="GE35" s="294"/>
      <c r="GF35" s="293">
        <f t="shared" si="43"/>
        <v>240491.85584285925</v>
      </c>
      <c r="GG35" s="300">
        <f t="shared" si="44"/>
        <v>234925.1604261926</v>
      </c>
      <c r="GH35" s="300"/>
      <c r="GI35" s="300"/>
      <c r="GJ35" s="301">
        <f>_xlfn.IFNA((VLOOKUP($A35,HN!$A:$M,8,FALSE)/12),0)</f>
        <v>0</v>
      </c>
      <c r="GK35" s="301">
        <f>_xlfn.IFNA((VLOOKUP($A35,HN!$A:$M,12,FALSE)/12),0)</f>
        <v>0</v>
      </c>
      <c r="GL35" s="301">
        <f>_xlfn.IFNA((VLOOKUP($A35,HN!$A:$M,9,FALSE)/12),0)</f>
        <v>0</v>
      </c>
      <c r="GM35" s="301">
        <f>_xlfn.IFNA((VLOOKUP($A35,'Post 16'!$A:$AG,33,FALSE)/8),0)</f>
        <v>0</v>
      </c>
      <c r="GN35" s="301"/>
      <c r="GO35" s="301">
        <f>_xlfn.IFNA(((VLOOKUP($A35,HN!$A:$M,10,FALSE)-$U35-$AK35)/10),0)</f>
        <v>9975.4639166666675</v>
      </c>
      <c r="GP35" s="301">
        <f>_xlfn.IFNA(((VLOOKUP($A35,HN!$A:$M,13,FALSE)-$V35-$AL35)/10),0)</f>
        <v>0</v>
      </c>
      <c r="GQ35" s="300">
        <f t="shared" si="45"/>
        <v>-854.9</v>
      </c>
      <c r="GR35" s="300">
        <f t="shared" si="46"/>
        <v>-3553.8685</v>
      </c>
      <c r="GS35" s="301"/>
      <c r="GT35" s="301"/>
      <c r="GU35" s="301"/>
      <c r="GV35" s="300">
        <f t="shared" si="47"/>
        <v>240491.85584285925</v>
      </c>
      <c r="GX35" s="146">
        <f t="shared" si="52"/>
        <v>2898509.5274301004</v>
      </c>
      <c r="GY35" s="146">
        <f t="shared" si="52"/>
        <v>0</v>
      </c>
      <c r="GZ35" s="146">
        <f t="shared" si="52"/>
        <v>125901.99999999997</v>
      </c>
      <c r="HA35" s="146">
        <f t="shared" si="52"/>
        <v>-10258.799999999997</v>
      </c>
      <c r="HB35" s="146">
        <f t="shared" si="52"/>
        <v>-42646.421999999991</v>
      </c>
      <c r="HC35" s="146">
        <f t="shared" si="52"/>
        <v>0</v>
      </c>
      <c r="HE35" s="146">
        <f t="shared" si="53"/>
        <v>731135.71601541992</v>
      </c>
      <c r="HF35" s="146">
        <f t="shared" si="53"/>
        <v>0</v>
      </c>
      <c r="HG35" s="146">
        <f t="shared" si="53"/>
        <v>36122.82475</v>
      </c>
      <c r="HH35" s="146">
        <f t="shared" si="53"/>
        <v>-2564.6999999999998</v>
      </c>
      <c r="HI35" s="146">
        <f t="shared" si="53"/>
        <v>-10661.6055</v>
      </c>
      <c r="HJ35" s="146">
        <f t="shared" si="53"/>
        <v>0</v>
      </c>
      <c r="HL35" s="146"/>
      <c r="HM35" s="57"/>
    </row>
    <row r="36" spans="1:221">
      <c r="A36" s="185">
        <v>4801</v>
      </c>
      <c r="B36" s="185">
        <v>103539</v>
      </c>
      <c r="C36" s="185" t="s">
        <v>94</v>
      </c>
      <c r="D36" s="2" t="s">
        <v>95</v>
      </c>
      <c r="E36" s="190" t="s">
        <v>71</v>
      </c>
      <c r="F36" s="190" t="s">
        <v>890</v>
      </c>
      <c r="H36" s="271">
        <f>_xlfn.IFNA(VLOOKUP($A36,ISB!$A$4:$BY$441,67,FALSE),0)</f>
        <v>6691766.2139580706</v>
      </c>
      <c r="I36" s="271">
        <f>_xlfn.IFNA(VLOOKUP($A36,ISB!$A$4:$BY$441,72,FALSE),0)</f>
        <v>-15502.5</v>
      </c>
      <c r="J36" s="271">
        <f>-_xlfn.IFNA(VLOOKUP($A36,ISB!$A$4:$BY$441,76,FALSE),0)</f>
        <v>-20862.168600000001</v>
      </c>
      <c r="K36" s="271">
        <f>_xlfn.IFNA(VLOOKUP($A36,ISB!$A$4:$BY$441,77,FALSE),0)</f>
        <v>6655401.5453580702</v>
      </c>
      <c r="M36" s="279">
        <f t="shared" si="0"/>
        <v>557647.18449650588</v>
      </c>
      <c r="N36" s="279"/>
      <c r="O36" s="279">
        <f>_xlfn.IFNA(VLOOKUP($A36,EY!$A:$H,8,FALSE)+(VLOOKUP($A36,EY!$A:$R,18,FALSE)-$T36),0)</f>
        <v>0</v>
      </c>
      <c r="P36" s="280">
        <f>_xlfn.IFNA((VLOOKUP($A36,HN!$A:$M,8,FALSE)/12),0)</f>
        <v>0</v>
      </c>
      <c r="Q36" s="280">
        <f>_xlfn.IFNA((VLOOKUP($A36,HN!$A:$M,12,FALSE)/12),0)</f>
        <v>0</v>
      </c>
      <c r="R36" s="280">
        <f>_xlfn.IFNA((VLOOKUP($A36,HN!$A:$M,9,FALSE)/12),0)</f>
        <v>0</v>
      </c>
      <c r="S36" s="280">
        <f>_xlfn.IFNA((VLOOKUP($A36,'Post 16'!$A:$AR,22,FALSE)/4),0)</f>
        <v>0</v>
      </c>
      <c r="T36" s="280">
        <f>_xlfn.IFNA((VLOOKUP($A36,EY!$A:$R,16,FALSE)*80%),0)</f>
        <v>0</v>
      </c>
      <c r="U36" s="280">
        <v>8195.4308333333338</v>
      </c>
      <c r="V36" s="280">
        <v>0</v>
      </c>
      <c r="W36" s="279">
        <f t="shared" si="1"/>
        <v>-1291.875</v>
      </c>
      <c r="X36" s="279">
        <f t="shared" si="2"/>
        <v>-1738.51405</v>
      </c>
      <c r="Y36" s="280"/>
      <c r="Z36" s="280"/>
      <c r="AA36" s="280"/>
      <c r="AB36" s="279">
        <f t="shared" si="3"/>
        <v>562812.22627983917</v>
      </c>
      <c r="AC36" s="293">
        <f t="shared" si="4"/>
        <v>557647.18449650588</v>
      </c>
      <c r="AD36" s="293"/>
      <c r="AE36" s="293"/>
      <c r="AF36" s="294">
        <f>_xlfn.IFNA((VLOOKUP($A36,HN!$A:$M,8,FALSE)/12),0)</f>
        <v>0</v>
      </c>
      <c r="AG36" s="294">
        <f>_xlfn.IFNA((VLOOKUP($A36,HN!$A:$M,12,FALSE)/12),0)+_xlfn.IFNA(VLOOKUP($A36,HN!$A:$Q,17,FALSE),0)</f>
        <v>0</v>
      </c>
      <c r="AH36" s="294">
        <f>_xlfn.IFNA((VLOOKUP($A36,HN!$A:$M,9,FALSE)/12),0)</f>
        <v>0</v>
      </c>
      <c r="AI36" s="294">
        <f>_xlfn.IFNA((VLOOKUP($A36,'Post 16'!$A:$AR,22,FALSE)/4),0)</f>
        <v>0</v>
      </c>
      <c r="AJ36" s="294"/>
      <c r="AK36" s="294">
        <f>_xlfn.IFNA((VLOOKUP($A36,HN!$A:$M,10,FALSE)/12),0)</f>
        <v>6081.8058333333329</v>
      </c>
      <c r="AL36" s="294">
        <f>_xlfn.IFNA((VLOOKUP($A36,HN!$A:$M,13,FALSE)/12),0)</f>
        <v>0</v>
      </c>
      <c r="AM36" s="293">
        <f t="shared" si="5"/>
        <v>-1291.875</v>
      </c>
      <c r="AN36" s="293">
        <f t="shared" si="6"/>
        <v>-1738.51405</v>
      </c>
      <c r="AO36" s="294"/>
      <c r="AP36" s="294"/>
      <c r="AQ36" s="294"/>
      <c r="AR36" s="293">
        <f t="shared" si="7"/>
        <v>560698.60127983917</v>
      </c>
      <c r="AS36" s="286">
        <f t="shared" si="8"/>
        <v>557647.18449650588</v>
      </c>
      <c r="AT36" s="286"/>
      <c r="AU36" s="286">
        <f>_xlfn.IFNA(VLOOKUP(A36,EY!A:AO,40,FALSE),0)</f>
        <v>0</v>
      </c>
      <c r="AV36" s="287">
        <f>_xlfn.IFNA((VLOOKUP($A36,HN!$A:$M,8,FALSE)/12),0)</f>
        <v>0</v>
      </c>
      <c r="AW36" s="287">
        <f>_xlfn.IFNA((VLOOKUP($A36,HN!$A:$M,12,FALSE)/12),0)+_xlfn.IFNA(VLOOKUP($A36,HN!$A$8:$AU$200,19,FALSE),0)</f>
        <v>0</v>
      </c>
      <c r="AX36" s="287">
        <f>_xlfn.IFNA((VLOOKUP($A36,HN!$A:$M,9,FALSE)/12),0)</f>
        <v>0</v>
      </c>
      <c r="AY36" s="287">
        <f>_xlfn.IFNA((VLOOKUP($A36,'Post 16'!$A:$AR,22,FALSE)/4),0)</f>
        <v>0</v>
      </c>
      <c r="AZ36" s="287">
        <f>_xlfn.IFNA(VLOOKUP(A36,EY!A:AO,41,FALSE),0)</f>
        <v>0</v>
      </c>
      <c r="BA36" s="287">
        <f>_xlfn.IFNA(((VLOOKUP($A36,HN!$A:$M,10,FALSE)-$U36-$AK36)/10),0)+_xlfn.IFNA(VLOOKUP($A36,HN!$A:$R,18,FALSE),0)</f>
        <v>5870.4433333333336</v>
      </c>
      <c r="BB36" s="287">
        <f>_xlfn.IFNA(((VLOOKUP($A36,HN!$A:$M,13,FALSE)-$V36-$AL36)/10),0)+_xlfn.IFNA(VLOOKUP($A36,HN!$A$8:$AU$200,20,FALSE),0)</f>
        <v>0</v>
      </c>
      <c r="BC36" s="286">
        <f t="shared" si="9"/>
        <v>-1291.875</v>
      </c>
      <c r="BD36" s="286">
        <f t="shared" si="10"/>
        <v>-1738.51405</v>
      </c>
      <c r="BE36" s="287"/>
      <c r="BF36" s="287"/>
      <c r="BG36" s="287"/>
      <c r="BH36" s="286">
        <f t="shared" si="11"/>
        <v>560487.23877983924</v>
      </c>
      <c r="BI36" s="307">
        <f t="shared" si="12"/>
        <v>557647.18449650588</v>
      </c>
      <c r="BJ36" s="307">
        <f>_xlfn.IFNA(VLOOKUP(A36,'LA Deductions'!A:AH,34,FALSE),0)</f>
        <v>0</v>
      </c>
      <c r="BK36" s="307"/>
      <c r="BL36" s="308">
        <f>_xlfn.IFNA((VLOOKUP($A36,HN!$A:$M,8,FALSE)/12),0)</f>
        <v>0</v>
      </c>
      <c r="BM36" s="308">
        <f>_xlfn.IFNA((VLOOKUP($A36,HN!$A:$M,12,FALSE)/12),0)</f>
        <v>0</v>
      </c>
      <c r="BN36" s="308">
        <f>_xlfn.IFNA((VLOOKUP($A36,HN!$A:$M,9,FALSE)/12),0)</f>
        <v>0</v>
      </c>
      <c r="BO36" s="308">
        <f>_xlfn.IFNA((VLOOKUP($A36,'Post 16'!$A:$AR,22,FALSE)/4),0)</f>
        <v>0</v>
      </c>
      <c r="BP36" s="308"/>
      <c r="BQ36" s="308">
        <f>_xlfn.IFNA(((VLOOKUP($A36,HN!$A:$M,10,FALSE)-$U36-$AK36)/10),0)</f>
        <v>5870.4433333333336</v>
      </c>
      <c r="BR36" s="308">
        <f>_xlfn.IFNA(((VLOOKUP($A36,HN!$A:$M,13,FALSE)-$V36-$AL36)/10),0)</f>
        <v>0</v>
      </c>
      <c r="BS36" s="307">
        <f t="shared" si="13"/>
        <v>-1291.875</v>
      </c>
      <c r="BT36" s="307">
        <f t="shared" si="14"/>
        <v>-1738.51405</v>
      </c>
      <c r="BU36" s="308"/>
      <c r="BV36" s="308"/>
      <c r="BW36" s="308"/>
      <c r="BX36" s="307">
        <f t="shared" si="15"/>
        <v>560487.23877983924</v>
      </c>
      <c r="BY36" s="300">
        <f t="shared" si="16"/>
        <v>557647.18449650588</v>
      </c>
      <c r="BZ36" s="300"/>
      <c r="CA36" s="300"/>
      <c r="CB36" s="301">
        <f>_xlfn.IFNA((VLOOKUP($A36,HN!$A:$M,8,FALSE)/12),0)</f>
        <v>0</v>
      </c>
      <c r="CC36" s="301">
        <f>_xlfn.IFNA((VLOOKUP($A36,HN!$A:$M,12,FALSE)/12),0)</f>
        <v>0</v>
      </c>
      <c r="CD36" s="301">
        <f>_xlfn.IFNA((VLOOKUP($A36,HN!$A:$M,9,FALSE)/12),0)</f>
        <v>0</v>
      </c>
      <c r="CE36" s="301">
        <f>_xlfn.IFNA((VLOOKUP($A36,'Post 16'!$A:$AG,33,FALSE)/8),0)</f>
        <v>0</v>
      </c>
      <c r="CF36" s="301"/>
      <c r="CG36" s="301">
        <f>_xlfn.IFNA(((VLOOKUP($A36,HN!$A:$M,10,FALSE)-$U36-$AK36)/10),0)</f>
        <v>5870.4433333333336</v>
      </c>
      <c r="CH36" s="301">
        <f>_xlfn.IFNA(((VLOOKUP($A36,HN!$A:$M,13,FALSE)-$V36-$AL36)/10),0)</f>
        <v>0</v>
      </c>
      <c r="CI36" s="300">
        <f t="shared" si="17"/>
        <v>-1291.875</v>
      </c>
      <c r="CJ36" s="300">
        <f t="shared" si="18"/>
        <v>-1738.51405</v>
      </c>
      <c r="CK36" s="301"/>
      <c r="CL36" s="301"/>
      <c r="CM36" s="301"/>
      <c r="CN36" s="300">
        <f t="shared" si="19"/>
        <v>560487.23877983924</v>
      </c>
      <c r="CO36" s="332">
        <f t="shared" si="20"/>
        <v>557647.18449650588</v>
      </c>
      <c r="CP36" s="332"/>
      <c r="CQ36" s="332">
        <f>_xlfn.IFNA((VLOOKUP($A36,EY!$A:$AB,28,FALSE)-$CV36),0)</f>
        <v>0</v>
      </c>
      <c r="CR36" s="333">
        <f>_xlfn.IFNA((VLOOKUP($A36,HN!$A:$M,8,FALSE)/12),0)</f>
        <v>0</v>
      </c>
      <c r="CS36" s="333">
        <f>_xlfn.IFNA((VLOOKUP($A36,HN!$A:$M,12,FALSE)/12),0)</f>
        <v>0</v>
      </c>
      <c r="CT36" s="333">
        <f>_xlfn.IFNA((VLOOKUP($A36,HN!$A:$M,9,FALSE)/12),0)</f>
        <v>0</v>
      </c>
      <c r="CU36" s="333">
        <f>_xlfn.IFNA((VLOOKUP($A36,'Post 16'!$A:$AG,33,FALSE)/8),0)</f>
        <v>0</v>
      </c>
      <c r="CV36" s="333">
        <f>_xlfn.IFNA((VLOOKUP($A36,EY!$A:$AB,26,FALSE)*80%),0)</f>
        <v>0</v>
      </c>
      <c r="CW36" s="333">
        <f>_xlfn.IFNA(((VLOOKUP($A36,HN!$A:$M,10,FALSE)-$U36-$AK36)/10),0)</f>
        <v>5870.4433333333336</v>
      </c>
      <c r="CX36" s="333">
        <f>_xlfn.IFNA(((VLOOKUP($A36,HN!$A:$M,13,FALSE)-$V36-$AL36)/10),0)</f>
        <v>0</v>
      </c>
      <c r="CY36" s="332">
        <f t="shared" si="21"/>
        <v>-1291.875</v>
      </c>
      <c r="CZ36" s="332">
        <f t="shared" si="22"/>
        <v>-1738.51405</v>
      </c>
      <c r="DA36" s="333"/>
      <c r="DB36" s="333"/>
      <c r="DC36" s="333"/>
      <c r="DD36" s="332">
        <f t="shared" si="23"/>
        <v>560487.23877983924</v>
      </c>
      <c r="DE36" s="314">
        <f t="shared" si="24"/>
        <v>557647.18449650588</v>
      </c>
      <c r="DF36" s="314"/>
      <c r="DG36" s="314"/>
      <c r="DH36" s="315">
        <f>_xlfn.IFNA((VLOOKUP($A36,HN!$A:$M,8,FALSE)/12),0)</f>
        <v>0</v>
      </c>
      <c r="DI36" s="315">
        <f>_xlfn.IFNA((VLOOKUP($A36,HN!$A:$M,12,FALSE)/12),0)</f>
        <v>0</v>
      </c>
      <c r="DJ36" s="315">
        <f>_xlfn.IFNA((VLOOKUP($A36,HN!$A:$M,9,FALSE)/12),0)</f>
        <v>0</v>
      </c>
      <c r="DK36" s="315">
        <f>_xlfn.IFNA((VLOOKUP($A36,'Post 16'!$A:$AG,33,FALSE)/8),0)</f>
        <v>0</v>
      </c>
      <c r="DL36" s="315"/>
      <c r="DM36" s="315">
        <f>_xlfn.IFNA(((VLOOKUP($A36,HN!$A:$M,10,FALSE)-$U36-$AK36)/10),0)</f>
        <v>5870.4433333333336</v>
      </c>
      <c r="DN36" s="315">
        <f>_xlfn.IFNA(((VLOOKUP($A36,HN!$A:$M,13,FALSE)-$V36-$AL36)/10),0)</f>
        <v>0</v>
      </c>
      <c r="DO36" s="314">
        <f t="shared" si="25"/>
        <v>-1291.875</v>
      </c>
      <c r="DP36" s="314">
        <f t="shared" si="26"/>
        <v>-1738.51405</v>
      </c>
      <c r="DQ36" s="315"/>
      <c r="DR36" s="315"/>
      <c r="DS36" s="315"/>
      <c r="DT36" s="314">
        <f t="shared" si="27"/>
        <v>560487.23877983924</v>
      </c>
      <c r="DU36" s="307">
        <f t="shared" si="28"/>
        <v>557647.18449650588</v>
      </c>
      <c r="DV36" s="307"/>
      <c r="DW36" s="307"/>
      <c r="DX36" s="308">
        <f>_xlfn.IFNA((VLOOKUP($A36,HN!$A:$M,8,FALSE)/12),0)</f>
        <v>0</v>
      </c>
      <c r="DY36" s="308">
        <f>_xlfn.IFNA((VLOOKUP($A36,HN!$A:$M,12,FALSE)/12),0)</f>
        <v>0</v>
      </c>
      <c r="DZ36" s="308">
        <f>_xlfn.IFNA((VLOOKUP($A36,HN!$A:$M,9,FALSE)/12),0)</f>
        <v>0</v>
      </c>
      <c r="EA36" s="308">
        <f>_xlfn.IFNA((VLOOKUP($A36,'Post 16'!$A:$AG,33,FALSE)/8),0)</f>
        <v>0</v>
      </c>
      <c r="EB36" s="308"/>
      <c r="EC36" s="308">
        <f>_xlfn.IFNA(((VLOOKUP($A36,HN!$A:$M,10,FALSE)-$U36-$AK36)/10),0)</f>
        <v>5870.4433333333336</v>
      </c>
      <c r="ED36" s="308">
        <f>_xlfn.IFNA(((VLOOKUP($A36,HN!$A:$M,13,FALSE)-$V36-$AL36)/10),0)</f>
        <v>0</v>
      </c>
      <c r="EE36" s="307">
        <f t="shared" si="29"/>
        <v>-1291.875</v>
      </c>
      <c r="EF36" s="307">
        <f t="shared" si="30"/>
        <v>-1738.51405</v>
      </c>
      <c r="EG36" s="308"/>
      <c r="EH36" s="308"/>
      <c r="EI36" s="308"/>
      <c r="EJ36" s="307">
        <f t="shared" si="31"/>
        <v>560487.23877983924</v>
      </c>
      <c r="EK36" s="320">
        <f t="shared" si="32"/>
        <v>557647.18449650588</v>
      </c>
      <c r="EL36" s="320"/>
      <c r="EM36" s="320"/>
      <c r="EN36" s="321">
        <f>_xlfn.IFNA((VLOOKUP($A36,HN!$A:$M,8,FALSE)/12),0)</f>
        <v>0</v>
      </c>
      <c r="EO36" s="321">
        <f>_xlfn.IFNA((VLOOKUP($A36,HN!$A:$M,12,FALSE)/12),0)</f>
        <v>0</v>
      </c>
      <c r="EP36" s="321">
        <f>_xlfn.IFNA((VLOOKUP($A36,HN!$A:$M,9,FALSE)/12),0)</f>
        <v>0</v>
      </c>
      <c r="EQ36" s="321">
        <f>_xlfn.IFNA((VLOOKUP($A36,'Post 16'!$A:$AG,33,FALSE)/8),0)</f>
        <v>0</v>
      </c>
      <c r="ER36" s="321"/>
      <c r="ES36" s="321">
        <f>_xlfn.IFNA(((VLOOKUP($A36,HN!$A:$M,10,FALSE)-$U36-$AK36)/10),0)</f>
        <v>5870.4433333333336</v>
      </c>
      <c r="ET36" s="321">
        <f>_xlfn.IFNA(((VLOOKUP($A36,HN!$A:$M,13,FALSE)-$V36-$AL36)/10),0)</f>
        <v>0</v>
      </c>
      <c r="EU36" s="320">
        <f t="shared" si="33"/>
        <v>-1291.875</v>
      </c>
      <c r="EV36" s="320">
        <f t="shared" si="34"/>
        <v>-1738.51405</v>
      </c>
      <c r="EW36" s="321"/>
      <c r="EX36" s="321"/>
      <c r="EY36" s="321"/>
      <c r="EZ36" s="320">
        <f t="shared" si="35"/>
        <v>560487.23877983924</v>
      </c>
      <c r="FA36" s="286">
        <f t="shared" si="36"/>
        <v>557647.18449650588</v>
      </c>
      <c r="FB36" s="286"/>
      <c r="FC36" s="286"/>
      <c r="FD36" s="287">
        <f>_xlfn.IFNA((VLOOKUP($A36,HN!$A:$M,8,FALSE)/12),0)</f>
        <v>0</v>
      </c>
      <c r="FE36" s="287">
        <f>_xlfn.IFNA((VLOOKUP($A36,HN!$A:$M,12,FALSE)/12),0)</f>
        <v>0</v>
      </c>
      <c r="FF36" s="287">
        <f>_xlfn.IFNA((VLOOKUP($A36,HN!$A:$M,9,FALSE)/12),0)</f>
        <v>0</v>
      </c>
      <c r="FG36" s="287">
        <f>_xlfn.IFNA((VLOOKUP($A36,'Post 16'!$A:$AG,33,FALSE)/8),0)</f>
        <v>0</v>
      </c>
      <c r="FH36" s="287"/>
      <c r="FI36" s="287">
        <f>_xlfn.IFNA(((VLOOKUP($A36,HN!$A:$M,10,FALSE)-$U36-$AK36)/10),0)</f>
        <v>5870.4433333333336</v>
      </c>
      <c r="FJ36" s="287">
        <f>_xlfn.IFNA(((VLOOKUP($A36,HN!$A:$M,13,FALSE)-$V36-$AL36)/10),0)</f>
        <v>0</v>
      </c>
      <c r="FK36" s="286">
        <f t="shared" si="37"/>
        <v>-1291.875</v>
      </c>
      <c r="FL36" s="286">
        <f t="shared" si="38"/>
        <v>-1738.51405</v>
      </c>
      <c r="FM36" s="287"/>
      <c r="FN36" s="287"/>
      <c r="FO36" s="287"/>
      <c r="FP36" s="286">
        <f t="shared" si="39"/>
        <v>560487.23877983924</v>
      </c>
      <c r="FQ36" s="293">
        <f t="shared" si="40"/>
        <v>557647.18449650588</v>
      </c>
      <c r="FR36" s="293"/>
      <c r="FS36" s="293"/>
      <c r="FT36" s="294">
        <f>_xlfn.IFNA((VLOOKUP($A36,HN!$A:$M,8,FALSE)/12),0)</f>
        <v>0</v>
      </c>
      <c r="FU36" s="294">
        <f>_xlfn.IFNA((VLOOKUP($A36,HN!$A:$M,12,FALSE)/12),0)</f>
        <v>0</v>
      </c>
      <c r="FV36" s="294">
        <f>_xlfn.IFNA((VLOOKUP($A36,HN!$A:$M,9,FALSE)/12),0)</f>
        <v>0</v>
      </c>
      <c r="FW36" s="294">
        <f>_xlfn.IFNA((VLOOKUP($A36,'Post 16'!$A:$AG,33,FALSE)/8),0)</f>
        <v>0</v>
      </c>
      <c r="FX36" s="294"/>
      <c r="FY36" s="294">
        <f>_xlfn.IFNA(((VLOOKUP($A36,HN!$A:$M,10,FALSE)-$U36-$AK36)/10),0)</f>
        <v>5870.4433333333336</v>
      </c>
      <c r="FZ36" s="294">
        <f>_xlfn.IFNA(((VLOOKUP($A36,HN!$A:$M,13,FALSE)-$V36-$AL36)/10),0)</f>
        <v>0</v>
      </c>
      <c r="GA36" s="293">
        <f t="shared" si="41"/>
        <v>-1291.875</v>
      </c>
      <c r="GB36" s="293">
        <f t="shared" si="42"/>
        <v>-1738.51405</v>
      </c>
      <c r="GC36" s="294"/>
      <c r="GD36" s="294"/>
      <c r="GE36" s="294"/>
      <c r="GF36" s="293">
        <f t="shared" si="43"/>
        <v>560487.23877983924</v>
      </c>
      <c r="GG36" s="300">
        <f t="shared" si="44"/>
        <v>557647.18449650588</v>
      </c>
      <c r="GH36" s="300"/>
      <c r="GI36" s="300"/>
      <c r="GJ36" s="301">
        <f>_xlfn.IFNA((VLOOKUP($A36,HN!$A:$M,8,FALSE)/12),0)</f>
        <v>0</v>
      </c>
      <c r="GK36" s="301">
        <f>_xlfn.IFNA((VLOOKUP($A36,HN!$A:$M,12,FALSE)/12),0)</f>
        <v>0</v>
      </c>
      <c r="GL36" s="301">
        <f>_xlfn.IFNA((VLOOKUP($A36,HN!$A:$M,9,FALSE)/12),0)</f>
        <v>0</v>
      </c>
      <c r="GM36" s="301">
        <f>_xlfn.IFNA((VLOOKUP($A36,'Post 16'!$A:$AG,33,FALSE)/8),0)</f>
        <v>0</v>
      </c>
      <c r="GN36" s="301"/>
      <c r="GO36" s="301">
        <f>_xlfn.IFNA(((VLOOKUP($A36,HN!$A:$M,10,FALSE)-$U36-$AK36)/10),0)</f>
        <v>5870.4433333333336</v>
      </c>
      <c r="GP36" s="301">
        <f>_xlfn.IFNA(((VLOOKUP($A36,HN!$A:$M,13,FALSE)-$V36-$AL36)/10),0)</f>
        <v>0</v>
      </c>
      <c r="GQ36" s="300">
        <f t="shared" si="45"/>
        <v>-1291.875</v>
      </c>
      <c r="GR36" s="300">
        <f t="shared" si="46"/>
        <v>-1738.51405</v>
      </c>
      <c r="GS36" s="301"/>
      <c r="GT36" s="301"/>
      <c r="GU36" s="301"/>
      <c r="GV36" s="300">
        <f t="shared" si="47"/>
        <v>560487.23877983924</v>
      </c>
      <c r="GX36" s="146">
        <f t="shared" si="52"/>
        <v>6691766.2139580725</v>
      </c>
      <c r="GY36" s="146">
        <f t="shared" si="52"/>
        <v>0</v>
      </c>
      <c r="GZ36" s="146">
        <f t="shared" si="52"/>
        <v>72981.670000000013</v>
      </c>
      <c r="HA36" s="146">
        <f t="shared" si="52"/>
        <v>-15502.5</v>
      </c>
      <c r="HB36" s="146">
        <f t="shared" si="52"/>
        <v>-20862.168600000005</v>
      </c>
      <c r="HC36" s="146">
        <f t="shared" si="52"/>
        <v>0</v>
      </c>
      <c r="HE36" s="146">
        <f t="shared" si="53"/>
        <v>1672941.5534895177</v>
      </c>
      <c r="HF36" s="146">
        <f t="shared" si="53"/>
        <v>0</v>
      </c>
      <c r="HG36" s="146">
        <f t="shared" si="53"/>
        <v>20147.68</v>
      </c>
      <c r="HH36" s="146">
        <f t="shared" si="53"/>
        <v>-3875.625</v>
      </c>
      <c r="HI36" s="146">
        <f t="shared" si="53"/>
        <v>-5215.5421500000002</v>
      </c>
      <c r="HJ36" s="146">
        <f t="shared" si="53"/>
        <v>0</v>
      </c>
      <c r="HL36" s="146"/>
      <c r="HM36" s="57"/>
    </row>
    <row r="37" spans="1:221">
      <c r="A37" s="185">
        <v>1048</v>
      </c>
      <c r="B37" s="185">
        <v>103144</v>
      </c>
      <c r="C37" s="185" t="s">
        <v>96</v>
      </c>
      <c r="D37" s="2" t="s">
        <v>97</v>
      </c>
      <c r="E37" s="190" t="s">
        <v>36</v>
      </c>
      <c r="F37" s="190" t="s">
        <v>890</v>
      </c>
      <c r="H37" s="271">
        <f>_xlfn.IFNA(VLOOKUP($A37,ISB!$A$4:$BY$441,67,FALSE),0)</f>
        <v>0</v>
      </c>
      <c r="I37" s="271">
        <f>_xlfn.IFNA(VLOOKUP($A37,ISB!$A$4:$BY$441,72,FALSE),0)</f>
        <v>0</v>
      </c>
      <c r="J37" s="271">
        <f>-_xlfn.IFNA(VLOOKUP($A37,ISB!$A$4:$BY$441,76,FALSE),0)</f>
        <v>0</v>
      </c>
      <c r="K37" s="271">
        <f>_xlfn.IFNA(VLOOKUP($A37,ISB!$A$4:$BY$441,77,FALSE),0)</f>
        <v>0</v>
      </c>
      <c r="M37" s="279">
        <f t="shared" si="0"/>
        <v>0</v>
      </c>
      <c r="N37" s="279"/>
      <c r="O37" s="279">
        <f>_xlfn.IFNA(VLOOKUP($A37,EY!$A:$H,8,FALSE)+(VLOOKUP($A37,EY!$A:$R,18,FALSE)-$T37),0)</f>
        <v>551984.05489136046</v>
      </c>
      <c r="P37" s="280">
        <f>_xlfn.IFNA((VLOOKUP($A37,HN!$A:$M,8,FALSE)/12),0)</f>
        <v>0</v>
      </c>
      <c r="Q37" s="280">
        <f>_xlfn.IFNA((VLOOKUP($A37,HN!$A:$M,12,FALSE)/12),0)</f>
        <v>0</v>
      </c>
      <c r="R37" s="280">
        <f>_xlfn.IFNA((VLOOKUP($A37,HN!$A:$M,9,FALSE)/12),0)</f>
        <v>0</v>
      </c>
      <c r="S37" s="280">
        <f>_xlfn.IFNA((VLOOKUP($A37,'Post 16'!$A:$AR,22,FALSE)/4),0)</f>
        <v>0</v>
      </c>
      <c r="T37" s="280">
        <f>_xlfn.IFNA((VLOOKUP($A37,EY!$A:$R,16,FALSE)*80%),0)</f>
        <v>7020</v>
      </c>
      <c r="U37" s="280">
        <v>10347.666666666666</v>
      </c>
      <c r="V37" s="280">
        <v>0</v>
      </c>
      <c r="W37" s="279">
        <f t="shared" si="1"/>
        <v>0</v>
      </c>
      <c r="X37" s="279">
        <f t="shared" si="2"/>
        <v>0</v>
      </c>
      <c r="Y37" s="280"/>
      <c r="Z37" s="280"/>
      <c r="AA37" s="280"/>
      <c r="AB37" s="279">
        <f t="shared" si="3"/>
        <v>569351.72155802709</v>
      </c>
      <c r="AC37" s="293">
        <f t="shared" si="4"/>
        <v>0</v>
      </c>
      <c r="AD37" s="293"/>
      <c r="AE37" s="293"/>
      <c r="AF37" s="294">
        <f>_xlfn.IFNA((VLOOKUP($A37,HN!$A:$M,8,FALSE)/12),0)</f>
        <v>0</v>
      </c>
      <c r="AG37" s="294">
        <f>_xlfn.IFNA((VLOOKUP($A37,HN!$A:$M,12,FALSE)/12),0)+_xlfn.IFNA(VLOOKUP($A37,HN!$A:$Q,17,FALSE),0)</f>
        <v>0</v>
      </c>
      <c r="AH37" s="294">
        <f>_xlfn.IFNA((VLOOKUP($A37,HN!$A:$M,9,FALSE)/12),0)</f>
        <v>0</v>
      </c>
      <c r="AI37" s="294">
        <f>_xlfn.IFNA((VLOOKUP($A37,'Post 16'!$A:$AR,22,FALSE)/4),0)</f>
        <v>0</v>
      </c>
      <c r="AJ37" s="294"/>
      <c r="AK37" s="294">
        <f>_xlfn.IFNA((VLOOKUP($A37,HN!$A:$M,10,FALSE)/12),0)</f>
        <v>2246.1041666666665</v>
      </c>
      <c r="AL37" s="294">
        <f>_xlfn.IFNA((VLOOKUP($A37,HN!$A:$M,13,FALSE)/12),0)</f>
        <v>0</v>
      </c>
      <c r="AM37" s="293">
        <f t="shared" si="5"/>
        <v>0</v>
      </c>
      <c r="AN37" s="293">
        <f t="shared" si="6"/>
        <v>0</v>
      </c>
      <c r="AO37" s="294"/>
      <c r="AP37" s="294"/>
      <c r="AQ37" s="294"/>
      <c r="AR37" s="293">
        <f t="shared" si="7"/>
        <v>2246.1041666666665</v>
      </c>
      <c r="AS37" s="286">
        <f t="shared" si="8"/>
        <v>0</v>
      </c>
      <c r="AT37" s="286"/>
      <c r="AU37" s="286">
        <f>_xlfn.IFNA(VLOOKUP(A37,EY!A:AO,40,FALSE),0)</f>
        <v>25348.173739612204</v>
      </c>
      <c r="AV37" s="287">
        <f>_xlfn.IFNA((VLOOKUP($A37,HN!$A:$M,8,FALSE)/12),0)</f>
        <v>0</v>
      </c>
      <c r="AW37" s="287">
        <f>_xlfn.IFNA((VLOOKUP($A37,HN!$A:$M,12,FALSE)/12),0)+_xlfn.IFNA(VLOOKUP($A37,HN!$A$8:$AU$200,19,FALSE),0)</f>
        <v>0</v>
      </c>
      <c r="AX37" s="287">
        <f>_xlfn.IFNA((VLOOKUP($A37,HN!$A:$M,9,FALSE)/12),0)</f>
        <v>0</v>
      </c>
      <c r="AY37" s="287">
        <f>_xlfn.IFNA((VLOOKUP($A37,'Post 16'!$A:$AR,22,FALSE)/4),0)</f>
        <v>0</v>
      </c>
      <c r="AZ37" s="287">
        <f>_xlfn.IFNA(VLOOKUP(A37,EY!A:AO,41,FALSE),0)</f>
        <v>379.35734072022137</v>
      </c>
      <c r="BA37" s="287">
        <f>_xlfn.IFNA(((VLOOKUP($A37,HN!$A:$M,10,FALSE)-$U37-$AK37)/10),0)+_xlfn.IFNA(VLOOKUP($A37,HN!$A:$R,18,FALSE),0)</f>
        <v>1435.947916666667</v>
      </c>
      <c r="BB37" s="287">
        <f>_xlfn.IFNA(((VLOOKUP($A37,HN!$A:$M,13,FALSE)-$V37-$AL37)/10),0)+_xlfn.IFNA(VLOOKUP($A37,HN!$A$8:$AU$200,20,FALSE),0)</f>
        <v>0</v>
      </c>
      <c r="BC37" s="286">
        <f t="shared" si="9"/>
        <v>0</v>
      </c>
      <c r="BD37" s="286">
        <f t="shared" si="10"/>
        <v>0</v>
      </c>
      <c r="BE37" s="287"/>
      <c r="BF37" s="287"/>
      <c r="BG37" s="287"/>
      <c r="BH37" s="286">
        <f t="shared" si="11"/>
        <v>27163.478996999092</v>
      </c>
      <c r="BI37" s="307">
        <f t="shared" si="12"/>
        <v>0</v>
      </c>
      <c r="BJ37" s="307">
        <f>_xlfn.IFNA(VLOOKUP(A37,'LA Deductions'!A:AH,34,FALSE),0)</f>
        <v>0</v>
      </c>
      <c r="BK37" s="307"/>
      <c r="BL37" s="308">
        <f>_xlfn.IFNA((VLOOKUP($A37,HN!$A:$M,8,FALSE)/12),0)</f>
        <v>0</v>
      </c>
      <c r="BM37" s="308">
        <f>_xlfn.IFNA((VLOOKUP($A37,HN!$A:$M,12,FALSE)/12),0)</f>
        <v>0</v>
      </c>
      <c r="BN37" s="308">
        <f>_xlfn.IFNA((VLOOKUP($A37,HN!$A:$M,9,FALSE)/12),0)</f>
        <v>0</v>
      </c>
      <c r="BO37" s="308">
        <f>_xlfn.IFNA((VLOOKUP($A37,'Post 16'!$A:$AR,22,FALSE)/4),0)</f>
        <v>0</v>
      </c>
      <c r="BP37" s="308"/>
      <c r="BQ37" s="308">
        <f>_xlfn.IFNA(((VLOOKUP($A37,HN!$A:$M,10,FALSE)-$U37-$AK37)/10),0)</f>
        <v>1435.947916666667</v>
      </c>
      <c r="BR37" s="308">
        <f>_xlfn.IFNA(((VLOOKUP($A37,HN!$A:$M,13,FALSE)-$V37-$AL37)/10),0)</f>
        <v>0</v>
      </c>
      <c r="BS37" s="307">
        <f t="shared" si="13"/>
        <v>0</v>
      </c>
      <c r="BT37" s="307">
        <f t="shared" si="14"/>
        <v>0</v>
      </c>
      <c r="BU37" s="308"/>
      <c r="BV37" s="308"/>
      <c r="BW37" s="308"/>
      <c r="BX37" s="307">
        <f t="shared" si="15"/>
        <v>1435.947916666667</v>
      </c>
      <c r="BY37" s="300">
        <f t="shared" si="16"/>
        <v>0</v>
      </c>
      <c r="BZ37" s="300"/>
      <c r="CA37" s="300"/>
      <c r="CB37" s="301">
        <f>_xlfn.IFNA((VLOOKUP($A37,HN!$A:$M,8,FALSE)/12),0)</f>
        <v>0</v>
      </c>
      <c r="CC37" s="301">
        <f>_xlfn.IFNA((VLOOKUP($A37,HN!$A:$M,12,FALSE)/12),0)</f>
        <v>0</v>
      </c>
      <c r="CD37" s="301">
        <f>_xlfn.IFNA((VLOOKUP($A37,HN!$A:$M,9,FALSE)/12),0)</f>
        <v>0</v>
      </c>
      <c r="CE37" s="301">
        <f>_xlfn.IFNA((VLOOKUP($A37,'Post 16'!$A:$AG,33,FALSE)/8),0)</f>
        <v>0</v>
      </c>
      <c r="CF37" s="301"/>
      <c r="CG37" s="301">
        <f>_xlfn.IFNA(((VLOOKUP($A37,HN!$A:$M,10,FALSE)-$U37-$AK37)/10),0)</f>
        <v>1435.947916666667</v>
      </c>
      <c r="CH37" s="301">
        <f>_xlfn.IFNA(((VLOOKUP($A37,HN!$A:$M,13,FALSE)-$V37-$AL37)/10),0)</f>
        <v>0</v>
      </c>
      <c r="CI37" s="300">
        <f t="shared" si="17"/>
        <v>0</v>
      </c>
      <c r="CJ37" s="300">
        <f t="shared" si="18"/>
        <v>0</v>
      </c>
      <c r="CK37" s="301"/>
      <c r="CL37" s="301"/>
      <c r="CM37" s="301"/>
      <c r="CN37" s="300">
        <f t="shared" si="19"/>
        <v>1435.947916666667</v>
      </c>
      <c r="CO37" s="332">
        <f t="shared" si="20"/>
        <v>0</v>
      </c>
      <c r="CP37" s="332"/>
      <c r="CQ37" s="332">
        <f>_xlfn.IFNA((VLOOKUP($A37,EY!$A:$AB,28,FALSE)-$CV37),0)</f>
        <v>196194.21557894736</v>
      </c>
      <c r="CR37" s="333">
        <f>_xlfn.IFNA((VLOOKUP($A37,HN!$A:$M,8,FALSE)/12),0)</f>
        <v>0</v>
      </c>
      <c r="CS37" s="333">
        <f>_xlfn.IFNA((VLOOKUP($A37,HN!$A:$M,12,FALSE)/12),0)</f>
        <v>0</v>
      </c>
      <c r="CT37" s="333">
        <f>_xlfn.IFNA((VLOOKUP($A37,HN!$A:$M,9,FALSE)/12),0)</f>
        <v>0</v>
      </c>
      <c r="CU37" s="333">
        <f>_xlfn.IFNA((VLOOKUP($A37,'Post 16'!$A:$AG,33,FALSE)/8),0)</f>
        <v>0</v>
      </c>
      <c r="CV37" s="333">
        <f>_xlfn.IFNA((VLOOKUP($A37,EY!$A:$AB,26,FALSE)*80%),0)</f>
        <v>1560</v>
      </c>
      <c r="CW37" s="333">
        <f>_xlfn.IFNA(((VLOOKUP($A37,HN!$A:$M,10,FALSE)-$U37-$AK37)/10),0)</f>
        <v>1435.947916666667</v>
      </c>
      <c r="CX37" s="333">
        <f>_xlfn.IFNA(((VLOOKUP($A37,HN!$A:$M,13,FALSE)-$V37-$AL37)/10),0)</f>
        <v>0</v>
      </c>
      <c r="CY37" s="332">
        <f t="shared" si="21"/>
        <v>0</v>
      </c>
      <c r="CZ37" s="332">
        <f t="shared" si="22"/>
        <v>0</v>
      </c>
      <c r="DA37" s="333"/>
      <c r="DB37" s="333"/>
      <c r="DC37" s="333"/>
      <c r="DD37" s="332">
        <f t="shared" si="23"/>
        <v>199190.16349561402</v>
      </c>
      <c r="DE37" s="314">
        <f t="shared" si="24"/>
        <v>0</v>
      </c>
      <c r="DF37" s="314"/>
      <c r="DG37" s="314"/>
      <c r="DH37" s="315">
        <f>_xlfn.IFNA((VLOOKUP($A37,HN!$A:$M,8,FALSE)/12),0)</f>
        <v>0</v>
      </c>
      <c r="DI37" s="315">
        <f>_xlfn.IFNA((VLOOKUP($A37,HN!$A:$M,12,FALSE)/12),0)</f>
        <v>0</v>
      </c>
      <c r="DJ37" s="315">
        <f>_xlfn.IFNA((VLOOKUP($A37,HN!$A:$M,9,FALSE)/12),0)</f>
        <v>0</v>
      </c>
      <c r="DK37" s="315">
        <f>_xlfn.IFNA((VLOOKUP($A37,'Post 16'!$A:$AG,33,FALSE)/8),0)</f>
        <v>0</v>
      </c>
      <c r="DL37" s="315"/>
      <c r="DM37" s="315">
        <f>_xlfn.IFNA(((VLOOKUP($A37,HN!$A:$M,10,FALSE)-$U37-$AK37)/10),0)</f>
        <v>1435.947916666667</v>
      </c>
      <c r="DN37" s="315">
        <f>_xlfn.IFNA(((VLOOKUP($A37,HN!$A:$M,13,FALSE)-$V37-$AL37)/10),0)</f>
        <v>0</v>
      </c>
      <c r="DO37" s="314">
        <f t="shared" si="25"/>
        <v>0</v>
      </c>
      <c r="DP37" s="314">
        <f t="shared" si="26"/>
        <v>0</v>
      </c>
      <c r="DQ37" s="315"/>
      <c r="DR37" s="315"/>
      <c r="DS37" s="315"/>
      <c r="DT37" s="314">
        <f t="shared" si="27"/>
        <v>1435.947916666667</v>
      </c>
      <c r="DU37" s="307">
        <f t="shared" si="28"/>
        <v>0</v>
      </c>
      <c r="DV37" s="307"/>
      <c r="DW37" s="307"/>
      <c r="DX37" s="308">
        <f>_xlfn.IFNA((VLOOKUP($A37,HN!$A:$M,8,FALSE)/12),0)</f>
        <v>0</v>
      </c>
      <c r="DY37" s="308">
        <f>_xlfn.IFNA((VLOOKUP($A37,HN!$A:$M,12,FALSE)/12),0)</f>
        <v>0</v>
      </c>
      <c r="DZ37" s="308">
        <f>_xlfn.IFNA((VLOOKUP($A37,HN!$A:$M,9,FALSE)/12),0)</f>
        <v>0</v>
      </c>
      <c r="EA37" s="308">
        <f>_xlfn.IFNA((VLOOKUP($A37,'Post 16'!$A:$AG,33,FALSE)/8),0)</f>
        <v>0</v>
      </c>
      <c r="EB37" s="308"/>
      <c r="EC37" s="308">
        <f>_xlfn.IFNA(((VLOOKUP($A37,HN!$A:$M,10,FALSE)-$U37-$AK37)/10),0)</f>
        <v>1435.947916666667</v>
      </c>
      <c r="ED37" s="308">
        <f>_xlfn.IFNA(((VLOOKUP($A37,HN!$A:$M,13,FALSE)-$V37-$AL37)/10),0)</f>
        <v>0</v>
      </c>
      <c r="EE37" s="307">
        <f t="shared" si="29"/>
        <v>0</v>
      </c>
      <c r="EF37" s="307">
        <f t="shared" si="30"/>
        <v>0</v>
      </c>
      <c r="EG37" s="308"/>
      <c r="EH37" s="308"/>
      <c r="EI37" s="308"/>
      <c r="EJ37" s="307">
        <f t="shared" si="31"/>
        <v>1435.947916666667</v>
      </c>
      <c r="EK37" s="320">
        <f t="shared" si="32"/>
        <v>0</v>
      </c>
      <c r="EL37" s="320"/>
      <c r="EM37" s="320"/>
      <c r="EN37" s="321">
        <f>_xlfn.IFNA((VLOOKUP($A37,HN!$A:$M,8,FALSE)/12),0)</f>
        <v>0</v>
      </c>
      <c r="EO37" s="321">
        <f>_xlfn.IFNA((VLOOKUP($A37,HN!$A:$M,12,FALSE)/12),0)</f>
        <v>0</v>
      </c>
      <c r="EP37" s="321">
        <f>_xlfn.IFNA((VLOOKUP($A37,HN!$A:$M,9,FALSE)/12),0)</f>
        <v>0</v>
      </c>
      <c r="EQ37" s="321">
        <f>_xlfn.IFNA((VLOOKUP($A37,'Post 16'!$A:$AG,33,FALSE)/8),0)</f>
        <v>0</v>
      </c>
      <c r="ER37" s="321"/>
      <c r="ES37" s="321">
        <f>_xlfn.IFNA(((VLOOKUP($A37,HN!$A:$M,10,FALSE)-$U37-$AK37)/10),0)</f>
        <v>1435.947916666667</v>
      </c>
      <c r="ET37" s="321">
        <f>_xlfn.IFNA(((VLOOKUP($A37,HN!$A:$M,13,FALSE)-$V37-$AL37)/10),0)</f>
        <v>0</v>
      </c>
      <c r="EU37" s="320">
        <f t="shared" si="33"/>
        <v>0</v>
      </c>
      <c r="EV37" s="320">
        <f t="shared" si="34"/>
        <v>0</v>
      </c>
      <c r="EW37" s="321"/>
      <c r="EX37" s="321"/>
      <c r="EY37" s="321"/>
      <c r="EZ37" s="320">
        <f t="shared" si="35"/>
        <v>1435.947916666667</v>
      </c>
      <c r="FA37" s="286">
        <f t="shared" si="36"/>
        <v>0</v>
      </c>
      <c r="FB37" s="286"/>
      <c r="FC37" s="286"/>
      <c r="FD37" s="287">
        <f>_xlfn.IFNA((VLOOKUP($A37,HN!$A:$M,8,FALSE)/12),0)</f>
        <v>0</v>
      </c>
      <c r="FE37" s="287">
        <f>_xlfn.IFNA((VLOOKUP($A37,HN!$A:$M,12,FALSE)/12),0)</f>
        <v>0</v>
      </c>
      <c r="FF37" s="287">
        <f>_xlfn.IFNA((VLOOKUP($A37,HN!$A:$M,9,FALSE)/12),0)</f>
        <v>0</v>
      </c>
      <c r="FG37" s="287">
        <f>_xlfn.IFNA((VLOOKUP($A37,'Post 16'!$A:$AG,33,FALSE)/8),0)</f>
        <v>0</v>
      </c>
      <c r="FH37" s="287"/>
      <c r="FI37" s="287">
        <f>_xlfn.IFNA(((VLOOKUP($A37,HN!$A:$M,10,FALSE)-$U37-$AK37)/10),0)</f>
        <v>1435.947916666667</v>
      </c>
      <c r="FJ37" s="287">
        <f>_xlfn.IFNA(((VLOOKUP($A37,HN!$A:$M,13,FALSE)-$V37-$AL37)/10),0)</f>
        <v>0</v>
      </c>
      <c r="FK37" s="286">
        <f t="shared" si="37"/>
        <v>0</v>
      </c>
      <c r="FL37" s="286">
        <f t="shared" si="38"/>
        <v>0</v>
      </c>
      <c r="FM37" s="287"/>
      <c r="FN37" s="287"/>
      <c r="FO37" s="287"/>
      <c r="FP37" s="286">
        <f t="shared" si="39"/>
        <v>1435.947916666667</v>
      </c>
      <c r="FQ37" s="293">
        <f t="shared" si="40"/>
        <v>0</v>
      </c>
      <c r="FR37" s="293"/>
      <c r="FS37" s="293"/>
      <c r="FT37" s="294">
        <f>_xlfn.IFNA((VLOOKUP($A37,HN!$A:$M,8,FALSE)/12),0)</f>
        <v>0</v>
      </c>
      <c r="FU37" s="294">
        <f>_xlfn.IFNA((VLOOKUP($A37,HN!$A:$M,12,FALSE)/12),0)</f>
        <v>0</v>
      </c>
      <c r="FV37" s="294">
        <f>_xlfn.IFNA((VLOOKUP($A37,HN!$A:$M,9,FALSE)/12),0)</f>
        <v>0</v>
      </c>
      <c r="FW37" s="294">
        <f>_xlfn.IFNA((VLOOKUP($A37,'Post 16'!$A:$AG,33,FALSE)/8),0)</f>
        <v>0</v>
      </c>
      <c r="FX37" s="294"/>
      <c r="FY37" s="294">
        <f>_xlfn.IFNA(((VLOOKUP($A37,HN!$A:$M,10,FALSE)-$U37-$AK37)/10),0)</f>
        <v>1435.947916666667</v>
      </c>
      <c r="FZ37" s="294">
        <f>_xlfn.IFNA(((VLOOKUP($A37,HN!$A:$M,13,FALSE)-$V37-$AL37)/10),0)</f>
        <v>0</v>
      </c>
      <c r="GA37" s="293">
        <f t="shared" si="41"/>
        <v>0</v>
      </c>
      <c r="GB37" s="293">
        <f t="shared" si="42"/>
        <v>0</v>
      </c>
      <c r="GC37" s="294"/>
      <c r="GD37" s="294"/>
      <c r="GE37" s="294"/>
      <c r="GF37" s="293">
        <f t="shared" si="43"/>
        <v>1435.947916666667</v>
      </c>
      <c r="GG37" s="300">
        <f t="shared" si="44"/>
        <v>0</v>
      </c>
      <c r="GH37" s="300"/>
      <c r="GI37" s="300"/>
      <c r="GJ37" s="301">
        <f>_xlfn.IFNA((VLOOKUP($A37,HN!$A:$M,8,FALSE)/12),0)</f>
        <v>0</v>
      </c>
      <c r="GK37" s="301">
        <f>_xlfn.IFNA((VLOOKUP($A37,HN!$A:$M,12,FALSE)/12),0)</f>
        <v>0</v>
      </c>
      <c r="GL37" s="301">
        <f>_xlfn.IFNA((VLOOKUP($A37,HN!$A:$M,9,FALSE)/12),0)</f>
        <v>0</v>
      </c>
      <c r="GM37" s="301">
        <f>_xlfn.IFNA((VLOOKUP($A37,'Post 16'!$A:$AG,33,FALSE)/8),0)</f>
        <v>0</v>
      </c>
      <c r="GN37" s="301"/>
      <c r="GO37" s="301">
        <f>_xlfn.IFNA(((VLOOKUP($A37,HN!$A:$M,10,FALSE)-$U37-$AK37)/10),0)</f>
        <v>1435.947916666667</v>
      </c>
      <c r="GP37" s="301">
        <f>_xlfn.IFNA(((VLOOKUP($A37,HN!$A:$M,13,FALSE)-$V37-$AL37)/10),0)</f>
        <v>0</v>
      </c>
      <c r="GQ37" s="300">
        <f t="shared" si="45"/>
        <v>0</v>
      </c>
      <c r="GR37" s="300">
        <f t="shared" si="46"/>
        <v>0</v>
      </c>
      <c r="GS37" s="301"/>
      <c r="GT37" s="301"/>
      <c r="GU37" s="301"/>
      <c r="GV37" s="300">
        <f t="shared" si="47"/>
        <v>1435.947916666667</v>
      </c>
      <c r="GX37" s="146">
        <f t="shared" si="52"/>
        <v>773526.44420992001</v>
      </c>
      <c r="GY37" s="146">
        <f t="shared" si="52"/>
        <v>0</v>
      </c>
      <c r="GZ37" s="146">
        <f t="shared" si="52"/>
        <v>35912.60734072022</v>
      </c>
      <c r="HA37" s="146">
        <f t="shared" si="52"/>
        <v>0</v>
      </c>
      <c r="HB37" s="146">
        <f t="shared" si="52"/>
        <v>0</v>
      </c>
      <c r="HC37" s="146">
        <f t="shared" si="52"/>
        <v>0</v>
      </c>
      <c r="HE37" s="146">
        <f t="shared" si="53"/>
        <v>577332.22863097268</v>
      </c>
      <c r="HF37" s="146">
        <f t="shared" si="53"/>
        <v>0</v>
      </c>
      <c r="HG37" s="146">
        <f t="shared" si="53"/>
        <v>21429.07609072022</v>
      </c>
      <c r="HH37" s="146">
        <f t="shared" si="53"/>
        <v>0</v>
      </c>
      <c r="HI37" s="146">
        <f t="shared" si="53"/>
        <v>0</v>
      </c>
      <c r="HJ37" s="146">
        <f t="shared" si="53"/>
        <v>0</v>
      </c>
      <c r="HL37" s="146"/>
      <c r="HM37" s="57"/>
    </row>
    <row r="38" spans="1:221">
      <c r="A38" s="185">
        <v>2312</v>
      </c>
      <c r="B38" s="185">
        <v>103332</v>
      </c>
      <c r="C38" s="185" t="s">
        <v>98</v>
      </c>
      <c r="D38" s="2" t="s">
        <v>99</v>
      </c>
      <c r="E38" s="190" t="s">
        <v>39</v>
      </c>
      <c r="F38" s="190" t="s">
        <v>890</v>
      </c>
      <c r="H38" s="271">
        <f>_xlfn.IFNA(VLOOKUP($A38,ISB!$A$4:$BY$441,67,FALSE),0)</f>
        <v>2220621.3006342109</v>
      </c>
      <c r="I38" s="271">
        <f>_xlfn.IFNA(VLOOKUP($A38,ISB!$A$4:$BY$441,72,FALSE),0)</f>
        <v>-10308.599999999999</v>
      </c>
      <c r="J38" s="271">
        <f>-_xlfn.IFNA(VLOOKUP($A38,ISB!$A$4:$BY$441,76,FALSE),0)</f>
        <v>-39188.603999999999</v>
      </c>
      <c r="K38" s="271">
        <f>_xlfn.IFNA(VLOOKUP($A38,ISB!$A$4:$BY$441,77,FALSE),0)</f>
        <v>2171124.096634211</v>
      </c>
      <c r="M38" s="279">
        <f t="shared" si="0"/>
        <v>185051.77505285092</v>
      </c>
      <c r="N38" s="279"/>
      <c r="O38" s="279">
        <f>_xlfn.IFNA(VLOOKUP($A38,EY!$A:$H,8,FALSE)+(VLOOKUP($A38,EY!$A:$R,18,FALSE)-$T38),0)</f>
        <v>0</v>
      </c>
      <c r="P38" s="280">
        <f>_xlfn.IFNA((VLOOKUP($A38,HN!$A:$M,8,FALSE)/12),0)</f>
        <v>0</v>
      </c>
      <c r="Q38" s="280">
        <f>_xlfn.IFNA((VLOOKUP($A38,HN!$A:$M,12,FALSE)/12),0)</f>
        <v>0</v>
      </c>
      <c r="R38" s="280">
        <f>_xlfn.IFNA((VLOOKUP($A38,HN!$A:$M,9,FALSE)/12),0)</f>
        <v>0</v>
      </c>
      <c r="S38" s="280">
        <f>_xlfn.IFNA((VLOOKUP($A38,'Post 16'!$A:$AR,22,FALSE)/4),0)</f>
        <v>0</v>
      </c>
      <c r="T38" s="280">
        <f>_xlfn.IFNA((VLOOKUP($A38,EY!$A:$R,16,FALSE)*80%),0)</f>
        <v>0</v>
      </c>
      <c r="U38" s="280">
        <v>33464.860833333332</v>
      </c>
      <c r="V38" s="280">
        <v>0</v>
      </c>
      <c r="W38" s="279">
        <f t="shared" si="1"/>
        <v>-859.04999999999984</v>
      </c>
      <c r="X38" s="279">
        <f t="shared" si="2"/>
        <v>-3265.7170000000001</v>
      </c>
      <c r="Y38" s="280"/>
      <c r="Z38" s="280"/>
      <c r="AA38" s="280"/>
      <c r="AB38" s="279">
        <f t="shared" si="3"/>
        <v>214391.86888618427</v>
      </c>
      <c r="AC38" s="293">
        <f t="shared" si="4"/>
        <v>185051.77505285092</v>
      </c>
      <c r="AD38" s="293"/>
      <c r="AE38" s="293"/>
      <c r="AF38" s="294">
        <f>_xlfn.IFNA((VLOOKUP($A38,HN!$A:$M,8,FALSE)/12),0)</f>
        <v>0</v>
      </c>
      <c r="AG38" s="294">
        <f>_xlfn.IFNA((VLOOKUP($A38,HN!$A:$M,12,FALSE)/12),0)+_xlfn.IFNA(VLOOKUP($A38,HN!$A:$Q,17,FALSE),0)</f>
        <v>0</v>
      </c>
      <c r="AH38" s="294">
        <f>_xlfn.IFNA((VLOOKUP($A38,HN!$A:$M,9,FALSE)/12),0)</f>
        <v>0</v>
      </c>
      <c r="AI38" s="294">
        <f>_xlfn.IFNA((VLOOKUP($A38,'Post 16'!$A:$AR,22,FALSE)/4),0)</f>
        <v>0</v>
      </c>
      <c r="AJ38" s="294"/>
      <c r="AK38" s="294">
        <f>_xlfn.IFNA((VLOOKUP($A38,HN!$A:$M,10,FALSE)/12),0)</f>
        <v>16719.742499999997</v>
      </c>
      <c r="AL38" s="294">
        <f>_xlfn.IFNA((VLOOKUP($A38,HN!$A:$M,13,FALSE)/12),0)</f>
        <v>0</v>
      </c>
      <c r="AM38" s="293">
        <f t="shared" si="5"/>
        <v>-859.04999999999984</v>
      </c>
      <c r="AN38" s="293">
        <f t="shared" si="6"/>
        <v>-3265.7170000000001</v>
      </c>
      <c r="AO38" s="294"/>
      <c r="AP38" s="294"/>
      <c r="AQ38" s="294">
        <f>-VLOOKUP(A38,'Cash Advances'!A:K,11,FALSE)</f>
        <v>180000</v>
      </c>
      <c r="AR38" s="293">
        <f t="shared" si="7"/>
        <v>377646.75055285089</v>
      </c>
      <c r="AS38" s="286">
        <f t="shared" si="8"/>
        <v>185051.77505285092</v>
      </c>
      <c r="AT38" s="286"/>
      <c r="AU38" s="286">
        <f>_xlfn.IFNA(VLOOKUP(A38,EY!A:AO,40,FALSE),0)</f>
        <v>0</v>
      </c>
      <c r="AV38" s="287">
        <f>_xlfn.IFNA((VLOOKUP($A38,HN!$A:$M,8,FALSE)/12),0)</f>
        <v>0</v>
      </c>
      <c r="AW38" s="287">
        <f>_xlfn.IFNA((VLOOKUP($A38,HN!$A:$M,12,FALSE)/12),0)+_xlfn.IFNA(VLOOKUP($A38,HN!$A$8:$AU$200,19,FALSE),0)</f>
        <v>0</v>
      </c>
      <c r="AX38" s="287">
        <f>_xlfn.IFNA((VLOOKUP($A38,HN!$A:$M,9,FALSE)/12),0)</f>
        <v>0</v>
      </c>
      <c r="AY38" s="287">
        <f>_xlfn.IFNA((VLOOKUP($A38,'Post 16'!$A:$AR,22,FALSE)/4),0)</f>
        <v>0</v>
      </c>
      <c r="AZ38" s="287">
        <f>_xlfn.IFNA(VLOOKUP(A38,EY!A:AO,41,FALSE),0)</f>
        <v>0</v>
      </c>
      <c r="BA38" s="287">
        <f>_xlfn.IFNA(((VLOOKUP($A38,HN!$A:$M,10,FALSE)-$U38-$AK38)/10),0)+_xlfn.IFNA(VLOOKUP($A38,HN!$A:$R,18,FALSE),0)</f>
        <v>15045.230666666665</v>
      </c>
      <c r="BB38" s="287">
        <f>_xlfn.IFNA(((VLOOKUP($A38,HN!$A:$M,13,FALSE)-$V38-$AL38)/10),0)+_xlfn.IFNA(VLOOKUP($A38,HN!$A$8:$AU$200,20,FALSE),0)</f>
        <v>0</v>
      </c>
      <c r="BC38" s="286">
        <f t="shared" si="9"/>
        <v>-859.04999999999984</v>
      </c>
      <c r="BD38" s="286">
        <f t="shared" si="10"/>
        <v>-3265.7170000000001</v>
      </c>
      <c r="BE38" s="287"/>
      <c r="BF38" s="287"/>
      <c r="BG38" s="287"/>
      <c r="BH38" s="286">
        <f t="shared" si="11"/>
        <v>195972.2387195176</v>
      </c>
      <c r="BI38" s="307">
        <f t="shared" si="12"/>
        <v>185051.77505285092</v>
      </c>
      <c r="BJ38" s="307">
        <f>_xlfn.IFNA(VLOOKUP(A38,'LA Deductions'!A:AH,34,FALSE),0)</f>
        <v>0</v>
      </c>
      <c r="BK38" s="307"/>
      <c r="BL38" s="308">
        <f>_xlfn.IFNA((VLOOKUP($A38,HN!$A:$M,8,FALSE)/12),0)</f>
        <v>0</v>
      </c>
      <c r="BM38" s="308">
        <f>_xlfn.IFNA((VLOOKUP($A38,HN!$A:$M,12,FALSE)/12),0)</f>
        <v>0</v>
      </c>
      <c r="BN38" s="308">
        <f>_xlfn.IFNA((VLOOKUP($A38,HN!$A:$M,9,FALSE)/12),0)</f>
        <v>0</v>
      </c>
      <c r="BO38" s="308">
        <f>_xlfn.IFNA((VLOOKUP($A38,'Post 16'!$A:$AR,22,FALSE)/4),0)</f>
        <v>0</v>
      </c>
      <c r="BP38" s="308"/>
      <c r="BQ38" s="308">
        <f>_xlfn.IFNA(((VLOOKUP($A38,HN!$A:$M,10,FALSE)-$U38-$AK38)/10),0)</f>
        <v>15045.230666666665</v>
      </c>
      <c r="BR38" s="308">
        <f>_xlfn.IFNA(((VLOOKUP($A38,HN!$A:$M,13,FALSE)-$V38-$AL38)/10),0)</f>
        <v>0</v>
      </c>
      <c r="BS38" s="307">
        <f t="shared" si="13"/>
        <v>-859.04999999999984</v>
      </c>
      <c r="BT38" s="307">
        <f t="shared" si="14"/>
        <v>-3265.7170000000001</v>
      </c>
      <c r="BU38" s="308"/>
      <c r="BV38" s="308"/>
      <c r="BW38" s="308"/>
      <c r="BX38" s="307">
        <f t="shared" si="15"/>
        <v>195972.2387195176</v>
      </c>
      <c r="BY38" s="300">
        <f t="shared" si="16"/>
        <v>185051.77505285092</v>
      </c>
      <c r="BZ38" s="300"/>
      <c r="CA38" s="300"/>
      <c r="CB38" s="301">
        <f>_xlfn.IFNA((VLOOKUP($A38,HN!$A:$M,8,FALSE)/12),0)</f>
        <v>0</v>
      </c>
      <c r="CC38" s="301">
        <f>_xlfn.IFNA((VLOOKUP($A38,HN!$A:$M,12,FALSE)/12),0)</f>
        <v>0</v>
      </c>
      <c r="CD38" s="301">
        <f>_xlfn.IFNA((VLOOKUP($A38,HN!$A:$M,9,FALSE)/12),0)</f>
        <v>0</v>
      </c>
      <c r="CE38" s="301">
        <f>_xlfn.IFNA((VLOOKUP($A38,'Post 16'!$A:$AG,33,FALSE)/8),0)</f>
        <v>0</v>
      </c>
      <c r="CF38" s="301"/>
      <c r="CG38" s="301">
        <f>_xlfn.IFNA(((VLOOKUP($A38,HN!$A:$M,10,FALSE)-$U38-$AK38)/10),0)</f>
        <v>15045.230666666665</v>
      </c>
      <c r="CH38" s="301">
        <f>_xlfn.IFNA(((VLOOKUP($A38,HN!$A:$M,13,FALSE)-$V38-$AL38)/10),0)</f>
        <v>0</v>
      </c>
      <c r="CI38" s="300">
        <f t="shared" si="17"/>
        <v>-859.04999999999984</v>
      </c>
      <c r="CJ38" s="300">
        <f t="shared" si="18"/>
        <v>-3265.7170000000001</v>
      </c>
      <c r="CK38" s="301"/>
      <c r="CL38" s="301"/>
      <c r="CM38" s="301"/>
      <c r="CN38" s="300">
        <f t="shared" si="19"/>
        <v>195972.2387195176</v>
      </c>
      <c r="CO38" s="332">
        <f t="shared" si="20"/>
        <v>185051.77505285092</v>
      </c>
      <c r="CP38" s="332"/>
      <c r="CQ38" s="332">
        <f>_xlfn.IFNA((VLOOKUP($A38,EY!$A:$AB,28,FALSE)-$CV38),0)</f>
        <v>0</v>
      </c>
      <c r="CR38" s="333">
        <f>_xlfn.IFNA((VLOOKUP($A38,HN!$A:$M,8,FALSE)/12),0)</f>
        <v>0</v>
      </c>
      <c r="CS38" s="333">
        <f>_xlfn.IFNA((VLOOKUP($A38,HN!$A:$M,12,FALSE)/12),0)</f>
        <v>0</v>
      </c>
      <c r="CT38" s="333">
        <f>_xlfn.IFNA((VLOOKUP($A38,HN!$A:$M,9,FALSE)/12),0)</f>
        <v>0</v>
      </c>
      <c r="CU38" s="333">
        <f>_xlfn.IFNA((VLOOKUP($A38,'Post 16'!$A:$AG,33,FALSE)/8),0)</f>
        <v>0</v>
      </c>
      <c r="CV38" s="333">
        <f>_xlfn.IFNA((VLOOKUP($A38,EY!$A:$AB,26,FALSE)*80%),0)</f>
        <v>0</v>
      </c>
      <c r="CW38" s="333">
        <f>_xlfn.IFNA(((VLOOKUP($A38,HN!$A:$M,10,FALSE)-$U38-$AK38)/10),0)</f>
        <v>15045.230666666665</v>
      </c>
      <c r="CX38" s="333">
        <f>_xlfn.IFNA(((VLOOKUP($A38,HN!$A:$M,13,FALSE)-$V38-$AL38)/10),0)</f>
        <v>0</v>
      </c>
      <c r="CY38" s="332">
        <f t="shared" si="21"/>
        <v>-859.04999999999984</v>
      </c>
      <c r="CZ38" s="332">
        <f t="shared" si="22"/>
        <v>-3265.7170000000001</v>
      </c>
      <c r="DA38" s="333"/>
      <c r="DB38" s="333"/>
      <c r="DC38" s="333"/>
      <c r="DD38" s="332">
        <f t="shared" si="23"/>
        <v>195972.2387195176</v>
      </c>
      <c r="DE38" s="314">
        <f t="shared" si="24"/>
        <v>185051.77505285092</v>
      </c>
      <c r="DF38" s="314"/>
      <c r="DG38" s="314"/>
      <c r="DH38" s="315">
        <f>_xlfn.IFNA((VLOOKUP($A38,HN!$A:$M,8,FALSE)/12),0)</f>
        <v>0</v>
      </c>
      <c r="DI38" s="315">
        <f>_xlfn.IFNA((VLOOKUP($A38,HN!$A:$M,12,FALSE)/12),0)</f>
        <v>0</v>
      </c>
      <c r="DJ38" s="315">
        <f>_xlfn.IFNA((VLOOKUP($A38,HN!$A:$M,9,FALSE)/12),0)</f>
        <v>0</v>
      </c>
      <c r="DK38" s="315">
        <f>_xlfn.IFNA((VLOOKUP($A38,'Post 16'!$A:$AG,33,FALSE)/8),0)</f>
        <v>0</v>
      </c>
      <c r="DL38" s="315"/>
      <c r="DM38" s="315">
        <f>_xlfn.IFNA(((VLOOKUP($A38,HN!$A:$M,10,FALSE)-$U38-$AK38)/10),0)</f>
        <v>15045.230666666665</v>
      </c>
      <c r="DN38" s="315">
        <f>_xlfn.IFNA(((VLOOKUP($A38,HN!$A:$M,13,FALSE)-$V38-$AL38)/10),0)</f>
        <v>0</v>
      </c>
      <c r="DO38" s="314">
        <f t="shared" si="25"/>
        <v>-859.04999999999984</v>
      </c>
      <c r="DP38" s="314">
        <f t="shared" si="26"/>
        <v>-3265.7170000000001</v>
      </c>
      <c r="DQ38" s="315"/>
      <c r="DR38" s="315"/>
      <c r="DS38" s="315"/>
      <c r="DT38" s="314">
        <f t="shared" si="27"/>
        <v>195972.2387195176</v>
      </c>
      <c r="DU38" s="307">
        <f t="shared" si="28"/>
        <v>185051.77505285092</v>
      </c>
      <c r="DV38" s="307"/>
      <c r="DW38" s="307"/>
      <c r="DX38" s="308">
        <f>_xlfn.IFNA((VLOOKUP($A38,HN!$A:$M,8,FALSE)/12),0)</f>
        <v>0</v>
      </c>
      <c r="DY38" s="308">
        <f>_xlfn.IFNA((VLOOKUP($A38,HN!$A:$M,12,FALSE)/12),0)</f>
        <v>0</v>
      </c>
      <c r="DZ38" s="308">
        <f>_xlfn.IFNA((VLOOKUP($A38,HN!$A:$M,9,FALSE)/12),0)</f>
        <v>0</v>
      </c>
      <c r="EA38" s="308">
        <f>_xlfn.IFNA((VLOOKUP($A38,'Post 16'!$A:$AG,33,FALSE)/8),0)</f>
        <v>0</v>
      </c>
      <c r="EB38" s="308"/>
      <c r="EC38" s="308">
        <f>_xlfn.IFNA(((VLOOKUP($A38,HN!$A:$M,10,FALSE)-$U38-$AK38)/10),0)</f>
        <v>15045.230666666665</v>
      </c>
      <c r="ED38" s="308">
        <f>_xlfn.IFNA(((VLOOKUP($A38,HN!$A:$M,13,FALSE)-$V38-$AL38)/10),0)</f>
        <v>0</v>
      </c>
      <c r="EE38" s="307">
        <f t="shared" si="29"/>
        <v>-859.04999999999984</v>
      </c>
      <c r="EF38" s="307">
        <f t="shared" si="30"/>
        <v>-3265.7170000000001</v>
      </c>
      <c r="EG38" s="308"/>
      <c r="EH38" s="308"/>
      <c r="EI38" s="308"/>
      <c r="EJ38" s="307">
        <f t="shared" si="31"/>
        <v>195972.2387195176</v>
      </c>
      <c r="EK38" s="320">
        <f t="shared" si="32"/>
        <v>185051.77505285092</v>
      </c>
      <c r="EL38" s="320"/>
      <c r="EM38" s="320"/>
      <c r="EN38" s="321">
        <f>_xlfn.IFNA((VLOOKUP($A38,HN!$A:$M,8,FALSE)/12),0)</f>
        <v>0</v>
      </c>
      <c r="EO38" s="321">
        <f>_xlfn.IFNA((VLOOKUP($A38,HN!$A:$M,12,FALSE)/12),0)</f>
        <v>0</v>
      </c>
      <c r="EP38" s="321">
        <f>_xlfn.IFNA((VLOOKUP($A38,HN!$A:$M,9,FALSE)/12),0)</f>
        <v>0</v>
      </c>
      <c r="EQ38" s="321">
        <f>_xlfn.IFNA((VLOOKUP($A38,'Post 16'!$A:$AG,33,FALSE)/8),0)</f>
        <v>0</v>
      </c>
      <c r="ER38" s="321"/>
      <c r="ES38" s="321">
        <f>_xlfn.IFNA(((VLOOKUP($A38,HN!$A:$M,10,FALSE)-$U38-$AK38)/10),0)</f>
        <v>15045.230666666665</v>
      </c>
      <c r="ET38" s="321">
        <f>_xlfn.IFNA(((VLOOKUP($A38,HN!$A:$M,13,FALSE)-$V38-$AL38)/10),0)</f>
        <v>0</v>
      </c>
      <c r="EU38" s="320">
        <f t="shared" si="33"/>
        <v>-859.04999999999984</v>
      </c>
      <c r="EV38" s="320">
        <f t="shared" si="34"/>
        <v>-3265.7170000000001</v>
      </c>
      <c r="EW38" s="321"/>
      <c r="EX38" s="321"/>
      <c r="EY38" s="321"/>
      <c r="EZ38" s="320">
        <f t="shared" si="35"/>
        <v>195972.2387195176</v>
      </c>
      <c r="FA38" s="286">
        <f t="shared" si="36"/>
        <v>185051.77505285092</v>
      </c>
      <c r="FB38" s="286"/>
      <c r="FC38" s="286"/>
      <c r="FD38" s="287">
        <f>_xlfn.IFNA((VLOOKUP($A38,HN!$A:$M,8,FALSE)/12),0)</f>
        <v>0</v>
      </c>
      <c r="FE38" s="287">
        <f>_xlfn.IFNA((VLOOKUP($A38,HN!$A:$M,12,FALSE)/12),0)</f>
        <v>0</v>
      </c>
      <c r="FF38" s="287">
        <f>_xlfn.IFNA((VLOOKUP($A38,HN!$A:$M,9,FALSE)/12),0)</f>
        <v>0</v>
      </c>
      <c r="FG38" s="287">
        <f>_xlfn.IFNA((VLOOKUP($A38,'Post 16'!$A:$AG,33,FALSE)/8),0)</f>
        <v>0</v>
      </c>
      <c r="FH38" s="287"/>
      <c r="FI38" s="287">
        <f>_xlfn.IFNA(((VLOOKUP($A38,HN!$A:$M,10,FALSE)-$U38-$AK38)/10),0)</f>
        <v>15045.230666666665</v>
      </c>
      <c r="FJ38" s="287">
        <f>_xlfn.IFNA(((VLOOKUP($A38,HN!$A:$M,13,FALSE)-$V38-$AL38)/10),0)</f>
        <v>0</v>
      </c>
      <c r="FK38" s="286">
        <f t="shared" si="37"/>
        <v>-859.04999999999984</v>
      </c>
      <c r="FL38" s="286">
        <f t="shared" si="38"/>
        <v>-3265.7170000000001</v>
      </c>
      <c r="FM38" s="287"/>
      <c r="FN38" s="287"/>
      <c r="FO38" s="287"/>
      <c r="FP38" s="286">
        <f t="shared" si="39"/>
        <v>195972.2387195176</v>
      </c>
      <c r="FQ38" s="293">
        <f t="shared" si="40"/>
        <v>185051.77505285092</v>
      </c>
      <c r="FR38" s="293"/>
      <c r="FS38" s="293"/>
      <c r="FT38" s="294">
        <f>_xlfn.IFNA((VLOOKUP($A38,HN!$A:$M,8,FALSE)/12),0)</f>
        <v>0</v>
      </c>
      <c r="FU38" s="294">
        <f>_xlfn.IFNA((VLOOKUP($A38,HN!$A:$M,12,FALSE)/12),0)</f>
        <v>0</v>
      </c>
      <c r="FV38" s="294">
        <f>_xlfn.IFNA((VLOOKUP($A38,HN!$A:$M,9,FALSE)/12),0)</f>
        <v>0</v>
      </c>
      <c r="FW38" s="294">
        <f>_xlfn.IFNA((VLOOKUP($A38,'Post 16'!$A:$AG,33,FALSE)/8),0)</f>
        <v>0</v>
      </c>
      <c r="FX38" s="294"/>
      <c r="FY38" s="294">
        <f>_xlfn.IFNA(((VLOOKUP($A38,HN!$A:$M,10,FALSE)-$U38-$AK38)/10),0)</f>
        <v>15045.230666666665</v>
      </c>
      <c r="FZ38" s="294">
        <f>_xlfn.IFNA(((VLOOKUP($A38,HN!$A:$M,13,FALSE)-$V38-$AL38)/10),0)</f>
        <v>0</v>
      </c>
      <c r="GA38" s="293">
        <f t="shared" si="41"/>
        <v>-859.04999999999984</v>
      </c>
      <c r="GB38" s="293">
        <f t="shared" si="42"/>
        <v>-3265.7170000000001</v>
      </c>
      <c r="GC38" s="294"/>
      <c r="GD38" s="294"/>
      <c r="GE38" s="294"/>
      <c r="GF38" s="293">
        <f t="shared" si="43"/>
        <v>195972.2387195176</v>
      </c>
      <c r="GG38" s="300">
        <f t="shared" si="44"/>
        <v>185051.77505285092</v>
      </c>
      <c r="GH38" s="300"/>
      <c r="GI38" s="300"/>
      <c r="GJ38" s="301">
        <f>_xlfn.IFNA((VLOOKUP($A38,HN!$A:$M,8,FALSE)/12),0)</f>
        <v>0</v>
      </c>
      <c r="GK38" s="301">
        <f>_xlfn.IFNA((VLOOKUP($A38,HN!$A:$M,12,FALSE)/12),0)</f>
        <v>0</v>
      </c>
      <c r="GL38" s="301">
        <f>_xlfn.IFNA((VLOOKUP($A38,HN!$A:$M,9,FALSE)/12),0)</f>
        <v>0</v>
      </c>
      <c r="GM38" s="301">
        <f>_xlfn.IFNA((VLOOKUP($A38,'Post 16'!$A:$AG,33,FALSE)/8),0)</f>
        <v>0</v>
      </c>
      <c r="GN38" s="301"/>
      <c r="GO38" s="301">
        <f>_xlfn.IFNA(((VLOOKUP($A38,HN!$A:$M,10,FALSE)-$U38-$AK38)/10),0)</f>
        <v>15045.230666666665</v>
      </c>
      <c r="GP38" s="301">
        <f>_xlfn.IFNA(((VLOOKUP($A38,HN!$A:$M,13,FALSE)-$V38-$AL38)/10),0)</f>
        <v>0</v>
      </c>
      <c r="GQ38" s="300">
        <f t="shared" si="45"/>
        <v>-859.04999999999984</v>
      </c>
      <c r="GR38" s="300">
        <f t="shared" si="46"/>
        <v>-3265.7170000000001</v>
      </c>
      <c r="GS38" s="301"/>
      <c r="GT38" s="301"/>
      <c r="GU38" s="301"/>
      <c r="GV38" s="300">
        <f t="shared" si="47"/>
        <v>195972.2387195176</v>
      </c>
      <c r="GX38" s="146">
        <f t="shared" ref="GX38:HC47" si="54">SUMIFS($M38:$GV38,$M$7:$GV$7,GX$7)</f>
        <v>2220621.3006342105</v>
      </c>
      <c r="GY38" s="146">
        <f t="shared" si="54"/>
        <v>0</v>
      </c>
      <c r="GZ38" s="146">
        <f t="shared" si="54"/>
        <v>200636.91</v>
      </c>
      <c r="HA38" s="146">
        <f t="shared" si="54"/>
        <v>-10308.599999999999</v>
      </c>
      <c r="HB38" s="146">
        <f t="shared" si="54"/>
        <v>-39188.603999999999</v>
      </c>
      <c r="HC38" s="146">
        <f t="shared" si="54"/>
        <v>0</v>
      </c>
      <c r="HE38" s="146">
        <f t="shared" ref="HE38:HJ47" si="55">SUMIFS($M38:$GV38,$M$7:$GV$7,HE$7,$M$4:$GV$4,$HE$6)</f>
        <v>555155.32515855273</v>
      </c>
      <c r="HF38" s="146">
        <f t="shared" si="55"/>
        <v>0</v>
      </c>
      <c r="HG38" s="146">
        <f t="shared" si="55"/>
        <v>65229.833999999995</v>
      </c>
      <c r="HH38" s="146">
        <f t="shared" si="55"/>
        <v>-2577.1499999999996</v>
      </c>
      <c r="HI38" s="146">
        <f t="shared" si="55"/>
        <v>-9797.1509999999998</v>
      </c>
      <c r="HJ38" s="146">
        <f t="shared" si="55"/>
        <v>0</v>
      </c>
      <c r="HL38" s="146"/>
      <c r="HM38" s="57"/>
    </row>
    <row r="39" spans="1:221">
      <c r="A39" s="185">
        <v>7051</v>
      </c>
      <c r="B39" s="185">
        <v>103626</v>
      </c>
      <c r="C39" s="185" t="s">
        <v>100</v>
      </c>
      <c r="D39" s="2" t="s">
        <v>101</v>
      </c>
      <c r="E39" s="190" t="s">
        <v>56</v>
      </c>
      <c r="F39" s="190" t="s">
        <v>890</v>
      </c>
      <c r="H39" s="271">
        <f>_xlfn.IFNA(VLOOKUP($A39,ISB!$A$4:$BY$441,67,FALSE),0)</f>
        <v>0</v>
      </c>
      <c r="I39" s="271">
        <f>_xlfn.IFNA(VLOOKUP($A39,ISB!$A$4:$BY$441,72,FALSE),0)</f>
        <v>0</v>
      </c>
      <c r="J39" s="271">
        <f>-_xlfn.IFNA(VLOOKUP($A39,ISB!$A$4:$BY$441,76,FALSE),0)</f>
        <v>0</v>
      </c>
      <c r="K39" s="271">
        <f>_xlfn.IFNA(VLOOKUP($A39,ISB!$A$4:$BY$441,77,FALSE),0)</f>
        <v>0</v>
      </c>
      <c r="M39" s="279">
        <f t="shared" si="0"/>
        <v>0</v>
      </c>
      <c r="N39" s="279"/>
      <c r="O39" s="279">
        <f>_xlfn.IFNA(VLOOKUP($A39,EY!$A:$H,8,FALSE)+(VLOOKUP($A39,EY!$A:$R,18,FALSE)-$T39),0)</f>
        <v>0</v>
      </c>
      <c r="P39" s="280">
        <f>_xlfn.IFNA((VLOOKUP($A39,HN!$A:$M,8,FALSE)/12),0)</f>
        <v>92500</v>
      </c>
      <c r="Q39" s="280">
        <f>_xlfn.IFNA((VLOOKUP($A39,HN!$A:$M,12,FALSE)/12),0)</f>
        <v>0</v>
      </c>
      <c r="R39" s="280">
        <f>_xlfn.IFNA((VLOOKUP($A39,HN!$A:$M,9,FALSE)/12),0)</f>
        <v>0</v>
      </c>
      <c r="S39" s="280">
        <f>_xlfn.IFNA((VLOOKUP($A39,'Post 16'!$A:$AR,22,FALSE)/4),0)</f>
        <v>0</v>
      </c>
      <c r="T39" s="280">
        <f>_xlfn.IFNA((VLOOKUP($A39,EY!$A:$R,16,FALSE)*80%),0)</f>
        <v>0</v>
      </c>
      <c r="U39" s="280">
        <v>155946.62666666668</v>
      </c>
      <c r="V39" s="280">
        <v>0</v>
      </c>
      <c r="W39" s="279">
        <f t="shared" si="1"/>
        <v>0</v>
      </c>
      <c r="X39" s="279">
        <f t="shared" si="2"/>
        <v>0</v>
      </c>
      <c r="Y39" s="280"/>
      <c r="Z39" s="280"/>
      <c r="AA39" s="280"/>
      <c r="AB39" s="279">
        <f t="shared" si="3"/>
        <v>248446.62666666668</v>
      </c>
      <c r="AC39" s="293">
        <f t="shared" si="4"/>
        <v>0</v>
      </c>
      <c r="AD39" s="293"/>
      <c r="AE39" s="293"/>
      <c r="AF39" s="294">
        <f>_xlfn.IFNA((VLOOKUP($A39,HN!$A:$M,8,FALSE)/12),0)</f>
        <v>92500</v>
      </c>
      <c r="AG39" s="294">
        <f>_xlfn.IFNA((VLOOKUP($A39,HN!$A:$M,12,FALSE)/12),0)+_xlfn.IFNA(VLOOKUP($A39,HN!$A:$Q,17,FALSE),0)</f>
        <v>0</v>
      </c>
      <c r="AH39" s="294">
        <f>_xlfn.IFNA((VLOOKUP($A39,HN!$A:$M,9,FALSE)/12),0)</f>
        <v>0</v>
      </c>
      <c r="AI39" s="294">
        <f>_xlfn.IFNA((VLOOKUP($A39,'Post 16'!$A:$AR,22,FALSE)/4),0)</f>
        <v>0</v>
      </c>
      <c r="AJ39" s="294"/>
      <c r="AK39" s="294">
        <f>_xlfn.IFNA((VLOOKUP($A39,HN!$A:$M,10,FALSE)/12),0)</f>
        <v>155946.62666666668</v>
      </c>
      <c r="AL39" s="294">
        <f>_xlfn.IFNA((VLOOKUP($A39,HN!$A:$M,13,FALSE)/12),0)</f>
        <v>0</v>
      </c>
      <c r="AM39" s="293">
        <f t="shared" si="5"/>
        <v>0</v>
      </c>
      <c r="AN39" s="293">
        <f t="shared" si="6"/>
        <v>0</v>
      </c>
      <c r="AO39" s="294"/>
      <c r="AP39" s="294"/>
      <c r="AQ39" s="294"/>
      <c r="AR39" s="293">
        <f t="shared" si="7"/>
        <v>248446.62666666668</v>
      </c>
      <c r="AS39" s="286">
        <f t="shared" si="8"/>
        <v>0</v>
      </c>
      <c r="AT39" s="286"/>
      <c r="AU39" s="286">
        <f>_xlfn.IFNA(VLOOKUP(A39,EY!A:AO,40,FALSE),0)</f>
        <v>0</v>
      </c>
      <c r="AV39" s="287">
        <f>_xlfn.IFNA((VLOOKUP($A39,HN!$A:$M,8,FALSE)/12),0)</f>
        <v>92500</v>
      </c>
      <c r="AW39" s="287">
        <f>_xlfn.IFNA((VLOOKUP($A39,HN!$A:$M,12,FALSE)/12),0)+_xlfn.IFNA(VLOOKUP($A39,HN!$A$8:$AU$200,19,FALSE),0)</f>
        <v>0</v>
      </c>
      <c r="AX39" s="287">
        <f>_xlfn.IFNA((VLOOKUP($A39,HN!$A:$M,9,FALSE)/12),0)</f>
        <v>0</v>
      </c>
      <c r="AY39" s="287">
        <f>_xlfn.IFNA((VLOOKUP($A39,'Post 16'!$A:$AR,22,FALSE)/4),0)</f>
        <v>0</v>
      </c>
      <c r="AZ39" s="287">
        <f>_xlfn.IFNA(VLOOKUP(A39,EY!A:AO,41,FALSE),0)</f>
        <v>0</v>
      </c>
      <c r="BA39" s="287">
        <f>_xlfn.IFNA(((VLOOKUP($A39,HN!$A:$M,10,FALSE)-$U39-$AK39)/10),0)+_xlfn.IFNA(VLOOKUP($A39,HN!$A:$R,18,FALSE),0)</f>
        <v>155946.62666666665</v>
      </c>
      <c r="BB39" s="287">
        <f>_xlfn.IFNA(((VLOOKUP($A39,HN!$A:$M,13,FALSE)-$V39-$AL39)/10),0)+_xlfn.IFNA(VLOOKUP($A39,HN!$A$8:$AU$200,20,FALSE),0)</f>
        <v>0</v>
      </c>
      <c r="BC39" s="286">
        <f t="shared" si="9"/>
        <v>0</v>
      </c>
      <c r="BD39" s="286">
        <f t="shared" si="10"/>
        <v>0</v>
      </c>
      <c r="BE39" s="287"/>
      <c r="BF39" s="287"/>
      <c r="BG39" s="287"/>
      <c r="BH39" s="286">
        <f t="shared" si="11"/>
        <v>248446.62666666665</v>
      </c>
      <c r="BI39" s="307">
        <f t="shared" si="12"/>
        <v>0</v>
      </c>
      <c r="BJ39" s="307">
        <f>_xlfn.IFNA(VLOOKUP(A39,'LA Deductions'!A:AH,34,FALSE),0)</f>
        <v>0</v>
      </c>
      <c r="BK39" s="307"/>
      <c r="BL39" s="308">
        <f>_xlfn.IFNA((VLOOKUP($A39,HN!$A:$M,8,FALSE)/12),0)</f>
        <v>92500</v>
      </c>
      <c r="BM39" s="308">
        <f>_xlfn.IFNA((VLOOKUP($A39,HN!$A:$M,12,FALSE)/12),0)</f>
        <v>0</v>
      </c>
      <c r="BN39" s="308">
        <f>_xlfn.IFNA((VLOOKUP($A39,HN!$A:$M,9,FALSE)/12),0)</f>
        <v>0</v>
      </c>
      <c r="BO39" s="308">
        <f>_xlfn.IFNA((VLOOKUP($A39,'Post 16'!$A:$AR,22,FALSE)/4),0)</f>
        <v>0</v>
      </c>
      <c r="BP39" s="308"/>
      <c r="BQ39" s="308">
        <f>_xlfn.IFNA(((VLOOKUP($A39,HN!$A:$M,10,FALSE)-$U39-$AK39)/10),0)</f>
        <v>155946.62666666665</v>
      </c>
      <c r="BR39" s="308">
        <f>_xlfn.IFNA(((VLOOKUP($A39,HN!$A:$M,13,FALSE)-$V39-$AL39)/10),0)</f>
        <v>0</v>
      </c>
      <c r="BS39" s="307">
        <f t="shared" si="13"/>
        <v>0</v>
      </c>
      <c r="BT39" s="307">
        <f t="shared" si="14"/>
        <v>0</v>
      </c>
      <c r="BU39" s="308"/>
      <c r="BV39" s="308"/>
      <c r="BW39" s="308"/>
      <c r="BX39" s="307">
        <f t="shared" si="15"/>
        <v>248446.62666666665</v>
      </c>
      <c r="BY39" s="300">
        <f t="shared" si="16"/>
        <v>0</v>
      </c>
      <c r="BZ39" s="300"/>
      <c r="CA39" s="300"/>
      <c r="CB39" s="301">
        <f>_xlfn.IFNA((VLOOKUP($A39,HN!$A:$M,8,FALSE)/12),0)</f>
        <v>92500</v>
      </c>
      <c r="CC39" s="301">
        <f>_xlfn.IFNA((VLOOKUP($A39,HN!$A:$M,12,FALSE)/12),0)</f>
        <v>0</v>
      </c>
      <c r="CD39" s="301">
        <f>_xlfn.IFNA((VLOOKUP($A39,HN!$A:$M,9,FALSE)/12),0)</f>
        <v>0</v>
      </c>
      <c r="CE39" s="301">
        <f>_xlfn.IFNA((VLOOKUP($A39,'Post 16'!$A:$AG,33,FALSE)/8),0)</f>
        <v>0</v>
      </c>
      <c r="CF39" s="301"/>
      <c r="CG39" s="301">
        <f>_xlfn.IFNA(((VLOOKUP($A39,HN!$A:$M,10,FALSE)-$U39-$AK39)/10),0)</f>
        <v>155946.62666666665</v>
      </c>
      <c r="CH39" s="301">
        <f>_xlfn.IFNA(((VLOOKUP($A39,HN!$A:$M,13,FALSE)-$V39-$AL39)/10),0)</f>
        <v>0</v>
      </c>
      <c r="CI39" s="300">
        <f t="shared" si="17"/>
        <v>0</v>
      </c>
      <c r="CJ39" s="300">
        <f t="shared" si="18"/>
        <v>0</v>
      </c>
      <c r="CK39" s="301"/>
      <c r="CL39" s="301"/>
      <c r="CM39" s="301"/>
      <c r="CN39" s="300">
        <f t="shared" si="19"/>
        <v>248446.62666666665</v>
      </c>
      <c r="CO39" s="332">
        <f t="shared" si="20"/>
        <v>0</v>
      </c>
      <c r="CP39" s="332"/>
      <c r="CQ39" s="332">
        <f>_xlfn.IFNA((VLOOKUP($A39,EY!$A:$AB,28,FALSE)-$CV39),0)</f>
        <v>0</v>
      </c>
      <c r="CR39" s="333">
        <f>_xlfn.IFNA((VLOOKUP($A39,HN!$A:$M,8,FALSE)/12),0)</f>
        <v>92500</v>
      </c>
      <c r="CS39" s="333">
        <f>_xlfn.IFNA((VLOOKUP($A39,HN!$A:$M,12,FALSE)/12),0)</f>
        <v>0</v>
      </c>
      <c r="CT39" s="333">
        <f>_xlfn.IFNA((VLOOKUP($A39,HN!$A:$M,9,FALSE)/12),0)</f>
        <v>0</v>
      </c>
      <c r="CU39" s="333">
        <f>_xlfn.IFNA((VLOOKUP($A39,'Post 16'!$A:$AG,33,FALSE)/8),0)</f>
        <v>0</v>
      </c>
      <c r="CV39" s="333">
        <f>_xlfn.IFNA((VLOOKUP($A39,EY!$A:$AB,26,FALSE)*80%),0)</f>
        <v>0</v>
      </c>
      <c r="CW39" s="333">
        <f>_xlfn.IFNA(((VLOOKUP($A39,HN!$A:$M,10,FALSE)-$U39-$AK39)/10),0)</f>
        <v>155946.62666666665</v>
      </c>
      <c r="CX39" s="333">
        <f>_xlfn.IFNA(((VLOOKUP($A39,HN!$A:$M,13,FALSE)-$V39-$AL39)/10),0)</f>
        <v>0</v>
      </c>
      <c r="CY39" s="332">
        <f t="shared" si="21"/>
        <v>0</v>
      </c>
      <c r="CZ39" s="332">
        <f t="shared" si="22"/>
        <v>0</v>
      </c>
      <c r="DA39" s="333"/>
      <c r="DB39" s="333"/>
      <c r="DC39" s="333"/>
      <c r="DD39" s="332">
        <f t="shared" si="23"/>
        <v>248446.62666666665</v>
      </c>
      <c r="DE39" s="314">
        <f t="shared" si="24"/>
        <v>0</v>
      </c>
      <c r="DF39" s="314"/>
      <c r="DG39" s="314"/>
      <c r="DH39" s="315">
        <f>_xlfn.IFNA((VLOOKUP($A39,HN!$A:$M,8,FALSE)/12),0)</f>
        <v>92500</v>
      </c>
      <c r="DI39" s="315">
        <f>_xlfn.IFNA((VLOOKUP($A39,HN!$A:$M,12,FALSE)/12),0)</f>
        <v>0</v>
      </c>
      <c r="DJ39" s="315">
        <f>_xlfn.IFNA((VLOOKUP($A39,HN!$A:$M,9,FALSE)/12),0)</f>
        <v>0</v>
      </c>
      <c r="DK39" s="315">
        <f>_xlfn.IFNA((VLOOKUP($A39,'Post 16'!$A:$AG,33,FALSE)/8),0)</f>
        <v>0</v>
      </c>
      <c r="DL39" s="315"/>
      <c r="DM39" s="315">
        <f>_xlfn.IFNA(((VLOOKUP($A39,HN!$A:$M,10,FALSE)-$U39-$AK39)/10),0)</f>
        <v>155946.62666666665</v>
      </c>
      <c r="DN39" s="315">
        <f>_xlfn.IFNA(((VLOOKUP($A39,HN!$A:$M,13,FALSE)-$V39-$AL39)/10),0)</f>
        <v>0</v>
      </c>
      <c r="DO39" s="314">
        <f t="shared" si="25"/>
        <v>0</v>
      </c>
      <c r="DP39" s="314">
        <f t="shared" si="26"/>
        <v>0</v>
      </c>
      <c r="DQ39" s="315"/>
      <c r="DR39" s="315"/>
      <c r="DS39" s="315"/>
      <c r="DT39" s="314">
        <f t="shared" si="27"/>
        <v>248446.62666666665</v>
      </c>
      <c r="DU39" s="307">
        <f t="shared" si="28"/>
        <v>0</v>
      </c>
      <c r="DV39" s="307"/>
      <c r="DW39" s="307"/>
      <c r="DX39" s="308">
        <f>_xlfn.IFNA((VLOOKUP($A39,HN!$A:$M,8,FALSE)/12),0)</f>
        <v>92500</v>
      </c>
      <c r="DY39" s="308">
        <f>_xlfn.IFNA((VLOOKUP($A39,HN!$A:$M,12,FALSE)/12),0)</f>
        <v>0</v>
      </c>
      <c r="DZ39" s="308">
        <f>_xlfn.IFNA((VLOOKUP($A39,HN!$A:$M,9,FALSE)/12),0)</f>
        <v>0</v>
      </c>
      <c r="EA39" s="308">
        <f>_xlfn.IFNA((VLOOKUP($A39,'Post 16'!$A:$AG,33,FALSE)/8),0)</f>
        <v>0</v>
      </c>
      <c r="EB39" s="308"/>
      <c r="EC39" s="308">
        <f>_xlfn.IFNA(((VLOOKUP($A39,HN!$A:$M,10,FALSE)-$U39-$AK39)/10),0)</f>
        <v>155946.62666666665</v>
      </c>
      <c r="ED39" s="308">
        <f>_xlfn.IFNA(((VLOOKUP($A39,HN!$A:$M,13,FALSE)-$V39-$AL39)/10),0)</f>
        <v>0</v>
      </c>
      <c r="EE39" s="307">
        <f t="shared" si="29"/>
        <v>0</v>
      </c>
      <c r="EF39" s="307">
        <f t="shared" si="30"/>
        <v>0</v>
      </c>
      <c r="EG39" s="308"/>
      <c r="EH39" s="308"/>
      <c r="EI39" s="308"/>
      <c r="EJ39" s="307">
        <f t="shared" si="31"/>
        <v>248446.62666666665</v>
      </c>
      <c r="EK39" s="320">
        <f t="shared" si="32"/>
        <v>0</v>
      </c>
      <c r="EL39" s="320"/>
      <c r="EM39" s="320"/>
      <c r="EN39" s="321">
        <f>_xlfn.IFNA((VLOOKUP($A39,HN!$A:$M,8,FALSE)/12),0)</f>
        <v>92500</v>
      </c>
      <c r="EO39" s="321">
        <f>_xlfn.IFNA((VLOOKUP($A39,HN!$A:$M,12,FALSE)/12),0)</f>
        <v>0</v>
      </c>
      <c r="EP39" s="321">
        <f>_xlfn.IFNA((VLOOKUP($A39,HN!$A:$M,9,FALSE)/12),0)</f>
        <v>0</v>
      </c>
      <c r="EQ39" s="321">
        <f>_xlfn.IFNA((VLOOKUP($A39,'Post 16'!$A:$AG,33,FALSE)/8),0)</f>
        <v>0</v>
      </c>
      <c r="ER39" s="321"/>
      <c r="ES39" s="321">
        <f>_xlfn.IFNA(((VLOOKUP($A39,HN!$A:$M,10,FALSE)-$U39-$AK39)/10),0)</f>
        <v>155946.62666666665</v>
      </c>
      <c r="ET39" s="321">
        <f>_xlfn.IFNA(((VLOOKUP($A39,HN!$A:$M,13,FALSE)-$V39-$AL39)/10),0)</f>
        <v>0</v>
      </c>
      <c r="EU39" s="320">
        <f t="shared" si="33"/>
        <v>0</v>
      </c>
      <c r="EV39" s="320">
        <f t="shared" si="34"/>
        <v>0</v>
      </c>
      <c r="EW39" s="321"/>
      <c r="EX39" s="321"/>
      <c r="EY39" s="321"/>
      <c r="EZ39" s="320">
        <f t="shared" si="35"/>
        <v>248446.62666666665</v>
      </c>
      <c r="FA39" s="286">
        <f t="shared" si="36"/>
        <v>0</v>
      </c>
      <c r="FB39" s="286"/>
      <c r="FC39" s="286"/>
      <c r="FD39" s="287">
        <f>_xlfn.IFNA((VLOOKUP($A39,HN!$A:$M,8,FALSE)/12),0)</f>
        <v>92500</v>
      </c>
      <c r="FE39" s="287">
        <f>_xlfn.IFNA((VLOOKUP($A39,HN!$A:$M,12,FALSE)/12),0)</f>
        <v>0</v>
      </c>
      <c r="FF39" s="287">
        <f>_xlfn.IFNA((VLOOKUP($A39,HN!$A:$M,9,FALSE)/12),0)</f>
        <v>0</v>
      </c>
      <c r="FG39" s="287">
        <f>_xlfn.IFNA((VLOOKUP($A39,'Post 16'!$A:$AG,33,FALSE)/8),0)</f>
        <v>0</v>
      </c>
      <c r="FH39" s="287"/>
      <c r="FI39" s="287">
        <f>_xlfn.IFNA(((VLOOKUP($A39,HN!$A:$M,10,FALSE)-$U39-$AK39)/10),0)</f>
        <v>155946.62666666665</v>
      </c>
      <c r="FJ39" s="287">
        <f>_xlfn.IFNA(((VLOOKUP($A39,HN!$A:$M,13,FALSE)-$V39-$AL39)/10),0)</f>
        <v>0</v>
      </c>
      <c r="FK39" s="286">
        <f t="shared" si="37"/>
        <v>0</v>
      </c>
      <c r="FL39" s="286">
        <f t="shared" si="38"/>
        <v>0</v>
      </c>
      <c r="FM39" s="287"/>
      <c r="FN39" s="287"/>
      <c r="FO39" s="287"/>
      <c r="FP39" s="286">
        <f t="shared" si="39"/>
        <v>248446.62666666665</v>
      </c>
      <c r="FQ39" s="293">
        <f t="shared" si="40"/>
        <v>0</v>
      </c>
      <c r="FR39" s="293"/>
      <c r="FS39" s="293"/>
      <c r="FT39" s="294">
        <f>_xlfn.IFNA((VLOOKUP($A39,HN!$A:$M,8,FALSE)/12),0)</f>
        <v>92500</v>
      </c>
      <c r="FU39" s="294">
        <f>_xlfn.IFNA((VLOOKUP($A39,HN!$A:$M,12,FALSE)/12),0)</f>
        <v>0</v>
      </c>
      <c r="FV39" s="294">
        <f>_xlfn.IFNA((VLOOKUP($A39,HN!$A:$M,9,FALSE)/12),0)</f>
        <v>0</v>
      </c>
      <c r="FW39" s="294">
        <f>_xlfn.IFNA((VLOOKUP($A39,'Post 16'!$A:$AG,33,FALSE)/8),0)</f>
        <v>0</v>
      </c>
      <c r="FX39" s="294"/>
      <c r="FY39" s="294">
        <f>_xlfn.IFNA(((VLOOKUP($A39,HN!$A:$M,10,FALSE)-$U39-$AK39)/10),0)</f>
        <v>155946.62666666665</v>
      </c>
      <c r="FZ39" s="294">
        <f>_xlfn.IFNA(((VLOOKUP($A39,HN!$A:$M,13,FALSE)-$V39-$AL39)/10),0)</f>
        <v>0</v>
      </c>
      <c r="GA39" s="293">
        <f t="shared" si="41"/>
        <v>0</v>
      </c>
      <c r="GB39" s="293">
        <f t="shared" si="42"/>
        <v>0</v>
      </c>
      <c r="GC39" s="294"/>
      <c r="GD39" s="294"/>
      <c r="GE39" s="294"/>
      <c r="GF39" s="293">
        <f t="shared" si="43"/>
        <v>248446.62666666665</v>
      </c>
      <c r="GG39" s="300">
        <f t="shared" si="44"/>
        <v>0</v>
      </c>
      <c r="GH39" s="300"/>
      <c r="GI39" s="300"/>
      <c r="GJ39" s="301">
        <f>_xlfn.IFNA((VLOOKUP($A39,HN!$A:$M,8,FALSE)/12),0)</f>
        <v>92500</v>
      </c>
      <c r="GK39" s="301">
        <f>_xlfn.IFNA((VLOOKUP($A39,HN!$A:$M,12,FALSE)/12),0)</f>
        <v>0</v>
      </c>
      <c r="GL39" s="301">
        <f>_xlfn.IFNA((VLOOKUP($A39,HN!$A:$M,9,FALSE)/12),0)</f>
        <v>0</v>
      </c>
      <c r="GM39" s="301">
        <f>_xlfn.IFNA((VLOOKUP($A39,'Post 16'!$A:$AG,33,FALSE)/8),0)</f>
        <v>0</v>
      </c>
      <c r="GN39" s="301"/>
      <c r="GO39" s="301">
        <f>_xlfn.IFNA(((VLOOKUP($A39,HN!$A:$M,10,FALSE)-$U39-$AK39)/10),0)</f>
        <v>155946.62666666665</v>
      </c>
      <c r="GP39" s="301">
        <f>_xlfn.IFNA(((VLOOKUP($A39,HN!$A:$M,13,FALSE)-$V39-$AL39)/10),0)</f>
        <v>0</v>
      </c>
      <c r="GQ39" s="300">
        <f t="shared" si="45"/>
        <v>0</v>
      </c>
      <c r="GR39" s="300">
        <f t="shared" si="46"/>
        <v>0</v>
      </c>
      <c r="GS39" s="301"/>
      <c r="GT39" s="301"/>
      <c r="GU39" s="301"/>
      <c r="GV39" s="300">
        <f t="shared" si="47"/>
        <v>248446.62666666665</v>
      </c>
      <c r="GX39" s="146">
        <f t="shared" si="54"/>
        <v>1110000</v>
      </c>
      <c r="GY39" s="146">
        <f t="shared" si="54"/>
        <v>0</v>
      </c>
      <c r="GZ39" s="146">
        <f t="shared" si="54"/>
        <v>1871359.5200000003</v>
      </c>
      <c r="HA39" s="146">
        <f t="shared" si="54"/>
        <v>0</v>
      </c>
      <c r="HB39" s="146">
        <f t="shared" si="54"/>
        <v>0</v>
      </c>
      <c r="HC39" s="146">
        <f t="shared" si="54"/>
        <v>0</v>
      </c>
      <c r="HE39" s="146">
        <f t="shared" si="55"/>
        <v>277500</v>
      </c>
      <c r="HF39" s="146">
        <f t="shared" si="55"/>
        <v>0</v>
      </c>
      <c r="HG39" s="146">
        <f t="shared" si="55"/>
        <v>467839.88</v>
      </c>
      <c r="HH39" s="146">
        <f t="shared" si="55"/>
        <v>0</v>
      </c>
      <c r="HI39" s="146">
        <f t="shared" si="55"/>
        <v>0</v>
      </c>
      <c r="HJ39" s="146">
        <f t="shared" si="55"/>
        <v>0</v>
      </c>
      <c r="HL39" s="146"/>
      <c r="HM39" s="57"/>
    </row>
    <row r="40" spans="1:221">
      <c r="A40" s="185">
        <v>2040</v>
      </c>
      <c r="B40" s="185">
        <v>103178</v>
      </c>
      <c r="C40" s="185" t="s">
        <v>102</v>
      </c>
      <c r="D40" s="2" t="s">
        <v>103</v>
      </c>
      <c r="E40" s="190" t="s">
        <v>39</v>
      </c>
      <c r="F40" s="190" t="s">
        <v>890</v>
      </c>
      <c r="H40" s="271">
        <f>_xlfn.IFNA(VLOOKUP($A40,ISB!$A$4:$BY$441,67,FALSE),0)</f>
        <v>2458959.7210659222</v>
      </c>
      <c r="I40" s="271">
        <f>_xlfn.IFNA(VLOOKUP($A40,ISB!$A$4:$BY$441,72,FALSE),0)</f>
        <v>-10482.9</v>
      </c>
      <c r="J40" s="271">
        <f>-_xlfn.IFNA(VLOOKUP($A40,ISB!$A$4:$BY$441,76,FALSE),0)</f>
        <v>-41205.664499999999</v>
      </c>
      <c r="K40" s="271">
        <f>_xlfn.IFNA(VLOOKUP($A40,ISB!$A$4:$BY$441,77,FALSE),0)</f>
        <v>2407271.1565659223</v>
      </c>
      <c r="M40" s="279">
        <f t="shared" ref="M40:M71" si="56">$H40/12</f>
        <v>204913.31008882684</v>
      </c>
      <c r="N40" s="279"/>
      <c r="O40" s="279">
        <f>_xlfn.IFNA(VLOOKUP($A40,EY!$A:$H,8,FALSE)+(VLOOKUP($A40,EY!$A:$R,18,FALSE)-$T40),0)</f>
        <v>26199.472000000005</v>
      </c>
      <c r="P40" s="280">
        <f>_xlfn.IFNA((VLOOKUP($A40,HN!$A:$M,8,FALSE)/12),0)</f>
        <v>0</v>
      </c>
      <c r="Q40" s="280">
        <f>_xlfn.IFNA((VLOOKUP($A40,HN!$A:$M,12,FALSE)/12),0)</f>
        <v>8000</v>
      </c>
      <c r="R40" s="280">
        <f>_xlfn.IFNA((VLOOKUP($A40,HN!$A:$M,9,FALSE)/12),0)</f>
        <v>0</v>
      </c>
      <c r="S40" s="280">
        <f>_xlfn.IFNA((VLOOKUP($A40,'Post 16'!$A:$AR,22,FALSE)/4),0)</f>
        <v>0</v>
      </c>
      <c r="T40" s="280">
        <f>_xlfn.IFNA((VLOOKUP($A40,EY!$A:$R,16,FALSE)*80%),0)</f>
        <v>0</v>
      </c>
      <c r="U40" s="280">
        <v>0</v>
      </c>
      <c r="V40" s="280">
        <v>33859.290833333333</v>
      </c>
      <c r="W40" s="279">
        <f t="shared" ref="W40:W71" si="57">$I40/12</f>
        <v>-873.57499999999993</v>
      </c>
      <c r="X40" s="279">
        <f t="shared" ref="X40:X71" si="58">$J40/12</f>
        <v>-3433.8053749999999</v>
      </c>
      <c r="Y40" s="280"/>
      <c r="Z40" s="280"/>
      <c r="AA40" s="280"/>
      <c r="AB40" s="279">
        <f t="shared" ref="AB40:AB71" si="59">SUM(M40:AA40)</f>
        <v>268664.69254716014</v>
      </c>
      <c r="AC40" s="293">
        <f t="shared" ref="AC40:AC71" si="60">$H40/12</f>
        <v>204913.31008882684</v>
      </c>
      <c r="AD40" s="293"/>
      <c r="AE40" s="293"/>
      <c r="AF40" s="294">
        <f>_xlfn.IFNA((VLOOKUP($A40,HN!$A:$M,8,FALSE)/12),0)</f>
        <v>0</v>
      </c>
      <c r="AG40" s="294">
        <f>_xlfn.IFNA((VLOOKUP($A40,HN!$A:$M,12,FALSE)/12),0)+_xlfn.IFNA(VLOOKUP($A40,HN!$A:$Q,17,FALSE),0)</f>
        <v>8000</v>
      </c>
      <c r="AH40" s="294">
        <f>_xlfn.IFNA((VLOOKUP($A40,HN!$A:$M,9,FALSE)/12),0)</f>
        <v>0</v>
      </c>
      <c r="AI40" s="294">
        <f>_xlfn.IFNA((VLOOKUP($A40,'Post 16'!$A:$AR,22,FALSE)/4),0)</f>
        <v>0</v>
      </c>
      <c r="AJ40" s="294"/>
      <c r="AK40" s="294">
        <f>_xlfn.IFNA((VLOOKUP($A40,HN!$A:$M,10,FALSE)/12),0)</f>
        <v>0</v>
      </c>
      <c r="AL40" s="294">
        <f>_xlfn.IFNA((VLOOKUP($A40,HN!$A:$M,13,FALSE)/12),0)</f>
        <v>25848.095833333336</v>
      </c>
      <c r="AM40" s="293">
        <f t="shared" ref="AM40:AM71" si="61">$I40/12</f>
        <v>-873.57499999999993</v>
      </c>
      <c r="AN40" s="293">
        <f t="shared" ref="AN40:AN71" si="62">$J40/12</f>
        <v>-3433.8053749999999</v>
      </c>
      <c r="AO40" s="294"/>
      <c r="AP40" s="294"/>
      <c r="AQ40" s="294"/>
      <c r="AR40" s="293">
        <f t="shared" ref="AR40:AR71" si="63">SUM(AC40:AQ40)</f>
        <v>234454.02554716016</v>
      </c>
      <c r="AS40" s="286">
        <f t="shared" ref="AS40:AS71" si="64">$H40/12</f>
        <v>204913.31008882684</v>
      </c>
      <c r="AT40" s="286"/>
      <c r="AU40" s="286">
        <f>_xlfn.IFNA(VLOOKUP(A40,EY!A:AO,40,FALSE),0)</f>
        <v>1081.00988919667</v>
      </c>
      <c r="AV40" s="287">
        <f>_xlfn.IFNA((VLOOKUP($A40,HN!$A:$M,8,FALSE)/12),0)</f>
        <v>0</v>
      </c>
      <c r="AW40" s="287">
        <f>_xlfn.IFNA((VLOOKUP($A40,HN!$A:$M,12,FALSE)/12),0)+_xlfn.IFNA(VLOOKUP($A40,HN!$A$8:$AU$200,19,FALSE),0)</f>
        <v>8000</v>
      </c>
      <c r="AX40" s="287">
        <f>_xlfn.IFNA((VLOOKUP($A40,HN!$A:$M,9,FALSE)/12),0)</f>
        <v>0</v>
      </c>
      <c r="AY40" s="287">
        <f>_xlfn.IFNA((VLOOKUP($A40,'Post 16'!$A:$AR,22,FALSE)/4),0)</f>
        <v>0</v>
      </c>
      <c r="AZ40" s="287">
        <f>_xlfn.IFNA(VLOOKUP(A40,EY!A:AO,41,FALSE),0)</f>
        <v>0</v>
      </c>
      <c r="BA40" s="287">
        <f>_xlfn.IFNA(((VLOOKUP($A40,HN!$A:$M,10,FALSE)-$U40-$AK40)/10),0)+_xlfn.IFNA(VLOOKUP($A40,HN!$A:$R,18,FALSE),0)</f>
        <v>0</v>
      </c>
      <c r="BB40" s="287">
        <f>_xlfn.IFNA(((VLOOKUP($A40,HN!$A:$M,13,FALSE)-$V40-$AL40)/10),0)+_xlfn.IFNA(VLOOKUP($A40,HN!$A$8:$AU$200,20,FALSE),0)</f>
        <v>25046.976333333336</v>
      </c>
      <c r="BC40" s="286">
        <f t="shared" ref="BC40:BC71" si="65">$I40/12</f>
        <v>-873.57499999999993</v>
      </c>
      <c r="BD40" s="286">
        <f t="shared" ref="BD40:BD71" si="66">$J40/12</f>
        <v>-3433.8053749999999</v>
      </c>
      <c r="BE40" s="287"/>
      <c r="BF40" s="287"/>
      <c r="BG40" s="287"/>
      <c r="BH40" s="286">
        <f t="shared" ref="BH40:BH71" si="67">SUM(AS40:BG40)</f>
        <v>234733.91593635682</v>
      </c>
      <c r="BI40" s="307">
        <f t="shared" ref="BI40:BI71" si="68">$H40/12</f>
        <v>204913.31008882684</v>
      </c>
      <c r="BJ40" s="307">
        <f>_xlfn.IFNA(VLOOKUP(A40,'LA Deductions'!A:AH,34,FALSE),0)</f>
        <v>0</v>
      </c>
      <c r="BK40" s="307"/>
      <c r="BL40" s="308">
        <f>_xlfn.IFNA((VLOOKUP($A40,HN!$A:$M,8,FALSE)/12),0)</f>
        <v>0</v>
      </c>
      <c r="BM40" s="308">
        <f>_xlfn.IFNA((VLOOKUP($A40,HN!$A:$M,12,FALSE)/12),0)</f>
        <v>8000</v>
      </c>
      <c r="BN40" s="308">
        <f>_xlfn.IFNA((VLOOKUP($A40,HN!$A:$M,9,FALSE)/12),0)</f>
        <v>0</v>
      </c>
      <c r="BO40" s="308">
        <f>_xlfn.IFNA((VLOOKUP($A40,'Post 16'!$A:$AR,22,FALSE)/4),0)</f>
        <v>0</v>
      </c>
      <c r="BP40" s="308"/>
      <c r="BQ40" s="308">
        <f>_xlfn.IFNA(((VLOOKUP($A40,HN!$A:$M,10,FALSE)-$U40-$AK40)/10),0)</f>
        <v>0</v>
      </c>
      <c r="BR40" s="308">
        <f>_xlfn.IFNA(((VLOOKUP($A40,HN!$A:$M,13,FALSE)-$V40-$AL40)/10),0)</f>
        <v>25046.976333333336</v>
      </c>
      <c r="BS40" s="307">
        <f t="shared" ref="BS40:BS71" si="69">$I40/12</f>
        <v>-873.57499999999993</v>
      </c>
      <c r="BT40" s="307">
        <f t="shared" ref="BT40:BT71" si="70">$J40/12</f>
        <v>-3433.8053749999999</v>
      </c>
      <c r="BU40" s="308"/>
      <c r="BV40" s="308"/>
      <c r="BW40" s="308"/>
      <c r="BX40" s="307">
        <f t="shared" ref="BX40:BX71" si="71">SUM(BI40:BW40)</f>
        <v>233652.90604716016</v>
      </c>
      <c r="BY40" s="300">
        <f t="shared" ref="BY40:BY71" si="72">$H40/12</f>
        <v>204913.31008882684</v>
      </c>
      <c r="BZ40" s="300"/>
      <c r="CA40" s="300"/>
      <c r="CB40" s="301">
        <f>_xlfn.IFNA((VLOOKUP($A40,HN!$A:$M,8,FALSE)/12),0)</f>
        <v>0</v>
      </c>
      <c r="CC40" s="301">
        <f>_xlfn.IFNA((VLOOKUP($A40,HN!$A:$M,12,FALSE)/12),0)</f>
        <v>8000</v>
      </c>
      <c r="CD40" s="301">
        <f>_xlfn.IFNA((VLOOKUP($A40,HN!$A:$M,9,FALSE)/12),0)</f>
        <v>0</v>
      </c>
      <c r="CE40" s="301">
        <f>_xlfn.IFNA((VLOOKUP($A40,'Post 16'!$A:$AG,33,FALSE)/8),0)</f>
        <v>0</v>
      </c>
      <c r="CF40" s="301"/>
      <c r="CG40" s="301">
        <f>_xlfn.IFNA(((VLOOKUP($A40,HN!$A:$M,10,FALSE)-$U40-$AK40)/10),0)</f>
        <v>0</v>
      </c>
      <c r="CH40" s="301">
        <f>_xlfn.IFNA(((VLOOKUP($A40,HN!$A:$M,13,FALSE)-$V40-$AL40)/10),0)</f>
        <v>25046.976333333336</v>
      </c>
      <c r="CI40" s="300">
        <f t="shared" ref="CI40:CI71" si="73">$I40/12</f>
        <v>-873.57499999999993</v>
      </c>
      <c r="CJ40" s="300">
        <f t="shared" ref="CJ40:CJ71" si="74">$J40/12</f>
        <v>-3433.8053749999999</v>
      </c>
      <c r="CK40" s="301"/>
      <c r="CL40" s="301"/>
      <c r="CM40" s="301"/>
      <c r="CN40" s="300">
        <f t="shared" ref="CN40:CN71" si="75">SUM(BY40:CM40)</f>
        <v>233652.90604716016</v>
      </c>
      <c r="CO40" s="332">
        <f t="shared" ref="CO40:CO71" si="76">$H40/12</f>
        <v>204913.31008882684</v>
      </c>
      <c r="CP40" s="332"/>
      <c r="CQ40" s="332">
        <f>_xlfn.IFNA((VLOOKUP($A40,EY!$A:$AB,28,FALSE)-$CV40),0)</f>
        <v>20797.920000000002</v>
      </c>
      <c r="CR40" s="333">
        <f>_xlfn.IFNA((VLOOKUP($A40,HN!$A:$M,8,FALSE)/12),0)</f>
        <v>0</v>
      </c>
      <c r="CS40" s="333">
        <f>_xlfn.IFNA((VLOOKUP($A40,HN!$A:$M,12,FALSE)/12),0)</f>
        <v>8000</v>
      </c>
      <c r="CT40" s="333">
        <f>_xlfn.IFNA((VLOOKUP($A40,HN!$A:$M,9,FALSE)/12),0)</f>
        <v>0</v>
      </c>
      <c r="CU40" s="333">
        <f>_xlfn.IFNA((VLOOKUP($A40,'Post 16'!$A:$AG,33,FALSE)/8),0)</f>
        <v>0</v>
      </c>
      <c r="CV40" s="333">
        <f>_xlfn.IFNA((VLOOKUP($A40,EY!$A:$AB,26,FALSE)*80%),0)</f>
        <v>0</v>
      </c>
      <c r="CW40" s="333">
        <f>_xlfn.IFNA(((VLOOKUP($A40,HN!$A:$M,10,FALSE)-$U40-$AK40)/10),0)</f>
        <v>0</v>
      </c>
      <c r="CX40" s="333">
        <f>_xlfn.IFNA(((VLOOKUP($A40,HN!$A:$M,13,FALSE)-$V40-$AL40)/10),0)</f>
        <v>25046.976333333336</v>
      </c>
      <c r="CY40" s="332">
        <f t="shared" ref="CY40:CY71" si="77">$I40/12</f>
        <v>-873.57499999999993</v>
      </c>
      <c r="CZ40" s="332">
        <f t="shared" ref="CZ40:CZ71" si="78">$J40/12</f>
        <v>-3433.8053749999999</v>
      </c>
      <c r="DA40" s="333"/>
      <c r="DB40" s="333"/>
      <c r="DC40" s="333"/>
      <c r="DD40" s="332">
        <f t="shared" ref="DD40:DD71" si="79">SUM(CO40:DC40)</f>
        <v>254450.82604716017</v>
      </c>
      <c r="DE40" s="314">
        <f t="shared" ref="DE40:DE71" si="80">$H40/12</f>
        <v>204913.31008882684</v>
      </c>
      <c r="DF40" s="314"/>
      <c r="DG40" s="314"/>
      <c r="DH40" s="315">
        <f>_xlfn.IFNA((VLOOKUP($A40,HN!$A:$M,8,FALSE)/12),0)</f>
        <v>0</v>
      </c>
      <c r="DI40" s="315">
        <f>_xlfn.IFNA((VLOOKUP($A40,HN!$A:$M,12,FALSE)/12),0)</f>
        <v>8000</v>
      </c>
      <c r="DJ40" s="315">
        <f>_xlfn.IFNA((VLOOKUP($A40,HN!$A:$M,9,FALSE)/12),0)</f>
        <v>0</v>
      </c>
      <c r="DK40" s="315">
        <f>_xlfn.IFNA((VLOOKUP($A40,'Post 16'!$A:$AG,33,FALSE)/8),0)</f>
        <v>0</v>
      </c>
      <c r="DL40" s="315"/>
      <c r="DM40" s="315">
        <f>_xlfn.IFNA(((VLOOKUP($A40,HN!$A:$M,10,FALSE)-$U40-$AK40)/10),0)</f>
        <v>0</v>
      </c>
      <c r="DN40" s="315">
        <f>_xlfn.IFNA(((VLOOKUP($A40,HN!$A:$M,13,FALSE)-$V40-$AL40)/10),0)</f>
        <v>25046.976333333336</v>
      </c>
      <c r="DO40" s="314">
        <f t="shared" ref="DO40:DO71" si="81">$I40/12</f>
        <v>-873.57499999999993</v>
      </c>
      <c r="DP40" s="314">
        <f t="shared" ref="DP40:DP71" si="82">$J40/12</f>
        <v>-3433.8053749999999</v>
      </c>
      <c r="DQ40" s="315"/>
      <c r="DR40" s="315"/>
      <c r="DS40" s="315"/>
      <c r="DT40" s="314">
        <f t="shared" ref="DT40:DT71" si="83">SUM(DE40:DS40)</f>
        <v>233652.90604716016</v>
      </c>
      <c r="DU40" s="307">
        <f t="shared" ref="DU40:DU71" si="84">$H40/12</f>
        <v>204913.31008882684</v>
      </c>
      <c r="DV40" s="307"/>
      <c r="DW40" s="307"/>
      <c r="DX40" s="308">
        <f>_xlfn.IFNA((VLOOKUP($A40,HN!$A:$M,8,FALSE)/12),0)</f>
        <v>0</v>
      </c>
      <c r="DY40" s="308">
        <f>_xlfn.IFNA((VLOOKUP($A40,HN!$A:$M,12,FALSE)/12),0)</f>
        <v>8000</v>
      </c>
      <c r="DZ40" s="308">
        <f>_xlfn.IFNA((VLOOKUP($A40,HN!$A:$M,9,FALSE)/12),0)</f>
        <v>0</v>
      </c>
      <c r="EA40" s="308">
        <f>_xlfn.IFNA((VLOOKUP($A40,'Post 16'!$A:$AG,33,FALSE)/8),0)</f>
        <v>0</v>
      </c>
      <c r="EB40" s="308"/>
      <c r="EC40" s="308">
        <f>_xlfn.IFNA(((VLOOKUP($A40,HN!$A:$M,10,FALSE)-$U40-$AK40)/10),0)</f>
        <v>0</v>
      </c>
      <c r="ED40" s="308">
        <f>_xlfn.IFNA(((VLOOKUP($A40,HN!$A:$M,13,FALSE)-$V40-$AL40)/10),0)</f>
        <v>25046.976333333336</v>
      </c>
      <c r="EE40" s="307">
        <f t="shared" ref="EE40:EE71" si="85">$I40/12</f>
        <v>-873.57499999999993</v>
      </c>
      <c r="EF40" s="307">
        <f t="shared" ref="EF40:EF71" si="86">$J40/12</f>
        <v>-3433.8053749999999</v>
      </c>
      <c r="EG40" s="308"/>
      <c r="EH40" s="308"/>
      <c r="EI40" s="308"/>
      <c r="EJ40" s="307">
        <f t="shared" ref="EJ40:EJ71" si="87">SUM(DU40:EH40)</f>
        <v>233652.90604716016</v>
      </c>
      <c r="EK40" s="320">
        <f t="shared" ref="EK40:EK71" si="88">$H40/12</f>
        <v>204913.31008882684</v>
      </c>
      <c r="EL40" s="320"/>
      <c r="EM40" s="320"/>
      <c r="EN40" s="321">
        <f>_xlfn.IFNA((VLOOKUP($A40,HN!$A:$M,8,FALSE)/12),0)</f>
        <v>0</v>
      </c>
      <c r="EO40" s="321">
        <f>_xlfn.IFNA((VLOOKUP($A40,HN!$A:$M,12,FALSE)/12),0)</f>
        <v>8000</v>
      </c>
      <c r="EP40" s="321">
        <f>_xlfn.IFNA((VLOOKUP($A40,HN!$A:$M,9,FALSE)/12),0)</f>
        <v>0</v>
      </c>
      <c r="EQ40" s="321">
        <f>_xlfn.IFNA((VLOOKUP($A40,'Post 16'!$A:$AG,33,FALSE)/8),0)</f>
        <v>0</v>
      </c>
      <c r="ER40" s="321"/>
      <c r="ES40" s="321">
        <f>_xlfn.IFNA(((VLOOKUP($A40,HN!$A:$M,10,FALSE)-$U40-$AK40)/10),0)</f>
        <v>0</v>
      </c>
      <c r="ET40" s="321">
        <f>_xlfn.IFNA(((VLOOKUP($A40,HN!$A:$M,13,FALSE)-$V40-$AL40)/10),0)</f>
        <v>25046.976333333336</v>
      </c>
      <c r="EU40" s="320">
        <f t="shared" ref="EU40:EU71" si="89">$I40/12</f>
        <v>-873.57499999999993</v>
      </c>
      <c r="EV40" s="320">
        <f t="shared" ref="EV40:EV71" si="90">$J40/12</f>
        <v>-3433.8053749999999</v>
      </c>
      <c r="EW40" s="321"/>
      <c r="EX40" s="321"/>
      <c r="EY40" s="321"/>
      <c r="EZ40" s="320">
        <f t="shared" ref="EZ40:EZ71" si="91">SUM(EK40:EY40)</f>
        <v>233652.90604716016</v>
      </c>
      <c r="FA40" s="286">
        <f t="shared" ref="FA40:FA71" si="92">$H40/12</f>
        <v>204913.31008882684</v>
      </c>
      <c r="FB40" s="286"/>
      <c r="FC40" s="286"/>
      <c r="FD40" s="287">
        <f>_xlfn.IFNA((VLOOKUP($A40,HN!$A:$M,8,FALSE)/12),0)</f>
        <v>0</v>
      </c>
      <c r="FE40" s="287">
        <f>_xlfn.IFNA((VLOOKUP($A40,HN!$A:$M,12,FALSE)/12),0)</f>
        <v>8000</v>
      </c>
      <c r="FF40" s="287">
        <f>_xlfn.IFNA((VLOOKUP($A40,HN!$A:$M,9,FALSE)/12),0)</f>
        <v>0</v>
      </c>
      <c r="FG40" s="287">
        <f>_xlfn.IFNA((VLOOKUP($A40,'Post 16'!$A:$AG,33,FALSE)/8),0)</f>
        <v>0</v>
      </c>
      <c r="FH40" s="287"/>
      <c r="FI40" s="287">
        <f>_xlfn.IFNA(((VLOOKUP($A40,HN!$A:$M,10,FALSE)-$U40-$AK40)/10),0)</f>
        <v>0</v>
      </c>
      <c r="FJ40" s="287">
        <f>_xlfn.IFNA(((VLOOKUP($A40,HN!$A:$M,13,FALSE)-$V40-$AL40)/10),0)</f>
        <v>25046.976333333336</v>
      </c>
      <c r="FK40" s="286">
        <f t="shared" ref="FK40:FK71" si="93">$I40/12</f>
        <v>-873.57499999999993</v>
      </c>
      <c r="FL40" s="286">
        <f t="shared" ref="FL40:FL71" si="94">$J40/12</f>
        <v>-3433.8053749999999</v>
      </c>
      <c r="FM40" s="287"/>
      <c r="FN40" s="287"/>
      <c r="FO40" s="287"/>
      <c r="FP40" s="286">
        <f t="shared" ref="FP40:FP71" si="95">SUM(FA40:FO40)</f>
        <v>233652.90604716016</v>
      </c>
      <c r="FQ40" s="293">
        <f t="shared" ref="FQ40:FQ71" si="96">$H40/12</f>
        <v>204913.31008882684</v>
      </c>
      <c r="FR40" s="293"/>
      <c r="FS40" s="293"/>
      <c r="FT40" s="294">
        <f>_xlfn.IFNA((VLOOKUP($A40,HN!$A:$M,8,FALSE)/12),0)</f>
        <v>0</v>
      </c>
      <c r="FU40" s="294">
        <f>_xlfn.IFNA((VLOOKUP($A40,HN!$A:$M,12,FALSE)/12),0)</f>
        <v>8000</v>
      </c>
      <c r="FV40" s="294">
        <f>_xlfn.IFNA((VLOOKUP($A40,HN!$A:$M,9,FALSE)/12),0)</f>
        <v>0</v>
      </c>
      <c r="FW40" s="294">
        <f>_xlfn.IFNA((VLOOKUP($A40,'Post 16'!$A:$AG,33,FALSE)/8),0)</f>
        <v>0</v>
      </c>
      <c r="FX40" s="294"/>
      <c r="FY40" s="294">
        <f>_xlfn.IFNA(((VLOOKUP($A40,HN!$A:$M,10,FALSE)-$U40-$AK40)/10),0)</f>
        <v>0</v>
      </c>
      <c r="FZ40" s="294">
        <f>_xlfn.IFNA(((VLOOKUP($A40,HN!$A:$M,13,FALSE)-$V40-$AL40)/10),0)</f>
        <v>25046.976333333336</v>
      </c>
      <c r="GA40" s="293">
        <f t="shared" ref="GA40:GA71" si="97">$I40/12</f>
        <v>-873.57499999999993</v>
      </c>
      <c r="GB40" s="293">
        <f t="shared" ref="GB40:GB71" si="98">$J40/12</f>
        <v>-3433.8053749999999</v>
      </c>
      <c r="GC40" s="294"/>
      <c r="GD40" s="294"/>
      <c r="GE40" s="294"/>
      <c r="GF40" s="293">
        <f t="shared" ref="GF40:GF71" si="99">SUM(FQ40:GE40)</f>
        <v>233652.90604716016</v>
      </c>
      <c r="GG40" s="300">
        <f t="shared" ref="GG40:GG71" si="100">$H40/12</f>
        <v>204913.31008882684</v>
      </c>
      <c r="GH40" s="300"/>
      <c r="GI40" s="300"/>
      <c r="GJ40" s="301">
        <f>_xlfn.IFNA((VLOOKUP($A40,HN!$A:$M,8,FALSE)/12),0)</f>
        <v>0</v>
      </c>
      <c r="GK40" s="301">
        <f>_xlfn.IFNA((VLOOKUP($A40,HN!$A:$M,12,FALSE)/12),0)</f>
        <v>8000</v>
      </c>
      <c r="GL40" s="301">
        <f>_xlfn.IFNA((VLOOKUP($A40,HN!$A:$M,9,FALSE)/12),0)</f>
        <v>0</v>
      </c>
      <c r="GM40" s="301">
        <f>_xlfn.IFNA((VLOOKUP($A40,'Post 16'!$A:$AG,33,FALSE)/8),0)</f>
        <v>0</v>
      </c>
      <c r="GN40" s="301"/>
      <c r="GO40" s="301">
        <f>_xlfn.IFNA(((VLOOKUP($A40,HN!$A:$M,10,FALSE)-$U40-$AK40)/10),0)</f>
        <v>0</v>
      </c>
      <c r="GP40" s="301">
        <f>_xlfn.IFNA(((VLOOKUP($A40,HN!$A:$M,13,FALSE)-$V40-$AL40)/10),0)</f>
        <v>25046.976333333336</v>
      </c>
      <c r="GQ40" s="300">
        <f t="shared" ref="GQ40:GQ71" si="101">$I40/12</f>
        <v>-873.57499999999993</v>
      </c>
      <c r="GR40" s="300">
        <f t="shared" ref="GR40:GR71" si="102">$J40/12</f>
        <v>-3433.8053749999999</v>
      </c>
      <c r="GS40" s="301"/>
      <c r="GT40" s="301"/>
      <c r="GU40" s="301"/>
      <c r="GV40" s="300">
        <f t="shared" ref="GV40:GV71" si="103">SUM(GG40:GU40)</f>
        <v>233652.90604716016</v>
      </c>
      <c r="GX40" s="146">
        <f t="shared" si="54"/>
        <v>2603038.1229551188</v>
      </c>
      <c r="GY40" s="146">
        <f t="shared" si="54"/>
        <v>0</v>
      </c>
      <c r="GZ40" s="146">
        <f t="shared" si="54"/>
        <v>310177.15000000002</v>
      </c>
      <c r="HA40" s="146">
        <f t="shared" si="54"/>
        <v>-10482.900000000001</v>
      </c>
      <c r="HB40" s="146">
        <f t="shared" si="54"/>
        <v>-41205.664499999999</v>
      </c>
      <c r="HC40" s="146">
        <f t="shared" si="54"/>
        <v>0</v>
      </c>
      <c r="HE40" s="146">
        <f t="shared" si="55"/>
        <v>666020.41215567722</v>
      </c>
      <c r="HF40" s="146">
        <f t="shared" si="55"/>
        <v>0</v>
      </c>
      <c r="HG40" s="146">
        <f t="shared" si="55"/>
        <v>84754.363000000012</v>
      </c>
      <c r="HH40" s="146">
        <f t="shared" si="55"/>
        <v>-2620.7249999999999</v>
      </c>
      <c r="HI40" s="146">
        <f t="shared" si="55"/>
        <v>-10301.416125</v>
      </c>
      <c r="HJ40" s="146">
        <f t="shared" si="55"/>
        <v>0</v>
      </c>
      <c r="HL40" s="146"/>
      <c r="HM40" s="57"/>
    </row>
    <row r="41" spans="1:221">
      <c r="A41" s="185">
        <v>2251</v>
      </c>
      <c r="B41" s="185">
        <v>103298</v>
      </c>
      <c r="C41" s="185" t="s">
        <v>104</v>
      </c>
      <c r="D41" s="2" t="s">
        <v>105</v>
      </c>
      <c r="E41" s="190" t="s">
        <v>39</v>
      </c>
      <c r="F41" s="190" t="s">
        <v>890</v>
      </c>
      <c r="H41" s="271">
        <f>_xlfn.IFNA(VLOOKUP($A41,ISB!$A$4:$BY$441,67,FALSE),0)</f>
        <v>2175287.7114855275</v>
      </c>
      <c r="I41" s="271">
        <f>_xlfn.IFNA(VLOOKUP($A41,ISB!$A$4:$BY$441,72,FALSE),0)</f>
        <v>-10408.199999999999</v>
      </c>
      <c r="J41" s="271">
        <f>-_xlfn.IFNA(VLOOKUP($A41,ISB!$A$4:$BY$441,76,FALSE),0)</f>
        <v>-15444.920400000001</v>
      </c>
      <c r="K41" s="271">
        <f>_xlfn.IFNA(VLOOKUP($A41,ISB!$A$4:$BY$441,77,FALSE),0)</f>
        <v>2149434.5910855271</v>
      </c>
      <c r="M41" s="279">
        <f t="shared" si="56"/>
        <v>181273.97595712729</v>
      </c>
      <c r="N41" s="279"/>
      <c r="O41" s="279">
        <f>_xlfn.IFNA(VLOOKUP($A41,EY!$A:$H,8,FALSE)+(VLOOKUP($A41,EY!$A:$R,18,FALSE)-$T41),0)</f>
        <v>44755.195789473684</v>
      </c>
      <c r="P41" s="280">
        <f>_xlfn.IFNA((VLOOKUP($A41,HN!$A:$M,8,FALSE)/12),0)</f>
        <v>0</v>
      </c>
      <c r="Q41" s="280">
        <f>_xlfn.IFNA((VLOOKUP($A41,HN!$A:$M,12,FALSE)/12),0)</f>
        <v>0</v>
      </c>
      <c r="R41" s="280">
        <f>_xlfn.IFNA((VLOOKUP($A41,HN!$A:$M,9,FALSE)/12),0)</f>
        <v>0</v>
      </c>
      <c r="S41" s="280">
        <f>_xlfn.IFNA((VLOOKUP($A41,'Post 16'!$A:$AR,22,FALSE)/4),0)</f>
        <v>0</v>
      </c>
      <c r="T41" s="280">
        <f>_xlfn.IFNA((VLOOKUP($A41,EY!$A:$R,16,FALSE)*80%),0)</f>
        <v>0</v>
      </c>
      <c r="U41" s="280">
        <v>16972.423333333336</v>
      </c>
      <c r="V41" s="280">
        <v>0</v>
      </c>
      <c r="W41" s="279">
        <f t="shared" si="57"/>
        <v>-867.34999999999991</v>
      </c>
      <c r="X41" s="279">
        <f t="shared" si="58"/>
        <v>-1287.0767000000001</v>
      </c>
      <c r="Y41" s="280"/>
      <c r="Z41" s="280"/>
      <c r="AA41" s="280"/>
      <c r="AB41" s="279">
        <f t="shared" si="59"/>
        <v>240847.1683799343</v>
      </c>
      <c r="AC41" s="293">
        <f t="shared" si="60"/>
        <v>181273.97595712729</v>
      </c>
      <c r="AD41" s="293"/>
      <c r="AE41" s="293"/>
      <c r="AF41" s="294">
        <f>_xlfn.IFNA((VLOOKUP($A41,HN!$A:$M,8,FALSE)/12),0)</f>
        <v>0</v>
      </c>
      <c r="AG41" s="294">
        <f>_xlfn.IFNA((VLOOKUP($A41,HN!$A:$M,12,FALSE)/12),0)+_xlfn.IFNA(VLOOKUP($A41,HN!$A:$Q,17,FALSE),0)</f>
        <v>0</v>
      </c>
      <c r="AH41" s="294">
        <f>_xlfn.IFNA((VLOOKUP($A41,HN!$A:$M,9,FALSE)/12),0)</f>
        <v>0</v>
      </c>
      <c r="AI41" s="294">
        <f>_xlfn.IFNA((VLOOKUP($A41,'Post 16'!$A:$AR,22,FALSE)/4),0)</f>
        <v>0</v>
      </c>
      <c r="AJ41" s="294"/>
      <c r="AK41" s="294">
        <f>_xlfn.IFNA((VLOOKUP($A41,HN!$A:$M,10,FALSE)/12),0)</f>
        <v>5873.4241666666667</v>
      </c>
      <c r="AL41" s="294">
        <f>_xlfn.IFNA((VLOOKUP($A41,HN!$A:$M,13,FALSE)/12),0)</f>
        <v>0</v>
      </c>
      <c r="AM41" s="293">
        <f t="shared" si="61"/>
        <v>-867.34999999999991</v>
      </c>
      <c r="AN41" s="293">
        <f t="shared" si="62"/>
        <v>-1287.0767000000001</v>
      </c>
      <c r="AO41" s="294"/>
      <c r="AP41" s="294"/>
      <c r="AQ41" s="294"/>
      <c r="AR41" s="293">
        <f t="shared" si="63"/>
        <v>184992.97342379394</v>
      </c>
      <c r="AS41" s="286">
        <f t="shared" si="64"/>
        <v>181273.97595712729</v>
      </c>
      <c r="AT41" s="286"/>
      <c r="AU41" s="286">
        <f>_xlfn.IFNA(VLOOKUP(A41,EY!A:AO,40,FALSE),0)</f>
        <v>12273.372077562333</v>
      </c>
      <c r="AV41" s="287">
        <f>_xlfn.IFNA((VLOOKUP($A41,HN!$A:$M,8,FALSE)/12),0)</f>
        <v>0</v>
      </c>
      <c r="AW41" s="287">
        <f>_xlfn.IFNA((VLOOKUP($A41,HN!$A:$M,12,FALSE)/12),0)+_xlfn.IFNA(VLOOKUP($A41,HN!$A$8:$AU$200,19,FALSE),0)</f>
        <v>0</v>
      </c>
      <c r="AX41" s="287">
        <f>_xlfn.IFNA((VLOOKUP($A41,HN!$A:$M,9,FALSE)/12),0)</f>
        <v>0</v>
      </c>
      <c r="AY41" s="287">
        <f>_xlfn.IFNA((VLOOKUP($A41,'Post 16'!$A:$AR,22,FALSE)/4),0)</f>
        <v>0</v>
      </c>
      <c r="AZ41" s="287">
        <f>_xlfn.IFNA(VLOOKUP(A41,EY!A:AO,41,FALSE),0)</f>
        <v>-74.832132963988926</v>
      </c>
      <c r="BA41" s="287">
        <f>_xlfn.IFNA(((VLOOKUP($A41,HN!$A:$M,10,FALSE)-$U41-$AK41)/10),0)+_xlfn.IFNA(VLOOKUP($A41,HN!$A:$R,18,FALSE),0)</f>
        <v>4763.5242499999995</v>
      </c>
      <c r="BB41" s="287">
        <f>_xlfn.IFNA(((VLOOKUP($A41,HN!$A:$M,13,FALSE)-$V41-$AL41)/10),0)+_xlfn.IFNA(VLOOKUP($A41,HN!$A$8:$AU$200,20,FALSE),0)</f>
        <v>0</v>
      </c>
      <c r="BC41" s="286">
        <f t="shared" si="65"/>
        <v>-867.34999999999991</v>
      </c>
      <c r="BD41" s="286">
        <f t="shared" si="66"/>
        <v>-1287.0767000000001</v>
      </c>
      <c r="BE41" s="287"/>
      <c r="BF41" s="287"/>
      <c r="BG41" s="287"/>
      <c r="BH41" s="286">
        <f t="shared" si="67"/>
        <v>196081.6134517256</v>
      </c>
      <c r="BI41" s="307">
        <f t="shared" si="68"/>
        <v>181273.97595712729</v>
      </c>
      <c r="BJ41" s="307">
        <f>_xlfn.IFNA(VLOOKUP(A41,'LA Deductions'!A:AH,34,FALSE),0)</f>
        <v>0</v>
      </c>
      <c r="BK41" s="307"/>
      <c r="BL41" s="308">
        <f>_xlfn.IFNA((VLOOKUP($A41,HN!$A:$M,8,FALSE)/12),0)</f>
        <v>0</v>
      </c>
      <c r="BM41" s="308">
        <f>_xlfn.IFNA((VLOOKUP($A41,HN!$A:$M,12,FALSE)/12),0)</f>
        <v>0</v>
      </c>
      <c r="BN41" s="308">
        <f>_xlfn.IFNA((VLOOKUP($A41,HN!$A:$M,9,FALSE)/12),0)</f>
        <v>0</v>
      </c>
      <c r="BO41" s="308">
        <f>_xlfn.IFNA((VLOOKUP($A41,'Post 16'!$A:$AR,22,FALSE)/4),0)</f>
        <v>0</v>
      </c>
      <c r="BP41" s="308"/>
      <c r="BQ41" s="308">
        <f>_xlfn.IFNA(((VLOOKUP($A41,HN!$A:$M,10,FALSE)-$U41-$AK41)/10),0)</f>
        <v>4763.5242499999995</v>
      </c>
      <c r="BR41" s="308">
        <f>_xlfn.IFNA(((VLOOKUP($A41,HN!$A:$M,13,FALSE)-$V41-$AL41)/10),0)</f>
        <v>0</v>
      </c>
      <c r="BS41" s="307">
        <f t="shared" si="69"/>
        <v>-867.34999999999991</v>
      </c>
      <c r="BT41" s="307">
        <f t="shared" si="70"/>
        <v>-1287.0767000000001</v>
      </c>
      <c r="BU41" s="308"/>
      <c r="BV41" s="308"/>
      <c r="BW41" s="308"/>
      <c r="BX41" s="307">
        <f t="shared" si="71"/>
        <v>183883.07350712726</v>
      </c>
      <c r="BY41" s="300">
        <f t="shared" si="72"/>
        <v>181273.97595712729</v>
      </c>
      <c r="BZ41" s="300"/>
      <c r="CA41" s="300"/>
      <c r="CB41" s="301">
        <f>_xlfn.IFNA((VLOOKUP($A41,HN!$A:$M,8,FALSE)/12),0)</f>
        <v>0</v>
      </c>
      <c r="CC41" s="301">
        <f>_xlfn.IFNA((VLOOKUP($A41,HN!$A:$M,12,FALSE)/12),0)</f>
        <v>0</v>
      </c>
      <c r="CD41" s="301">
        <f>_xlfn.IFNA((VLOOKUP($A41,HN!$A:$M,9,FALSE)/12),0)</f>
        <v>0</v>
      </c>
      <c r="CE41" s="301">
        <f>_xlfn.IFNA((VLOOKUP($A41,'Post 16'!$A:$AG,33,FALSE)/8),0)</f>
        <v>0</v>
      </c>
      <c r="CF41" s="301"/>
      <c r="CG41" s="301">
        <f>_xlfn.IFNA(((VLOOKUP($A41,HN!$A:$M,10,FALSE)-$U41-$AK41)/10),0)</f>
        <v>4763.5242499999995</v>
      </c>
      <c r="CH41" s="301">
        <f>_xlfn.IFNA(((VLOOKUP($A41,HN!$A:$M,13,FALSE)-$V41-$AL41)/10),0)</f>
        <v>0</v>
      </c>
      <c r="CI41" s="300">
        <f t="shared" si="73"/>
        <v>-867.34999999999991</v>
      </c>
      <c r="CJ41" s="300">
        <f t="shared" si="74"/>
        <v>-1287.0767000000001</v>
      </c>
      <c r="CK41" s="301"/>
      <c r="CL41" s="301"/>
      <c r="CM41" s="301"/>
      <c r="CN41" s="300">
        <f t="shared" si="75"/>
        <v>183883.07350712726</v>
      </c>
      <c r="CO41" s="332">
        <f t="shared" si="76"/>
        <v>181273.97595712729</v>
      </c>
      <c r="CP41" s="332"/>
      <c r="CQ41" s="332">
        <f>_xlfn.IFNA((VLOOKUP($A41,EY!$A:$AB,28,FALSE)-$CV41),0)</f>
        <v>49686.832000000002</v>
      </c>
      <c r="CR41" s="333">
        <f>_xlfn.IFNA((VLOOKUP($A41,HN!$A:$M,8,FALSE)/12),0)</f>
        <v>0</v>
      </c>
      <c r="CS41" s="333">
        <f>_xlfn.IFNA((VLOOKUP($A41,HN!$A:$M,12,FALSE)/12),0)</f>
        <v>0</v>
      </c>
      <c r="CT41" s="333">
        <f>_xlfn.IFNA((VLOOKUP($A41,HN!$A:$M,9,FALSE)/12),0)</f>
        <v>0</v>
      </c>
      <c r="CU41" s="333">
        <f>_xlfn.IFNA((VLOOKUP($A41,'Post 16'!$A:$AG,33,FALSE)/8),0)</f>
        <v>0</v>
      </c>
      <c r="CV41" s="333">
        <f>_xlfn.IFNA((VLOOKUP($A41,EY!$A:$AB,26,FALSE)*80%),0)</f>
        <v>0</v>
      </c>
      <c r="CW41" s="333">
        <f>_xlfn.IFNA(((VLOOKUP($A41,HN!$A:$M,10,FALSE)-$U41-$AK41)/10),0)</f>
        <v>4763.5242499999995</v>
      </c>
      <c r="CX41" s="333">
        <f>_xlfn.IFNA(((VLOOKUP($A41,HN!$A:$M,13,FALSE)-$V41-$AL41)/10),0)</f>
        <v>0</v>
      </c>
      <c r="CY41" s="332">
        <f t="shared" si="77"/>
        <v>-867.34999999999991</v>
      </c>
      <c r="CZ41" s="332">
        <f t="shared" si="78"/>
        <v>-1287.0767000000001</v>
      </c>
      <c r="DA41" s="333"/>
      <c r="DB41" s="333"/>
      <c r="DC41" s="333"/>
      <c r="DD41" s="332">
        <f t="shared" si="79"/>
        <v>233569.90550712726</v>
      </c>
      <c r="DE41" s="314">
        <f t="shared" si="80"/>
        <v>181273.97595712729</v>
      </c>
      <c r="DF41" s="314"/>
      <c r="DG41" s="314"/>
      <c r="DH41" s="315">
        <f>_xlfn.IFNA((VLOOKUP($A41,HN!$A:$M,8,FALSE)/12),0)</f>
        <v>0</v>
      </c>
      <c r="DI41" s="315">
        <f>_xlfn.IFNA((VLOOKUP($A41,HN!$A:$M,12,FALSE)/12),0)</f>
        <v>0</v>
      </c>
      <c r="DJ41" s="315">
        <f>_xlfn.IFNA((VLOOKUP($A41,HN!$A:$M,9,FALSE)/12),0)</f>
        <v>0</v>
      </c>
      <c r="DK41" s="315">
        <f>_xlfn.IFNA((VLOOKUP($A41,'Post 16'!$A:$AG,33,FALSE)/8),0)</f>
        <v>0</v>
      </c>
      <c r="DL41" s="315"/>
      <c r="DM41" s="315">
        <f>_xlfn.IFNA(((VLOOKUP($A41,HN!$A:$M,10,FALSE)-$U41-$AK41)/10),0)</f>
        <v>4763.5242499999995</v>
      </c>
      <c r="DN41" s="315">
        <f>_xlfn.IFNA(((VLOOKUP($A41,HN!$A:$M,13,FALSE)-$V41-$AL41)/10),0)</f>
        <v>0</v>
      </c>
      <c r="DO41" s="314">
        <f t="shared" si="81"/>
        <v>-867.34999999999991</v>
      </c>
      <c r="DP41" s="314">
        <f t="shared" si="82"/>
        <v>-1287.0767000000001</v>
      </c>
      <c r="DQ41" s="315"/>
      <c r="DR41" s="315"/>
      <c r="DS41" s="315"/>
      <c r="DT41" s="314">
        <f t="shared" si="83"/>
        <v>183883.07350712726</v>
      </c>
      <c r="DU41" s="307">
        <f t="shared" si="84"/>
        <v>181273.97595712729</v>
      </c>
      <c r="DV41" s="307"/>
      <c r="DW41" s="307"/>
      <c r="DX41" s="308">
        <f>_xlfn.IFNA((VLOOKUP($A41,HN!$A:$M,8,FALSE)/12),0)</f>
        <v>0</v>
      </c>
      <c r="DY41" s="308">
        <f>_xlfn.IFNA((VLOOKUP($A41,HN!$A:$M,12,FALSE)/12),0)</f>
        <v>0</v>
      </c>
      <c r="DZ41" s="308">
        <f>_xlfn.IFNA((VLOOKUP($A41,HN!$A:$M,9,FALSE)/12),0)</f>
        <v>0</v>
      </c>
      <c r="EA41" s="308">
        <f>_xlfn.IFNA((VLOOKUP($A41,'Post 16'!$A:$AG,33,FALSE)/8),0)</f>
        <v>0</v>
      </c>
      <c r="EB41" s="308"/>
      <c r="EC41" s="308">
        <f>_xlfn.IFNA(((VLOOKUP($A41,HN!$A:$M,10,FALSE)-$U41-$AK41)/10),0)</f>
        <v>4763.5242499999995</v>
      </c>
      <c r="ED41" s="308">
        <f>_xlfn.IFNA(((VLOOKUP($A41,HN!$A:$M,13,FALSE)-$V41-$AL41)/10),0)</f>
        <v>0</v>
      </c>
      <c r="EE41" s="307">
        <f t="shared" si="85"/>
        <v>-867.34999999999991</v>
      </c>
      <c r="EF41" s="307">
        <f t="shared" si="86"/>
        <v>-1287.0767000000001</v>
      </c>
      <c r="EG41" s="308"/>
      <c r="EH41" s="308"/>
      <c r="EI41" s="308"/>
      <c r="EJ41" s="307">
        <f t="shared" si="87"/>
        <v>183883.07350712726</v>
      </c>
      <c r="EK41" s="320">
        <f t="shared" si="88"/>
        <v>181273.97595712729</v>
      </c>
      <c r="EL41" s="320"/>
      <c r="EM41" s="320"/>
      <c r="EN41" s="321">
        <f>_xlfn.IFNA((VLOOKUP($A41,HN!$A:$M,8,FALSE)/12),0)</f>
        <v>0</v>
      </c>
      <c r="EO41" s="321">
        <f>_xlfn.IFNA((VLOOKUP($A41,HN!$A:$M,12,FALSE)/12),0)</f>
        <v>0</v>
      </c>
      <c r="EP41" s="321">
        <f>_xlfn.IFNA((VLOOKUP($A41,HN!$A:$M,9,FALSE)/12),0)</f>
        <v>0</v>
      </c>
      <c r="EQ41" s="321">
        <f>_xlfn.IFNA((VLOOKUP($A41,'Post 16'!$A:$AG,33,FALSE)/8),0)</f>
        <v>0</v>
      </c>
      <c r="ER41" s="321"/>
      <c r="ES41" s="321">
        <f>_xlfn.IFNA(((VLOOKUP($A41,HN!$A:$M,10,FALSE)-$U41-$AK41)/10),0)</f>
        <v>4763.5242499999995</v>
      </c>
      <c r="ET41" s="321">
        <f>_xlfn.IFNA(((VLOOKUP($A41,HN!$A:$M,13,FALSE)-$V41-$AL41)/10),0)</f>
        <v>0</v>
      </c>
      <c r="EU41" s="320">
        <f t="shared" si="89"/>
        <v>-867.34999999999991</v>
      </c>
      <c r="EV41" s="320">
        <f t="shared" si="90"/>
        <v>-1287.0767000000001</v>
      </c>
      <c r="EW41" s="321"/>
      <c r="EX41" s="321"/>
      <c r="EY41" s="321"/>
      <c r="EZ41" s="320">
        <f t="shared" si="91"/>
        <v>183883.07350712726</v>
      </c>
      <c r="FA41" s="286">
        <f t="shared" si="92"/>
        <v>181273.97595712729</v>
      </c>
      <c r="FB41" s="286"/>
      <c r="FC41" s="286"/>
      <c r="FD41" s="287">
        <f>_xlfn.IFNA((VLOOKUP($A41,HN!$A:$M,8,FALSE)/12),0)</f>
        <v>0</v>
      </c>
      <c r="FE41" s="287">
        <f>_xlfn.IFNA((VLOOKUP($A41,HN!$A:$M,12,FALSE)/12),0)</f>
        <v>0</v>
      </c>
      <c r="FF41" s="287">
        <f>_xlfn.IFNA((VLOOKUP($A41,HN!$A:$M,9,FALSE)/12),0)</f>
        <v>0</v>
      </c>
      <c r="FG41" s="287">
        <f>_xlfn.IFNA((VLOOKUP($A41,'Post 16'!$A:$AG,33,FALSE)/8),0)</f>
        <v>0</v>
      </c>
      <c r="FH41" s="287"/>
      <c r="FI41" s="287">
        <f>_xlfn.IFNA(((VLOOKUP($A41,HN!$A:$M,10,FALSE)-$U41-$AK41)/10),0)</f>
        <v>4763.5242499999995</v>
      </c>
      <c r="FJ41" s="287">
        <f>_xlfn.IFNA(((VLOOKUP($A41,HN!$A:$M,13,FALSE)-$V41-$AL41)/10),0)</f>
        <v>0</v>
      </c>
      <c r="FK41" s="286">
        <f t="shared" si="93"/>
        <v>-867.34999999999991</v>
      </c>
      <c r="FL41" s="286">
        <f t="shared" si="94"/>
        <v>-1287.0767000000001</v>
      </c>
      <c r="FM41" s="287"/>
      <c r="FN41" s="287"/>
      <c r="FO41" s="287"/>
      <c r="FP41" s="286">
        <f t="shared" si="95"/>
        <v>183883.07350712726</v>
      </c>
      <c r="FQ41" s="293">
        <f t="shared" si="96"/>
        <v>181273.97595712729</v>
      </c>
      <c r="FR41" s="293"/>
      <c r="FS41" s="293"/>
      <c r="FT41" s="294">
        <f>_xlfn.IFNA((VLOOKUP($A41,HN!$A:$M,8,FALSE)/12),0)</f>
        <v>0</v>
      </c>
      <c r="FU41" s="294">
        <f>_xlfn.IFNA((VLOOKUP($A41,HN!$A:$M,12,FALSE)/12),0)</f>
        <v>0</v>
      </c>
      <c r="FV41" s="294">
        <f>_xlfn.IFNA((VLOOKUP($A41,HN!$A:$M,9,FALSE)/12),0)</f>
        <v>0</v>
      </c>
      <c r="FW41" s="294">
        <f>_xlfn.IFNA((VLOOKUP($A41,'Post 16'!$A:$AG,33,FALSE)/8),0)</f>
        <v>0</v>
      </c>
      <c r="FX41" s="294"/>
      <c r="FY41" s="294">
        <f>_xlfn.IFNA(((VLOOKUP($A41,HN!$A:$M,10,FALSE)-$U41-$AK41)/10),0)</f>
        <v>4763.5242499999995</v>
      </c>
      <c r="FZ41" s="294">
        <f>_xlfn.IFNA(((VLOOKUP($A41,HN!$A:$M,13,FALSE)-$V41-$AL41)/10),0)</f>
        <v>0</v>
      </c>
      <c r="GA41" s="293">
        <f t="shared" si="97"/>
        <v>-867.34999999999991</v>
      </c>
      <c r="GB41" s="293">
        <f t="shared" si="98"/>
        <v>-1287.0767000000001</v>
      </c>
      <c r="GC41" s="294"/>
      <c r="GD41" s="294"/>
      <c r="GE41" s="294"/>
      <c r="GF41" s="293">
        <f t="shared" si="99"/>
        <v>183883.07350712726</v>
      </c>
      <c r="GG41" s="300">
        <f t="shared" si="100"/>
        <v>181273.97595712729</v>
      </c>
      <c r="GH41" s="300"/>
      <c r="GI41" s="300"/>
      <c r="GJ41" s="301">
        <f>_xlfn.IFNA((VLOOKUP($A41,HN!$A:$M,8,FALSE)/12),0)</f>
        <v>0</v>
      </c>
      <c r="GK41" s="301">
        <f>_xlfn.IFNA((VLOOKUP($A41,HN!$A:$M,12,FALSE)/12),0)</f>
        <v>0</v>
      </c>
      <c r="GL41" s="301">
        <f>_xlfn.IFNA((VLOOKUP($A41,HN!$A:$M,9,FALSE)/12),0)</f>
        <v>0</v>
      </c>
      <c r="GM41" s="301">
        <f>_xlfn.IFNA((VLOOKUP($A41,'Post 16'!$A:$AG,33,FALSE)/8),0)</f>
        <v>0</v>
      </c>
      <c r="GN41" s="301"/>
      <c r="GO41" s="301">
        <f>_xlfn.IFNA(((VLOOKUP($A41,HN!$A:$M,10,FALSE)-$U41-$AK41)/10),0)</f>
        <v>4763.5242499999995</v>
      </c>
      <c r="GP41" s="301">
        <f>_xlfn.IFNA(((VLOOKUP($A41,HN!$A:$M,13,FALSE)-$V41-$AL41)/10),0)</f>
        <v>0</v>
      </c>
      <c r="GQ41" s="300">
        <f t="shared" si="101"/>
        <v>-867.34999999999991</v>
      </c>
      <c r="GR41" s="300">
        <f t="shared" si="102"/>
        <v>-1287.0767000000001</v>
      </c>
      <c r="GS41" s="301"/>
      <c r="GT41" s="301"/>
      <c r="GU41" s="301"/>
      <c r="GV41" s="300">
        <f t="shared" si="103"/>
        <v>183883.07350712726</v>
      </c>
      <c r="GX41" s="146">
        <f t="shared" si="54"/>
        <v>2282003.1113525634</v>
      </c>
      <c r="GY41" s="146">
        <f t="shared" si="54"/>
        <v>0</v>
      </c>
      <c r="GZ41" s="146">
        <f t="shared" si="54"/>
        <v>70406.257867036024</v>
      </c>
      <c r="HA41" s="146">
        <f t="shared" si="54"/>
        <v>-10408.200000000003</v>
      </c>
      <c r="HB41" s="146">
        <f t="shared" si="54"/>
        <v>-15444.920399999997</v>
      </c>
      <c r="HC41" s="146">
        <f t="shared" si="54"/>
        <v>0</v>
      </c>
      <c r="HE41" s="146">
        <f t="shared" si="55"/>
        <v>600850.49573841796</v>
      </c>
      <c r="HF41" s="146">
        <f t="shared" si="55"/>
        <v>0</v>
      </c>
      <c r="HG41" s="146">
        <f t="shared" si="55"/>
        <v>27534.539617036015</v>
      </c>
      <c r="HH41" s="146">
        <f t="shared" si="55"/>
        <v>-2602.0499999999997</v>
      </c>
      <c r="HI41" s="146">
        <f t="shared" si="55"/>
        <v>-3861.2301000000002</v>
      </c>
      <c r="HJ41" s="146">
        <f t="shared" si="55"/>
        <v>0</v>
      </c>
      <c r="HL41" s="146"/>
      <c r="HM41" s="57"/>
    </row>
    <row r="42" spans="1:221">
      <c r="A42" s="185">
        <v>3002</v>
      </c>
      <c r="B42" s="185">
        <v>103397</v>
      </c>
      <c r="C42" s="185" t="s">
        <v>106</v>
      </c>
      <c r="D42" s="2" t="s">
        <v>107</v>
      </c>
      <c r="E42" s="190" t="s">
        <v>39</v>
      </c>
      <c r="F42" s="190" t="s">
        <v>890</v>
      </c>
      <c r="H42" s="271">
        <f>_xlfn.IFNA(VLOOKUP($A42,ISB!$A$4:$BY$441,67,FALSE),0)</f>
        <v>1267383.7553740244</v>
      </c>
      <c r="I42" s="271">
        <f>_xlfn.IFNA(VLOOKUP($A42,ISB!$A$4:$BY$441,72,FALSE),0)</f>
        <v>-4457.0999999999995</v>
      </c>
      <c r="J42" s="271">
        <f>-_xlfn.IFNA(VLOOKUP($A42,ISB!$A$4:$BY$441,76,FALSE),0)</f>
        <v>-19882.717400000001</v>
      </c>
      <c r="K42" s="271">
        <f>_xlfn.IFNA(VLOOKUP($A42,ISB!$A$4:$BY$441,77,FALSE),0)</f>
        <v>1243043.9379740243</v>
      </c>
      <c r="M42" s="279">
        <f t="shared" si="56"/>
        <v>105615.31294783537</v>
      </c>
      <c r="N42" s="279"/>
      <c r="O42" s="279">
        <f>_xlfn.IFNA(VLOOKUP($A42,EY!$A:$H,8,FALSE)+(VLOOKUP($A42,EY!$A:$R,18,FALSE)-$T42),0)</f>
        <v>19038.864000000005</v>
      </c>
      <c r="P42" s="280">
        <f>_xlfn.IFNA((VLOOKUP($A42,HN!$A:$M,8,FALSE)/12),0)</f>
        <v>0</v>
      </c>
      <c r="Q42" s="280">
        <f>_xlfn.IFNA((VLOOKUP($A42,HN!$A:$M,12,FALSE)/12),0)</f>
        <v>0</v>
      </c>
      <c r="R42" s="280">
        <f>_xlfn.IFNA((VLOOKUP($A42,HN!$A:$M,9,FALSE)/12),0)</f>
        <v>0</v>
      </c>
      <c r="S42" s="280">
        <f>_xlfn.IFNA((VLOOKUP($A42,'Post 16'!$A:$AR,22,FALSE)/4),0)</f>
        <v>0</v>
      </c>
      <c r="T42" s="280">
        <f>_xlfn.IFNA((VLOOKUP($A42,EY!$A:$R,16,FALSE)*80%),0)</f>
        <v>0</v>
      </c>
      <c r="U42" s="280">
        <v>10454.666666666666</v>
      </c>
      <c r="V42" s="280">
        <v>0</v>
      </c>
      <c r="W42" s="279">
        <f t="shared" si="57"/>
        <v>-371.42499999999995</v>
      </c>
      <c r="X42" s="279">
        <f t="shared" si="58"/>
        <v>-1656.8931166666669</v>
      </c>
      <c r="Y42" s="280"/>
      <c r="Z42" s="280"/>
      <c r="AA42" s="280"/>
      <c r="AB42" s="279">
        <f t="shared" si="59"/>
        <v>133080.52549783536</v>
      </c>
      <c r="AC42" s="293">
        <f t="shared" si="60"/>
        <v>105615.31294783537</v>
      </c>
      <c r="AD42" s="293"/>
      <c r="AE42" s="293"/>
      <c r="AF42" s="294">
        <f>_xlfn.IFNA((VLOOKUP($A42,HN!$A:$M,8,FALSE)/12),0)</f>
        <v>0</v>
      </c>
      <c r="AG42" s="294">
        <f>_xlfn.IFNA((VLOOKUP($A42,HN!$A:$M,12,FALSE)/12),0)+_xlfn.IFNA(VLOOKUP($A42,HN!$A:$Q,17,FALSE),0)</f>
        <v>0</v>
      </c>
      <c r="AH42" s="294">
        <f>_xlfn.IFNA((VLOOKUP($A42,HN!$A:$M,9,FALSE)/12),0)</f>
        <v>0</v>
      </c>
      <c r="AI42" s="294">
        <f>_xlfn.IFNA((VLOOKUP($A42,'Post 16'!$A:$AR,22,FALSE)/4),0)</f>
        <v>0</v>
      </c>
      <c r="AJ42" s="294"/>
      <c r="AK42" s="294">
        <f>_xlfn.IFNA((VLOOKUP($A42,HN!$A:$M,10,FALSE)/12),0)</f>
        <v>3765.5</v>
      </c>
      <c r="AL42" s="294">
        <f>_xlfn.IFNA((VLOOKUP($A42,HN!$A:$M,13,FALSE)/12),0)</f>
        <v>0</v>
      </c>
      <c r="AM42" s="293">
        <f t="shared" si="61"/>
        <v>-371.42499999999995</v>
      </c>
      <c r="AN42" s="293">
        <f t="shared" si="62"/>
        <v>-1656.8931166666669</v>
      </c>
      <c r="AO42" s="294"/>
      <c r="AP42" s="294"/>
      <c r="AQ42" s="294"/>
      <c r="AR42" s="293">
        <f t="shared" si="63"/>
        <v>107352.49483116869</v>
      </c>
      <c r="AS42" s="286">
        <f t="shared" si="64"/>
        <v>105615.31294783537</v>
      </c>
      <c r="AT42" s="286"/>
      <c r="AU42" s="286">
        <f>_xlfn.IFNA(VLOOKUP(A42,EY!A:AO,40,FALSE),0)</f>
        <v>-7863.5967922437658</v>
      </c>
      <c r="AV42" s="287">
        <f>_xlfn.IFNA((VLOOKUP($A42,HN!$A:$M,8,FALSE)/12),0)</f>
        <v>0</v>
      </c>
      <c r="AW42" s="287">
        <f>_xlfn.IFNA((VLOOKUP($A42,HN!$A:$M,12,FALSE)/12),0)+_xlfn.IFNA(VLOOKUP($A42,HN!$A$8:$AU$200,19,FALSE),0)</f>
        <v>0</v>
      </c>
      <c r="AX42" s="287">
        <f>_xlfn.IFNA((VLOOKUP($A42,HN!$A:$M,9,FALSE)/12),0)</f>
        <v>0</v>
      </c>
      <c r="AY42" s="287">
        <f>_xlfn.IFNA((VLOOKUP($A42,'Post 16'!$A:$AR,22,FALSE)/4),0)</f>
        <v>0</v>
      </c>
      <c r="AZ42" s="287">
        <f>_xlfn.IFNA(VLOOKUP(A42,EY!A:AO,41,FALSE),0)</f>
        <v>0</v>
      </c>
      <c r="BA42" s="287">
        <f>_xlfn.IFNA(((VLOOKUP($A42,HN!$A:$M,10,FALSE)-$U42-$AK42)/10),0)+_xlfn.IFNA(VLOOKUP($A42,HN!$A:$R,18,FALSE),0)</f>
        <v>3096.5833333333335</v>
      </c>
      <c r="BB42" s="287">
        <f>_xlfn.IFNA(((VLOOKUP($A42,HN!$A:$M,13,FALSE)-$V42-$AL42)/10),0)+_xlfn.IFNA(VLOOKUP($A42,HN!$A$8:$AU$200,20,FALSE),0)</f>
        <v>0</v>
      </c>
      <c r="BC42" s="286">
        <f t="shared" si="65"/>
        <v>-371.42499999999995</v>
      </c>
      <c r="BD42" s="286">
        <f t="shared" si="66"/>
        <v>-1656.8931166666669</v>
      </c>
      <c r="BE42" s="287"/>
      <c r="BF42" s="287"/>
      <c r="BG42" s="287"/>
      <c r="BH42" s="286">
        <f t="shared" si="67"/>
        <v>98819.981372258248</v>
      </c>
      <c r="BI42" s="307">
        <f t="shared" si="68"/>
        <v>105615.31294783537</v>
      </c>
      <c r="BJ42" s="307">
        <f>_xlfn.IFNA(VLOOKUP(A42,'LA Deductions'!A:AH,34,FALSE),0)</f>
        <v>0</v>
      </c>
      <c r="BK42" s="307"/>
      <c r="BL42" s="308">
        <f>_xlfn.IFNA((VLOOKUP($A42,HN!$A:$M,8,FALSE)/12),0)</f>
        <v>0</v>
      </c>
      <c r="BM42" s="308">
        <f>_xlfn.IFNA((VLOOKUP($A42,HN!$A:$M,12,FALSE)/12),0)</f>
        <v>0</v>
      </c>
      <c r="BN42" s="308">
        <f>_xlfn.IFNA((VLOOKUP($A42,HN!$A:$M,9,FALSE)/12),0)</f>
        <v>0</v>
      </c>
      <c r="BO42" s="308">
        <f>_xlfn.IFNA((VLOOKUP($A42,'Post 16'!$A:$AR,22,FALSE)/4),0)</f>
        <v>0</v>
      </c>
      <c r="BP42" s="308"/>
      <c r="BQ42" s="308">
        <f>_xlfn.IFNA(((VLOOKUP($A42,HN!$A:$M,10,FALSE)-$U42-$AK42)/10),0)</f>
        <v>3096.5833333333335</v>
      </c>
      <c r="BR42" s="308">
        <f>_xlfn.IFNA(((VLOOKUP($A42,HN!$A:$M,13,FALSE)-$V42-$AL42)/10),0)</f>
        <v>0</v>
      </c>
      <c r="BS42" s="307">
        <f t="shared" si="69"/>
        <v>-371.42499999999995</v>
      </c>
      <c r="BT42" s="307">
        <f t="shared" si="70"/>
        <v>-1656.8931166666669</v>
      </c>
      <c r="BU42" s="308"/>
      <c r="BV42" s="308"/>
      <c r="BW42" s="308"/>
      <c r="BX42" s="307">
        <f t="shared" si="71"/>
        <v>106683.57816450202</v>
      </c>
      <c r="BY42" s="300">
        <f t="shared" si="72"/>
        <v>105615.31294783537</v>
      </c>
      <c r="BZ42" s="300"/>
      <c r="CA42" s="300"/>
      <c r="CB42" s="301">
        <f>_xlfn.IFNA((VLOOKUP($A42,HN!$A:$M,8,FALSE)/12),0)</f>
        <v>0</v>
      </c>
      <c r="CC42" s="301">
        <f>_xlfn.IFNA((VLOOKUP($A42,HN!$A:$M,12,FALSE)/12),0)</f>
        <v>0</v>
      </c>
      <c r="CD42" s="301">
        <f>_xlfn.IFNA((VLOOKUP($A42,HN!$A:$M,9,FALSE)/12),0)</f>
        <v>0</v>
      </c>
      <c r="CE42" s="301">
        <f>_xlfn.IFNA((VLOOKUP($A42,'Post 16'!$A:$AG,33,FALSE)/8),0)</f>
        <v>0</v>
      </c>
      <c r="CF42" s="301"/>
      <c r="CG42" s="301">
        <f>_xlfn.IFNA(((VLOOKUP($A42,HN!$A:$M,10,FALSE)-$U42-$AK42)/10),0)</f>
        <v>3096.5833333333335</v>
      </c>
      <c r="CH42" s="301">
        <f>_xlfn.IFNA(((VLOOKUP($A42,HN!$A:$M,13,FALSE)-$V42-$AL42)/10),0)</f>
        <v>0</v>
      </c>
      <c r="CI42" s="300">
        <f t="shared" si="73"/>
        <v>-371.42499999999995</v>
      </c>
      <c r="CJ42" s="300">
        <f t="shared" si="74"/>
        <v>-1656.8931166666669</v>
      </c>
      <c r="CK42" s="301"/>
      <c r="CL42" s="301"/>
      <c r="CM42" s="301"/>
      <c r="CN42" s="300">
        <f t="shared" si="75"/>
        <v>106683.57816450202</v>
      </c>
      <c r="CO42" s="332">
        <f t="shared" si="76"/>
        <v>105615.31294783537</v>
      </c>
      <c r="CP42" s="332"/>
      <c r="CQ42" s="332">
        <f>_xlfn.IFNA((VLOOKUP($A42,EY!$A:$AB,28,FALSE)-$CV42),0)</f>
        <v>10151.752</v>
      </c>
      <c r="CR42" s="333">
        <f>_xlfn.IFNA((VLOOKUP($A42,HN!$A:$M,8,FALSE)/12),0)</f>
        <v>0</v>
      </c>
      <c r="CS42" s="333">
        <f>_xlfn.IFNA((VLOOKUP($A42,HN!$A:$M,12,FALSE)/12),0)</f>
        <v>0</v>
      </c>
      <c r="CT42" s="333">
        <f>_xlfn.IFNA((VLOOKUP($A42,HN!$A:$M,9,FALSE)/12),0)</f>
        <v>0</v>
      </c>
      <c r="CU42" s="333">
        <f>_xlfn.IFNA((VLOOKUP($A42,'Post 16'!$A:$AG,33,FALSE)/8),0)</f>
        <v>0</v>
      </c>
      <c r="CV42" s="333">
        <f>_xlfn.IFNA((VLOOKUP($A42,EY!$A:$AB,26,FALSE)*80%),0)</f>
        <v>0</v>
      </c>
      <c r="CW42" s="333">
        <f>_xlfn.IFNA(((VLOOKUP($A42,HN!$A:$M,10,FALSE)-$U42-$AK42)/10),0)</f>
        <v>3096.5833333333335</v>
      </c>
      <c r="CX42" s="333">
        <f>_xlfn.IFNA(((VLOOKUP($A42,HN!$A:$M,13,FALSE)-$V42-$AL42)/10),0)</f>
        <v>0</v>
      </c>
      <c r="CY42" s="332">
        <f t="shared" si="77"/>
        <v>-371.42499999999995</v>
      </c>
      <c r="CZ42" s="332">
        <f t="shared" si="78"/>
        <v>-1656.8931166666669</v>
      </c>
      <c r="DA42" s="333"/>
      <c r="DB42" s="333"/>
      <c r="DC42" s="333"/>
      <c r="DD42" s="332">
        <f t="shared" si="79"/>
        <v>116835.33016450203</v>
      </c>
      <c r="DE42" s="314">
        <f t="shared" si="80"/>
        <v>105615.31294783537</v>
      </c>
      <c r="DF42" s="314"/>
      <c r="DG42" s="314"/>
      <c r="DH42" s="315">
        <f>_xlfn.IFNA((VLOOKUP($A42,HN!$A:$M,8,FALSE)/12),0)</f>
        <v>0</v>
      </c>
      <c r="DI42" s="315">
        <f>_xlfn.IFNA((VLOOKUP($A42,HN!$A:$M,12,FALSE)/12),0)</f>
        <v>0</v>
      </c>
      <c r="DJ42" s="315">
        <f>_xlfn.IFNA((VLOOKUP($A42,HN!$A:$M,9,FALSE)/12),0)</f>
        <v>0</v>
      </c>
      <c r="DK42" s="315">
        <f>_xlfn.IFNA((VLOOKUP($A42,'Post 16'!$A:$AG,33,FALSE)/8),0)</f>
        <v>0</v>
      </c>
      <c r="DL42" s="315"/>
      <c r="DM42" s="315">
        <f>_xlfn.IFNA(((VLOOKUP($A42,HN!$A:$M,10,FALSE)-$U42-$AK42)/10),0)</f>
        <v>3096.5833333333335</v>
      </c>
      <c r="DN42" s="315">
        <f>_xlfn.IFNA(((VLOOKUP($A42,HN!$A:$M,13,FALSE)-$V42-$AL42)/10),0)</f>
        <v>0</v>
      </c>
      <c r="DO42" s="314">
        <f t="shared" si="81"/>
        <v>-371.42499999999995</v>
      </c>
      <c r="DP42" s="314">
        <f t="shared" si="82"/>
        <v>-1656.8931166666669</v>
      </c>
      <c r="DQ42" s="315"/>
      <c r="DR42" s="315"/>
      <c r="DS42" s="315"/>
      <c r="DT42" s="314">
        <f t="shared" si="83"/>
        <v>106683.57816450202</v>
      </c>
      <c r="DU42" s="307">
        <f t="shared" si="84"/>
        <v>105615.31294783537</v>
      </c>
      <c r="DV42" s="307"/>
      <c r="DW42" s="307"/>
      <c r="DX42" s="308">
        <f>_xlfn.IFNA((VLOOKUP($A42,HN!$A:$M,8,FALSE)/12),0)</f>
        <v>0</v>
      </c>
      <c r="DY42" s="308">
        <f>_xlfn.IFNA((VLOOKUP($A42,HN!$A:$M,12,FALSE)/12),0)</f>
        <v>0</v>
      </c>
      <c r="DZ42" s="308">
        <f>_xlfn.IFNA((VLOOKUP($A42,HN!$A:$M,9,FALSE)/12),0)</f>
        <v>0</v>
      </c>
      <c r="EA42" s="308">
        <f>_xlfn.IFNA((VLOOKUP($A42,'Post 16'!$A:$AG,33,FALSE)/8),0)</f>
        <v>0</v>
      </c>
      <c r="EB42" s="308"/>
      <c r="EC42" s="308">
        <f>_xlfn.IFNA(((VLOOKUP($A42,HN!$A:$M,10,FALSE)-$U42-$AK42)/10),0)</f>
        <v>3096.5833333333335</v>
      </c>
      <c r="ED42" s="308">
        <f>_xlfn.IFNA(((VLOOKUP($A42,HN!$A:$M,13,FALSE)-$V42-$AL42)/10),0)</f>
        <v>0</v>
      </c>
      <c r="EE42" s="307">
        <f t="shared" si="85"/>
        <v>-371.42499999999995</v>
      </c>
      <c r="EF42" s="307">
        <f t="shared" si="86"/>
        <v>-1656.8931166666669</v>
      </c>
      <c r="EG42" s="308"/>
      <c r="EH42" s="308"/>
      <c r="EI42" s="308"/>
      <c r="EJ42" s="307">
        <f t="shared" si="87"/>
        <v>106683.57816450202</v>
      </c>
      <c r="EK42" s="320">
        <f t="shared" si="88"/>
        <v>105615.31294783537</v>
      </c>
      <c r="EL42" s="320"/>
      <c r="EM42" s="320"/>
      <c r="EN42" s="321">
        <f>_xlfn.IFNA((VLOOKUP($A42,HN!$A:$M,8,FALSE)/12),0)</f>
        <v>0</v>
      </c>
      <c r="EO42" s="321">
        <f>_xlfn.IFNA((VLOOKUP($A42,HN!$A:$M,12,FALSE)/12),0)</f>
        <v>0</v>
      </c>
      <c r="EP42" s="321">
        <f>_xlfn.IFNA((VLOOKUP($A42,HN!$A:$M,9,FALSE)/12),0)</f>
        <v>0</v>
      </c>
      <c r="EQ42" s="321">
        <f>_xlfn.IFNA((VLOOKUP($A42,'Post 16'!$A:$AG,33,FALSE)/8),0)</f>
        <v>0</v>
      </c>
      <c r="ER42" s="321"/>
      <c r="ES42" s="321">
        <f>_xlfn.IFNA(((VLOOKUP($A42,HN!$A:$M,10,FALSE)-$U42-$AK42)/10),0)</f>
        <v>3096.5833333333335</v>
      </c>
      <c r="ET42" s="321">
        <f>_xlfn.IFNA(((VLOOKUP($A42,HN!$A:$M,13,FALSE)-$V42-$AL42)/10),0)</f>
        <v>0</v>
      </c>
      <c r="EU42" s="320">
        <f t="shared" si="89"/>
        <v>-371.42499999999995</v>
      </c>
      <c r="EV42" s="320">
        <f t="shared" si="90"/>
        <v>-1656.8931166666669</v>
      </c>
      <c r="EW42" s="321"/>
      <c r="EX42" s="321"/>
      <c r="EY42" s="321"/>
      <c r="EZ42" s="320">
        <f t="shared" si="91"/>
        <v>106683.57816450202</v>
      </c>
      <c r="FA42" s="286">
        <f t="shared" si="92"/>
        <v>105615.31294783537</v>
      </c>
      <c r="FB42" s="286"/>
      <c r="FC42" s="286"/>
      <c r="FD42" s="287">
        <f>_xlfn.IFNA((VLOOKUP($A42,HN!$A:$M,8,FALSE)/12),0)</f>
        <v>0</v>
      </c>
      <c r="FE42" s="287">
        <f>_xlfn.IFNA((VLOOKUP($A42,HN!$A:$M,12,FALSE)/12),0)</f>
        <v>0</v>
      </c>
      <c r="FF42" s="287">
        <f>_xlfn.IFNA((VLOOKUP($A42,HN!$A:$M,9,FALSE)/12),0)</f>
        <v>0</v>
      </c>
      <c r="FG42" s="287">
        <f>_xlfn.IFNA((VLOOKUP($A42,'Post 16'!$A:$AG,33,FALSE)/8),0)</f>
        <v>0</v>
      </c>
      <c r="FH42" s="287"/>
      <c r="FI42" s="287">
        <f>_xlfn.IFNA(((VLOOKUP($A42,HN!$A:$M,10,FALSE)-$U42-$AK42)/10),0)</f>
        <v>3096.5833333333335</v>
      </c>
      <c r="FJ42" s="287">
        <f>_xlfn.IFNA(((VLOOKUP($A42,HN!$A:$M,13,FALSE)-$V42-$AL42)/10),0)</f>
        <v>0</v>
      </c>
      <c r="FK42" s="286">
        <f t="shared" si="93"/>
        <v>-371.42499999999995</v>
      </c>
      <c r="FL42" s="286">
        <f t="shared" si="94"/>
        <v>-1656.8931166666669</v>
      </c>
      <c r="FM42" s="287"/>
      <c r="FN42" s="287"/>
      <c r="FO42" s="287"/>
      <c r="FP42" s="286">
        <f t="shared" si="95"/>
        <v>106683.57816450202</v>
      </c>
      <c r="FQ42" s="293">
        <f t="shared" si="96"/>
        <v>105615.31294783537</v>
      </c>
      <c r="FR42" s="293"/>
      <c r="FS42" s="293"/>
      <c r="FT42" s="294">
        <f>_xlfn.IFNA((VLOOKUP($A42,HN!$A:$M,8,FALSE)/12),0)</f>
        <v>0</v>
      </c>
      <c r="FU42" s="294">
        <f>_xlfn.IFNA((VLOOKUP($A42,HN!$A:$M,12,FALSE)/12),0)</f>
        <v>0</v>
      </c>
      <c r="FV42" s="294">
        <f>_xlfn.IFNA((VLOOKUP($A42,HN!$A:$M,9,FALSE)/12),0)</f>
        <v>0</v>
      </c>
      <c r="FW42" s="294">
        <f>_xlfn.IFNA((VLOOKUP($A42,'Post 16'!$A:$AG,33,FALSE)/8),0)</f>
        <v>0</v>
      </c>
      <c r="FX42" s="294"/>
      <c r="FY42" s="294">
        <f>_xlfn.IFNA(((VLOOKUP($A42,HN!$A:$M,10,FALSE)-$U42-$AK42)/10),0)</f>
        <v>3096.5833333333335</v>
      </c>
      <c r="FZ42" s="294">
        <f>_xlfn.IFNA(((VLOOKUP($A42,HN!$A:$M,13,FALSE)-$V42-$AL42)/10),0)</f>
        <v>0</v>
      </c>
      <c r="GA42" s="293">
        <f t="shared" si="97"/>
        <v>-371.42499999999995</v>
      </c>
      <c r="GB42" s="293">
        <f t="shared" si="98"/>
        <v>-1656.8931166666669</v>
      </c>
      <c r="GC42" s="294"/>
      <c r="GD42" s="294"/>
      <c r="GE42" s="294"/>
      <c r="GF42" s="293">
        <f t="shared" si="99"/>
        <v>106683.57816450202</v>
      </c>
      <c r="GG42" s="300">
        <f t="shared" si="100"/>
        <v>105615.31294783537</v>
      </c>
      <c r="GH42" s="300"/>
      <c r="GI42" s="300"/>
      <c r="GJ42" s="301">
        <f>_xlfn.IFNA((VLOOKUP($A42,HN!$A:$M,8,FALSE)/12),0)</f>
        <v>0</v>
      </c>
      <c r="GK42" s="301">
        <f>_xlfn.IFNA((VLOOKUP($A42,HN!$A:$M,12,FALSE)/12),0)</f>
        <v>0</v>
      </c>
      <c r="GL42" s="301">
        <f>_xlfn.IFNA((VLOOKUP($A42,HN!$A:$M,9,FALSE)/12),0)</f>
        <v>0</v>
      </c>
      <c r="GM42" s="301">
        <f>_xlfn.IFNA((VLOOKUP($A42,'Post 16'!$A:$AG,33,FALSE)/8),0)</f>
        <v>0</v>
      </c>
      <c r="GN42" s="301"/>
      <c r="GO42" s="301">
        <f>_xlfn.IFNA(((VLOOKUP($A42,HN!$A:$M,10,FALSE)-$U42-$AK42)/10),0)</f>
        <v>3096.5833333333335</v>
      </c>
      <c r="GP42" s="301">
        <f>_xlfn.IFNA(((VLOOKUP($A42,HN!$A:$M,13,FALSE)-$V42-$AL42)/10),0)</f>
        <v>0</v>
      </c>
      <c r="GQ42" s="300">
        <f t="shared" si="101"/>
        <v>-371.42499999999995</v>
      </c>
      <c r="GR42" s="300">
        <f t="shared" si="102"/>
        <v>-1656.8931166666669</v>
      </c>
      <c r="GS42" s="301"/>
      <c r="GT42" s="301"/>
      <c r="GU42" s="301"/>
      <c r="GV42" s="300">
        <f t="shared" si="103"/>
        <v>106683.57816450202</v>
      </c>
      <c r="GX42" s="146">
        <f t="shared" si="54"/>
        <v>1288710.7745817804</v>
      </c>
      <c r="GY42" s="146">
        <f t="shared" si="54"/>
        <v>0</v>
      </c>
      <c r="GZ42" s="146">
        <f t="shared" si="54"/>
        <v>45186.000000000007</v>
      </c>
      <c r="HA42" s="146">
        <f t="shared" si="54"/>
        <v>-4457.1000000000004</v>
      </c>
      <c r="HB42" s="146">
        <f t="shared" si="54"/>
        <v>-19882.717399999998</v>
      </c>
      <c r="HC42" s="146">
        <f t="shared" si="54"/>
        <v>0</v>
      </c>
      <c r="HE42" s="146">
        <f t="shared" si="55"/>
        <v>328021.20605126233</v>
      </c>
      <c r="HF42" s="146">
        <f t="shared" si="55"/>
        <v>0</v>
      </c>
      <c r="HG42" s="146">
        <f t="shared" si="55"/>
        <v>17316.75</v>
      </c>
      <c r="HH42" s="146">
        <f t="shared" si="55"/>
        <v>-1114.2749999999999</v>
      </c>
      <c r="HI42" s="146">
        <f t="shared" si="55"/>
        <v>-4970.6793500000003</v>
      </c>
      <c r="HJ42" s="146">
        <f t="shared" si="55"/>
        <v>0</v>
      </c>
      <c r="HL42" s="146"/>
      <c r="HM42" s="57"/>
    </row>
    <row r="43" spans="1:221">
      <c r="A43" s="185">
        <v>3319</v>
      </c>
      <c r="B43" s="185">
        <v>103423</v>
      </c>
      <c r="C43" s="185" t="s">
        <v>108</v>
      </c>
      <c r="D43" s="2" t="s">
        <v>109</v>
      </c>
      <c r="E43" s="190" t="s">
        <v>39</v>
      </c>
      <c r="F43" s="190" t="s">
        <v>890</v>
      </c>
      <c r="H43" s="271">
        <f>_xlfn.IFNA(VLOOKUP($A43,ISB!$A$4:$BY$441,67,FALSE),0)</f>
        <v>2239574.9472762244</v>
      </c>
      <c r="I43" s="271">
        <f>_xlfn.IFNA(VLOOKUP($A43,ISB!$A$4:$BY$441,72,FALSE),0)</f>
        <v>-9063.6</v>
      </c>
      <c r="J43" s="271">
        <f>-_xlfn.IFNA(VLOOKUP($A43,ISB!$A$4:$BY$441,76,FALSE),0)</f>
        <v>-7088.5268999999998</v>
      </c>
      <c r="K43" s="271">
        <f>_xlfn.IFNA(VLOOKUP($A43,ISB!$A$4:$BY$441,77,FALSE),0)</f>
        <v>2223422.8203762244</v>
      </c>
      <c r="M43" s="279">
        <f t="shared" si="56"/>
        <v>186631.24560635202</v>
      </c>
      <c r="N43" s="279"/>
      <c r="O43" s="279">
        <f>_xlfn.IFNA(VLOOKUP($A43,EY!$A:$H,8,FALSE)+(VLOOKUP($A43,EY!$A:$R,18,FALSE)-$T43),0)</f>
        <v>51431.749473684213</v>
      </c>
      <c r="P43" s="280">
        <f>_xlfn.IFNA((VLOOKUP($A43,HN!$A:$M,8,FALSE)/12),0)</f>
        <v>0</v>
      </c>
      <c r="Q43" s="280">
        <f>_xlfn.IFNA((VLOOKUP($A43,HN!$A:$M,12,FALSE)/12),0)</f>
        <v>0</v>
      </c>
      <c r="R43" s="280">
        <f>_xlfn.IFNA((VLOOKUP($A43,HN!$A:$M,9,FALSE)/12),0)</f>
        <v>0</v>
      </c>
      <c r="S43" s="280">
        <f>_xlfn.IFNA((VLOOKUP($A43,'Post 16'!$A:$AR,22,FALSE)/4),0)</f>
        <v>0</v>
      </c>
      <c r="T43" s="280">
        <f>_xlfn.IFNA((VLOOKUP($A43,EY!$A:$R,16,FALSE)*80%),0)</f>
        <v>0</v>
      </c>
      <c r="U43" s="280">
        <v>12616.18</v>
      </c>
      <c r="V43" s="280">
        <v>0</v>
      </c>
      <c r="W43" s="279">
        <f t="shared" si="57"/>
        <v>-755.30000000000007</v>
      </c>
      <c r="X43" s="279">
        <f t="shared" si="58"/>
        <v>-590.71057499999995</v>
      </c>
      <c r="Y43" s="280"/>
      <c r="Z43" s="280"/>
      <c r="AA43" s="280"/>
      <c r="AB43" s="279">
        <f t="shared" si="59"/>
        <v>249333.16450503623</v>
      </c>
      <c r="AC43" s="293">
        <f t="shared" si="60"/>
        <v>186631.24560635202</v>
      </c>
      <c r="AD43" s="293"/>
      <c r="AE43" s="293"/>
      <c r="AF43" s="294">
        <f>_xlfn.IFNA((VLOOKUP($A43,HN!$A:$M,8,FALSE)/12),0)</f>
        <v>0</v>
      </c>
      <c r="AG43" s="294">
        <f>_xlfn.IFNA((VLOOKUP($A43,HN!$A:$M,12,FALSE)/12),0)+_xlfn.IFNA(VLOOKUP($A43,HN!$A:$Q,17,FALSE),0)</f>
        <v>0</v>
      </c>
      <c r="AH43" s="294">
        <f>_xlfn.IFNA((VLOOKUP($A43,HN!$A:$M,9,FALSE)/12),0)</f>
        <v>0</v>
      </c>
      <c r="AI43" s="294">
        <f>_xlfn.IFNA((VLOOKUP($A43,'Post 16'!$A:$AR,22,FALSE)/4),0)</f>
        <v>0</v>
      </c>
      <c r="AJ43" s="294"/>
      <c r="AK43" s="294">
        <f>_xlfn.IFNA((VLOOKUP($A43,HN!$A:$M,10,FALSE)/12),0)</f>
        <v>10592.791666666666</v>
      </c>
      <c r="AL43" s="294">
        <f>_xlfn.IFNA((VLOOKUP($A43,HN!$A:$M,13,FALSE)/12),0)</f>
        <v>0</v>
      </c>
      <c r="AM43" s="293">
        <f t="shared" si="61"/>
        <v>-755.30000000000007</v>
      </c>
      <c r="AN43" s="293">
        <f t="shared" si="62"/>
        <v>-590.71057499999995</v>
      </c>
      <c r="AO43" s="294"/>
      <c r="AP43" s="294"/>
      <c r="AQ43" s="294"/>
      <c r="AR43" s="293">
        <f t="shared" si="63"/>
        <v>195878.02669801869</v>
      </c>
      <c r="AS43" s="286">
        <f t="shared" si="64"/>
        <v>186631.24560635202</v>
      </c>
      <c r="AT43" s="286"/>
      <c r="AU43" s="286">
        <f>_xlfn.IFNA(VLOOKUP(A43,EY!A:AO,40,FALSE),0)</f>
        <v>10919.003822714678</v>
      </c>
      <c r="AV43" s="287">
        <f>_xlfn.IFNA((VLOOKUP($A43,HN!$A:$M,8,FALSE)/12),0)</f>
        <v>0</v>
      </c>
      <c r="AW43" s="287">
        <f>_xlfn.IFNA((VLOOKUP($A43,HN!$A:$M,12,FALSE)/12),0)+_xlfn.IFNA(VLOOKUP($A43,HN!$A$8:$AU$200,19,FALSE),0)</f>
        <v>0</v>
      </c>
      <c r="AX43" s="287">
        <f>_xlfn.IFNA((VLOOKUP($A43,HN!$A:$M,9,FALSE)/12),0)</f>
        <v>0</v>
      </c>
      <c r="AY43" s="287">
        <f>_xlfn.IFNA((VLOOKUP($A43,'Post 16'!$A:$AR,22,FALSE)/4),0)</f>
        <v>0</v>
      </c>
      <c r="AZ43" s="287">
        <f>_xlfn.IFNA(VLOOKUP(A43,EY!A:AO,41,FALSE),0)</f>
        <v>0</v>
      </c>
      <c r="BA43" s="287">
        <f>_xlfn.IFNA(((VLOOKUP($A43,HN!$A:$M,10,FALSE)-$U43-$AK43)/10),0)+_xlfn.IFNA(VLOOKUP($A43,HN!$A:$R,18,FALSE),0)</f>
        <v>10390.452833333333</v>
      </c>
      <c r="BB43" s="287">
        <f>_xlfn.IFNA(((VLOOKUP($A43,HN!$A:$M,13,FALSE)-$V43-$AL43)/10),0)+_xlfn.IFNA(VLOOKUP($A43,HN!$A$8:$AU$200,20,FALSE),0)</f>
        <v>0</v>
      </c>
      <c r="BC43" s="286">
        <f t="shared" si="65"/>
        <v>-755.30000000000007</v>
      </c>
      <c r="BD43" s="286">
        <f t="shared" si="66"/>
        <v>-590.71057499999995</v>
      </c>
      <c r="BE43" s="287"/>
      <c r="BF43" s="287"/>
      <c r="BG43" s="287"/>
      <c r="BH43" s="286">
        <f t="shared" si="67"/>
        <v>206594.69168740005</v>
      </c>
      <c r="BI43" s="307">
        <f t="shared" si="68"/>
        <v>186631.24560635202</v>
      </c>
      <c r="BJ43" s="307">
        <f>_xlfn.IFNA(VLOOKUP(A43,'LA Deductions'!A:AH,34,FALSE),0)</f>
        <v>0</v>
      </c>
      <c r="BK43" s="307"/>
      <c r="BL43" s="308">
        <f>_xlfn.IFNA((VLOOKUP($A43,HN!$A:$M,8,FALSE)/12),0)</f>
        <v>0</v>
      </c>
      <c r="BM43" s="308">
        <f>_xlfn.IFNA((VLOOKUP($A43,HN!$A:$M,12,FALSE)/12),0)</f>
        <v>0</v>
      </c>
      <c r="BN43" s="308">
        <f>_xlfn.IFNA((VLOOKUP($A43,HN!$A:$M,9,FALSE)/12),0)</f>
        <v>0</v>
      </c>
      <c r="BO43" s="308">
        <f>_xlfn.IFNA((VLOOKUP($A43,'Post 16'!$A:$AR,22,FALSE)/4),0)</f>
        <v>0</v>
      </c>
      <c r="BP43" s="308"/>
      <c r="BQ43" s="308">
        <f>_xlfn.IFNA(((VLOOKUP($A43,HN!$A:$M,10,FALSE)-$U43-$AK43)/10),0)</f>
        <v>10390.452833333333</v>
      </c>
      <c r="BR43" s="308">
        <f>_xlfn.IFNA(((VLOOKUP($A43,HN!$A:$M,13,FALSE)-$V43-$AL43)/10),0)</f>
        <v>0</v>
      </c>
      <c r="BS43" s="307">
        <f t="shared" si="69"/>
        <v>-755.30000000000007</v>
      </c>
      <c r="BT43" s="307">
        <f t="shared" si="70"/>
        <v>-590.71057499999995</v>
      </c>
      <c r="BU43" s="308"/>
      <c r="BV43" s="308"/>
      <c r="BW43" s="308"/>
      <c r="BX43" s="307">
        <f t="shared" si="71"/>
        <v>195675.68786468537</v>
      </c>
      <c r="BY43" s="300">
        <f t="shared" si="72"/>
        <v>186631.24560635202</v>
      </c>
      <c r="BZ43" s="300"/>
      <c r="CA43" s="300"/>
      <c r="CB43" s="301">
        <f>_xlfn.IFNA((VLOOKUP($A43,HN!$A:$M,8,FALSE)/12),0)</f>
        <v>0</v>
      </c>
      <c r="CC43" s="301">
        <f>_xlfn.IFNA((VLOOKUP($A43,HN!$A:$M,12,FALSE)/12),0)</f>
        <v>0</v>
      </c>
      <c r="CD43" s="301">
        <f>_xlfn.IFNA((VLOOKUP($A43,HN!$A:$M,9,FALSE)/12),0)</f>
        <v>0</v>
      </c>
      <c r="CE43" s="301">
        <f>_xlfn.IFNA((VLOOKUP($A43,'Post 16'!$A:$AG,33,FALSE)/8),0)</f>
        <v>0</v>
      </c>
      <c r="CF43" s="301"/>
      <c r="CG43" s="301">
        <f>_xlfn.IFNA(((VLOOKUP($A43,HN!$A:$M,10,FALSE)-$U43-$AK43)/10),0)</f>
        <v>10390.452833333333</v>
      </c>
      <c r="CH43" s="301">
        <f>_xlfn.IFNA(((VLOOKUP($A43,HN!$A:$M,13,FALSE)-$V43-$AL43)/10),0)</f>
        <v>0</v>
      </c>
      <c r="CI43" s="300">
        <f t="shared" si="73"/>
        <v>-755.30000000000007</v>
      </c>
      <c r="CJ43" s="300">
        <f t="shared" si="74"/>
        <v>-590.71057499999995</v>
      </c>
      <c r="CK43" s="301"/>
      <c r="CL43" s="301"/>
      <c r="CM43" s="301"/>
      <c r="CN43" s="300">
        <f t="shared" si="75"/>
        <v>195675.68786468537</v>
      </c>
      <c r="CO43" s="332">
        <f t="shared" si="76"/>
        <v>186631.24560635202</v>
      </c>
      <c r="CP43" s="332"/>
      <c r="CQ43" s="332">
        <f>_xlfn.IFNA((VLOOKUP($A43,EY!$A:$AB,28,FALSE)-$CV43),0)</f>
        <v>15975.960000000001</v>
      </c>
      <c r="CR43" s="333">
        <f>_xlfn.IFNA((VLOOKUP($A43,HN!$A:$M,8,FALSE)/12),0)</f>
        <v>0</v>
      </c>
      <c r="CS43" s="333">
        <f>_xlfn.IFNA((VLOOKUP($A43,HN!$A:$M,12,FALSE)/12),0)</f>
        <v>0</v>
      </c>
      <c r="CT43" s="333">
        <f>_xlfn.IFNA((VLOOKUP($A43,HN!$A:$M,9,FALSE)/12),0)</f>
        <v>0</v>
      </c>
      <c r="CU43" s="333">
        <f>_xlfn.IFNA((VLOOKUP($A43,'Post 16'!$A:$AG,33,FALSE)/8),0)</f>
        <v>0</v>
      </c>
      <c r="CV43" s="333">
        <f>_xlfn.IFNA((VLOOKUP($A43,EY!$A:$AB,26,FALSE)*80%),0)</f>
        <v>0</v>
      </c>
      <c r="CW43" s="333">
        <f>_xlfn.IFNA(((VLOOKUP($A43,HN!$A:$M,10,FALSE)-$U43-$AK43)/10),0)</f>
        <v>10390.452833333333</v>
      </c>
      <c r="CX43" s="333">
        <f>_xlfn.IFNA(((VLOOKUP($A43,HN!$A:$M,13,FALSE)-$V43-$AL43)/10),0)</f>
        <v>0</v>
      </c>
      <c r="CY43" s="332">
        <f t="shared" si="77"/>
        <v>-755.30000000000007</v>
      </c>
      <c r="CZ43" s="332">
        <f t="shared" si="78"/>
        <v>-590.71057499999995</v>
      </c>
      <c r="DA43" s="333"/>
      <c r="DB43" s="333"/>
      <c r="DC43" s="333"/>
      <c r="DD43" s="332">
        <f t="shared" si="79"/>
        <v>211651.64786468536</v>
      </c>
      <c r="DE43" s="314">
        <f t="shared" si="80"/>
        <v>186631.24560635202</v>
      </c>
      <c r="DF43" s="314"/>
      <c r="DG43" s="314"/>
      <c r="DH43" s="315">
        <f>_xlfn.IFNA((VLOOKUP($A43,HN!$A:$M,8,FALSE)/12),0)</f>
        <v>0</v>
      </c>
      <c r="DI43" s="315">
        <f>_xlfn.IFNA((VLOOKUP($A43,HN!$A:$M,12,FALSE)/12),0)</f>
        <v>0</v>
      </c>
      <c r="DJ43" s="315">
        <f>_xlfn.IFNA((VLOOKUP($A43,HN!$A:$M,9,FALSE)/12),0)</f>
        <v>0</v>
      </c>
      <c r="DK43" s="315">
        <f>_xlfn.IFNA((VLOOKUP($A43,'Post 16'!$A:$AG,33,FALSE)/8),0)</f>
        <v>0</v>
      </c>
      <c r="DL43" s="315"/>
      <c r="DM43" s="315">
        <f>_xlfn.IFNA(((VLOOKUP($A43,HN!$A:$M,10,FALSE)-$U43-$AK43)/10),0)</f>
        <v>10390.452833333333</v>
      </c>
      <c r="DN43" s="315">
        <f>_xlfn.IFNA(((VLOOKUP($A43,HN!$A:$M,13,FALSE)-$V43-$AL43)/10),0)</f>
        <v>0</v>
      </c>
      <c r="DO43" s="314">
        <f t="shared" si="81"/>
        <v>-755.30000000000007</v>
      </c>
      <c r="DP43" s="314">
        <f t="shared" si="82"/>
        <v>-590.71057499999995</v>
      </c>
      <c r="DQ43" s="315"/>
      <c r="DR43" s="315"/>
      <c r="DS43" s="315"/>
      <c r="DT43" s="314">
        <f t="shared" si="83"/>
        <v>195675.68786468537</v>
      </c>
      <c r="DU43" s="307">
        <f t="shared" si="84"/>
        <v>186631.24560635202</v>
      </c>
      <c r="DV43" s="307"/>
      <c r="DW43" s="307"/>
      <c r="DX43" s="308">
        <f>_xlfn.IFNA((VLOOKUP($A43,HN!$A:$M,8,FALSE)/12),0)</f>
        <v>0</v>
      </c>
      <c r="DY43" s="308">
        <f>_xlfn.IFNA((VLOOKUP($A43,HN!$A:$M,12,FALSE)/12),0)</f>
        <v>0</v>
      </c>
      <c r="DZ43" s="308">
        <f>_xlfn.IFNA((VLOOKUP($A43,HN!$A:$M,9,FALSE)/12),0)</f>
        <v>0</v>
      </c>
      <c r="EA43" s="308">
        <f>_xlfn.IFNA((VLOOKUP($A43,'Post 16'!$A:$AG,33,FALSE)/8),0)</f>
        <v>0</v>
      </c>
      <c r="EB43" s="308"/>
      <c r="EC43" s="308">
        <f>_xlfn.IFNA(((VLOOKUP($A43,HN!$A:$M,10,FALSE)-$U43-$AK43)/10),0)</f>
        <v>10390.452833333333</v>
      </c>
      <c r="ED43" s="308">
        <f>_xlfn.IFNA(((VLOOKUP($A43,HN!$A:$M,13,FALSE)-$V43-$AL43)/10),0)</f>
        <v>0</v>
      </c>
      <c r="EE43" s="307">
        <f t="shared" si="85"/>
        <v>-755.30000000000007</v>
      </c>
      <c r="EF43" s="307">
        <f t="shared" si="86"/>
        <v>-590.71057499999995</v>
      </c>
      <c r="EG43" s="308"/>
      <c r="EH43" s="308"/>
      <c r="EI43" s="308"/>
      <c r="EJ43" s="307">
        <f t="shared" si="87"/>
        <v>195675.68786468537</v>
      </c>
      <c r="EK43" s="320">
        <f t="shared" si="88"/>
        <v>186631.24560635202</v>
      </c>
      <c r="EL43" s="320"/>
      <c r="EM43" s="320"/>
      <c r="EN43" s="321">
        <f>_xlfn.IFNA((VLOOKUP($A43,HN!$A:$M,8,FALSE)/12),0)</f>
        <v>0</v>
      </c>
      <c r="EO43" s="321">
        <f>_xlfn.IFNA((VLOOKUP($A43,HN!$A:$M,12,FALSE)/12),0)</f>
        <v>0</v>
      </c>
      <c r="EP43" s="321">
        <f>_xlfn.IFNA((VLOOKUP($A43,HN!$A:$M,9,FALSE)/12),0)</f>
        <v>0</v>
      </c>
      <c r="EQ43" s="321">
        <f>_xlfn.IFNA((VLOOKUP($A43,'Post 16'!$A:$AG,33,FALSE)/8),0)</f>
        <v>0</v>
      </c>
      <c r="ER43" s="321"/>
      <c r="ES43" s="321">
        <f>_xlfn.IFNA(((VLOOKUP($A43,HN!$A:$M,10,FALSE)-$U43-$AK43)/10),0)</f>
        <v>10390.452833333333</v>
      </c>
      <c r="ET43" s="321">
        <f>_xlfn.IFNA(((VLOOKUP($A43,HN!$A:$M,13,FALSE)-$V43-$AL43)/10),0)</f>
        <v>0</v>
      </c>
      <c r="EU43" s="320">
        <f t="shared" si="89"/>
        <v>-755.30000000000007</v>
      </c>
      <c r="EV43" s="320">
        <f t="shared" si="90"/>
        <v>-590.71057499999995</v>
      </c>
      <c r="EW43" s="321"/>
      <c r="EX43" s="321"/>
      <c r="EY43" s="321"/>
      <c r="EZ43" s="320">
        <f t="shared" si="91"/>
        <v>195675.68786468537</v>
      </c>
      <c r="FA43" s="286">
        <f t="shared" si="92"/>
        <v>186631.24560635202</v>
      </c>
      <c r="FB43" s="286"/>
      <c r="FC43" s="286"/>
      <c r="FD43" s="287">
        <f>_xlfn.IFNA((VLOOKUP($A43,HN!$A:$M,8,FALSE)/12),0)</f>
        <v>0</v>
      </c>
      <c r="FE43" s="287">
        <f>_xlfn.IFNA((VLOOKUP($A43,HN!$A:$M,12,FALSE)/12),0)</f>
        <v>0</v>
      </c>
      <c r="FF43" s="287">
        <f>_xlfn.IFNA((VLOOKUP($A43,HN!$A:$M,9,FALSE)/12),0)</f>
        <v>0</v>
      </c>
      <c r="FG43" s="287">
        <f>_xlfn.IFNA((VLOOKUP($A43,'Post 16'!$A:$AG,33,FALSE)/8),0)</f>
        <v>0</v>
      </c>
      <c r="FH43" s="287"/>
      <c r="FI43" s="287">
        <f>_xlfn.IFNA(((VLOOKUP($A43,HN!$A:$M,10,FALSE)-$U43-$AK43)/10),0)</f>
        <v>10390.452833333333</v>
      </c>
      <c r="FJ43" s="287">
        <f>_xlfn.IFNA(((VLOOKUP($A43,HN!$A:$M,13,FALSE)-$V43-$AL43)/10),0)</f>
        <v>0</v>
      </c>
      <c r="FK43" s="286">
        <f t="shared" si="93"/>
        <v>-755.30000000000007</v>
      </c>
      <c r="FL43" s="286">
        <f t="shared" si="94"/>
        <v>-590.71057499999995</v>
      </c>
      <c r="FM43" s="287"/>
      <c r="FN43" s="287"/>
      <c r="FO43" s="287"/>
      <c r="FP43" s="286">
        <f t="shared" si="95"/>
        <v>195675.68786468537</v>
      </c>
      <c r="FQ43" s="293">
        <f t="shared" si="96"/>
        <v>186631.24560635202</v>
      </c>
      <c r="FR43" s="293"/>
      <c r="FS43" s="293"/>
      <c r="FT43" s="294">
        <f>_xlfn.IFNA((VLOOKUP($A43,HN!$A:$M,8,FALSE)/12),0)</f>
        <v>0</v>
      </c>
      <c r="FU43" s="294">
        <f>_xlfn.IFNA((VLOOKUP($A43,HN!$A:$M,12,FALSE)/12),0)</f>
        <v>0</v>
      </c>
      <c r="FV43" s="294">
        <f>_xlfn.IFNA((VLOOKUP($A43,HN!$A:$M,9,FALSE)/12),0)</f>
        <v>0</v>
      </c>
      <c r="FW43" s="294">
        <f>_xlfn.IFNA((VLOOKUP($A43,'Post 16'!$A:$AG,33,FALSE)/8),0)</f>
        <v>0</v>
      </c>
      <c r="FX43" s="294"/>
      <c r="FY43" s="294">
        <f>_xlfn.IFNA(((VLOOKUP($A43,HN!$A:$M,10,FALSE)-$U43-$AK43)/10),0)</f>
        <v>10390.452833333333</v>
      </c>
      <c r="FZ43" s="294">
        <f>_xlfn.IFNA(((VLOOKUP($A43,HN!$A:$M,13,FALSE)-$V43-$AL43)/10),0)</f>
        <v>0</v>
      </c>
      <c r="GA43" s="293">
        <f t="shared" si="97"/>
        <v>-755.30000000000007</v>
      </c>
      <c r="GB43" s="293">
        <f t="shared" si="98"/>
        <v>-590.71057499999995</v>
      </c>
      <c r="GC43" s="294"/>
      <c r="GD43" s="294"/>
      <c r="GE43" s="294"/>
      <c r="GF43" s="293">
        <f t="shared" si="99"/>
        <v>195675.68786468537</v>
      </c>
      <c r="GG43" s="300">
        <f t="shared" si="100"/>
        <v>186631.24560635202</v>
      </c>
      <c r="GH43" s="300"/>
      <c r="GI43" s="300"/>
      <c r="GJ43" s="301">
        <f>_xlfn.IFNA((VLOOKUP($A43,HN!$A:$M,8,FALSE)/12),0)</f>
        <v>0</v>
      </c>
      <c r="GK43" s="301">
        <f>_xlfn.IFNA((VLOOKUP($A43,HN!$A:$M,12,FALSE)/12),0)</f>
        <v>0</v>
      </c>
      <c r="GL43" s="301">
        <f>_xlfn.IFNA((VLOOKUP($A43,HN!$A:$M,9,FALSE)/12),0)</f>
        <v>0</v>
      </c>
      <c r="GM43" s="301">
        <f>_xlfn.IFNA((VLOOKUP($A43,'Post 16'!$A:$AG,33,FALSE)/8),0)</f>
        <v>0</v>
      </c>
      <c r="GN43" s="301"/>
      <c r="GO43" s="301">
        <f>_xlfn.IFNA(((VLOOKUP($A43,HN!$A:$M,10,FALSE)-$U43-$AK43)/10),0)</f>
        <v>10390.452833333333</v>
      </c>
      <c r="GP43" s="301">
        <f>_xlfn.IFNA(((VLOOKUP($A43,HN!$A:$M,13,FALSE)-$V43-$AL43)/10),0)</f>
        <v>0</v>
      </c>
      <c r="GQ43" s="300">
        <f t="shared" si="101"/>
        <v>-755.30000000000007</v>
      </c>
      <c r="GR43" s="300">
        <f t="shared" si="102"/>
        <v>-590.71057499999995</v>
      </c>
      <c r="GS43" s="301"/>
      <c r="GT43" s="301"/>
      <c r="GU43" s="301"/>
      <c r="GV43" s="300">
        <f t="shared" si="103"/>
        <v>195675.68786468537</v>
      </c>
      <c r="GX43" s="146">
        <f t="shared" si="54"/>
        <v>2317901.6605726234</v>
      </c>
      <c r="GY43" s="146">
        <f t="shared" si="54"/>
        <v>0</v>
      </c>
      <c r="GZ43" s="146">
        <f t="shared" si="54"/>
        <v>127113.49999999996</v>
      </c>
      <c r="HA43" s="146">
        <f t="shared" si="54"/>
        <v>-9063.6</v>
      </c>
      <c r="HB43" s="146">
        <f t="shared" si="54"/>
        <v>-7088.5268999999998</v>
      </c>
      <c r="HC43" s="146">
        <f t="shared" si="54"/>
        <v>0</v>
      </c>
      <c r="HE43" s="146">
        <f t="shared" si="55"/>
        <v>622244.49011545489</v>
      </c>
      <c r="HF43" s="146">
        <f t="shared" si="55"/>
        <v>0</v>
      </c>
      <c r="HG43" s="146">
        <f t="shared" si="55"/>
        <v>33599.424499999994</v>
      </c>
      <c r="HH43" s="146">
        <f t="shared" si="55"/>
        <v>-2265.9</v>
      </c>
      <c r="HI43" s="146">
        <f t="shared" si="55"/>
        <v>-1772.1317249999997</v>
      </c>
      <c r="HJ43" s="146">
        <f t="shared" si="55"/>
        <v>0</v>
      </c>
      <c r="HL43" s="146"/>
      <c r="HM43" s="57"/>
    </row>
    <row r="44" spans="1:221">
      <c r="A44" s="185">
        <v>1100</v>
      </c>
      <c r="B44" s="185">
        <v>103146</v>
      </c>
      <c r="C44" s="185" t="s">
        <v>110</v>
      </c>
      <c r="D44" s="2" t="s">
        <v>111</v>
      </c>
      <c r="E44" s="190" t="s">
        <v>112</v>
      </c>
      <c r="F44" s="190" t="s">
        <v>890</v>
      </c>
      <c r="H44" s="271">
        <f>_xlfn.IFNA(VLOOKUP($A44,ISB!$A$4:$BY$441,67,FALSE),0)</f>
        <v>0</v>
      </c>
      <c r="I44" s="271">
        <f>_xlfn.IFNA(VLOOKUP($A44,ISB!$A$4:$BY$441,72,FALSE),0)</f>
        <v>0</v>
      </c>
      <c r="J44" s="271">
        <f>-_xlfn.IFNA(VLOOKUP($A44,ISB!$A$4:$BY$441,76,FALSE),0)</f>
        <v>0</v>
      </c>
      <c r="K44" s="271">
        <f>_xlfn.IFNA(VLOOKUP($A44,ISB!$A$4:$BY$441,77,FALSE),0)</f>
        <v>0</v>
      </c>
      <c r="M44" s="279">
        <f t="shared" si="56"/>
        <v>0</v>
      </c>
      <c r="N44" s="279"/>
      <c r="O44" s="279">
        <f>_xlfn.IFNA(VLOOKUP($A44,EY!$A:$H,8,FALSE)+(VLOOKUP($A44,EY!$A:$R,18,FALSE)-$T44),0)</f>
        <v>0</v>
      </c>
      <c r="P44" s="280">
        <f>_xlfn.IFNA((VLOOKUP($A44,HN!$A:$M,8,FALSE)/12),0)</f>
        <v>500000</v>
      </c>
      <c r="Q44" s="280">
        <f>_xlfn.IFNA((VLOOKUP($A44,HN!$A:$M,12,FALSE)/12),0)</f>
        <v>0</v>
      </c>
      <c r="R44" s="280">
        <f>_xlfn.IFNA((VLOOKUP($A44,HN!$A:$M,9,FALSE)/12),0)</f>
        <v>0</v>
      </c>
      <c r="S44" s="280">
        <f>_xlfn.IFNA((VLOOKUP($A44,'Post 16'!$A:$AR,22,FALSE)/4),0)</f>
        <v>0</v>
      </c>
      <c r="T44" s="280">
        <f>_xlfn.IFNA((VLOOKUP($A44,EY!$A:$R,16,FALSE)*80%),0)</f>
        <v>0</v>
      </c>
      <c r="U44" s="280">
        <v>725171.5</v>
      </c>
      <c r="V44" s="280">
        <v>0</v>
      </c>
      <c r="W44" s="279">
        <f t="shared" si="57"/>
        <v>0</v>
      </c>
      <c r="X44" s="279">
        <f t="shared" si="58"/>
        <v>0</v>
      </c>
      <c r="Y44" s="280"/>
      <c r="Z44" s="280"/>
      <c r="AA44" s="280"/>
      <c r="AB44" s="279">
        <f t="shared" si="59"/>
        <v>1225171.5</v>
      </c>
      <c r="AC44" s="293">
        <f t="shared" si="60"/>
        <v>0</v>
      </c>
      <c r="AD44" s="293"/>
      <c r="AE44" s="293"/>
      <c r="AF44" s="294">
        <f>_xlfn.IFNA((VLOOKUP($A44,HN!$A:$M,8,FALSE)/12),0)</f>
        <v>500000</v>
      </c>
      <c r="AG44" s="294">
        <f>_xlfn.IFNA((VLOOKUP($A44,HN!$A:$M,12,FALSE)/12),0)+_xlfn.IFNA(VLOOKUP($A44,HN!$A:$Q,17,FALSE),0)</f>
        <v>0</v>
      </c>
      <c r="AH44" s="294">
        <f>_xlfn.IFNA((VLOOKUP($A44,HN!$A:$M,9,FALSE)/12),0)</f>
        <v>0</v>
      </c>
      <c r="AI44" s="294">
        <f>_xlfn.IFNA((VLOOKUP($A44,'Post 16'!$A:$AR,22,FALSE)/4),0)</f>
        <v>0</v>
      </c>
      <c r="AJ44" s="294"/>
      <c r="AK44" s="294">
        <f>_xlfn.IFNA((VLOOKUP($A44,HN!$A:$M,10,FALSE)/12),0)</f>
        <v>725171.5</v>
      </c>
      <c r="AL44" s="294">
        <f>_xlfn.IFNA((VLOOKUP($A44,HN!$A:$M,13,FALSE)/12),0)</f>
        <v>0</v>
      </c>
      <c r="AM44" s="293">
        <f t="shared" si="61"/>
        <v>0</v>
      </c>
      <c r="AN44" s="293">
        <f t="shared" si="62"/>
        <v>0</v>
      </c>
      <c r="AO44" s="294"/>
      <c r="AP44" s="294"/>
      <c r="AQ44" s="294"/>
      <c r="AR44" s="293">
        <f t="shared" si="63"/>
        <v>1225171.5</v>
      </c>
      <c r="AS44" s="286">
        <f t="shared" si="64"/>
        <v>0</v>
      </c>
      <c r="AT44" s="286"/>
      <c r="AU44" s="286">
        <f>_xlfn.IFNA(VLOOKUP(A44,EY!A:AO,40,FALSE),0)</f>
        <v>0</v>
      </c>
      <c r="AV44" s="287">
        <f>_xlfn.IFNA((VLOOKUP($A44,HN!$A:$M,8,FALSE)/12),0)</f>
        <v>500000</v>
      </c>
      <c r="AW44" s="287">
        <f>_xlfn.IFNA((VLOOKUP($A44,HN!$A:$M,12,FALSE)/12),0)+_xlfn.IFNA(VLOOKUP($A44,HN!$A$8:$AU$200,19,FALSE),0)</f>
        <v>0</v>
      </c>
      <c r="AX44" s="287">
        <f>_xlfn.IFNA((VLOOKUP($A44,HN!$A:$M,9,FALSE)/12),0)</f>
        <v>0</v>
      </c>
      <c r="AY44" s="287">
        <f>_xlfn.IFNA((VLOOKUP($A44,'Post 16'!$A:$AR,22,FALSE)/4),0)</f>
        <v>0</v>
      </c>
      <c r="AZ44" s="287">
        <f>_xlfn.IFNA(VLOOKUP(A44,EY!A:AO,41,FALSE),0)</f>
        <v>0</v>
      </c>
      <c r="BA44" s="287">
        <f>_xlfn.IFNA(((VLOOKUP($A44,HN!$A:$M,10,FALSE)-$U44-$AK44)/10),0)+_xlfn.IFNA(VLOOKUP($A44,HN!$A:$R,18,FALSE),0)</f>
        <v>725171.5</v>
      </c>
      <c r="BB44" s="287">
        <f>_xlfn.IFNA(((VLOOKUP($A44,HN!$A:$M,13,FALSE)-$V44-$AL44)/10),0)+_xlfn.IFNA(VLOOKUP($A44,HN!$A$8:$AU$200,20,FALSE),0)</f>
        <v>0</v>
      </c>
      <c r="BC44" s="286">
        <f t="shared" si="65"/>
        <v>0</v>
      </c>
      <c r="BD44" s="286">
        <f t="shared" si="66"/>
        <v>0</v>
      </c>
      <c r="BE44" s="287"/>
      <c r="BF44" s="287"/>
      <c r="BG44" s="287"/>
      <c r="BH44" s="286">
        <f t="shared" si="67"/>
        <v>1225171.5</v>
      </c>
      <c r="BI44" s="307">
        <f t="shared" si="68"/>
        <v>0</v>
      </c>
      <c r="BJ44" s="307">
        <f>_xlfn.IFNA(VLOOKUP(A44,'LA Deductions'!A:AH,34,FALSE),0)</f>
        <v>0</v>
      </c>
      <c r="BK44" s="307"/>
      <c r="BL44" s="308">
        <f>_xlfn.IFNA((VLOOKUP($A44,HN!$A:$M,8,FALSE)/12),0)</f>
        <v>500000</v>
      </c>
      <c r="BM44" s="308">
        <f>_xlfn.IFNA((VLOOKUP($A44,HN!$A:$M,12,FALSE)/12),0)</f>
        <v>0</v>
      </c>
      <c r="BN44" s="308">
        <f>_xlfn.IFNA((VLOOKUP($A44,HN!$A:$M,9,FALSE)/12),0)</f>
        <v>0</v>
      </c>
      <c r="BO44" s="308">
        <f>_xlfn.IFNA((VLOOKUP($A44,'Post 16'!$A:$AR,22,FALSE)/4),0)</f>
        <v>0</v>
      </c>
      <c r="BP44" s="308"/>
      <c r="BQ44" s="308">
        <f>_xlfn.IFNA(((VLOOKUP($A44,HN!$A:$M,10,FALSE)-$U44-$AK44)/10),0)</f>
        <v>725171.5</v>
      </c>
      <c r="BR44" s="308">
        <f>_xlfn.IFNA(((VLOOKUP($A44,HN!$A:$M,13,FALSE)-$V44-$AL44)/10),0)</f>
        <v>0</v>
      </c>
      <c r="BS44" s="307">
        <f t="shared" si="69"/>
        <v>0</v>
      </c>
      <c r="BT44" s="307">
        <f t="shared" si="70"/>
        <v>0</v>
      </c>
      <c r="BU44" s="308"/>
      <c r="BV44" s="308"/>
      <c r="BW44" s="308"/>
      <c r="BX44" s="307">
        <f t="shared" si="71"/>
        <v>1225171.5</v>
      </c>
      <c r="BY44" s="300">
        <f t="shared" si="72"/>
        <v>0</v>
      </c>
      <c r="BZ44" s="300"/>
      <c r="CA44" s="300"/>
      <c r="CB44" s="301">
        <f>_xlfn.IFNA((VLOOKUP($A44,HN!$A:$M,8,FALSE)/12),0)</f>
        <v>500000</v>
      </c>
      <c r="CC44" s="301">
        <f>_xlfn.IFNA((VLOOKUP($A44,HN!$A:$M,12,FALSE)/12),0)</f>
        <v>0</v>
      </c>
      <c r="CD44" s="301">
        <f>_xlfn.IFNA((VLOOKUP($A44,HN!$A:$M,9,FALSE)/12),0)</f>
        <v>0</v>
      </c>
      <c r="CE44" s="301">
        <f>_xlfn.IFNA((VLOOKUP($A44,'Post 16'!$A:$AG,33,FALSE)/8),0)</f>
        <v>0</v>
      </c>
      <c r="CF44" s="301"/>
      <c r="CG44" s="301">
        <f>_xlfn.IFNA(((VLOOKUP($A44,HN!$A:$M,10,FALSE)-$U44-$AK44)/10),0)</f>
        <v>725171.5</v>
      </c>
      <c r="CH44" s="301">
        <f>_xlfn.IFNA(((VLOOKUP($A44,HN!$A:$M,13,FALSE)-$V44-$AL44)/10),0)</f>
        <v>0</v>
      </c>
      <c r="CI44" s="300">
        <f t="shared" si="73"/>
        <v>0</v>
      </c>
      <c r="CJ44" s="300">
        <f t="shared" si="74"/>
        <v>0</v>
      </c>
      <c r="CK44" s="301"/>
      <c r="CL44" s="301"/>
      <c r="CM44" s="301"/>
      <c r="CN44" s="300">
        <f t="shared" si="75"/>
        <v>1225171.5</v>
      </c>
      <c r="CO44" s="332">
        <f t="shared" si="76"/>
        <v>0</v>
      </c>
      <c r="CP44" s="332"/>
      <c r="CQ44" s="332">
        <f>_xlfn.IFNA((VLOOKUP($A44,EY!$A:$AB,28,FALSE)-$CV44),0)</f>
        <v>0</v>
      </c>
      <c r="CR44" s="333">
        <f>_xlfn.IFNA((VLOOKUP($A44,HN!$A:$M,8,FALSE)/12),0)</f>
        <v>500000</v>
      </c>
      <c r="CS44" s="333">
        <f>_xlfn.IFNA((VLOOKUP($A44,HN!$A:$M,12,FALSE)/12),0)</f>
        <v>0</v>
      </c>
      <c r="CT44" s="333">
        <f>_xlfn.IFNA((VLOOKUP($A44,HN!$A:$M,9,FALSE)/12),0)</f>
        <v>0</v>
      </c>
      <c r="CU44" s="333">
        <f>_xlfn.IFNA((VLOOKUP($A44,'Post 16'!$A:$AG,33,FALSE)/8),0)</f>
        <v>0</v>
      </c>
      <c r="CV44" s="333">
        <f>_xlfn.IFNA((VLOOKUP($A44,EY!$A:$AB,26,FALSE)*80%),0)</f>
        <v>0</v>
      </c>
      <c r="CW44" s="333">
        <f>_xlfn.IFNA(((VLOOKUP($A44,HN!$A:$M,10,FALSE)-$U44-$AK44)/10),0)</f>
        <v>725171.5</v>
      </c>
      <c r="CX44" s="333">
        <f>_xlfn.IFNA(((VLOOKUP($A44,HN!$A:$M,13,FALSE)-$V44-$AL44)/10),0)</f>
        <v>0</v>
      </c>
      <c r="CY44" s="332">
        <f t="shared" si="77"/>
        <v>0</v>
      </c>
      <c r="CZ44" s="332">
        <f t="shared" si="78"/>
        <v>0</v>
      </c>
      <c r="DA44" s="333"/>
      <c r="DB44" s="333"/>
      <c r="DC44" s="333"/>
      <c r="DD44" s="332">
        <f t="shared" si="79"/>
        <v>1225171.5</v>
      </c>
      <c r="DE44" s="314">
        <f t="shared" si="80"/>
        <v>0</v>
      </c>
      <c r="DF44" s="314"/>
      <c r="DG44" s="314"/>
      <c r="DH44" s="315">
        <f>_xlfn.IFNA((VLOOKUP($A44,HN!$A:$M,8,FALSE)/12),0)</f>
        <v>500000</v>
      </c>
      <c r="DI44" s="315">
        <f>_xlfn.IFNA((VLOOKUP($A44,HN!$A:$M,12,FALSE)/12),0)</f>
        <v>0</v>
      </c>
      <c r="DJ44" s="315">
        <f>_xlfn.IFNA((VLOOKUP($A44,HN!$A:$M,9,FALSE)/12),0)</f>
        <v>0</v>
      </c>
      <c r="DK44" s="315">
        <f>_xlfn.IFNA((VLOOKUP($A44,'Post 16'!$A:$AG,33,FALSE)/8),0)</f>
        <v>0</v>
      </c>
      <c r="DL44" s="315"/>
      <c r="DM44" s="315">
        <f>_xlfn.IFNA(((VLOOKUP($A44,HN!$A:$M,10,FALSE)-$U44-$AK44)/10),0)</f>
        <v>725171.5</v>
      </c>
      <c r="DN44" s="315">
        <f>_xlfn.IFNA(((VLOOKUP($A44,HN!$A:$M,13,FALSE)-$V44-$AL44)/10),0)</f>
        <v>0</v>
      </c>
      <c r="DO44" s="314">
        <f t="shared" si="81"/>
        <v>0</v>
      </c>
      <c r="DP44" s="314">
        <f t="shared" si="82"/>
        <v>0</v>
      </c>
      <c r="DQ44" s="315"/>
      <c r="DR44" s="315"/>
      <c r="DS44" s="315"/>
      <c r="DT44" s="314">
        <f t="shared" si="83"/>
        <v>1225171.5</v>
      </c>
      <c r="DU44" s="307">
        <f t="shared" si="84"/>
        <v>0</v>
      </c>
      <c r="DV44" s="307"/>
      <c r="DW44" s="307"/>
      <c r="DX44" s="308">
        <f>_xlfn.IFNA((VLOOKUP($A44,HN!$A:$M,8,FALSE)/12),0)</f>
        <v>500000</v>
      </c>
      <c r="DY44" s="308">
        <f>_xlfn.IFNA((VLOOKUP($A44,HN!$A:$M,12,FALSE)/12),0)</f>
        <v>0</v>
      </c>
      <c r="DZ44" s="308">
        <f>_xlfn.IFNA((VLOOKUP($A44,HN!$A:$M,9,FALSE)/12),0)</f>
        <v>0</v>
      </c>
      <c r="EA44" s="308">
        <f>_xlfn.IFNA((VLOOKUP($A44,'Post 16'!$A:$AG,33,FALSE)/8),0)</f>
        <v>0</v>
      </c>
      <c r="EB44" s="308"/>
      <c r="EC44" s="308">
        <f>_xlfn.IFNA(((VLOOKUP($A44,HN!$A:$M,10,FALSE)-$U44-$AK44)/10),0)</f>
        <v>725171.5</v>
      </c>
      <c r="ED44" s="308">
        <f>_xlfn.IFNA(((VLOOKUP($A44,HN!$A:$M,13,FALSE)-$V44-$AL44)/10),0)</f>
        <v>0</v>
      </c>
      <c r="EE44" s="307">
        <f t="shared" si="85"/>
        <v>0</v>
      </c>
      <c r="EF44" s="307">
        <f t="shared" si="86"/>
        <v>0</v>
      </c>
      <c r="EG44" s="308"/>
      <c r="EH44" s="308"/>
      <c r="EI44" s="308"/>
      <c r="EJ44" s="307">
        <f t="shared" si="87"/>
        <v>1225171.5</v>
      </c>
      <c r="EK44" s="320">
        <f t="shared" si="88"/>
        <v>0</v>
      </c>
      <c r="EL44" s="320"/>
      <c r="EM44" s="320"/>
      <c r="EN44" s="321">
        <f>_xlfn.IFNA((VLOOKUP($A44,HN!$A:$M,8,FALSE)/12),0)</f>
        <v>500000</v>
      </c>
      <c r="EO44" s="321">
        <f>_xlfn.IFNA((VLOOKUP($A44,HN!$A:$M,12,FALSE)/12),0)</f>
        <v>0</v>
      </c>
      <c r="EP44" s="321">
        <f>_xlfn.IFNA((VLOOKUP($A44,HN!$A:$M,9,FALSE)/12),0)</f>
        <v>0</v>
      </c>
      <c r="EQ44" s="321">
        <f>_xlfn.IFNA((VLOOKUP($A44,'Post 16'!$A:$AG,33,FALSE)/8),0)</f>
        <v>0</v>
      </c>
      <c r="ER44" s="321"/>
      <c r="ES44" s="321">
        <f>_xlfn.IFNA(((VLOOKUP($A44,HN!$A:$M,10,FALSE)-$U44-$AK44)/10),0)</f>
        <v>725171.5</v>
      </c>
      <c r="ET44" s="321">
        <f>_xlfn.IFNA(((VLOOKUP($A44,HN!$A:$M,13,FALSE)-$V44-$AL44)/10),0)</f>
        <v>0</v>
      </c>
      <c r="EU44" s="320">
        <f t="shared" si="89"/>
        <v>0</v>
      </c>
      <c r="EV44" s="320">
        <f t="shared" si="90"/>
        <v>0</v>
      </c>
      <c r="EW44" s="321"/>
      <c r="EX44" s="321"/>
      <c r="EY44" s="321"/>
      <c r="EZ44" s="320">
        <f t="shared" si="91"/>
        <v>1225171.5</v>
      </c>
      <c r="FA44" s="286">
        <f t="shared" si="92"/>
        <v>0</v>
      </c>
      <c r="FB44" s="286"/>
      <c r="FC44" s="286"/>
      <c r="FD44" s="287">
        <f>_xlfn.IFNA((VLOOKUP($A44,HN!$A:$M,8,FALSE)/12),0)</f>
        <v>500000</v>
      </c>
      <c r="FE44" s="287">
        <f>_xlfn.IFNA((VLOOKUP($A44,HN!$A:$M,12,FALSE)/12),0)</f>
        <v>0</v>
      </c>
      <c r="FF44" s="287">
        <f>_xlfn.IFNA((VLOOKUP($A44,HN!$A:$M,9,FALSE)/12),0)</f>
        <v>0</v>
      </c>
      <c r="FG44" s="287">
        <f>_xlfn.IFNA((VLOOKUP($A44,'Post 16'!$A:$AG,33,FALSE)/8),0)</f>
        <v>0</v>
      </c>
      <c r="FH44" s="287"/>
      <c r="FI44" s="287">
        <f>_xlfn.IFNA(((VLOOKUP($A44,HN!$A:$M,10,FALSE)-$U44-$AK44)/10),0)</f>
        <v>725171.5</v>
      </c>
      <c r="FJ44" s="287">
        <f>_xlfn.IFNA(((VLOOKUP($A44,HN!$A:$M,13,FALSE)-$V44-$AL44)/10),0)</f>
        <v>0</v>
      </c>
      <c r="FK44" s="286">
        <f t="shared" si="93"/>
        <v>0</v>
      </c>
      <c r="FL44" s="286">
        <f t="shared" si="94"/>
        <v>0</v>
      </c>
      <c r="FM44" s="287"/>
      <c r="FN44" s="287"/>
      <c r="FO44" s="287"/>
      <c r="FP44" s="286">
        <f t="shared" si="95"/>
        <v>1225171.5</v>
      </c>
      <c r="FQ44" s="293">
        <f t="shared" si="96"/>
        <v>0</v>
      </c>
      <c r="FR44" s="293"/>
      <c r="FS44" s="293"/>
      <c r="FT44" s="294">
        <f>_xlfn.IFNA((VLOOKUP($A44,HN!$A:$M,8,FALSE)/12),0)</f>
        <v>500000</v>
      </c>
      <c r="FU44" s="294">
        <f>_xlfn.IFNA((VLOOKUP($A44,HN!$A:$M,12,FALSE)/12),0)</f>
        <v>0</v>
      </c>
      <c r="FV44" s="294">
        <f>_xlfn.IFNA((VLOOKUP($A44,HN!$A:$M,9,FALSE)/12),0)</f>
        <v>0</v>
      </c>
      <c r="FW44" s="294">
        <f>_xlfn.IFNA((VLOOKUP($A44,'Post 16'!$A:$AG,33,FALSE)/8),0)</f>
        <v>0</v>
      </c>
      <c r="FX44" s="294"/>
      <c r="FY44" s="294">
        <f>_xlfn.IFNA(((VLOOKUP($A44,HN!$A:$M,10,FALSE)-$U44-$AK44)/10),0)</f>
        <v>725171.5</v>
      </c>
      <c r="FZ44" s="294">
        <f>_xlfn.IFNA(((VLOOKUP($A44,HN!$A:$M,13,FALSE)-$V44-$AL44)/10),0)</f>
        <v>0</v>
      </c>
      <c r="GA44" s="293">
        <f t="shared" si="97"/>
        <v>0</v>
      </c>
      <c r="GB44" s="293">
        <f t="shared" si="98"/>
        <v>0</v>
      </c>
      <c r="GC44" s="294"/>
      <c r="GD44" s="294"/>
      <c r="GE44" s="294"/>
      <c r="GF44" s="293">
        <f t="shared" si="99"/>
        <v>1225171.5</v>
      </c>
      <c r="GG44" s="300">
        <f t="shared" si="100"/>
        <v>0</v>
      </c>
      <c r="GH44" s="300"/>
      <c r="GI44" s="300"/>
      <c r="GJ44" s="301">
        <f>_xlfn.IFNA((VLOOKUP($A44,HN!$A:$M,8,FALSE)/12),0)</f>
        <v>500000</v>
      </c>
      <c r="GK44" s="301">
        <f>_xlfn.IFNA((VLOOKUP($A44,HN!$A:$M,12,FALSE)/12),0)</f>
        <v>0</v>
      </c>
      <c r="GL44" s="301">
        <f>_xlfn.IFNA((VLOOKUP($A44,HN!$A:$M,9,FALSE)/12),0)</f>
        <v>0</v>
      </c>
      <c r="GM44" s="301">
        <f>_xlfn.IFNA((VLOOKUP($A44,'Post 16'!$A:$AG,33,FALSE)/8),0)</f>
        <v>0</v>
      </c>
      <c r="GN44" s="301"/>
      <c r="GO44" s="301">
        <f>_xlfn.IFNA(((VLOOKUP($A44,HN!$A:$M,10,FALSE)-$U44-$AK44)/10),0)</f>
        <v>725171.5</v>
      </c>
      <c r="GP44" s="301">
        <f>_xlfn.IFNA(((VLOOKUP($A44,HN!$A:$M,13,FALSE)-$V44-$AL44)/10),0)</f>
        <v>0</v>
      </c>
      <c r="GQ44" s="300">
        <f t="shared" si="101"/>
        <v>0</v>
      </c>
      <c r="GR44" s="300">
        <f t="shared" si="102"/>
        <v>0</v>
      </c>
      <c r="GS44" s="301"/>
      <c r="GT44" s="301"/>
      <c r="GU44" s="301"/>
      <c r="GV44" s="300">
        <f t="shared" si="103"/>
        <v>1225171.5</v>
      </c>
      <c r="GX44" s="146">
        <f t="shared" si="54"/>
        <v>6000000</v>
      </c>
      <c r="GY44" s="146">
        <f t="shared" si="54"/>
        <v>0</v>
      </c>
      <c r="GZ44" s="146">
        <f t="shared" si="54"/>
        <v>8702058</v>
      </c>
      <c r="HA44" s="146">
        <f t="shared" si="54"/>
        <v>0</v>
      </c>
      <c r="HB44" s="146">
        <f t="shared" si="54"/>
        <v>0</v>
      </c>
      <c r="HC44" s="146">
        <f t="shared" si="54"/>
        <v>0</v>
      </c>
      <c r="HE44" s="146">
        <f t="shared" si="55"/>
        <v>1500000</v>
      </c>
      <c r="HF44" s="146">
        <f t="shared" si="55"/>
        <v>0</v>
      </c>
      <c r="HG44" s="146">
        <f t="shared" si="55"/>
        <v>2175514.5</v>
      </c>
      <c r="HH44" s="146">
        <f t="shared" si="55"/>
        <v>0</v>
      </c>
      <c r="HI44" s="146">
        <f t="shared" si="55"/>
        <v>0</v>
      </c>
      <c r="HJ44" s="146">
        <f t="shared" si="55"/>
        <v>0</v>
      </c>
      <c r="HL44" s="146"/>
      <c r="HM44" s="57"/>
    </row>
    <row r="45" spans="1:221">
      <c r="A45" s="185">
        <v>3432</v>
      </c>
      <c r="B45" s="185">
        <v>134840</v>
      </c>
      <c r="C45" s="185" t="s">
        <v>113</v>
      </c>
      <c r="D45" s="2" t="s">
        <v>114</v>
      </c>
      <c r="E45" s="190" t="s">
        <v>39</v>
      </c>
      <c r="F45" s="190" t="s">
        <v>890</v>
      </c>
      <c r="H45" s="271">
        <f>_xlfn.IFNA(VLOOKUP($A45,ISB!$A$4:$BY$441,67,FALSE),0)</f>
        <v>5886420.6446573501</v>
      </c>
      <c r="I45" s="271">
        <f>_xlfn.IFNA(VLOOKUP($A45,ISB!$A$4:$BY$441,72,FALSE),0)</f>
        <v>-20318.399999999998</v>
      </c>
      <c r="J45" s="271">
        <f>-_xlfn.IFNA(VLOOKUP($A45,ISB!$A$4:$BY$441,76,FALSE),0)</f>
        <v>-23974.2048</v>
      </c>
      <c r="K45" s="271">
        <f>_xlfn.IFNA(VLOOKUP($A45,ISB!$A$4:$BY$441,77,FALSE),0)</f>
        <v>5842128.0398573494</v>
      </c>
      <c r="M45" s="279">
        <f t="shared" si="56"/>
        <v>490535.05372144585</v>
      </c>
      <c r="N45" s="279"/>
      <c r="O45" s="279">
        <f>_xlfn.IFNA(VLOOKUP($A45,EY!$A:$H,8,FALSE)+(VLOOKUP($A45,EY!$A:$R,18,FALSE)-$T45),0)</f>
        <v>104100.45360000001</v>
      </c>
      <c r="P45" s="280">
        <f>_xlfn.IFNA((VLOOKUP($A45,HN!$A:$M,8,FALSE)/12),0)</f>
        <v>0</v>
      </c>
      <c r="Q45" s="280">
        <f>_xlfn.IFNA((VLOOKUP($A45,HN!$A:$M,12,FALSE)/12),0)</f>
        <v>0</v>
      </c>
      <c r="R45" s="280">
        <f>_xlfn.IFNA((VLOOKUP($A45,HN!$A:$M,9,FALSE)/12),0)</f>
        <v>0</v>
      </c>
      <c r="S45" s="280">
        <f>_xlfn.IFNA((VLOOKUP($A45,'Post 16'!$A:$AR,22,FALSE)/4),0)</f>
        <v>0</v>
      </c>
      <c r="T45" s="280">
        <f>_xlfn.IFNA((VLOOKUP($A45,EY!$A:$R,16,FALSE)*80%),0)</f>
        <v>0</v>
      </c>
      <c r="U45" s="280">
        <v>28941.575833333336</v>
      </c>
      <c r="V45" s="280">
        <v>0</v>
      </c>
      <c r="W45" s="279">
        <f t="shared" si="57"/>
        <v>-1693.1999999999998</v>
      </c>
      <c r="X45" s="279">
        <f t="shared" si="58"/>
        <v>-1997.8504</v>
      </c>
      <c r="Y45" s="280"/>
      <c r="Z45" s="280"/>
      <c r="AA45" s="280"/>
      <c r="AB45" s="279">
        <f t="shared" si="59"/>
        <v>619886.03275477921</v>
      </c>
      <c r="AC45" s="293">
        <f t="shared" si="60"/>
        <v>490535.05372144585</v>
      </c>
      <c r="AD45" s="293"/>
      <c r="AE45" s="293"/>
      <c r="AF45" s="294">
        <f>_xlfn.IFNA((VLOOKUP($A45,HN!$A:$M,8,FALSE)/12),0)</f>
        <v>0</v>
      </c>
      <c r="AG45" s="294">
        <f>_xlfn.IFNA((VLOOKUP($A45,HN!$A:$M,12,FALSE)/12),0)+_xlfn.IFNA(VLOOKUP($A45,HN!$A:$Q,17,FALSE),0)</f>
        <v>0</v>
      </c>
      <c r="AH45" s="294">
        <f>_xlfn.IFNA((VLOOKUP($A45,HN!$A:$M,9,FALSE)/12),0)</f>
        <v>0</v>
      </c>
      <c r="AI45" s="294">
        <f>_xlfn.IFNA((VLOOKUP($A45,'Post 16'!$A:$AR,22,FALSE)/4),0)</f>
        <v>0</v>
      </c>
      <c r="AJ45" s="294"/>
      <c r="AK45" s="294">
        <f>_xlfn.IFNA((VLOOKUP($A45,HN!$A:$M,10,FALSE)/12),0)</f>
        <v>21586.069166666668</v>
      </c>
      <c r="AL45" s="294">
        <f>_xlfn.IFNA((VLOOKUP($A45,HN!$A:$M,13,FALSE)/12),0)</f>
        <v>0</v>
      </c>
      <c r="AM45" s="293">
        <f t="shared" si="61"/>
        <v>-1693.1999999999998</v>
      </c>
      <c r="AN45" s="293">
        <f t="shared" si="62"/>
        <v>-1997.8504</v>
      </c>
      <c r="AO45" s="294"/>
      <c r="AP45" s="294"/>
      <c r="AQ45" s="294"/>
      <c r="AR45" s="293">
        <f t="shared" si="63"/>
        <v>508430.07248811249</v>
      </c>
      <c r="AS45" s="286">
        <f t="shared" si="64"/>
        <v>490535.05372144585</v>
      </c>
      <c r="AT45" s="286"/>
      <c r="AU45" s="286">
        <f>_xlfn.IFNA(VLOOKUP(A45,EY!A:AO,40,FALSE),0)</f>
        <v>-9342.3619529085699</v>
      </c>
      <c r="AV45" s="287">
        <f>_xlfn.IFNA((VLOOKUP($A45,HN!$A:$M,8,FALSE)/12),0)</f>
        <v>0</v>
      </c>
      <c r="AW45" s="287">
        <f>_xlfn.IFNA((VLOOKUP($A45,HN!$A:$M,12,FALSE)/12),0)+_xlfn.IFNA(VLOOKUP($A45,HN!$A$8:$AU$200,19,FALSE),0)</f>
        <v>0</v>
      </c>
      <c r="AX45" s="287">
        <f>_xlfn.IFNA((VLOOKUP($A45,HN!$A:$M,9,FALSE)/12),0)</f>
        <v>0</v>
      </c>
      <c r="AY45" s="287">
        <f>_xlfn.IFNA((VLOOKUP($A45,'Post 16'!$A:$AR,22,FALSE)/4),0)</f>
        <v>0</v>
      </c>
      <c r="AZ45" s="287">
        <f>_xlfn.IFNA(VLOOKUP(A45,EY!A:AO,41,FALSE),0)</f>
        <v>-3430</v>
      </c>
      <c r="BA45" s="287">
        <f>_xlfn.IFNA(((VLOOKUP($A45,HN!$A:$M,10,FALSE)-$U45-$AK45)/10),0)+_xlfn.IFNA(VLOOKUP($A45,HN!$A:$R,18,FALSE),0)</f>
        <v>20850.518499999998</v>
      </c>
      <c r="BB45" s="287">
        <f>_xlfn.IFNA(((VLOOKUP($A45,HN!$A:$M,13,FALSE)-$V45-$AL45)/10),0)+_xlfn.IFNA(VLOOKUP($A45,HN!$A$8:$AU$200,20,FALSE),0)</f>
        <v>0</v>
      </c>
      <c r="BC45" s="286">
        <f t="shared" si="65"/>
        <v>-1693.1999999999998</v>
      </c>
      <c r="BD45" s="286">
        <f t="shared" si="66"/>
        <v>-1997.8504</v>
      </c>
      <c r="BE45" s="287"/>
      <c r="BF45" s="287"/>
      <c r="BG45" s="287"/>
      <c r="BH45" s="286">
        <f t="shared" si="67"/>
        <v>494922.15986853727</v>
      </c>
      <c r="BI45" s="307">
        <f t="shared" si="68"/>
        <v>490535.05372144585</v>
      </c>
      <c r="BJ45" s="307">
        <f>_xlfn.IFNA(VLOOKUP(A45,'LA Deductions'!A:AH,34,FALSE),0)</f>
        <v>0</v>
      </c>
      <c r="BK45" s="307"/>
      <c r="BL45" s="308">
        <f>_xlfn.IFNA((VLOOKUP($A45,HN!$A:$M,8,FALSE)/12),0)</f>
        <v>0</v>
      </c>
      <c r="BM45" s="308">
        <f>_xlfn.IFNA((VLOOKUP($A45,HN!$A:$M,12,FALSE)/12),0)</f>
        <v>0</v>
      </c>
      <c r="BN45" s="308">
        <f>_xlfn.IFNA((VLOOKUP($A45,HN!$A:$M,9,FALSE)/12),0)</f>
        <v>0</v>
      </c>
      <c r="BO45" s="308">
        <f>_xlfn.IFNA((VLOOKUP($A45,'Post 16'!$A:$AR,22,FALSE)/4),0)</f>
        <v>0</v>
      </c>
      <c r="BP45" s="308"/>
      <c r="BQ45" s="308">
        <f>_xlfn.IFNA(((VLOOKUP($A45,HN!$A:$M,10,FALSE)-$U45-$AK45)/10),0)</f>
        <v>20850.518499999998</v>
      </c>
      <c r="BR45" s="308">
        <f>_xlfn.IFNA(((VLOOKUP($A45,HN!$A:$M,13,FALSE)-$V45-$AL45)/10),0)</f>
        <v>0</v>
      </c>
      <c r="BS45" s="307">
        <f t="shared" si="69"/>
        <v>-1693.1999999999998</v>
      </c>
      <c r="BT45" s="307">
        <f t="shared" si="70"/>
        <v>-1997.8504</v>
      </c>
      <c r="BU45" s="308"/>
      <c r="BV45" s="308"/>
      <c r="BW45" s="308"/>
      <c r="BX45" s="307">
        <f t="shared" si="71"/>
        <v>507694.52182144584</v>
      </c>
      <c r="BY45" s="300">
        <f t="shared" si="72"/>
        <v>490535.05372144585</v>
      </c>
      <c r="BZ45" s="300"/>
      <c r="CA45" s="300"/>
      <c r="CB45" s="301">
        <f>_xlfn.IFNA((VLOOKUP($A45,HN!$A:$M,8,FALSE)/12),0)</f>
        <v>0</v>
      </c>
      <c r="CC45" s="301">
        <f>_xlfn.IFNA((VLOOKUP($A45,HN!$A:$M,12,FALSE)/12),0)</f>
        <v>0</v>
      </c>
      <c r="CD45" s="301">
        <f>_xlfn.IFNA((VLOOKUP($A45,HN!$A:$M,9,FALSE)/12),0)</f>
        <v>0</v>
      </c>
      <c r="CE45" s="301">
        <f>_xlfn.IFNA((VLOOKUP($A45,'Post 16'!$A:$AG,33,FALSE)/8),0)</f>
        <v>0</v>
      </c>
      <c r="CF45" s="301"/>
      <c r="CG45" s="301">
        <f>_xlfn.IFNA(((VLOOKUP($A45,HN!$A:$M,10,FALSE)-$U45-$AK45)/10),0)</f>
        <v>20850.518499999998</v>
      </c>
      <c r="CH45" s="301">
        <f>_xlfn.IFNA(((VLOOKUP($A45,HN!$A:$M,13,FALSE)-$V45-$AL45)/10),0)</f>
        <v>0</v>
      </c>
      <c r="CI45" s="300">
        <f t="shared" si="73"/>
        <v>-1693.1999999999998</v>
      </c>
      <c r="CJ45" s="300">
        <f t="shared" si="74"/>
        <v>-1997.8504</v>
      </c>
      <c r="CK45" s="301"/>
      <c r="CL45" s="301"/>
      <c r="CM45" s="301"/>
      <c r="CN45" s="300">
        <f t="shared" si="75"/>
        <v>507694.52182144584</v>
      </c>
      <c r="CO45" s="332">
        <f t="shared" si="76"/>
        <v>490535.05372144585</v>
      </c>
      <c r="CP45" s="332"/>
      <c r="CQ45" s="332">
        <f>_xlfn.IFNA((VLOOKUP($A45,EY!$A:$AB,28,FALSE)-$CV45),0)</f>
        <v>52366.632294736839</v>
      </c>
      <c r="CR45" s="333">
        <f>_xlfn.IFNA((VLOOKUP($A45,HN!$A:$M,8,FALSE)/12),0)</f>
        <v>0</v>
      </c>
      <c r="CS45" s="333">
        <f>_xlfn.IFNA((VLOOKUP($A45,HN!$A:$M,12,FALSE)/12),0)</f>
        <v>0</v>
      </c>
      <c r="CT45" s="333">
        <f>_xlfn.IFNA((VLOOKUP($A45,HN!$A:$M,9,FALSE)/12),0)</f>
        <v>0</v>
      </c>
      <c r="CU45" s="333">
        <f>_xlfn.IFNA((VLOOKUP($A45,'Post 16'!$A:$AG,33,FALSE)/8),0)</f>
        <v>0</v>
      </c>
      <c r="CV45" s="333">
        <f>_xlfn.IFNA((VLOOKUP($A45,EY!$A:$AB,26,FALSE)*80%),0)</f>
        <v>0</v>
      </c>
      <c r="CW45" s="333">
        <f>_xlfn.IFNA(((VLOOKUP($A45,HN!$A:$M,10,FALSE)-$U45-$AK45)/10),0)</f>
        <v>20850.518499999998</v>
      </c>
      <c r="CX45" s="333">
        <f>_xlfn.IFNA(((VLOOKUP($A45,HN!$A:$M,13,FALSE)-$V45-$AL45)/10),0)</f>
        <v>0</v>
      </c>
      <c r="CY45" s="332">
        <f t="shared" si="77"/>
        <v>-1693.1999999999998</v>
      </c>
      <c r="CZ45" s="332">
        <f t="shared" si="78"/>
        <v>-1997.8504</v>
      </c>
      <c r="DA45" s="333"/>
      <c r="DB45" s="333"/>
      <c r="DC45" s="333"/>
      <c r="DD45" s="332">
        <f t="shared" si="79"/>
        <v>560061.1541161827</v>
      </c>
      <c r="DE45" s="314">
        <f t="shared" si="80"/>
        <v>490535.05372144585</v>
      </c>
      <c r="DF45" s="314"/>
      <c r="DG45" s="314"/>
      <c r="DH45" s="315">
        <f>_xlfn.IFNA((VLOOKUP($A45,HN!$A:$M,8,FALSE)/12),0)</f>
        <v>0</v>
      </c>
      <c r="DI45" s="315">
        <f>_xlfn.IFNA((VLOOKUP($A45,HN!$A:$M,12,FALSE)/12),0)</f>
        <v>0</v>
      </c>
      <c r="DJ45" s="315">
        <f>_xlfn.IFNA((VLOOKUP($A45,HN!$A:$M,9,FALSE)/12),0)</f>
        <v>0</v>
      </c>
      <c r="DK45" s="315">
        <f>_xlfn.IFNA((VLOOKUP($A45,'Post 16'!$A:$AG,33,FALSE)/8),0)</f>
        <v>0</v>
      </c>
      <c r="DL45" s="315"/>
      <c r="DM45" s="315">
        <f>_xlfn.IFNA(((VLOOKUP($A45,HN!$A:$M,10,FALSE)-$U45-$AK45)/10),0)</f>
        <v>20850.518499999998</v>
      </c>
      <c r="DN45" s="315">
        <f>_xlfn.IFNA(((VLOOKUP($A45,HN!$A:$M,13,FALSE)-$V45-$AL45)/10),0)</f>
        <v>0</v>
      </c>
      <c r="DO45" s="314">
        <f t="shared" si="81"/>
        <v>-1693.1999999999998</v>
      </c>
      <c r="DP45" s="314">
        <f t="shared" si="82"/>
        <v>-1997.8504</v>
      </c>
      <c r="DQ45" s="315"/>
      <c r="DR45" s="315"/>
      <c r="DS45" s="315"/>
      <c r="DT45" s="314">
        <f t="shared" si="83"/>
        <v>507694.52182144584</v>
      </c>
      <c r="DU45" s="307">
        <f t="shared" si="84"/>
        <v>490535.05372144585</v>
      </c>
      <c r="DV45" s="307"/>
      <c r="DW45" s="307"/>
      <c r="DX45" s="308">
        <f>_xlfn.IFNA((VLOOKUP($A45,HN!$A:$M,8,FALSE)/12),0)</f>
        <v>0</v>
      </c>
      <c r="DY45" s="308">
        <f>_xlfn.IFNA((VLOOKUP($A45,HN!$A:$M,12,FALSE)/12),0)</f>
        <v>0</v>
      </c>
      <c r="DZ45" s="308">
        <f>_xlfn.IFNA((VLOOKUP($A45,HN!$A:$M,9,FALSE)/12),0)</f>
        <v>0</v>
      </c>
      <c r="EA45" s="308">
        <f>_xlfn.IFNA((VLOOKUP($A45,'Post 16'!$A:$AG,33,FALSE)/8),0)</f>
        <v>0</v>
      </c>
      <c r="EB45" s="308"/>
      <c r="EC45" s="308">
        <f>_xlfn.IFNA(((VLOOKUP($A45,HN!$A:$M,10,FALSE)-$U45-$AK45)/10),0)</f>
        <v>20850.518499999998</v>
      </c>
      <c r="ED45" s="308">
        <f>_xlfn.IFNA(((VLOOKUP($A45,HN!$A:$M,13,FALSE)-$V45-$AL45)/10),0)</f>
        <v>0</v>
      </c>
      <c r="EE45" s="307">
        <f t="shared" si="85"/>
        <v>-1693.1999999999998</v>
      </c>
      <c r="EF45" s="307">
        <f t="shared" si="86"/>
        <v>-1997.8504</v>
      </c>
      <c r="EG45" s="308"/>
      <c r="EH45" s="308"/>
      <c r="EI45" s="308"/>
      <c r="EJ45" s="307">
        <f t="shared" si="87"/>
        <v>507694.52182144584</v>
      </c>
      <c r="EK45" s="320">
        <f t="shared" si="88"/>
        <v>490535.05372144585</v>
      </c>
      <c r="EL45" s="320"/>
      <c r="EM45" s="320"/>
      <c r="EN45" s="321">
        <f>_xlfn.IFNA((VLOOKUP($A45,HN!$A:$M,8,FALSE)/12),0)</f>
        <v>0</v>
      </c>
      <c r="EO45" s="321">
        <f>_xlfn.IFNA((VLOOKUP($A45,HN!$A:$M,12,FALSE)/12),0)</f>
        <v>0</v>
      </c>
      <c r="EP45" s="321">
        <f>_xlfn.IFNA((VLOOKUP($A45,HN!$A:$M,9,FALSE)/12),0)</f>
        <v>0</v>
      </c>
      <c r="EQ45" s="321">
        <f>_xlfn.IFNA((VLOOKUP($A45,'Post 16'!$A:$AG,33,FALSE)/8),0)</f>
        <v>0</v>
      </c>
      <c r="ER45" s="321"/>
      <c r="ES45" s="321">
        <f>_xlfn.IFNA(((VLOOKUP($A45,HN!$A:$M,10,FALSE)-$U45-$AK45)/10),0)</f>
        <v>20850.518499999998</v>
      </c>
      <c r="ET45" s="321">
        <f>_xlfn.IFNA(((VLOOKUP($A45,HN!$A:$M,13,FALSE)-$V45-$AL45)/10),0)</f>
        <v>0</v>
      </c>
      <c r="EU45" s="320">
        <f t="shared" si="89"/>
        <v>-1693.1999999999998</v>
      </c>
      <c r="EV45" s="320">
        <f t="shared" si="90"/>
        <v>-1997.8504</v>
      </c>
      <c r="EW45" s="321"/>
      <c r="EX45" s="321"/>
      <c r="EY45" s="321"/>
      <c r="EZ45" s="320">
        <f t="shared" si="91"/>
        <v>507694.52182144584</v>
      </c>
      <c r="FA45" s="286">
        <f t="shared" si="92"/>
        <v>490535.05372144585</v>
      </c>
      <c r="FB45" s="286"/>
      <c r="FC45" s="286"/>
      <c r="FD45" s="287">
        <f>_xlfn.IFNA((VLOOKUP($A45,HN!$A:$M,8,FALSE)/12),0)</f>
        <v>0</v>
      </c>
      <c r="FE45" s="287">
        <f>_xlfn.IFNA((VLOOKUP($A45,HN!$A:$M,12,FALSE)/12),0)</f>
        <v>0</v>
      </c>
      <c r="FF45" s="287">
        <f>_xlfn.IFNA((VLOOKUP($A45,HN!$A:$M,9,FALSE)/12),0)</f>
        <v>0</v>
      </c>
      <c r="FG45" s="287">
        <f>_xlfn.IFNA((VLOOKUP($A45,'Post 16'!$A:$AG,33,FALSE)/8),0)</f>
        <v>0</v>
      </c>
      <c r="FH45" s="287"/>
      <c r="FI45" s="287">
        <f>_xlfn.IFNA(((VLOOKUP($A45,HN!$A:$M,10,FALSE)-$U45-$AK45)/10),0)</f>
        <v>20850.518499999998</v>
      </c>
      <c r="FJ45" s="287">
        <f>_xlfn.IFNA(((VLOOKUP($A45,HN!$A:$M,13,FALSE)-$V45-$AL45)/10),0)</f>
        <v>0</v>
      </c>
      <c r="FK45" s="286">
        <f t="shared" si="93"/>
        <v>-1693.1999999999998</v>
      </c>
      <c r="FL45" s="286">
        <f t="shared" si="94"/>
        <v>-1997.8504</v>
      </c>
      <c r="FM45" s="287"/>
      <c r="FN45" s="287"/>
      <c r="FO45" s="287"/>
      <c r="FP45" s="286">
        <f t="shared" si="95"/>
        <v>507694.52182144584</v>
      </c>
      <c r="FQ45" s="293">
        <f t="shared" si="96"/>
        <v>490535.05372144585</v>
      </c>
      <c r="FR45" s="293"/>
      <c r="FS45" s="293"/>
      <c r="FT45" s="294">
        <f>_xlfn.IFNA((VLOOKUP($A45,HN!$A:$M,8,FALSE)/12),0)</f>
        <v>0</v>
      </c>
      <c r="FU45" s="294">
        <f>_xlfn.IFNA((VLOOKUP($A45,HN!$A:$M,12,FALSE)/12),0)</f>
        <v>0</v>
      </c>
      <c r="FV45" s="294">
        <f>_xlfn.IFNA((VLOOKUP($A45,HN!$A:$M,9,FALSE)/12),0)</f>
        <v>0</v>
      </c>
      <c r="FW45" s="294">
        <f>_xlfn.IFNA((VLOOKUP($A45,'Post 16'!$A:$AG,33,FALSE)/8),0)</f>
        <v>0</v>
      </c>
      <c r="FX45" s="294"/>
      <c r="FY45" s="294">
        <f>_xlfn.IFNA(((VLOOKUP($A45,HN!$A:$M,10,FALSE)-$U45-$AK45)/10),0)</f>
        <v>20850.518499999998</v>
      </c>
      <c r="FZ45" s="294">
        <f>_xlfn.IFNA(((VLOOKUP($A45,HN!$A:$M,13,FALSE)-$V45-$AL45)/10),0)</f>
        <v>0</v>
      </c>
      <c r="GA45" s="293">
        <f t="shared" si="97"/>
        <v>-1693.1999999999998</v>
      </c>
      <c r="GB45" s="293">
        <f t="shared" si="98"/>
        <v>-1997.8504</v>
      </c>
      <c r="GC45" s="294"/>
      <c r="GD45" s="294"/>
      <c r="GE45" s="294"/>
      <c r="GF45" s="293">
        <f t="shared" si="99"/>
        <v>507694.52182144584</v>
      </c>
      <c r="GG45" s="300">
        <f t="shared" si="100"/>
        <v>490535.05372144585</v>
      </c>
      <c r="GH45" s="300"/>
      <c r="GI45" s="300"/>
      <c r="GJ45" s="301">
        <f>_xlfn.IFNA((VLOOKUP($A45,HN!$A:$M,8,FALSE)/12),0)</f>
        <v>0</v>
      </c>
      <c r="GK45" s="301">
        <f>_xlfn.IFNA((VLOOKUP($A45,HN!$A:$M,12,FALSE)/12),0)</f>
        <v>0</v>
      </c>
      <c r="GL45" s="301">
        <f>_xlfn.IFNA((VLOOKUP($A45,HN!$A:$M,9,FALSE)/12),0)</f>
        <v>0</v>
      </c>
      <c r="GM45" s="301">
        <f>_xlfn.IFNA((VLOOKUP($A45,'Post 16'!$A:$AG,33,FALSE)/8),0)</f>
        <v>0</v>
      </c>
      <c r="GN45" s="301"/>
      <c r="GO45" s="301">
        <f>_xlfn.IFNA(((VLOOKUP($A45,HN!$A:$M,10,FALSE)-$U45-$AK45)/10),0)</f>
        <v>20850.518499999998</v>
      </c>
      <c r="GP45" s="301">
        <f>_xlfn.IFNA(((VLOOKUP($A45,HN!$A:$M,13,FALSE)-$V45-$AL45)/10),0)</f>
        <v>0</v>
      </c>
      <c r="GQ45" s="300">
        <f t="shared" si="101"/>
        <v>-1693.1999999999998</v>
      </c>
      <c r="GR45" s="300">
        <f t="shared" si="102"/>
        <v>-1997.8504</v>
      </c>
      <c r="GS45" s="301"/>
      <c r="GT45" s="301"/>
      <c r="GU45" s="301"/>
      <c r="GV45" s="300">
        <f t="shared" si="103"/>
        <v>507694.52182144584</v>
      </c>
      <c r="GX45" s="146">
        <f t="shared" si="54"/>
        <v>6033545.3685991773</v>
      </c>
      <c r="GY45" s="146">
        <f t="shared" si="54"/>
        <v>0</v>
      </c>
      <c r="GZ45" s="146">
        <f t="shared" si="54"/>
        <v>255602.83000000005</v>
      </c>
      <c r="HA45" s="146">
        <f t="shared" si="54"/>
        <v>-20318.400000000005</v>
      </c>
      <c r="HB45" s="146">
        <f t="shared" si="54"/>
        <v>-23974.204799999996</v>
      </c>
      <c r="HC45" s="146">
        <f t="shared" si="54"/>
        <v>0</v>
      </c>
      <c r="HE45" s="146">
        <f t="shared" si="55"/>
        <v>1566363.2528114291</v>
      </c>
      <c r="HF45" s="146">
        <f t="shared" si="55"/>
        <v>0</v>
      </c>
      <c r="HG45" s="146">
        <f t="shared" si="55"/>
        <v>67948.163499999995</v>
      </c>
      <c r="HH45" s="146">
        <f t="shared" si="55"/>
        <v>-5079.5999999999995</v>
      </c>
      <c r="HI45" s="146">
        <f t="shared" si="55"/>
        <v>-5993.5511999999999</v>
      </c>
      <c r="HJ45" s="146">
        <f t="shared" si="55"/>
        <v>0</v>
      </c>
      <c r="HL45" s="146"/>
      <c r="HM45" s="57"/>
    </row>
    <row r="46" spans="1:221">
      <c r="A46" s="185">
        <v>2289</v>
      </c>
      <c r="B46" s="185">
        <v>103315</v>
      </c>
      <c r="C46" s="185" t="s">
        <v>115</v>
      </c>
      <c r="D46" s="2" t="s">
        <v>116</v>
      </c>
      <c r="E46" s="190" t="s">
        <v>39</v>
      </c>
      <c r="F46" s="190" t="s">
        <v>890</v>
      </c>
      <c r="H46" s="271">
        <f>_xlfn.IFNA(VLOOKUP($A46,ISB!$A$4:$BY$441,67,FALSE),0)</f>
        <v>2353672.8112983056</v>
      </c>
      <c r="I46" s="271">
        <f>_xlfn.IFNA(VLOOKUP($A46,ISB!$A$4:$BY$441,72,FALSE),0)</f>
        <v>-10233.9</v>
      </c>
      <c r="J46" s="271">
        <f>-_xlfn.IFNA(VLOOKUP($A46,ISB!$A$4:$BY$441,76,FALSE),0)</f>
        <v>-20036.387599999998</v>
      </c>
      <c r="K46" s="271">
        <f>_xlfn.IFNA(VLOOKUP($A46,ISB!$A$4:$BY$441,77,FALSE),0)</f>
        <v>2323402.5236983057</v>
      </c>
      <c r="M46" s="279">
        <f t="shared" si="56"/>
        <v>196139.40094152547</v>
      </c>
      <c r="N46" s="279"/>
      <c r="O46" s="279">
        <f>_xlfn.IFNA(VLOOKUP($A46,EY!$A:$H,8,FALSE)+(VLOOKUP($A46,EY!$A:$R,18,FALSE)-$T46),0)</f>
        <v>0</v>
      </c>
      <c r="P46" s="280">
        <f>_xlfn.IFNA((VLOOKUP($A46,HN!$A:$M,8,FALSE)/12),0)</f>
        <v>0</v>
      </c>
      <c r="Q46" s="280">
        <f>_xlfn.IFNA((VLOOKUP($A46,HN!$A:$M,12,FALSE)/12),0)</f>
        <v>0</v>
      </c>
      <c r="R46" s="280">
        <f>_xlfn.IFNA((VLOOKUP($A46,HN!$A:$M,9,FALSE)/12),0)</f>
        <v>0</v>
      </c>
      <c r="S46" s="280">
        <f>_xlfn.IFNA((VLOOKUP($A46,'Post 16'!$A:$AR,22,FALSE)/4),0)</f>
        <v>0</v>
      </c>
      <c r="T46" s="280">
        <f>_xlfn.IFNA((VLOOKUP($A46,EY!$A:$R,16,FALSE)*80%),0)</f>
        <v>0</v>
      </c>
      <c r="U46" s="280">
        <v>13032.9925</v>
      </c>
      <c r="V46" s="280">
        <v>0</v>
      </c>
      <c r="W46" s="279">
        <f t="shared" si="57"/>
        <v>-852.82499999999993</v>
      </c>
      <c r="X46" s="279">
        <f t="shared" si="58"/>
        <v>-1669.6989666666666</v>
      </c>
      <c r="Y46" s="280"/>
      <c r="Z46" s="280"/>
      <c r="AA46" s="280"/>
      <c r="AB46" s="279">
        <f t="shared" si="59"/>
        <v>206649.86947485877</v>
      </c>
      <c r="AC46" s="293">
        <f t="shared" si="60"/>
        <v>196139.40094152547</v>
      </c>
      <c r="AD46" s="293"/>
      <c r="AE46" s="293"/>
      <c r="AF46" s="294">
        <f>_xlfn.IFNA((VLOOKUP($A46,HN!$A:$M,8,FALSE)/12),0)</f>
        <v>0</v>
      </c>
      <c r="AG46" s="294">
        <f>_xlfn.IFNA((VLOOKUP($A46,HN!$A:$M,12,FALSE)/12),0)+_xlfn.IFNA(VLOOKUP($A46,HN!$A:$Q,17,FALSE),0)</f>
        <v>0</v>
      </c>
      <c r="AH46" s="294">
        <f>_xlfn.IFNA((VLOOKUP($A46,HN!$A:$M,9,FALSE)/12),0)</f>
        <v>0</v>
      </c>
      <c r="AI46" s="294">
        <f>_xlfn.IFNA((VLOOKUP($A46,'Post 16'!$A:$AR,22,FALSE)/4),0)</f>
        <v>0</v>
      </c>
      <c r="AJ46" s="294"/>
      <c r="AK46" s="294">
        <f>_xlfn.IFNA((VLOOKUP($A46,HN!$A:$M,10,FALSE)/12),0)</f>
        <v>10074.458333333334</v>
      </c>
      <c r="AL46" s="294">
        <f>_xlfn.IFNA((VLOOKUP($A46,HN!$A:$M,13,FALSE)/12),0)</f>
        <v>0</v>
      </c>
      <c r="AM46" s="293">
        <f t="shared" si="61"/>
        <v>-852.82499999999993</v>
      </c>
      <c r="AN46" s="293">
        <f t="shared" si="62"/>
        <v>-1669.6989666666666</v>
      </c>
      <c r="AO46" s="294"/>
      <c r="AP46" s="294"/>
      <c r="AQ46" s="294"/>
      <c r="AR46" s="293">
        <f t="shared" si="63"/>
        <v>203691.33530819212</v>
      </c>
      <c r="AS46" s="286">
        <f t="shared" si="64"/>
        <v>196139.40094152547</v>
      </c>
      <c r="AT46" s="286"/>
      <c r="AU46" s="286">
        <f>_xlfn.IFNA(VLOOKUP(A46,EY!A:AO,40,FALSE),0)</f>
        <v>0</v>
      </c>
      <c r="AV46" s="287">
        <f>_xlfn.IFNA((VLOOKUP($A46,HN!$A:$M,8,FALSE)/12),0)</f>
        <v>0</v>
      </c>
      <c r="AW46" s="287">
        <f>_xlfn.IFNA((VLOOKUP($A46,HN!$A:$M,12,FALSE)/12),0)+_xlfn.IFNA(VLOOKUP($A46,HN!$A$8:$AU$200,19,FALSE),0)</f>
        <v>0</v>
      </c>
      <c r="AX46" s="287">
        <f>_xlfn.IFNA((VLOOKUP($A46,HN!$A:$M,9,FALSE)/12),0)</f>
        <v>0</v>
      </c>
      <c r="AY46" s="287">
        <f>_xlfn.IFNA((VLOOKUP($A46,'Post 16'!$A:$AR,22,FALSE)/4),0)</f>
        <v>0</v>
      </c>
      <c r="AZ46" s="287">
        <f>_xlfn.IFNA(VLOOKUP(A46,EY!A:AO,41,FALSE),0)</f>
        <v>0</v>
      </c>
      <c r="BA46" s="287">
        <f>_xlfn.IFNA(((VLOOKUP($A46,HN!$A:$M,10,FALSE)-$U46-$AK46)/10),0)+_xlfn.IFNA(VLOOKUP($A46,HN!$A:$R,18,FALSE),0)</f>
        <v>9778.6049166666671</v>
      </c>
      <c r="BB46" s="287">
        <f>_xlfn.IFNA(((VLOOKUP($A46,HN!$A:$M,13,FALSE)-$V46-$AL46)/10),0)+_xlfn.IFNA(VLOOKUP($A46,HN!$A$8:$AU$200,20,FALSE),0)</f>
        <v>0</v>
      </c>
      <c r="BC46" s="286">
        <f t="shared" si="65"/>
        <v>-852.82499999999993</v>
      </c>
      <c r="BD46" s="286">
        <f t="shared" si="66"/>
        <v>-1669.6989666666666</v>
      </c>
      <c r="BE46" s="287"/>
      <c r="BF46" s="287"/>
      <c r="BG46" s="287"/>
      <c r="BH46" s="286">
        <f t="shared" si="67"/>
        <v>203395.48189152544</v>
      </c>
      <c r="BI46" s="307">
        <f t="shared" si="68"/>
        <v>196139.40094152547</v>
      </c>
      <c r="BJ46" s="307">
        <f>_xlfn.IFNA(VLOOKUP(A46,'LA Deductions'!A:AH,34,FALSE),0)</f>
        <v>0</v>
      </c>
      <c r="BK46" s="307"/>
      <c r="BL46" s="308">
        <f>_xlfn.IFNA((VLOOKUP($A46,HN!$A:$M,8,FALSE)/12),0)</f>
        <v>0</v>
      </c>
      <c r="BM46" s="308">
        <f>_xlfn.IFNA((VLOOKUP($A46,HN!$A:$M,12,FALSE)/12),0)</f>
        <v>0</v>
      </c>
      <c r="BN46" s="308">
        <f>_xlfn.IFNA((VLOOKUP($A46,HN!$A:$M,9,FALSE)/12),0)</f>
        <v>0</v>
      </c>
      <c r="BO46" s="308">
        <f>_xlfn.IFNA((VLOOKUP($A46,'Post 16'!$A:$AR,22,FALSE)/4),0)</f>
        <v>0</v>
      </c>
      <c r="BP46" s="308"/>
      <c r="BQ46" s="308">
        <f>_xlfn.IFNA(((VLOOKUP($A46,HN!$A:$M,10,FALSE)-$U46-$AK46)/10),0)</f>
        <v>9778.6049166666671</v>
      </c>
      <c r="BR46" s="308">
        <f>_xlfn.IFNA(((VLOOKUP($A46,HN!$A:$M,13,FALSE)-$V46-$AL46)/10),0)</f>
        <v>0</v>
      </c>
      <c r="BS46" s="307">
        <f t="shared" si="69"/>
        <v>-852.82499999999993</v>
      </c>
      <c r="BT46" s="307">
        <f t="shared" si="70"/>
        <v>-1669.6989666666666</v>
      </c>
      <c r="BU46" s="308"/>
      <c r="BV46" s="308"/>
      <c r="BW46" s="308"/>
      <c r="BX46" s="307">
        <f t="shared" si="71"/>
        <v>203395.48189152544</v>
      </c>
      <c r="BY46" s="300">
        <f t="shared" si="72"/>
        <v>196139.40094152547</v>
      </c>
      <c r="BZ46" s="300"/>
      <c r="CA46" s="300"/>
      <c r="CB46" s="301">
        <f>_xlfn.IFNA((VLOOKUP($A46,HN!$A:$M,8,FALSE)/12),0)</f>
        <v>0</v>
      </c>
      <c r="CC46" s="301">
        <f>_xlfn.IFNA((VLOOKUP($A46,HN!$A:$M,12,FALSE)/12),0)</f>
        <v>0</v>
      </c>
      <c r="CD46" s="301">
        <f>_xlfn.IFNA((VLOOKUP($A46,HN!$A:$M,9,FALSE)/12),0)</f>
        <v>0</v>
      </c>
      <c r="CE46" s="301">
        <f>_xlfn.IFNA((VLOOKUP($A46,'Post 16'!$A:$AG,33,FALSE)/8),0)</f>
        <v>0</v>
      </c>
      <c r="CF46" s="301"/>
      <c r="CG46" s="301">
        <f>_xlfn.IFNA(((VLOOKUP($A46,HN!$A:$M,10,FALSE)-$U46-$AK46)/10),0)</f>
        <v>9778.6049166666671</v>
      </c>
      <c r="CH46" s="301">
        <f>_xlfn.IFNA(((VLOOKUP($A46,HN!$A:$M,13,FALSE)-$V46-$AL46)/10),0)</f>
        <v>0</v>
      </c>
      <c r="CI46" s="300">
        <f t="shared" si="73"/>
        <v>-852.82499999999993</v>
      </c>
      <c r="CJ46" s="300">
        <f t="shared" si="74"/>
        <v>-1669.6989666666666</v>
      </c>
      <c r="CK46" s="301"/>
      <c r="CL46" s="301"/>
      <c r="CM46" s="301"/>
      <c r="CN46" s="300">
        <f t="shared" si="75"/>
        <v>203395.48189152544</v>
      </c>
      <c r="CO46" s="332">
        <f t="shared" si="76"/>
        <v>196139.40094152547</v>
      </c>
      <c r="CP46" s="332"/>
      <c r="CQ46" s="332">
        <f>_xlfn.IFNA((VLOOKUP($A46,EY!$A:$AB,28,FALSE)-$CV46),0)</f>
        <v>0</v>
      </c>
      <c r="CR46" s="333">
        <f>_xlfn.IFNA((VLOOKUP($A46,HN!$A:$M,8,FALSE)/12),0)</f>
        <v>0</v>
      </c>
      <c r="CS46" s="333">
        <f>_xlfn.IFNA((VLOOKUP($A46,HN!$A:$M,12,FALSE)/12),0)</f>
        <v>0</v>
      </c>
      <c r="CT46" s="333">
        <f>_xlfn.IFNA((VLOOKUP($A46,HN!$A:$M,9,FALSE)/12),0)</f>
        <v>0</v>
      </c>
      <c r="CU46" s="333">
        <f>_xlfn.IFNA((VLOOKUP($A46,'Post 16'!$A:$AG,33,FALSE)/8),0)</f>
        <v>0</v>
      </c>
      <c r="CV46" s="333">
        <f>_xlfn.IFNA((VLOOKUP($A46,EY!$A:$AB,26,FALSE)*80%),0)</f>
        <v>0</v>
      </c>
      <c r="CW46" s="333">
        <f>_xlfn.IFNA(((VLOOKUP($A46,HN!$A:$M,10,FALSE)-$U46-$AK46)/10),0)</f>
        <v>9778.6049166666671</v>
      </c>
      <c r="CX46" s="333">
        <f>_xlfn.IFNA(((VLOOKUP($A46,HN!$A:$M,13,FALSE)-$V46-$AL46)/10),0)</f>
        <v>0</v>
      </c>
      <c r="CY46" s="332">
        <f t="shared" si="77"/>
        <v>-852.82499999999993</v>
      </c>
      <c r="CZ46" s="332">
        <f t="shared" si="78"/>
        <v>-1669.6989666666666</v>
      </c>
      <c r="DA46" s="333"/>
      <c r="DB46" s="333"/>
      <c r="DC46" s="333"/>
      <c r="DD46" s="332">
        <f t="shared" si="79"/>
        <v>203395.48189152544</v>
      </c>
      <c r="DE46" s="314">
        <f t="shared" si="80"/>
        <v>196139.40094152547</v>
      </c>
      <c r="DF46" s="314"/>
      <c r="DG46" s="314"/>
      <c r="DH46" s="315">
        <f>_xlfn.IFNA((VLOOKUP($A46,HN!$A:$M,8,FALSE)/12),0)</f>
        <v>0</v>
      </c>
      <c r="DI46" s="315">
        <f>_xlfn.IFNA((VLOOKUP($A46,HN!$A:$M,12,FALSE)/12),0)</f>
        <v>0</v>
      </c>
      <c r="DJ46" s="315">
        <f>_xlfn.IFNA((VLOOKUP($A46,HN!$A:$M,9,FALSE)/12),0)</f>
        <v>0</v>
      </c>
      <c r="DK46" s="315">
        <f>_xlfn.IFNA((VLOOKUP($A46,'Post 16'!$A:$AG,33,FALSE)/8),0)</f>
        <v>0</v>
      </c>
      <c r="DL46" s="315"/>
      <c r="DM46" s="315">
        <f>_xlfn.IFNA(((VLOOKUP($A46,HN!$A:$M,10,FALSE)-$U46-$AK46)/10),0)</f>
        <v>9778.6049166666671</v>
      </c>
      <c r="DN46" s="315">
        <f>_xlfn.IFNA(((VLOOKUP($A46,HN!$A:$M,13,FALSE)-$V46-$AL46)/10),0)</f>
        <v>0</v>
      </c>
      <c r="DO46" s="314">
        <f t="shared" si="81"/>
        <v>-852.82499999999993</v>
      </c>
      <c r="DP46" s="314">
        <f t="shared" si="82"/>
        <v>-1669.6989666666666</v>
      </c>
      <c r="DQ46" s="315"/>
      <c r="DR46" s="315"/>
      <c r="DS46" s="315"/>
      <c r="DT46" s="314">
        <f t="shared" si="83"/>
        <v>203395.48189152544</v>
      </c>
      <c r="DU46" s="307">
        <f t="shared" si="84"/>
        <v>196139.40094152547</v>
      </c>
      <c r="DV46" s="307"/>
      <c r="DW46" s="307"/>
      <c r="DX46" s="308">
        <f>_xlfn.IFNA((VLOOKUP($A46,HN!$A:$M,8,FALSE)/12),0)</f>
        <v>0</v>
      </c>
      <c r="DY46" s="308">
        <f>_xlfn.IFNA((VLOOKUP($A46,HN!$A:$M,12,FALSE)/12),0)</f>
        <v>0</v>
      </c>
      <c r="DZ46" s="308">
        <f>_xlfn.IFNA((VLOOKUP($A46,HN!$A:$M,9,FALSE)/12),0)</f>
        <v>0</v>
      </c>
      <c r="EA46" s="308">
        <f>_xlfn.IFNA((VLOOKUP($A46,'Post 16'!$A:$AG,33,FALSE)/8),0)</f>
        <v>0</v>
      </c>
      <c r="EB46" s="308"/>
      <c r="EC46" s="308">
        <f>_xlfn.IFNA(((VLOOKUP($A46,HN!$A:$M,10,FALSE)-$U46-$AK46)/10),0)</f>
        <v>9778.6049166666671</v>
      </c>
      <c r="ED46" s="308">
        <f>_xlfn.IFNA(((VLOOKUP($A46,HN!$A:$M,13,FALSE)-$V46-$AL46)/10),0)</f>
        <v>0</v>
      </c>
      <c r="EE46" s="307">
        <f t="shared" si="85"/>
        <v>-852.82499999999993</v>
      </c>
      <c r="EF46" s="307">
        <f t="shared" si="86"/>
        <v>-1669.6989666666666</v>
      </c>
      <c r="EG46" s="308"/>
      <c r="EH46" s="308"/>
      <c r="EI46" s="308"/>
      <c r="EJ46" s="307">
        <f t="shared" si="87"/>
        <v>203395.48189152544</v>
      </c>
      <c r="EK46" s="320">
        <f t="shared" si="88"/>
        <v>196139.40094152547</v>
      </c>
      <c r="EL46" s="320"/>
      <c r="EM46" s="320"/>
      <c r="EN46" s="321">
        <f>_xlfn.IFNA((VLOOKUP($A46,HN!$A:$M,8,FALSE)/12),0)</f>
        <v>0</v>
      </c>
      <c r="EO46" s="321">
        <f>_xlfn.IFNA((VLOOKUP($A46,HN!$A:$M,12,FALSE)/12),0)</f>
        <v>0</v>
      </c>
      <c r="EP46" s="321">
        <f>_xlfn.IFNA((VLOOKUP($A46,HN!$A:$M,9,FALSE)/12),0)</f>
        <v>0</v>
      </c>
      <c r="EQ46" s="321">
        <f>_xlfn.IFNA((VLOOKUP($A46,'Post 16'!$A:$AG,33,FALSE)/8),0)</f>
        <v>0</v>
      </c>
      <c r="ER46" s="321"/>
      <c r="ES46" s="321">
        <f>_xlfn.IFNA(((VLOOKUP($A46,HN!$A:$M,10,FALSE)-$U46-$AK46)/10),0)</f>
        <v>9778.6049166666671</v>
      </c>
      <c r="ET46" s="321">
        <f>_xlfn.IFNA(((VLOOKUP($A46,HN!$A:$M,13,FALSE)-$V46-$AL46)/10),0)</f>
        <v>0</v>
      </c>
      <c r="EU46" s="320">
        <f t="shared" si="89"/>
        <v>-852.82499999999993</v>
      </c>
      <c r="EV46" s="320">
        <f t="shared" si="90"/>
        <v>-1669.6989666666666</v>
      </c>
      <c r="EW46" s="321"/>
      <c r="EX46" s="321"/>
      <c r="EY46" s="321"/>
      <c r="EZ46" s="320">
        <f t="shared" si="91"/>
        <v>203395.48189152544</v>
      </c>
      <c r="FA46" s="286">
        <f t="shared" si="92"/>
        <v>196139.40094152547</v>
      </c>
      <c r="FB46" s="286"/>
      <c r="FC46" s="286"/>
      <c r="FD46" s="287">
        <f>_xlfn.IFNA((VLOOKUP($A46,HN!$A:$M,8,FALSE)/12),0)</f>
        <v>0</v>
      </c>
      <c r="FE46" s="287">
        <f>_xlfn.IFNA((VLOOKUP($A46,HN!$A:$M,12,FALSE)/12),0)</f>
        <v>0</v>
      </c>
      <c r="FF46" s="287">
        <f>_xlfn.IFNA((VLOOKUP($A46,HN!$A:$M,9,FALSE)/12),0)</f>
        <v>0</v>
      </c>
      <c r="FG46" s="287">
        <f>_xlfn.IFNA((VLOOKUP($A46,'Post 16'!$A:$AG,33,FALSE)/8),0)</f>
        <v>0</v>
      </c>
      <c r="FH46" s="287"/>
      <c r="FI46" s="287">
        <f>_xlfn.IFNA(((VLOOKUP($A46,HN!$A:$M,10,FALSE)-$U46-$AK46)/10),0)</f>
        <v>9778.6049166666671</v>
      </c>
      <c r="FJ46" s="287">
        <f>_xlfn.IFNA(((VLOOKUP($A46,HN!$A:$M,13,FALSE)-$V46-$AL46)/10),0)</f>
        <v>0</v>
      </c>
      <c r="FK46" s="286">
        <f t="shared" si="93"/>
        <v>-852.82499999999993</v>
      </c>
      <c r="FL46" s="286">
        <f t="shared" si="94"/>
        <v>-1669.6989666666666</v>
      </c>
      <c r="FM46" s="287"/>
      <c r="FN46" s="287"/>
      <c r="FO46" s="287"/>
      <c r="FP46" s="286">
        <f t="shared" si="95"/>
        <v>203395.48189152544</v>
      </c>
      <c r="FQ46" s="293">
        <f t="shared" si="96"/>
        <v>196139.40094152547</v>
      </c>
      <c r="FR46" s="293"/>
      <c r="FS46" s="293"/>
      <c r="FT46" s="294">
        <f>_xlfn.IFNA((VLOOKUP($A46,HN!$A:$M,8,FALSE)/12),0)</f>
        <v>0</v>
      </c>
      <c r="FU46" s="294">
        <f>_xlfn.IFNA((VLOOKUP($A46,HN!$A:$M,12,FALSE)/12),0)</f>
        <v>0</v>
      </c>
      <c r="FV46" s="294">
        <f>_xlfn.IFNA((VLOOKUP($A46,HN!$A:$M,9,FALSE)/12),0)</f>
        <v>0</v>
      </c>
      <c r="FW46" s="294">
        <f>_xlfn.IFNA((VLOOKUP($A46,'Post 16'!$A:$AG,33,FALSE)/8),0)</f>
        <v>0</v>
      </c>
      <c r="FX46" s="294"/>
      <c r="FY46" s="294">
        <f>_xlfn.IFNA(((VLOOKUP($A46,HN!$A:$M,10,FALSE)-$U46-$AK46)/10),0)</f>
        <v>9778.6049166666671</v>
      </c>
      <c r="FZ46" s="294">
        <f>_xlfn.IFNA(((VLOOKUP($A46,HN!$A:$M,13,FALSE)-$V46-$AL46)/10),0)</f>
        <v>0</v>
      </c>
      <c r="GA46" s="293">
        <f t="shared" si="97"/>
        <v>-852.82499999999993</v>
      </c>
      <c r="GB46" s="293">
        <f t="shared" si="98"/>
        <v>-1669.6989666666666</v>
      </c>
      <c r="GC46" s="294"/>
      <c r="GD46" s="294"/>
      <c r="GE46" s="294"/>
      <c r="GF46" s="293">
        <f t="shared" si="99"/>
        <v>203395.48189152544</v>
      </c>
      <c r="GG46" s="300">
        <f t="shared" si="100"/>
        <v>196139.40094152547</v>
      </c>
      <c r="GH46" s="300"/>
      <c r="GI46" s="300"/>
      <c r="GJ46" s="301">
        <f>_xlfn.IFNA((VLOOKUP($A46,HN!$A:$M,8,FALSE)/12),0)</f>
        <v>0</v>
      </c>
      <c r="GK46" s="301">
        <f>_xlfn.IFNA((VLOOKUP($A46,HN!$A:$M,12,FALSE)/12),0)</f>
        <v>0</v>
      </c>
      <c r="GL46" s="301">
        <f>_xlfn.IFNA((VLOOKUP($A46,HN!$A:$M,9,FALSE)/12),0)</f>
        <v>0</v>
      </c>
      <c r="GM46" s="301">
        <f>_xlfn.IFNA((VLOOKUP($A46,'Post 16'!$A:$AG,33,FALSE)/8),0)</f>
        <v>0</v>
      </c>
      <c r="GN46" s="301"/>
      <c r="GO46" s="301">
        <f>_xlfn.IFNA(((VLOOKUP($A46,HN!$A:$M,10,FALSE)-$U46-$AK46)/10),0)</f>
        <v>9778.6049166666671</v>
      </c>
      <c r="GP46" s="301">
        <f>_xlfn.IFNA(((VLOOKUP($A46,HN!$A:$M,13,FALSE)-$V46-$AL46)/10),0)</f>
        <v>0</v>
      </c>
      <c r="GQ46" s="300">
        <f t="shared" si="101"/>
        <v>-852.82499999999993</v>
      </c>
      <c r="GR46" s="300">
        <f t="shared" si="102"/>
        <v>-1669.6989666666666</v>
      </c>
      <c r="GS46" s="301"/>
      <c r="GT46" s="301"/>
      <c r="GU46" s="301"/>
      <c r="GV46" s="300">
        <f t="shared" si="103"/>
        <v>203395.48189152544</v>
      </c>
      <c r="GX46" s="146">
        <f t="shared" si="54"/>
        <v>2353672.8112983061</v>
      </c>
      <c r="GY46" s="146">
        <f t="shared" si="54"/>
        <v>0</v>
      </c>
      <c r="GZ46" s="146">
        <f t="shared" si="54"/>
        <v>120893.49999999997</v>
      </c>
      <c r="HA46" s="146">
        <f t="shared" si="54"/>
        <v>-10233.900000000001</v>
      </c>
      <c r="HB46" s="146">
        <f t="shared" si="54"/>
        <v>-20036.387599999998</v>
      </c>
      <c r="HC46" s="146">
        <f t="shared" si="54"/>
        <v>0</v>
      </c>
      <c r="HE46" s="146">
        <f t="shared" si="55"/>
        <v>588418.20282457641</v>
      </c>
      <c r="HF46" s="146">
        <f t="shared" si="55"/>
        <v>0</v>
      </c>
      <c r="HG46" s="146">
        <f t="shared" si="55"/>
        <v>32886.05575</v>
      </c>
      <c r="HH46" s="146">
        <f t="shared" si="55"/>
        <v>-2558.4749999999999</v>
      </c>
      <c r="HI46" s="146">
        <f t="shared" si="55"/>
        <v>-5009.0968999999996</v>
      </c>
      <c r="HJ46" s="146">
        <f t="shared" si="55"/>
        <v>0</v>
      </c>
      <c r="HL46" s="146"/>
      <c r="HM46" s="57"/>
    </row>
    <row r="47" spans="1:221">
      <c r="A47" s="185">
        <v>2185</v>
      </c>
      <c r="B47" s="185">
        <v>103263</v>
      </c>
      <c r="C47" s="185" t="s">
        <v>117</v>
      </c>
      <c r="D47" s="2" t="s">
        <v>118</v>
      </c>
      <c r="E47" s="190" t="s">
        <v>39</v>
      </c>
      <c r="F47" s="190" t="s">
        <v>890</v>
      </c>
      <c r="H47" s="271">
        <f>_xlfn.IFNA(VLOOKUP($A47,ISB!$A$4:$BY$441,67,FALSE),0)</f>
        <v>2529573.0344946696</v>
      </c>
      <c r="I47" s="271">
        <f>_xlfn.IFNA(VLOOKUP($A47,ISB!$A$4:$BY$441,72,FALSE),0)</f>
        <v>-10482.9</v>
      </c>
      <c r="J47" s="271">
        <f>-_xlfn.IFNA(VLOOKUP($A47,ISB!$A$4:$BY$441,76,FALSE),0)</f>
        <v>-34001.877</v>
      </c>
      <c r="K47" s="271">
        <f>_xlfn.IFNA(VLOOKUP($A47,ISB!$A$4:$BY$441,77,FALSE),0)</f>
        <v>2485088.2574946699</v>
      </c>
      <c r="M47" s="279">
        <f t="shared" si="56"/>
        <v>210797.75287455579</v>
      </c>
      <c r="N47" s="279"/>
      <c r="O47" s="279">
        <f>_xlfn.IFNA(VLOOKUP($A47,EY!$A:$H,8,FALSE)+(VLOOKUP($A47,EY!$A:$R,18,FALSE)-$T47),0)</f>
        <v>43147.437894736846</v>
      </c>
      <c r="P47" s="280">
        <f>_xlfn.IFNA((VLOOKUP($A47,HN!$A:$M,8,FALSE)/12),0)</f>
        <v>0</v>
      </c>
      <c r="Q47" s="280">
        <f>_xlfn.IFNA((VLOOKUP($A47,HN!$A:$M,12,FALSE)/12),0)</f>
        <v>0</v>
      </c>
      <c r="R47" s="280">
        <f>_xlfn.IFNA((VLOOKUP($A47,HN!$A:$M,9,FALSE)/12),0)</f>
        <v>0</v>
      </c>
      <c r="S47" s="280">
        <f>_xlfn.IFNA((VLOOKUP($A47,'Post 16'!$A:$AR,22,FALSE)/4),0)</f>
        <v>0</v>
      </c>
      <c r="T47" s="280">
        <f>_xlfn.IFNA((VLOOKUP($A47,EY!$A:$R,16,FALSE)*80%),0)</f>
        <v>0</v>
      </c>
      <c r="U47" s="280">
        <v>15461.139166666668</v>
      </c>
      <c r="V47" s="280">
        <v>0</v>
      </c>
      <c r="W47" s="279">
        <f t="shared" si="57"/>
        <v>-873.57499999999993</v>
      </c>
      <c r="X47" s="279">
        <f t="shared" si="58"/>
        <v>-2833.4897500000002</v>
      </c>
      <c r="Y47" s="280"/>
      <c r="Z47" s="280"/>
      <c r="AA47" s="280"/>
      <c r="AB47" s="279">
        <f t="shared" si="59"/>
        <v>265699.26518595929</v>
      </c>
      <c r="AC47" s="293">
        <f t="shared" si="60"/>
        <v>210797.75287455579</v>
      </c>
      <c r="AD47" s="293"/>
      <c r="AE47" s="293"/>
      <c r="AF47" s="294">
        <f>_xlfn.IFNA((VLOOKUP($A47,HN!$A:$M,8,FALSE)/12),0)</f>
        <v>0</v>
      </c>
      <c r="AG47" s="294">
        <f>_xlfn.IFNA((VLOOKUP($A47,HN!$A:$M,12,FALSE)/12),0)+_xlfn.IFNA(VLOOKUP($A47,HN!$A:$Q,17,FALSE),0)</f>
        <v>0</v>
      </c>
      <c r="AH47" s="294">
        <f>_xlfn.IFNA((VLOOKUP($A47,HN!$A:$M,9,FALSE)/12),0)</f>
        <v>0</v>
      </c>
      <c r="AI47" s="294">
        <f>_xlfn.IFNA((VLOOKUP($A47,'Post 16'!$A:$AR,22,FALSE)/4),0)</f>
        <v>0</v>
      </c>
      <c r="AJ47" s="294"/>
      <c r="AK47" s="294">
        <f>_xlfn.IFNA((VLOOKUP($A47,HN!$A:$M,10,FALSE)/12),0)</f>
        <v>8763.2775000000001</v>
      </c>
      <c r="AL47" s="294">
        <f>_xlfn.IFNA((VLOOKUP($A47,HN!$A:$M,13,FALSE)/12),0)</f>
        <v>0</v>
      </c>
      <c r="AM47" s="293">
        <f t="shared" si="61"/>
        <v>-873.57499999999993</v>
      </c>
      <c r="AN47" s="293">
        <f t="shared" si="62"/>
        <v>-2833.4897500000002</v>
      </c>
      <c r="AO47" s="294"/>
      <c r="AP47" s="294"/>
      <c r="AQ47" s="294"/>
      <c r="AR47" s="293">
        <f t="shared" si="63"/>
        <v>215853.96562455577</v>
      </c>
      <c r="AS47" s="286">
        <f t="shared" si="64"/>
        <v>210797.75287455579</v>
      </c>
      <c r="AT47" s="286"/>
      <c r="AU47" s="286">
        <f>_xlfn.IFNA(VLOOKUP(A47,EY!A:AO,40,FALSE),0)</f>
        <v>9419.2136842105228</v>
      </c>
      <c r="AV47" s="287">
        <f>_xlfn.IFNA((VLOOKUP($A47,HN!$A:$M,8,FALSE)/12),0)</f>
        <v>0</v>
      </c>
      <c r="AW47" s="287">
        <f>_xlfn.IFNA((VLOOKUP($A47,HN!$A:$M,12,FALSE)/12),0)+_xlfn.IFNA(VLOOKUP($A47,HN!$A$8:$AU$200,19,FALSE),0)</f>
        <v>0</v>
      </c>
      <c r="AX47" s="287">
        <f>_xlfn.IFNA((VLOOKUP($A47,HN!$A:$M,9,FALSE)/12),0)</f>
        <v>0</v>
      </c>
      <c r="AY47" s="287">
        <f>_xlfn.IFNA((VLOOKUP($A47,'Post 16'!$A:$AR,22,FALSE)/4),0)</f>
        <v>0</v>
      </c>
      <c r="AZ47" s="287">
        <f>_xlfn.IFNA(VLOOKUP(A47,EY!A:AO,41,FALSE),0)</f>
        <v>0</v>
      </c>
      <c r="BA47" s="287">
        <f>_xlfn.IFNA(((VLOOKUP($A47,HN!$A:$M,10,FALSE)-$U47-$AK47)/10),0)+_xlfn.IFNA(VLOOKUP($A47,HN!$A:$R,18,FALSE),0)</f>
        <v>8093.4913333333334</v>
      </c>
      <c r="BB47" s="287">
        <f>_xlfn.IFNA(((VLOOKUP($A47,HN!$A:$M,13,FALSE)-$V47-$AL47)/10),0)+_xlfn.IFNA(VLOOKUP($A47,HN!$A$8:$AU$200,20,FALSE),0)</f>
        <v>0</v>
      </c>
      <c r="BC47" s="286">
        <f t="shared" si="65"/>
        <v>-873.57499999999993</v>
      </c>
      <c r="BD47" s="286">
        <f t="shared" si="66"/>
        <v>-2833.4897500000002</v>
      </c>
      <c r="BE47" s="287"/>
      <c r="BF47" s="287"/>
      <c r="BG47" s="287"/>
      <c r="BH47" s="286">
        <f t="shared" si="67"/>
        <v>224603.39314209964</v>
      </c>
      <c r="BI47" s="307">
        <f t="shared" si="68"/>
        <v>210797.75287455579</v>
      </c>
      <c r="BJ47" s="307">
        <f>_xlfn.IFNA(VLOOKUP(A47,'LA Deductions'!A:AH,34,FALSE),0)</f>
        <v>0</v>
      </c>
      <c r="BK47" s="307"/>
      <c r="BL47" s="308">
        <f>_xlfn.IFNA((VLOOKUP($A47,HN!$A:$M,8,FALSE)/12),0)</f>
        <v>0</v>
      </c>
      <c r="BM47" s="308">
        <f>_xlfn.IFNA((VLOOKUP($A47,HN!$A:$M,12,FALSE)/12),0)</f>
        <v>0</v>
      </c>
      <c r="BN47" s="308">
        <f>_xlfn.IFNA((VLOOKUP($A47,HN!$A:$M,9,FALSE)/12),0)</f>
        <v>0</v>
      </c>
      <c r="BO47" s="308">
        <f>_xlfn.IFNA((VLOOKUP($A47,'Post 16'!$A:$AR,22,FALSE)/4),0)</f>
        <v>0</v>
      </c>
      <c r="BP47" s="308"/>
      <c r="BQ47" s="308">
        <f>_xlfn.IFNA(((VLOOKUP($A47,HN!$A:$M,10,FALSE)-$U47-$AK47)/10),0)</f>
        <v>8093.4913333333334</v>
      </c>
      <c r="BR47" s="308">
        <f>_xlfn.IFNA(((VLOOKUP($A47,HN!$A:$M,13,FALSE)-$V47-$AL47)/10),0)</f>
        <v>0</v>
      </c>
      <c r="BS47" s="307">
        <f t="shared" si="69"/>
        <v>-873.57499999999993</v>
      </c>
      <c r="BT47" s="307">
        <f t="shared" si="70"/>
        <v>-2833.4897500000002</v>
      </c>
      <c r="BU47" s="308"/>
      <c r="BV47" s="308"/>
      <c r="BW47" s="308"/>
      <c r="BX47" s="307">
        <f t="shared" si="71"/>
        <v>215184.17945788911</v>
      </c>
      <c r="BY47" s="300">
        <f t="shared" si="72"/>
        <v>210797.75287455579</v>
      </c>
      <c r="BZ47" s="300"/>
      <c r="CA47" s="300"/>
      <c r="CB47" s="301">
        <f>_xlfn.IFNA((VLOOKUP($A47,HN!$A:$M,8,FALSE)/12),0)</f>
        <v>0</v>
      </c>
      <c r="CC47" s="301">
        <f>_xlfn.IFNA((VLOOKUP($A47,HN!$A:$M,12,FALSE)/12),0)</f>
        <v>0</v>
      </c>
      <c r="CD47" s="301">
        <f>_xlfn.IFNA((VLOOKUP($A47,HN!$A:$M,9,FALSE)/12),0)</f>
        <v>0</v>
      </c>
      <c r="CE47" s="301">
        <f>_xlfn.IFNA((VLOOKUP($A47,'Post 16'!$A:$AG,33,FALSE)/8),0)</f>
        <v>0</v>
      </c>
      <c r="CF47" s="301"/>
      <c r="CG47" s="301">
        <f>_xlfn.IFNA(((VLOOKUP($A47,HN!$A:$M,10,FALSE)-$U47-$AK47)/10),0)</f>
        <v>8093.4913333333334</v>
      </c>
      <c r="CH47" s="301">
        <f>_xlfn.IFNA(((VLOOKUP($A47,HN!$A:$M,13,FALSE)-$V47-$AL47)/10),0)</f>
        <v>0</v>
      </c>
      <c r="CI47" s="300">
        <f t="shared" si="73"/>
        <v>-873.57499999999993</v>
      </c>
      <c r="CJ47" s="300">
        <f t="shared" si="74"/>
        <v>-2833.4897500000002</v>
      </c>
      <c r="CK47" s="301"/>
      <c r="CL47" s="301"/>
      <c r="CM47" s="301"/>
      <c r="CN47" s="300">
        <f t="shared" si="75"/>
        <v>215184.17945788911</v>
      </c>
      <c r="CO47" s="332">
        <f t="shared" si="76"/>
        <v>210797.75287455579</v>
      </c>
      <c r="CP47" s="332"/>
      <c r="CQ47" s="332">
        <f>_xlfn.IFNA((VLOOKUP($A47,EY!$A:$AB,28,FALSE)-$CV47),0)</f>
        <v>49672.376000000004</v>
      </c>
      <c r="CR47" s="333">
        <f>_xlfn.IFNA((VLOOKUP($A47,HN!$A:$M,8,FALSE)/12),0)</f>
        <v>0</v>
      </c>
      <c r="CS47" s="333">
        <f>_xlfn.IFNA((VLOOKUP($A47,HN!$A:$M,12,FALSE)/12),0)</f>
        <v>0</v>
      </c>
      <c r="CT47" s="333">
        <f>_xlfn.IFNA((VLOOKUP($A47,HN!$A:$M,9,FALSE)/12),0)</f>
        <v>0</v>
      </c>
      <c r="CU47" s="333">
        <f>_xlfn.IFNA((VLOOKUP($A47,'Post 16'!$A:$AG,33,FALSE)/8),0)</f>
        <v>0</v>
      </c>
      <c r="CV47" s="333">
        <f>_xlfn.IFNA((VLOOKUP($A47,EY!$A:$AB,26,FALSE)*80%),0)</f>
        <v>0</v>
      </c>
      <c r="CW47" s="333">
        <f>_xlfn.IFNA(((VLOOKUP($A47,HN!$A:$M,10,FALSE)-$U47-$AK47)/10),0)</f>
        <v>8093.4913333333334</v>
      </c>
      <c r="CX47" s="333">
        <f>_xlfn.IFNA(((VLOOKUP($A47,HN!$A:$M,13,FALSE)-$V47-$AL47)/10),0)</f>
        <v>0</v>
      </c>
      <c r="CY47" s="332">
        <f t="shared" si="77"/>
        <v>-873.57499999999993</v>
      </c>
      <c r="CZ47" s="332">
        <f t="shared" si="78"/>
        <v>-2833.4897500000002</v>
      </c>
      <c r="DA47" s="333"/>
      <c r="DB47" s="333"/>
      <c r="DC47" s="333"/>
      <c r="DD47" s="332">
        <f t="shared" si="79"/>
        <v>264856.5554578891</v>
      </c>
      <c r="DE47" s="314">
        <f t="shared" si="80"/>
        <v>210797.75287455579</v>
      </c>
      <c r="DF47" s="314"/>
      <c r="DG47" s="314"/>
      <c r="DH47" s="315">
        <f>_xlfn.IFNA((VLOOKUP($A47,HN!$A:$M,8,FALSE)/12),0)</f>
        <v>0</v>
      </c>
      <c r="DI47" s="315">
        <f>_xlfn.IFNA((VLOOKUP($A47,HN!$A:$M,12,FALSE)/12),0)</f>
        <v>0</v>
      </c>
      <c r="DJ47" s="315">
        <f>_xlfn.IFNA((VLOOKUP($A47,HN!$A:$M,9,FALSE)/12),0)</f>
        <v>0</v>
      </c>
      <c r="DK47" s="315">
        <f>_xlfn.IFNA((VLOOKUP($A47,'Post 16'!$A:$AG,33,FALSE)/8),0)</f>
        <v>0</v>
      </c>
      <c r="DL47" s="315"/>
      <c r="DM47" s="315">
        <f>_xlfn.IFNA(((VLOOKUP($A47,HN!$A:$M,10,FALSE)-$U47-$AK47)/10),0)</f>
        <v>8093.4913333333334</v>
      </c>
      <c r="DN47" s="315">
        <f>_xlfn.IFNA(((VLOOKUP($A47,HN!$A:$M,13,FALSE)-$V47-$AL47)/10),0)</f>
        <v>0</v>
      </c>
      <c r="DO47" s="314">
        <f t="shared" si="81"/>
        <v>-873.57499999999993</v>
      </c>
      <c r="DP47" s="314">
        <f t="shared" si="82"/>
        <v>-2833.4897500000002</v>
      </c>
      <c r="DQ47" s="315"/>
      <c r="DR47" s="315"/>
      <c r="DS47" s="315"/>
      <c r="DT47" s="314">
        <f t="shared" si="83"/>
        <v>215184.17945788911</v>
      </c>
      <c r="DU47" s="307">
        <f t="shared" si="84"/>
        <v>210797.75287455579</v>
      </c>
      <c r="DV47" s="307"/>
      <c r="DW47" s="307"/>
      <c r="DX47" s="308">
        <f>_xlfn.IFNA((VLOOKUP($A47,HN!$A:$M,8,FALSE)/12),0)</f>
        <v>0</v>
      </c>
      <c r="DY47" s="308">
        <f>_xlfn.IFNA((VLOOKUP($A47,HN!$A:$M,12,FALSE)/12),0)</f>
        <v>0</v>
      </c>
      <c r="DZ47" s="308">
        <f>_xlfn.IFNA((VLOOKUP($A47,HN!$A:$M,9,FALSE)/12),0)</f>
        <v>0</v>
      </c>
      <c r="EA47" s="308">
        <f>_xlfn.IFNA((VLOOKUP($A47,'Post 16'!$A:$AG,33,FALSE)/8),0)</f>
        <v>0</v>
      </c>
      <c r="EB47" s="308"/>
      <c r="EC47" s="308">
        <f>_xlfn.IFNA(((VLOOKUP($A47,HN!$A:$M,10,FALSE)-$U47-$AK47)/10),0)</f>
        <v>8093.4913333333334</v>
      </c>
      <c r="ED47" s="308">
        <f>_xlfn.IFNA(((VLOOKUP($A47,HN!$A:$M,13,FALSE)-$V47-$AL47)/10),0)</f>
        <v>0</v>
      </c>
      <c r="EE47" s="307">
        <f t="shared" si="85"/>
        <v>-873.57499999999993</v>
      </c>
      <c r="EF47" s="307">
        <f t="shared" si="86"/>
        <v>-2833.4897500000002</v>
      </c>
      <c r="EG47" s="308"/>
      <c r="EH47" s="308"/>
      <c r="EI47" s="308"/>
      <c r="EJ47" s="307">
        <f t="shared" si="87"/>
        <v>215184.17945788911</v>
      </c>
      <c r="EK47" s="320">
        <f t="shared" si="88"/>
        <v>210797.75287455579</v>
      </c>
      <c r="EL47" s="320"/>
      <c r="EM47" s="320"/>
      <c r="EN47" s="321">
        <f>_xlfn.IFNA((VLOOKUP($A47,HN!$A:$M,8,FALSE)/12),0)</f>
        <v>0</v>
      </c>
      <c r="EO47" s="321">
        <f>_xlfn.IFNA((VLOOKUP($A47,HN!$A:$M,12,FALSE)/12),0)</f>
        <v>0</v>
      </c>
      <c r="EP47" s="321">
        <f>_xlfn.IFNA((VLOOKUP($A47,HN!$A:$M,9,FALSE)/12),0)</f>
        <v>0</v>
      </c>
      <c r="EQ47" s="321">
        <f>_xlfn.IFNA((VLOOKUP($A47,'Post 16'!$A:$AG,33,FALSE)/8),0)</f>
        <v>0</v>
      </c>
      <c r="ER47" s="321"/>
      <c r="ES47" s="321">
        <f>_xlfn.IFNA(((VLOOKUP($A47,HN!$A:$M,10,FALSE)-$U47-$AK47)/10),0)</f>
        <v>8093.4913333333334</v>
      </c>
      <c r="ET47" s="321">
        <f>_xlfn.IFNA(((VLOOKUP($A47,HN!$A:$M,13,FALSE)-$V47-$AL47)/10),0)</f>
        <v>0</v>
      </c>
      <c r="EU47" s="320">
        <f t="shared" si="89"/>
        <v>-873.57499999999993</v>
      </c>
      <c r="EV47" s="320">
        <f t="shared" si="90"/>
        <v>-2833.4897500000002</v>
      </c>
      <c r="EW47" s="321"/>
      <c r="EX47" s="321"/>
      <c r="EY47" s="321"/>
      <c r="EZ47" s="320">
        <f t="shared" si="91"/>
        <v>215184.17945788911</v>
      </c>
      <c r="FA47" s="286">
        <f t="shared" si="92"/>
        <v>210797.75287455579</v>
      </c>
      <c r="FB47" s="286"/>
      <c r="FC47" s="286"/>
      <c r="FD47" s="287">
        <f>_xlfn.IFNA((VLOOKUP($A47,HN!$A:$M,8,FALSE)/12),0)</f>
        <v>0</v>
      </c>
      <c r="FE47" s="287">
        <f>_xlfn.IFNA((VLOOKUP($A47,HN!$A:$M,12,FALSE)/12),0)</f>
        <v>0</v>
      </c>
      <c r="FF47" s="287">
        <f>_xlfn.IFNA((VLOOKUP($A47,HN!$A:$M,9,FALSE)/12),0)</f>
        <v>0</v>
      </c>
      <c r="FG47" s="287">
        <f>_xlfn.IFNA((VLOOKUP($A47,'Post 16'!$A:$AG,33,FALSE)/8),0)</f>
        <v>0</v>
      </c>
      <c r="FH47" s="287"/>
      <c r="FI47" s="287">
        <f>_xlfn.IFNA(((VLOOKUP($A47,HN!$A:$M,10,FALSE)-$U47-$AK47)/10),0)</f>
        <v>8093.4913333333334</v>
      </c>
      <c r="FJ47" s="287">
        <f>_xlfn.IFNA(((VLOOKUP($A47,HN!$A:$M,13,FALSE)-$V47-$AL47)/10),0)</f>
        <v>0</v>
      </c>
      <c r="FK47" s="286">
        <f t="shared" si="93"/>
        <v>-873.57499999999993</v>
      </c>
      <c r="FL47" s="286">
        <f t="shared" si="94"/>
        <v>-2833.4897500000002</v>
      </c>
      <c r="FM47" s="287"/>
      <c r="FN47" s="287"/>
      <c r="FO47" s="287"/>
      <c r="FP47" s="286">
        <f t="shared" si="95"/>
        <v>215184.17945788911</v>
      </c>
      <c r="FQ47" s="293">
        <f t="shared" si="96"/>
        <v>210797.75287455579</v>
      </c>
      <c r="FR47" s="293"/>
      <c r="FS47" s="293"/>
      <c r="FT47" s="294">
        <f>_xlfn.IFNA((VLOOKUP($A47,HN!$A:$M,8,FALSE)/12),0)</f>
        <v>0</v>
      </c>
      <c r="FU47" s="294">
        <f>_xlfn.IFNA((VLOOKUP($A47,HN!$A:$M,12,FALSE)/12),0)</f>
        <v>0</v>
      </c>
      <c r="FV47" s="294">
        <f>_xlfn.IFNA((VLOOKUP($A47,HN!$A:$M,9,FALSE)/12),0)</f>
        <v>0</v>
      </c>
      <c r="FW47" s="294">
        <f>_xlfn.IFNA((VLOOKUP($A47,'Post 16'!$A:$AG,33,FALSE)/8),0)</f>
        <v>0</v>
      </c>
      <c r="FX47" s="294"/>
      <c r="FY47" s="294">
        <f>_xlfn.IFNA(((VLOOKUP($A47,HN!$A:$M,10,FALSE)-$U47-$AK47)/10),0)</f>
        <v>8093.4913333333334</v>
      </c>
      <c r="FZ47" s="294">
        <f>_xlfn.IFNA(((VLOOKUP($A47,HN!$A:$M,13,FALSE)-$V47-$AL47)/10),0)</f>
        <v>0</v>
      </c>
      <c r="GA47" s="293">
        <f t="shared" si="97"/>
        <v>-873.57499999999993</v>
      </c>
      <c r="GB47" s="293">
        <f t="shared" si="98"/>
        <v>-2833.4897500000002</v>
      </c>
      <c r="GC47" s="294"/>
      <c r="GD47" s="294"/>
      <c r="GE47" s="294"/>
      <c r="GF47" s="293">
        <f t="shared" si="99"/>
        <v>215184.17945788911</v>
      </c>
      <c r="GG47" s="300">
        <f t="shared" si="100"/>
        <v>210797.75287455579</v>
      </c>
      <c r="GH47" s="300"/>
      <c r="GI47" s="300"/>
      <c r="GJ47" s="301">
        <f>_xlfn.IFNA((VLOOKUP($A47,HN!$A:$M,8,FALSE)/12),0)</f>
        <v>0</v>
      </c>
      <c r="GK47" s="301">
        <f>_xlfn.IFNA((VLOOKUP($A47,HN!$A:$M,12,FALSE)/12),0)</f>
        <v>0</v>
      </c>
      <c r="GL47" s="301">
        <f>_xlfn.IFNA((VLOOKUP($A47,HN!$A:$M,9,FALSE)/12),0)</f>
        <v>0</v>
      </c>
      <c r="GM47" s="301">
        <f>_xlfn.IFNA((VLOOKUP($A47,'Post 16'!$A:$AG,33,FALSE)/8),0)</f>
        <v>0</v>
      </c>
      <c r="GN47" s="301"/>
      <c r="GO47" s="301">
        <f>_xlfn.IFNA(((VLOOKUP($A47,HN!$A:$M,10,FALSE)-$U47-$AK47)/10),0)</f>
        <v>8093.4913333333334</v>
      </c>
      <c r="GP47" s="301">
        <f>_xlfn.IFNA(((VLOOKUP($A47,HN!$A:$M,13,FALSE)-$V47-$AL47)/10),0)</f>
        <v>0</v>
      </c>
      <c r="GQ47" s="300">
        <f t="shared" si="101"/>
        <v>-873.57499999999993</v>
      </c>
      <c r="GR47" s="300">
        <f t="shared" si="102"/>
        <v>-2833.4897500000002</v>
      </c>
      <c r="GS47" s="301"/>
      <c r="GT47" s="301"/>
      <c r="GU47" s="301"/>
      <c r="GV47" s="300">
        <f t="shared" si="103"/>
        <v>215184.17945788911</v>
      </c>
      <c r="GX47" s="146">
        <f t="shared" si="54"/>
        <v>2631812.0620736172</v>
      </c>
      <c r="GY47" s="146">
        <f t="shared" si="54"/>
        <v>0</v>
      </c>
      <c r="GZ47" s="146">
        <f t="shared" si="54"/>
        <v>105159.33000000002</v>
      </c>
      <c r="HA47" s="146">
        <f t="shared" si="54"/>
        <v>-10482.900000000001</v>
      </c>
      <c r="HB47" s="146">
        <f t="shared" si="54"/>
        <v>-34001.877</v>
      </c>
      <c r="HC47" s="146">
        <f t="shared" si="54"/>
        <v>0</v>
      </c>
      <c r="HE47" s="146">
        <f t="shared" si="55"/>
        <v>684959.91020261473</v>
      </c>
      <c r="HF47" s="146">
        <f t="shared" si="55"/>
        <v>0</v>
      </c>
      <c r="HG47" s="146">
        <f t="shared" si="55"/>
        <v>32317.908000000003</v>
      </c>
      <c r="HH47" s="146">
        <f t="shared" si="55"/>
        <v>-2620.7249999999999</v>
      </c>
      <c r="HI47" s="146">
        <f t="shared" si="55"/>
        <v>-8500.4692500000001</v>
      </c>
      <c r="HJ47" s="146">
        <f t="shared" si="55"/>
        <v>0</v>
      </c>
      <c r="HL47" s="146"/>
      <c r="HM47" s="57"/>
    </row>
    <row r="48" spans="1:221">
      <c r="A48" s="185">
        <v>5416</v>
      </c>
      <c r="B48" s="185">
        <v>103563</v>
      </c>
      <c r="C48" s="185" t="s">
        <v>119</v>
      </c>
      <c r="D48" s="2" t="s">
        <v>120</v>
      </c>
      <c r="E48" s="190" t="s">
        <v>71</v>
      </c>
      <c r="F48" s="190" t="s">
        <v>890</v>
      </c>
      <c r="H48" s="271">
        <f>_xlfn.IFNA(VLOOKUP($A48,ISB!$A$4:$BY$441,67,FALSE),0)</f>
        <v>9204468.7656803094</v>
      </c>
      <c r="I48" s="271">
        <f>_xlfn.IFNA(VLOOKUP($A48,ISB!$A$4:$BY$441,72,FALSE),0)</f>
        <v>-21040.5</v>
      </c>
      <c r="J48" s="271">
        <f>-_xlfn.IFNA(VLOOKUP($A48,ISB!$A$4:$BY$441,76,FALSE),0)</f>
        <v>-39764.906999999999</v>
      </c>
      <c r="K48" s="271">
        <f>_xlfn.IFNA(VLOOKUP($A48,ISB!$A$4:$BY$441,77,FALSE),0)</f>
        <v>9143663.3586803097</v>
      </c>
      <c r="M48" s="279">
        <f t="shared" si="56"/>
        <v>767039.06380669249</v>
      </c>
      <c r="N48" s="279"/>
      <c r="O48" s="279">
        <f>_xlfn.IFNA(VLOOKUP($A48,EY!$A:$H,8,FALSE)+(VLOOKUP($A48,EY!$A:$R,18,FALSE)-$T48),0)</f>
        <v>0</v>
      </c>
      <c r="P48" s="280">
        <f>_xlfn.IFNA((VLOOKUP($A48,HN!$A:$M,8,FALSE)/12),0)</f>
        <v>0</v>
      </c>
      <c r="Q48" s="280">
        <f>_xlfn.IFNA((VLOOKUP($A48,HN!$A:$M,12,FALSE)/12),0)</f>
        <v>0</v>
      </c>
      <c r="R48" s="280">
        <f>_xlfn.IFNA((VLOOKUP($A48,HN!$A:$M,9,FALSE)/12),0)</f>
        <v>0</v>
      </c>
      <c r="S48" s="280">
        <f>_xlfn.IFNA((VLOOKUP($A48,'Post 16'!$A:$AR,22,FALSE)/4),0)</f>
        <v>28396.166666666668</v>
      </c>
      <c r="T48" s="280">
        <f>_xlfn.IFNA((VLOOKUP($A48,EY!$A:$R,16,FALSE)*80%),0)</f>
        <v>0</v>
      </c>
      <c r="U48" s="280">
        <v>11408.673333333334</v>
      </c>
      <c r="V48" s="280">
        <v>0</v>
      </c>
      <c r="W48" s="279">
        <f t="shared" si="57"/>
        <v>-1753.375</v>
      </c>
      <c r="X48" s="279">
        <f t="shared" si="58"/>
        <v>-3313.7422499999998</v>
      </c>
      <c r="Y48" s="280"/>
      <c r="Z48" s="280"/>
      <c r="AA48" s="280"/>
      <c r="AB48" s="279">
        <f t="shared" si="59"/>
        <v>801776.78655669244</v>
      </c>
      <c r="AC48" s="293">
        <f t="shared" si="60"/>
        <v>767039.06380669249</v>
      </c>
      <c r="AD48" s="293"/>
      <c r="AE48" s="293"/>
      <c r="AF48" s="294">
        <f>_xlfn.IFNA((VLOOKUP($A48,HN!$A:$M,8,FALSE)/12),0)</f>
        <v>0</v>
      </c>
      <c r="AG48" s="294">
        <f>_xlfn.IFNA((VLOOKUP($A48,HN!$A:$M,12,FALSE)/12),0)+_xlfn.IFNA(VLOOKUP($A48,HN!$A:$Q,17,FALSE),0)</f>
        <v>0</v>
      </c>
      <c r="AH48" s="294">
        <f>_xlfn.IFNA((VLOOKUP($A48,HN!$A:$M,9,FALSE)/12),0)</f>
        <v>0</v>
      </c>
      <c r="AI48" s="294">
        <f>_xlfn.IFNA((VLOOKUP($A48,'Post 16'!$A:$AR,22,FALSE)/4),0)</f>
        <v>28396.166666666668</v>
      </c>
      <c r="AJ48" s="294"/>
      <c r="AK48" s="294">
        <f>_xlfn.IFNA((VLOOKUP($A48,HN!$A:$M,10,FALSE)/12),0)</f>
        <v>12365.312499999998</v>
      </c>
      <c r="AL48" s="294">
        <f>_xlfn.IFNA((VLOOKUP($A48,HN!$A:$M,13,FALSE)/12),0)</f>
        <v>0</v>
      </c>
      <c r="AM48" s="293">
        <f t="shared" si="61"/>
        <v>-1753.375</v>
      </c>
      <c r="AN48" s="293">
        <f t="shared" si="62"/>
        <v>-3313.7422499999998</v>
      </c>
      <c r="AO48" s="294"/>
      <c r="AP48" s="294"/>
      <c r="AQ48" s="294"/>
      <c r="AR48" s="293">
        <f t="shared" si="63"/>
        <v>802733.42572335911</v>
      </c>
      <c r="AS48" s="286">
        <f t="shared" si="64"/>
        <v>767039.06380669249</v>
      </c>
      <c r="AT48" s="286"/>
      <c r="AU48" s="286">
        <f>_xlfn.IFNA(VLOOKUP(A48,EY!A:AO,40,FALSE),0)</f>
        <v>0</v>
      </c>
      <c r="AV48" s="287">
        <f>_xlfn.IFNA((VLOOKUP($A48,HN!$A:$M,8,FALSE)/12),0)</f>
        <v>0</v>
      </c>
      <c r="AW48" s="287">
        <f>_xlfn.IFNA((VLOOKUP($A48,HN!$A:$M,12,FALSE)/12),0)+_xlfn.IFNA(VLOOKUP($A48,HN!$A$8:$AU$200,19,FALSE),0)</f>
        <v>0</v>
      </c>
      <c r="AX48" s="287">
        <f>_xlfn.IFNA((VLOOKUP($A48,HN!$A:$M,9,FALSE)/12),0)</f>
        <v>0</v>
      </c>
      <c r="AY48" s="287">
        <f>_xlfn.IFNA((VLOOKUP($A48,'Post 16'!$A:$AR,22,FALSE)/4),0)</f>
        <v>28396.166666666668</v>
      </c>
      <c r="AZ48" s="287">
        <f>_xlfn.IFNA(VLOOKUP(A48,EY!A:AO,41,FALSE),0)</f>
        <v>0</v>
      </c>
      <c r="BA48" s="287">
        <f>_xlfn.IFNA(((VLOOKUP($A48,HN!$A:$M,10,FALSE)-$U48-$AK48)/10),0)+_xlfn.IFNA(VLOOKUP($A48,HN!$A:$R,18,FALSE),0)</f>
        <v>12460.976416666663</v>
      </c>
      <c r="BB48" s="287">
        <f>_xlfn.IFNA(((VLOOKUP($A48,HN!$A:$M,13,FALSE)-$V48-$AL48)/10),0)+_xlfn.IFNA(VLOOKUP($A48,HN!$A$8:$AU$200,20,FALSE),0)</f>
        <v>0</v>
      </c>
      <c r="BC48" s="286">
        <f t="shared" si="65"/>
        <v>-1753.375</v>
      </c>
      <c r="BD48" s="286">
        <f t="shared" si="66"/>
        <v>-3313.7422499999998</v>
      </c>
      <c r="BE48" s="287"/>
      <c r="BF48" s="287"/>
      <c r="BG48" s="287"/>
      <c r="BH48" s="286">
        <f t="shared" si="67"/>
        <v>802829.08964002575</v>
      </c>
      <c r="BI48" s="307">
        <f t="shared" si="68"/>
        <v>767039.06380669249</v>
      </c>
      <c r="BJ48" s="307">
        <f>_xlfn.IFNA(VLOOKUP(A48,'LA Deductions'!A:AH,34,FALSE),0)</f>
        <v>-5490</v>
      </c>
      <c r="BK48" s="307"/>
      <c r="BL48" s="308">
        <f>_xlfn.IFNA((VLOOKUP($A48,HN!$A:$M,8,FALSE)/12),0)</f>
        <v>0</v>
      </c>
      <c r="BM48" s="308">
        <f>_xlfn.IFNA((VLOOKUP($A48,HN!$A:$M,12,FALSE)/12),0)</f>
        <v>0</v>
      </c>
      <c r="BN48" s="308">
        <f>_xlfn.IFNA((VLOOKUP($A48,HN!$A:$M,9,FALSE)/12),0)</f>
        <v>0</v>
      </c>
      <c r="BO48" s="308">
        <f>_xlfn.IFNA((VLOOKUP($A48,'Post 16'!$A:$AR,22,FALSE)/4),0)</f>
        <v>28396.166666666668</v>
      </c>
      <c r="BP48" s="308"/>
      <c r="BQ48" s="308">
        <f>_xlfn.IFNA(((VLOOKUP($A48,HN!$A:$M,10,FALSE)-$U48-$AK48)/10),0)</f>
        <v>12460.976416666663</v>
      </c>
      <c r="BR48" s="308">
        <f>_xlfn.IFNA(((VLOOKUP($A48,HN!$A:$M,13,FALSE)-$V48-$AL48)/10),0)</f>
        <v>0</v>
      </c>
      <c r="BS48" s="307">
        <f t="shared" si="69"/>
        <v>-1753.375</v>
      </c>
      <c r="BT48" s="307">
        <f t="shared" si="70"/>
        <v>-3313.7422499999998</v>
      </c>
      <c r="BU48" s="308"/>
      <c r="BV48" s="308"/>
      <c r="BW48" s="308"/>
      <c r="BX48" s="307">
        <f t="shared" si="71"/>
        <v>797339.08964002575</v>
      </c>
      <c r="BY48" s="300">
        <f t="shared" si="72"/>
        <v>767039.06380669249</v>
      </c>
      <c r="BZ48" s="300"/>
      <c r="CA48" s="300"/>
      <c r="CB48" s="301">
        <f>_xlfn.IFNA((VLOOKUP($A48,HN!$A:$M,8,FALSE)/12),0)</f>
        <v>0</v>
      </c>
      <c r="CC48" s="301">
        <f>_xlfn.IFNA((VLOOKUP($A48,HN!$A:$M,12,FALSE)/12),0)</f>
        <v>0</v>
      </c>
      <c r="CD48" s="301">
        <f>_xlfn.IFNA((VLOOKUP($A48,HN!$A:$M,9,FALSE)/12),0)</f>
        <v>0</v>
      </c>
      <c r="CE48" s="301">
        <f>_xlfn.IFNA((VLOOKUP($A48,'Post 16'!$A:$AG,33,FALSE)/8),0)</f>
        <v>34570.416666666664</v>
      </c>
      <c r="CF48" s="301"/>
      <c r="CG48" s="301">
        <f>_xlfn.IFNA(((VLOOKUP($A48,HN!$A:$M,10,FALSE)-$U48-$AK48)/10),0)</f>
        <v>12460.976416666663</v>
      </c>
      <c r="CH48" s="301">
        <f>_xlfn.IFNA(((VLOOKUP($A48,HN!$A:$M,13,FALSE)-$V48-$AL48)/10),0)</f>
        <v>0</v>
      </c>
      <c r="CI48" s="300">
        <f t="shared" si="73"/>
        <v>-1753.375</v>
      </c>
      <c r="CJ48" s="300">
        <f t="shared" si="74"/>
        <v>-3313.7422499999998</v>
      </c>
      <c r="CK48" s="301"/>
      <c r="CL48" s="301"/>
      <c r="CM48" s="301"/>
      <c r="CN48" s="300">
        <f t="shared" si="75"/>
        <v>809003.33964002575</v>
      </c>
      <c r="CO48" s="332">
        <f t="shared" si="76"/>
        <v>767039.06380669249</v>
      </c>
      <c r="CP48" s="332"/>
      <c r="CQ48" s="332">
        <f>_xlfn.IFNA((VLOOKUP($A48,EY!$A:$AB,28,FALSE)-$CV48),0)</f>
        <v>0</v>
      </c>
      <c r="CR48" s="333">
        <f>_xlfn.IFNA((VLOOKUP($A48,HN!$A:$M,8,FALSE)/12),0)</f>
        <v>0</v>
      </c>
      <c r="CS48" s="333">
        <f>_xlfn.IFNA((VLOOKUP($A48,HN!$A:$M,12,FALSE)/12),0)</f>
        <v>0</v>
      </c>
      <c r="CT48" s="333">
        <f>_xlfn.IFNA((VLOOKUP($A48,HN!$A:$M,9,FALSE)/12),0)</f>
        <v>0</v>
      </c>
      <c r="CU48" s="333">
        <f>_xlfn.IFNA((VLOOKUP($A48,'Post 16'!$A:$AG,33,FALSE)/8),0)</f>
        <v>34570.416666666664</v>
      </c>
      <c r="CV48" s="333">
        <f>_xlfn.IFNA((VLOOKUP($A48,EY!$A:$AB,26,FALSE)*80%),0)</f>
        <v>0</v>
      </c>
      <c r="CW48" s="333">
        <f>_xlfn.IFNA(((VLOOKUP($A48,HN!$A:$M,10,FALSE)-$U48-$AK48)/10),0)</f>
        <v>12460.976416666663</v>
      </c>
      <c r="CX48" s="333">
        <f>_xlfn.IFNA(((VLOOKUP($A48,HN!$A:$M,13,FALSE)-$V48-$AL48)/10),0)</f>
        <v>0</v>
      </c>
      <c r="CY48" s="332">
        <f t="shared" si="77"/>
        <v>-1753.375</v>
      </c>
      <c r="CZ48" s="332">
        <f t="shared" si="78"/>
        <v>-3313.7422499999998</v>
      </c>
      <c r="DA48" s="333"/>
      <c r="DB48" s="333"/>
      <c r="DC48" s="333"/>
      <c r="DD48" s="332">
        <f t="shared" si="79"/>
        <v>809003.33964002575</v>
      </c>
      <c r="DE48" s="314">
        <f t="shared" si="80"/>
        <v>767039.06380669249</v>
      </c>
      <c r="DF48" s="314"/>
      <c r="DG48" s="314"/>
      <c r="DH48" s="315">
        <f>_xlfn.IFNA((VLOOKUP($A48,HN!$A:$M,8,FALSE)/12),0)</f>
        <v>0</v>
      </c>
      <c r="DI48" s="315">
        <f>_xlfn.IFNA((VLOOKUP($A48,HN!$A:$M,12,FALSE)/12),0)</f>
        <v>0</v>
      </c>
      <c r="DJ48" s="315">
        <f>_xlfn.IFNA((VLOOKUP($A48,HN!$A:$M,9,FALSE)/12),0)</f>
        <v>0</v>
      </c>
      <c r="DK48" s="315">
        <f>_xlfn.IFNA((VLOOKUP($A48,'Post 16'!$A:$AG,33,FALSE)/8),0)</f>
        <v>34570.416666666664</v>
      </c>
      <c r="DL48" s="315"/>
      <c r="DM48" s="315">
        <f>_xlfn.IFNA(((VLOOKUP($A48,HN!$A:$M,10,FALSE)-$U48-$AK48)/10),0)</f>
        <v>12460.976416666663</v>
      </c>
      <c r="DN48" s="315">
        <f>_xlfn.IFNA(((VLOOKUP($A48,HN!$A:$M,13,FALSE)-$V48-$AL48)/10),0)</f>
        <v>0</v>
      </c>
      <c r="DO48" s="314">
        <f t="shared" si="81"/>
        <v>-1753.375</v>
      </c>
      <c r="DP48" s="314">
        <f t="shared" si="82"/>
        <v>-3313.7422499999998</v>
      </c>
      <c r="DQ48" s="315"/>
      <c r="DR48" s="315"/>
      <c r="DS48" s="315"/>
      <c r="DT48" s="314">
        <f t="shared" si="83"/>
        <v>809003.33964002575</v>
      </c>
      <c r="DU48" s="307">
        <f t="shared" si="84"/>
        <v>767039.06380669249</v>
      </c>
      <c r="DV48" s="307"/>
      <c r="DW48" s="307"/>
      <c r="DX48" s="308">
        <f>_xlfn.IFNA((VLOOKUP($A48,HN!$A:$M,8,FALSE)/12),0)</f>
        <v>0</v>
      </c>
      <c r="DY48" s="308">
        <f>_xlfn.IFNA((VLOOKUP($A48,HN!$A:$M,12,FALSE)/12),0)</f>
        <v>0</v>
      </c>
      <c r="DZ48" s="308">
        <f>_xlfn.IFNA((VLOOKUP($A48,HN!$A:$M,9,FALSE)/12),0)</f>
        <v>0</v>
      </c>
      <c r="EA48" s="308">
        <f>_xlfn.IFNA((VLOOKUP($A48,'Post 16'!$A:$AG,33,FALSE)/8),0)</f>
        <v>34570.416666666664</v>
      </c>
      <c r="EB48" s="308"/>
      <c r="EC48" s="308">
        <f>_xlfn.IFNA(((VLOOKUP($A48,HN!$A:$M,10,FALSE)-$U48-$AK48)/10),0)</f>
        <v>12460.976416666663</v>
      </c>
      <c r="ED48" s="308">
        <f>_xlfn.IFNA(((VLOOKUP($A48,HN!$A:$M,13,FALSE)-$V48-$AL48)/10),0)</f>
        <v>0</v>
      </c>
      <c r="EE48" s="307">
        <f t="shared" si="85"/>
        <v>-1753.375</v>
      </c>
      <c r="EF48" s="307">
        <f t="shared" si="86"/>
        <v>-3313.7422499999998</v>
      </c>
      <c r="EG48" s="308"/>
      <c r="EH48" s="308"/>
      <c r="EI48" s="308"/>
      <c r="EJ48" s="307">
        <f t="shared" si="87"/>
        <v>809003.33964002575</v>
      </c>
      <c r="EK48" s="320">
        <f t="shared" si="88"/>
        <v>767039.06380669249</v>
      </c>
      <c r="EL48" s="320"/>
      <c r="EM48" s="320"/>
      <c r="EN48" s="321">
        <f>_xlfn.IFNA((VLOOKUP($A48,HN!$A:$M,8,FALSE)/12),0)</f>
        <v>0</v>
      </c>
      <c r="EO48" s="321">
        <f>_xlfn.IFNA((VLOOKUP($A48,HN!$A:$M,12,FALSE)/12),0)</f>
        <v>0</v>
      </c>
      <c r="EP48" s="321">
        <f>_xlfn.IFNA((VLOOKUP($A48,HN!$A:$M,9,FALSE)/12),0)</f>
        <v>0</v>
      </c>
      <c r="EQ48" s="321">
        <f>_xlfn.IFNA((VLOOKUP($A48,'Post 16'!$A:$AG,33,FALSE)/8),0)</f>
        <v>34570.416666666664</v>
      </c>
      <c r="ER48" s="321"/>
      <c r="ES48" s="321">
        <f>_xlfn.IFNA(((VLOOKUP($A48,HN!$A:$M,10,FALSE)-$U48-$AK48)/10),0)</f>
        <v>12460.976416666663</v>
      </c>
      <c r="ET48" s="321">
        <f>_xlfn.IFNA(((VLOOKUP($A48,HN!$A:$M,13,FALSE)-$V48-$AL48)/10),0)</f>
        <v>0</v>
      </c>
      <c r="EU48" s="320">
        <f t="shared" si="89"/>
        <v>-1753.375</v>
      </c>
      <c r="EV48" s="320">
        <f t="shared" si="90"/>
        <v>-3313.7422499999998</v>
      </c>
      <c r="EW48" s="321"/>
      <c r="EX48" s="321"/>
      <c r="EY48" s="321"/>
      <c r="EZ48" s="320">
        <f t="shared" si="91"/>
        <v>809003.33964002575</v>
      </c>
      <c r="FA48" s="286">
        <f t="shared" si="92"/>
        <v>767039.06380669249</v>
      </c>
      <c r="FB48" s="286"/>
      <c r="FC48" s="286"/>
      <c r="FD48" s="287">
        <f>_xlfn.IFNA((VLOOKUP($A48,HN!$A:$M,8,FALSE)/12),0)</f>
        <v>0</v>
      </c>
      <c r="FE48" s="287">
        <f>_xlfn.IFNA((VLOOKUP($A48,HN!$A:$M,12,FALSE)/12),0)</f>
        <v>0</v>
      </c>
      <c r="FF48" s="287">
        <f>_xlfn.IFNA((VLOOKUP($A48,HN!$A:$M,9,FALSE)/12),0)</f>
        <v>0</v>
      </c>
      <c r="FG48" s="287">
        <f>_xlfn.IFNA((VLOOKUP($A48,'Post 16'!$A:$AG,33,FALSE)/8),0)</f>
        <v>34570.416666666664</v>
      </c>
      <c r="FH48" s="287"/>
      <c r="FI48" s="287">
        <f>_xlfn.IFNA(((VLOOKUP($A48,HN!$A:$M,10,FALSE)-$U48-$AK48)/10),0)</f>
        <v>12460.976416666663</v>
      </c>
      <c r="FJ48" s="287">
        <f>_xlfn.IFNA(((VLOOKUP($A48,HN!$A:$M,13,FALSE)-$V48-$AL48)/10),0)</f>
        <v>0</v>
      </c>
      <c r="FK48" s="286">
        <f t="shared" si="93"/>
        <v>-1753.375</v>
      </c>
      <c r="FL48" s="286">
        <f t="shared" si="94"/>
        <v>-3313.7422499999998</v>
      </c>
      <c r="FM48" s="287"/>
      <c r="FN48" s="287"/>
      <c r="FO48" s="287"/>
      <c r="FP48" s="286">
        <f t="shared" si="95"/>
        <v>809003.33964002575</v>
      </c>
      <c r="FQ48" s="293">
        <f t="shared" si="96"/>
        <v>767039.06380669249</v>
      </c>
      <c r="FR48" s="293"/>
      <c r="FS48" s="293"/>
      <c r="FT48" s="294">
        <f>_xlfn.IFNA((VLOOKUP($A48,HN!$A:$M,8,FALSE)/12),0)</f>
        <v>0</v>
      </c>
      <c r="FU48" s="294">
        <f>_xlfn.IFNA((VLOOKUP($A48,HN!$A:$M,12,FALSE)/12),0)</f>
        <v>0</v>
      </c>
      <c r="FV48" s="294">
        <f>_xlfn.IFNA((VLOOKUP($A48,HN!$A:$M,9,FALSE)/12),0)</f>
        <v>0</v>
      </c>
      <c r="FW48" s="294">
        <f>_xlfn.IFNA((VLOOKUP($A48,'Post 16'!$A:$AG,33,FALSE)/8),0)</f>
        <v>34570.416666666664</v>
      </c>
      <c r="FX48" s="294"/>
      <c r="FY48" s="294">
        <f>_xlfn.IFNA(((VLOOKUP($A48,HN!$A:$M,10,FALSE)-$U48-$AK48)/10),0)</f>
        <v>12460.976416666663</v>
      </c>
      <c r="FZ48" s="294">
        <f>_xlfn.IFNA(((VLOOKUP($A48,HN!$A:$M,13,FALSE)-$V48-$AL48)/10),0)</f>
        <v>0</v>
      </c>
      <c r="GA48" s="293">
        <f t="shared" si="97"/>
        <v>-1753.375</v>
      </c>
      <c r="GB48" s="293">
        <f t="shared" si="98"/>
        <v>-3313.7422499999998</v>
      </c>
      <c r="GC48" s="294"/>
      <c r="GD48" s="294"/>
      <c r="GE48" s="294"/>
      <c r="GF48" s="293">
        <f t="shared" si="99"/>
        <v>809003.33964002575</v>
      </c>
      <c r="GG48" s="300">
        <f t="shared" si="100"/>
        <v>767039.06380669249</v>
      </c>
      <c r="GH48" s="300"/>
      <c r="GI48" s="300"/>
      <c r="GJ48" s="301">
        <f>_xlfn.IFNA((VLOOKUP($A48,HN!$A:$M,8,FALSE)/12),0)</f>
        <v>0</v>
      </c>
      <c r="GK48" s="301">
        <f>_xlfn.IFNA((VLOOKUP($A48,HN!$A:$M,12,FALSE)/12),0)</f>
        <v>0</v>
      </c>
      <c r="GL48" s="301">
        <f>_xlfn.IFNA((VLOOKUP($A48,HN!$A:$M,9,FALSE)/12),0)</f>
        <v>0</v>
      </c>
      <c r="GM48" s="301">
        <f>_xlfn.IFNA((VLOOKUP($A48,'Post 16'!$A:$AG,33,FALSE)/8),0)</f>
        <v>34570.416666666664</v>
      </c>
      <c r="GN48" s="301"/>
      <c r="GO48" s="301">
        <f>_xlfn.IFNA(((VLOOKUP($A48,HN!$A:$M,10,FALSE)-$U48-$AK48)/10),0)</f>
        <v>12460.976416666663</v>
      </c>
      <c r="GP48" s="301">
        <f>_xlfn.IFNA(((VLOOKUP($A48,HN!$A:$M,13,FALSE)-$V48-$AL48)/10),0)</f>
        <v>0</v>
      </c>
      <c r="GQ48" s="300">
        <f t="shared" si="101"/>
        <v>-1753.375</v>
      </c>
      <c r="GR48" s="300">
        <f t="shared" si="102"/>
        <v>-3313.7422499999998</v>
      </c>
      <c r="GS48" s="301"/>
      <c r="GT48" s="301"/>
      <c r="GU48" s="301"/>
      <c r="GV48" s="300">
        <f t="shared" si="103"/>
        <v>809003.33964002575</v>
      </c>
      <c r="GX48" s="146">
        <f t="shared" ref="GX48:HC57" si="104">SUMIFS($M48:$GV48,$M$7:$GV$7,GX$7)</f>
        <v>9198978.7656803075</v>
      </c>
      <c r="GY48" s="146">
        <f t="shared" si="104"/>
        <v>390148.00000000006</v>
      </c>
      <c r="GZ48" s="146">
        <f t="shared" si="104"/>
        <v>148383.74999999994</v>
      </c>
      <c r="HA48" s="146">
        <f t="shared" si="104"/>
        <v>-21040.5</v>
      </c>
      <c r="HB48" s="146">
        <f t="shared" si="104"/>
        <v>-39764.907000000007</v>
      </c>
      <c r="HC48" s="146">
        <f t="shared" si="104"/>
        <v>0</v>
      </c>
      <c r="HE48" s="146">
        <f t="shared" ref="HE48:HJ57" si="105">SUMIFS($M48:$GV48,$M$7:$GV$7,HE$7,$M$4:$GV$4,$HE$6)</f>
        <v>2301117.1914200773</v>
      </c>
      <c r="HF48" s="146">
        <f t="shared" si="105"/>
        <v>85188.5</v>
      </c>
      <c r="HG48" s="146">
        <f t="shared" si="105"/>
        <v>36234.962249999997</v>
      </c>
      <c r="HH48" s="146">
        <f t="shared" si="105"/>
        <v>-5260.125</v>
      </c>
      <c r="HI48" s="146">
        <f t="shared" si="105"/>
        <v>-9941.2267499999998</v>
      </c>
      <c r="HJ48" s="146">
        <f t="shared" si="105"/>
        <v>0</v>
      </c>
      <c r="HL48" s="146"/>
      <c r="HM48" s="57"/>
    </row>
    <row r="49" spans="1:221">
      <c r="A49" s="185">
        <v>2054</v>
      </c>
      <c r="B49" s="185">
        <v>103189</v>
      </c>
      <c r="C49" s="185" t="s">
        <v>121</v>
      </c>
      <c r="D49" s="2" t="s">
        <v>122</v>
      </c>
      <c r="E49" s="190" t="s">
        <v>39</v>
      </c>
      <c r="F49" s="190" t="s">
        <v>890</v>
      </c>
      <c r="H49" s="271">
        <f>_xlfn.IFNA(VLOOKUP($A49,ISB!$A$4:$BY$441,67,FALSE),0)</f>
        <v>1946789.8914969997</v>
      </c>
      <c r="I49" s="271">
        <f>_xlfn.IFNA(VLOOKUP($A49,ISB!$A$4:$BY$441,72,FALSE),0)</f>
        <v>-8964</v>
      </c>
      <c r="J49" s="271">
        <f>-_xlfn.IFNA(VLOOKUP($A49,ISB!$A$4:$BY$441,76,FALSE),0)</f>
        <v>-15023.0054</v>
      </c>
      <c r="K49" s="271">
        <f>_xlfn.IFNA(VLOOKUP($A49,ISB!$A$4:$BY$441,77,FALSE),0)</f>
        <v>1922802.8860969997</v>
      </c>
      <c r="M49" s="279">
        <f t="shared" si="56"/>
        <v>162232.4909580833</v>
      </c>
      <c r="N49" s="279"/>
      <c r="O49" s="279">
        <f>_xlfn.IFNA(VLOOKUP($A49,EY!$A:$H,8,FALSE)+(VLOOKUP($A49,EY!$A:$R,18,FALSE)-$T49),0)</f>
        <v>51529.733894736848</v>
      </c>
      <c r="P49" s="280">
        <f>_xlfn.IFNA((VLOOKUP($A49,HN!$A:$M,8,FALSE)/12),0)</f>
        <v>0</v>
      </c>
      <c r="Q49" s="280">
        <f>_xlfn.IFNA((VLOOKUP($A49,HN!$A:$M,12,FALSE)/12),0)</f>
        <v>0</v>
      </c>
      <c r="R49" s="280">
        <f>_xlfn.IFNA((VLOOKUP($A49,HN!$A:$M,9,FALSE)/12),0)</f>
        <v>0</v>
      </c>
      <c r="S49" s="280">
        <f>_xlfn.IFNA((VLOOKUP($A49,'Post 16'!$A:$AR,22,FALSE)/4),0)</f>
        <v>0</v>
      </c>
      <c r="T49" s="280">
        <f>_xlfn.IFNA((VLOOKUP($A49,EY!$A:$R,16,FALSE)*80%),0)</f>
        <v>0</v>
      </c>
      <c r="U49" s="280">
        <v>11107.604166666666</v>
      </c>
      <c r="V49" s="280">
        <v>0</v>
      </c>
      <c r="W49" s="279">
        <f t="shared" si="57"/>
        <v>-747</v>
      </c>
      <c r="X49" s="279">
        <f t="shared" si="58"/>
        <v>-1251.9171166666667</v>
      </c>
      <c r="Y49" s="280"/>
      <c r="Z49" s="280"/>
      <c r="AA49" s="280"/>
      <c r="AB49" s="279">
        <f t="shared" si="59"/>
        <v>222870.91190282014</v>
      </c>
      <c r="AC49" s="293">
        <f t="shared" si="60"/>
        <v>162232.4909580833</v>
      </c>
      <c r="AD49" s="293"/>
      <c r="AE49" s="293"/>
      <c r="AF49" s="294">
        <f>_xlfn.IFNA((VLOOKUP($A49,HN!$A:$M,8,FALSE)/12),0)</f>
        <v>0</v>
      </c>
      <c r="AG49" s="294">
        <f>_xlfn.IFNA((VLOOKUP($A49,HN!$A:$M,12,FALSE)/12),0)+_xlfn.IFNA(VLOOKUP($A49,HN!$A:$Q,17,FALSE),0)</f>
        <v>0</v>
      </c>
      <c r="AH49" s="294">
        <f>_xlfn.IFNA((VLOOKUP($A49,HN!$A:$M,9,FALSE)/12),0)</f>
        <v>0</v>
      </c>
      <c r="AI49" s="294">
        <f>_xlfn.IFNA((VLOOKUP($A49,'Post 16'!$A:$AR,22,FALSE)/4),0)</f>
        <v>0</v>
      </c>
      <c r="AJ49" s="294"/>
      <c r="AK49" s="294">
        <f>_xlfn.IFNA((VLOOKUP($A49,HN!$A:$M,10,FALSE)/12),0)</f>
        <v>4273.520833333333</v>
      </c>
      <c r="AL49" s="294">
        <f>_xlfn.IFNA((VLOOKUP($A49,HN!$A:$M,13,FALSE)/12),0)</f>
        <v>0</v>
      </c>
      <c r="AM49" s="293">
        <f t="shared" si="61"/>
        <v>-747</v>
      </c>
      <c r="AN49" s="293">
        <f t="shared" si="62"/>
        <v>-1251.9171166666667</v>
      </c>
      <c r="AO49" s="294"/>
      <c r="AP49" s="294"/>
      <c r="AQ49" s="294"/>
      <c r="AR49" s="293">
        <f t="shared" si="63"/>
        <v>164507.09467474997</v>
      </c>
      <c r="AS49" s="286">
        <f t="shared" si="64"/>
        <v>162232.4909580833</v>
      </c>
      <c r="AT49" s="286"/>
      <c r="AU49" s="286">
        <f>_xlfn.IFNA(VLOOKUP(A49,EY!A:AO,40,FALSE),0)</f>
        <v>4973.3118282548521</v>
      </c>
      <c r="AV49" s="287">
        <f>_xlfn.IFNA((VLOOKUP($A49,HN!$A:$M,8,FALSE)/12),0)</f>
        <v>0</v>
      </c>
      <c r="AW49" s="287">
        <f>_xlfn.IFNA((VLOOKUP($A49,HN!$A:$M,12,FALSE)/12),0)+_xlfn.IFNA(VLOOKUP($A49,HN!$A$8:$AU$200,19,FALSE),0)</f>
        <v>0</v>
      </c>
      <c r="AX49" s="287">
        <f>_xlfn.IFNA((VLOOKUP($A49,HN!$A:$M,9,FALSE)/12),0)</f>
        <v>0</v>
      </c>
      <c r="AY49" s="287">
        <f>_xlfn.IFNA((VLOOKUP($A49,'Post 16'!$A:$AR,22,FALSE)/4),0)</f>
        <v>0</v>
      </c>
      <c r="AZ49" s="287">
        <f>_xlfn.IFNA(VLOOKUP(A49,EY!A:AO,41,FALSE),0)</f>
        <v>-74.832132963988926</v>
      </c>
      <c r="BA49" s="287">
        <f>_xlfn.IFNA(((VLOOKUP($A49,HN!$A:$M,10,FALSE)-$U49-$AK49)/10),0)+_xlfn.IFNA(VLOOKUP($A49,HN!$A:$R,18,FALSE),0)</f>
        <v>3590.1125000000002</v>
      </c>
      <c r="BB49" s="287">
        <f>_xlfn.IFNA(((VLOOKUP($A49,HN!$A:$M,13,FALSE)-$V49-$AL49)/10),0)+_xlfn.IFNA(VLOOKUP($A49,HN!$A$8:$AU$200,20,FALSE),0)</f>
        <v>0</v>
      </c>
      <c r="BC49" s="286">
        <f t="shared" si="65"/>
        <v>-747</v>
      </c>
      <c r="BD49" s="286">
        <f t="shared" si="66"/>
        <v>-1251.9171166666667</v>
      </c>
      <c r="BE49" s="287"/>
      <c r="BF49" s="287"/>
      <c r="BG49" s="287"/>
      <c r="BH49" s="286">
        <f t="shared" si="67"/>
        <v>168722.16603670747</v>
      </c>
      <c r="BI49" s="307">
        <f t="shared" si="68"/>
        <v>162232.4909580833</v>
      </c>
      <c r="BJ49" s="307">
        <f>_xlfn.IFNA(VLOOKUP(A49,'LA Deductions'!A:AH,34,FALSE),0)</f>
        <v>0</v>
      </c>
      <c r="BK49" s="307"/>
      <c r="BL49" s="308">
        <f>_xlfn.IFNA((VLOOKUP($A49,HN!$A:$M,8,FALSE)/12),0)</f>
        <v>0</v>
      </c>
      <c r="BM49" s="308">
        <f>_xlfn.IFNA((VLOOKUP($A49,HN!$A:$M,12,FALSE)/12),0)</f>
        <v>0</v>
      </c>
      <c r="BN49" s="308">
        <f>_xlfn.IFNA((VLOOKUP($A49,HN!$A:$M,9,FALSE)/12),0)</f>
        <v>0</v>
      </c>
      <c r="BO49" s="308">
        <f>_xlfn.IFNA((VLOOKUP($A49,'Post 16'!$A:$AR,22,FALSE)/4),0)</f>
        <v>0</v>
      </c>
      <c r="BP49" s="308"/>
      <c r="BQ49" s="308">
        <f>_xlfn.IFNA(((VLOOKUP($A49,HN!$A:$M,10,FALSE)-$U49-$AK49)/10),0)</f>
        <v>3590.1125000000002</v>
      </c>
      <c r="BR49" s="308">
        <f>_xlfn.IFNA(((VLOOKUP($A49,HN!$A:$M,13,FALSE)-$V49-$AL49)/10),0)</f>
        <v>0</v>
      </c>
      <c r="BS49" s="307">
        <f t="shared" si="69"/>
        <v>-747</v>
      </c>
      <c r="BT49" s="307">
        <f t="shared" si="70"/>
        <v>-1251.9171166666667</v>
      </c>
      <c r="BU49" s="308"/>
      <c r="BV49" s="308"/>
      <c r="BW49" s="308"/>
      <c r="BX49" s="307">
        <f t="shared" si="71"/>
        <v>163823.68634141661</v>
      </c>
      <c r="BY49" s="300">
        <f t="shared" si="72"/>
        <v>162232.4909580833</v>
      </c>
      <c r="BZ49" s="300"/>
      <c r="CA49" s="300"/>
      <c r="CB49" s="301">
        <f>_xlfn.IFNA((VLOOKUP($A49,HN!$A:$M,8,FALSE)/12),0)</f>
        <v>0</v>
      </c>
      <c r="CC49" s="301">
        <f>_xlfn.IFNA((VLOOKUP($A49,HN!$A:$M,12,FALSE)/12),0)</f>
        <v>0</v>
      </c>
      <c r="CD49" s="301">
        <f>_xlfn.IFNA((VLOOKUP($A49,HN!$A:$M,9,FALSE)/12),0)</f>
        <v>0</v>
      </c>
      <c r="CE49" s="301">
        <f>_xlfn.IFNA((VLOOKUP($A49,'Post 16'!$A:$AG,33,FALSE)/8),0)</f>
        <v>0</v>
      </c>
      <c r="CF49" s="301"/>
      <c r="CG49" s="301">
        <f>_xlfn.IFNA(((VLOOKUP($A49,HN!$A:$M,10,FALSE)-$U49-$AK49)/10),0)</f>
        <v>3590.1125000000002</v>
      </c>
      <c r="CH49" s="301">
        <f>_xlfn.IFNA(((VLOOKUP($A49,HN!$A:$M,13,FALSE)-$V49-$AL49)/10),0)</f>
        <v>0</v>
      </c>
      <c r="CI49" s="300">
        <f t="shared" si="73"/>
        <v>-747</v>
      </c>
      <c r="CJ49" s="300">
        <f t="shared" si="74"/>
        <v>-1251.9171166666667</v>
      </c>
      <c r="CK49" s="301"/>
      <c r="CL49" s="301"/>
      <c r="CM49" s="301"/>
      <c r="CN49" s="300">
        <f t="shared" si="75"/>
        <v>163823.68634141661</v>
      </c>
      <c r="CO49" s="332">
        <f t="shared" si="76"/>
        <v>162232.4909580833</v>
      </c>
      <c r="CP49" s="332"/>
      <c r="CQ49" s="332">
        <f>_xlfn.IFNA((VLOOKUP($A49,EY!$A:$AB,28,FALSE)-$CV49),0)</f>
        <v>49346.253894736845</v>
      </c>
      <c r="CR49" s="333">
        <f>_xlfn.IFNA((VLOOKUP($A49,HN!$A:$M,8,FALSE)/12),0)</f>
        <v>0</v>
      </c>
      <c r="CS49" s="333">
        <f>_xlfn.IFNA((VLOOKUP($A49,HN!$A:$M,12,FALSE)/12),0)</f>
        <v>0</v>
      </c>
      <c r="CT49" s="333">
        <f>_xlfn.IFNA((VLOOKUP($A49,HN!$A:$M,9,FALSE)/12),0)</f>
        <v>0</v>
      </c>
      <c r="CU49" s="333">
        <f>_xlfn.IFNA((VLOOKUP($A49,'Post 16'!$A:$AG,33,FALSE)/8),0)</f>
        <v>0</v>
      </c>
      <c r="CV49" s="333">
        <f>_xlfn.IFNA((VLOOKUP($A49,EY!$A:$AB,26,FALSE)*80%),0)</f>
        <v>780</v>
      </c>
      <c r="CW49" s="333">
        <f>_xlfn.IFNA(((VLOOKUP($A49,HN!$A:$M,10,FALSE)-$U49-$AK49)/10),0)</f>
        <v>3590.1125000000002</v>
      </c>
      <c r="CX49" s="333">
        <f>_xlfn.IFNA(((VLOOKUP($A49,HN!$A:$M,13,FALSE)-$V49-$AL49)/10),0)</f>
        <v>0</v>
      </c>
      <c r="CY49" s="332">
        <f t="shared" si="77"/>
        <v>-747</v>
      </c>
      <c r="CZ49" s="332">
        <f t="shared" si="78"/>
        <v>-1251.9171166666667</v>
      </c>
      <c r="DA49" s="333"/>
      <c r="DB49" s="333"/>
      <c r="DC49" s="333"/>
      <c r="DD49" s="332">
        <f t="shared" si="79"/>
        <v>213949.94023615346</v>
      </c>
      <c r="DE49" s="314">
        <f t="shared" si="80"/>
        <v>162232.4909580833</v>
      </c>
      <c r="DF49" s="314"/>
      <c r="DG49" s="314"/>
      <c r="DH49" s="315">
        <f>_xlfn.IFNA((VLOOKUP($A49,HN!$A:$M,8,FALSE)/12),0)</f>
        <v>0</v>
      </c>
      <c r="DI49" s="315">
        <f>_xlfn.IFNA((VLOOKUP($A49,HN!$A:$M,12,FALSE)/12),0)</f>
        <v>0</v>
      </c>
      <c r="DJ49" s="315">
        <f>_xlfn.IFNA((VLOOKUP($A49,HN!$A:$M,9,FALSE)/12),0)</f>
        <v>0</v>
      </c>
      <c r="DK49" s="315">
        <f>_xlfn.IFNA((VLOOKUP($A49,'Post 16'!$A:$AG,33,FALSE)/8),0)</f>
        <v>0</v>
      </c>
      <c r="DL49" s="315"/>
      <c r="DM49" s="315">
        <f>_xlfn.IFNA(((VLOOKUP($A49,HN!$A:$M,10,FALSE)-$U49-$AK49)/10),0)</f>
        <v>3590.1125000000002</v>
      </c>
      <c r="DN49" s="315">
        <f>_xlfn.IFNA(((VLOOKUP($A49,HN!$A:$M,13,FALSE)-$V49-$AL49)/10),0)</f>
        <v>0</v>
      </c>
      <c r="DO49" s="314">
        <f t="shared" si="81"/>
        <v>-747</v>
      </c>
      <c r="DP49" s="314">
        <f t="shared" si="82"/>
        <v>-1251.9171166666667</v>
      </c>
      <c r="DQ49" s="315"/>
      <c r="DR49" s="315"/>
      <c r="DS49" s="315"/>
      <c r="DT49" s="314">
        <f t="shared" si="83"/>
        <v>163823.68634141661</v>
      </c>
      <c r="DU49" s="307">
        <f t="shared" si="84"/>
        <v>162232.4909580833</v>
      </c>
      <c r="DV49" s="307"/>
      <c r="DW49" s="307"/>
      <c r="DX49" s="308">
        <f>_xlfn.IFNA((VLOOKUP($A49,HN!$A:$M,8,FALSE)/12),0)</f>
        <v>0</v>
      </c>
      <c r="DY49" s="308">
        <f>_xlfn.IFNA((VLOOKUP($A49,HN!$A:$M,12,FALSE)/12),0)</f>
        <v>0</v>
      </c>
      <c r="DZ49" s="308">
        <f>_xlfn.IFNA((VLOOKUP($A49,HN!$A:$M,9,FALSE)/12),0)</f>
        <v>0</v>
      </c>
      <c r="EA49" s="308">
        <f>_xlfn.IFNA((VLOOKUP($A49,'Post 16'!$A:$AG,33,FALSE)/8),0)</f>
        <v>0</v>
      </c>
      <c r="EB49" s="308"/>
      <c r="EC49" s="308">
        <f>_xlfn.IFNA(((VLOOKUP($A49,HN!$A:$M,10,FALSE)-$U49-$AK49)/10),0)</f>
        <v>3590.1125000000002</v>
      </c>
      <c r="ED49" s="308">
        <f>_xlfn.IFNA(((VLOOKUP($A49,HN!$A:$M,13,FALSE)-$V49-$AL49)/10),0)</f>
        <v>0</v>
      </c>
      <c r="EE49" s="307">
        <f t="shared" si="85"/>
        <v>-747</v>
      </c>
      <c r="EF49" s="307">
        <f t="shared" si="86"/>
        <v>-1251.9171166666667</v>
      </c>
      <c r="EG49" s="308"/>
      <c r="EH49" s="308"/>
      <c r="EI49" s="308"/>
      <c r="EJ49" s="307">
        <f t="shared" si="87"/>
        <v>163823.68634141661</v>
      </c>
      <c r="EK49" s="320">
        <f t="shared" si="88"/>
        <v>162232.4909580833</v>
      </c>
      <c r="EL49" s="320"/>
      <c r="EM49" s="320"/>
      <c r="EN49" s="321">
        <f>_xlfn.IFNA((VLOOKUP($A49,HN!$A:$M,8,FALSE)/12),0)</f>
        <v>0</v>
      </c>
      <c r="EO49" s="321">
        <f>_xlfn.IFNA((VLOOKUP($A49,HN!$A:$M,12,FALSE)/12),0)</f>
        <v>0</v>
      </c>
      <c r="EP49" s="321">
        <f>_xlfn.IFNA((VLOOKUP($A49,HN!$A:$M,9,FALSE)/12),0)</f>
        <v>0</v>
      </c>
      <c r="EQ49" s="321">
        <f>_xlfn.IFNA((VLOOKUP($A49,'Post 16'!$A:$AG,33,FALSE)/8),0)</f>
        <v>0</v>
      </c>
      <c r="ER49" s="321"/>
      <c r="ES49" s="321">
        <f>_xlfn.IFNA(((VLOOKUP($A49,HN!$A:$M,10,FALSE)-$U49-$AK49)/10),0)</f>
        <v>3590.1125000000002</v>
      </c>
      <c r="ET49" s="321">
        <f>_xlfn.IFNA(((VLOOKUP($A49,HN!$A:$M,13,FALSE)-$V49-$AL49)/10),0)</f>
        <v>0</v>
      </c>
      <c r="EU49" s="320">
        <f t="shared" si="89"/>
        <v>-747</v>
      </c>
      <c r="EV49" s="320">
        <f t="shared" si="90"/>
        <v>-1251.9171166666667</v>
      </c>
      <c r="EW49" s="321"/>
      <c r="EX49" s="321"/>
      <c r="EY49" s="321"/>
      <c r="EZ49" s="320">
        <f t="shared" si="91"/>
        <v>163823.68634141661</v>
      </c>
      <c r="FA49" s="286">
        <f t="shared" si="92"/>
        <v>162232.4909580833</v>
      </c>
      <c r="FB49" s="286"/>
      <c r="FC49" s="286"/>
      <c r="FD49" s="287">
        <f>_xlfn.IFNA((VLOOKUP($A49,HN!$A:$M,8,FALSE)/12),0)</f>
        <v>0</v>
      </c>
      <c r="FE49" s="287">
        <f>_xlfn.IFNA((VLOOKUP($A49,HN!$A:$M,12,FALSE)/12),0)</f>
        <v>0</v>
      </c>
      <c r="FF49" s="287">
        <f>_xlfn.IFNA((VLOOKUP($A49,HN!$A:$M,9,FALSE)/12),0)</f>
        <v>0</v>
      </c>
      <c r="FG49" s="287">
        <f>_xlfn.IFNA((VLOOKUP($A49,'Post 16'!$A:$AG,33,FALSE)/8),0)</f>
        <v>0</v>
      </c>
      <c r="FH49" s="287"/>
      <c r="FI49" s="287">
        <f>_xlfn.IFNA(((VLOOKUP($A49,HN!$A:$M,10,FALSE)-$U49-$AK49)/10),0)</f>
        <v>3590.1125000000002</v>
      </c>
      <c r="FJ49" s="287">
        <f>_xlfn.IFNA(((VLOOKUP($A49,HN!$A:$M,13,FALSE)-$V49-$AL49)/10),0)</f>
        <v>0</v>
      </c>
      <c r="FK49" s="286">
        <f t="shared" si="93"/>
        <v>-747</v>
      </c>
      <c r="FL49" s="286">
        <f t="shared" si="94"/>
        <v>-1251.9171166666667</v>
      </c>
      <c r="FM49" s="287"/>
      <c r="FN49" s="287"/>
      <c r="FO49" s="287"/>
      <c r="FP49" s="286">
        <f t="shared" si="95"/>
        <v>163823.68634141661</v>
      </c>
      <c r="FQ49" s="293">
        <f t="shared" si="96"/>
        <v>162232.4909580833</v>
      </c>
      <c r="FR49" s="293"/>
      <c r="FS49" s="293"/>
      <c r="FT49" s="294">
        <f>_xlfn.IFNA((VLOOKUP($A49,HN!$A:$M,8,FALSE)/12),0)</f>
        <v>0</v>
      </c>
      <c r="FU49" s="294">
        <f>_xlfn.IFNA((VLOOKUP($A49,HN!$A:$M,12,FALSE)/12),0)</f>
        <v>0</v>
      </c>
      <c r="FV49" s="294">
        <f>_xlfn.IFNA((VLOOKUP($A49,HN!$A:$M,9,FALSE)/12),0)</f>
        <v>0</v>
      </c>
      <c r="FW49" s="294">
        <f>_xlfn.IFNA((VLOOKUP($A49,'Post 16'!$A:$AG,33,FALSE)/8),0)</f>
        <v>0</v>
      </c>
      <c r="FX49" s="294"/>
      <c r="FY49" s="294">
        <f>_xlfn.IFNA(((VLOOKUP($A49,HN!$A:$M,10,FALSE)-$U49-$AK49)/10),0)</f>
        <v>3590.1125000000002</v>
      </c>
      <c r="FZ49" s="294">
        <f>_xlfn.IFNA(((VLOOKUP($A49,HN!$A:$M,13,FALSE)-$V49-$AL49)/10),0)</f>
        <v>0</v>
      </c>
      <c r="GA49" s="293">
        <f t="shared" si="97"/>
        <v>-747</v>
      </c>
      <c r="GB49" s="293">
        <f t="shared" si="98"/>
        <v>-1251.9171166666667</v>
      </c>
      <c r="GC49" s="294"/>
      <c r="GD49" s="294"/>
      <c r="GE49" s="294"/>
      <c r="GF49" s="293">
        <f t="shared" si="99"/>
        <v>163823.68634141661</v>
      </c>
      <c r="GG49" s="300">
        <f t="shared" si="100"/>
        <v>162232.4909580833</v>
      </c>
      <c r="GH49" s="300"/>
      <c r="GI49" s="300"/>
      <c r="GJ49" s="301">
        <f>_xlfn.IFNA((VLOOKUP($A49,HN!$A:$M,8,FALSE)/12),0)</f>
        <v>0</v>
      </c>
      <c r="GK49" s="301">
        <f>_xlfn.IFNA((VLOOKUP($A49,HN!$A:$M,12,FALSE)/12),0)</f>
        <v>0</v>
      </c>
      <c r="GL49" s="301">
        <f>_xlfn.IFNA((VLOOKUP($A49,HN!$A:$M,9,FALSE)/12),0)</f>
        <v>0</v>
      </c>
      <c r="GM49" s="301">
        <f>_xlfn.IFNA((VLOOKUP($A49,'Post 16'!$A:$AG,33,FALSE)/8),0)</f>
        <v>0</v>
      </c>
      <c r="GN49" s="301"/>
      <c r="GO49" s="301">
        <f>_xlfn.IFNA(((VLOOKUP($A49,HN!$A:$M,10,FALSE)-$U49-$AK49)/10),0)</f>
        <v>3590.1125000000002</v>
      </c>
      <c r="GP49" s="301">
        <f>_xlfn.IFNA(((VLOOKUP($A49,HN!$A:$M,13,FALSE)-$V49-$AL49)/10),0)</f>
        <v>0</v>
      </c>
      <c r="GQ49" s="300">
        <f t="shared" si="101"/>
        <v>-747</v>
      </c>
      <c r="GR49" s="300">
        <f t="shared" si="102"/>
        <v>-1251.9171166666667</v>
      </c>
      <c r="GS49" s="301"/>
      <c r="GT49" s="301"/>
      <c r="GU49" s="301"/>
      <c r="GV49" s="300">
        <f t="shared" si="103"/>
        <v>163823.68634141661</v>
      </c>
      <c r="GX49" s="146">
        <f t="shared" si="104"/>
        <v>2052639.1911147288</v>
      </c>
      <c r="GY49" s="146">
        <f t="shared" si="104"/>
        <v>0</v>
      </c>
      <c r="GZ49" s="146">
        <f t="shared" si="104"/>
        <v>51987.417867036027</v>
      </c>
      <c r="HA49" s="146">
        <f t="shared" si="104"/>
        <v>-8964</v>
      </c>
      <c r="HB49" s="146">
        <f t="shared" si="104"/>
        <v>-15023.005400000004</v>
      </c>
      <c r="HC49" s="146">
        <f t="shared" si="104"/>
        <v>0</v>
      </c>
      <c r="HE49" s="146">
        <f t="shared" si="105"/>
        <v>543200.51859724161</v>
      </c>
      <c r="HF49" s="146">
        <f t="shared" si="105"/>
        <v>0</v>
      </c>
      <c r="HG49" s="146">
        <f t="shared" si="105"/>
        <v>18896.405367036012</v>
      </c>
      <c r="HH49" s="146">
        <f t="shared" si="105"/>
        <v>-2241</v>
      </c>
      <c r="HI49" s="146">
        <f t="shared" si="105"/>
        <v>-3755.7513500000005</v>
      </c>
      <c r="HJ49" s="146">
        <f t="shared" si="105"/>
        <v>0</v>
      </c>
      <c r="HL49" s="146"/>
      <c r="HM49" s="57"/>
    </row>
    <row r="50" spans="1:221">
      <c r="A50" s="185">
        <v>2053</v>
      </c>
      <c r="B50" s="185">
        <v>103188</v>
      </c>
      <c r="C50" s="185" t="s">
        <v>123</v>
      </c>
      <c r="D50" s="2" t="s">
        <v>124</v>
      </c>
      <c r="E50" s="190" t="s">
        <v>39</v>
      </c>
      <c r="F50" s="190" t="s">
        <v>890</v>
      </c>
      <c r="H50" s="271">
        <f>_xlfn.IFNA(VLOOKUP($A50,ISB!$A$4:$BY$441,67,FALSE),0)</f>
        <v>2572728.4613141972</v>
      </c>
      <c r="I50" s="271">
        <f>_xlfn.IFNA(VLOOKUP($A50,ISB!$A$4:$BY$441,72,FALSE),0)</f>
        <v>-11852.4</v>
      </c>
      <c r="J50" s="271">
        <f>-_xlfn.IFNA(VLOOKUP($A50,ISB!$A$4:$BY$441,76,FALSE),0)</f>
        <v>-21618.466</v>
      </c>
      <c r="K50" s="271">
        <f>_xlfn.IFNA(VLOOKUP($A50,ISB!$A$4:$BY$441,77,FALSE),0)</f>
        <v>2539257.5953141972</v>
      </c>
      <c r="M50" s="279">
        <f t="shared" si="56"/>
        <v>214394.03844284976</v>
      </c>
      <c r="N50" s="279"/>
      <c r="O50" s="279">
        <f>_xlfn.IFNA(VLOOKUP($A50,EY!$A:$H,8,FALSE)+(VLOOKUP($A50,EY!$A:$R,18,FALSE)-$T50),0)</f>
        <v>0</v>
      </c>
      <c r="P50" s="280">
        <f>_xlfn.IFNA((VLOOKUP($A50,HN!$A:$M,8,FALSE)/12),0)</f>
        <v>0</v>
      </c>
      <c r="Q50" s="280">
        <f>_xlfn.IFNA((VLOOKUP($A50,HN!$A:$M,12,FALSE)/12),0)</f>
        <v>0</v>
      </c>
      <c r="R50" s="280">
        <f>_xlfn.IFNA((VLOOKUP($A50,HN!$A:$M,9,FALSE)/12),0)</f>
        <v>0</v>
      </c>
      <c r="S50" s="280">
        <f>_xlfn.IFNA((VLOOKUP($A50,'Post 16'!$A:$AR,22,FALSE)/4),0)</f>
        <v>0</v>
      </c>
      <c r="T50" s="280">
        <f>_xlfn.IFNA((VLOOKUP($A50,EY!$A:$R,16,FALSE)*80%),0)</f>
        <v>0</v>
      </c>
      <c r="U50" s="280">
        <v>16141.6875</v>
      </c>
      <c r="V50" s="280">
        <v>0</v>
      </c>
      <c r="W50" s="279">
        <f t="shared" si="57"/>
        <v>-987.69999999999993</v>
      </c>
      <c r="X50" s="279">
        <f t="shared" si="58"/>
        <v>-1801.5388333333333</v>
      </c>
      <c r="Y50" s="280"/>
      <c r="Z50" s="280"/>
      <c r="AA50" s="280"/>
      <c r="AB50" s="279">
        <f t="shared" si="59"/>
        <v>227746.48710951643</v>
      </c>
      <c r="AC50" s="293">
        <f t="shared" si="60"/>
        <v>214394.03844284976</v>
      </c>
      <c r="AD50" s="293"/>
      <c r="AE50" s="293"/>
      <c r="AF50" s="294">
        <f>_xlfn.IFNA((VLOOKUP($A50,HN!$A:$M,8,FALSE)/12),0)</f>
        <v>0</v>
      </c>
      <c r="AG50" s="294">
        <f>_xlfn.IFNA((VLOOKUP($A50,HN!$A:$M,12,FALSE)/12),0)+_xlfn.IFNA(VLOOKUP($A50,HN!$A:$Q,17,FALSE),0)</f>
        <v>0</v>
      </c>
      <c r="AH50" s="294">
        <f>_xlfn.IFNA((VLOOKUP($A50,HN!$A:$M,9,FALSE)/12),0)</f>
        <v>0</v>
      </c>
      <c r="AI50" s="294">
        <f>_xlfn.IFNA((VLOOKUP($A50,'Post 16'!$A:$AR,22,FALSE)/4),0)</f>
        <v>0</v>
      </c>
      <c r="AJ50" s="294"/>
      <c r="AK50" s="294">
        <f>_xlfn.IFNA((VLOOKUP($A50,HN!$A:$M,10,FALSE)/12),0)</f>
        <v>7412.1116666666667</v>
      </c>
      <c r="AL50" s="294">
        <f>_xlfn.IFNA((VLOOKUP($A50,HN!$A:$M,13,FALSE)/12),0)</f>
        <v>0</v>
      </c>
      <c r="AM50" s="293">
        <f t="shared" si="61"/>
        <v>-987.69999999999993</v>
      </c>
      <c r="AN50" s="293">
        <f t="shared" si="62"/>
        <v>-1801.5388333333333</v>
      </c>
      <c r="AO50" s="294"/>
      <c r="AP50" s="294"/>
      <c r="AQ50" s="294"/>
      <c r="AR50" s="293">
        <f t="shared" si="63"/>
        <v>219016.91127618309</v>
      </c>
      <c r="AS50" s="286">
        <f t="shared" si="64"/>
        <v>214394.03844284976</v>
      </c>
      <c r="AT50" s="286"/>
      <c r="AU50" s="286">
        <f>_xlfn.IFNA(VLOOKUP(A50,EY!A:AO,40,FALSE),0)</f>
        <v>0</v>
      </c>
      <c r="AV50" s="287">
        <f>_xlfn.IFNA((VLOOKUP($A50,HN!$A:$M,8,FALSE)/12),0)</f>
        <v>0</v>
      </c>
      <c r="AW50" s="287">
        <f>_xlfn.IFNA((VLOOKUP($A50,HN!$A:$M,12,FALSE)/12),0)+_xlfn.IFNA(VLOOKUP($A50,HN!$A$8:$AU$200,19,FALSE),0)</f>
        <v>0</v>
      </c>
      <c r="AX50" s="287">
        <f>_xlfn.IFNA((VLOOKUP($A50,HN!$A:$M,9,FALSE)/12),0)</f>
        <v>0</v>
      </c>
      <c r="AY50" s="287">
        <f>_xlfn.IFNA((VLOOKUP($A50,'Post 16'!$A:$AR,22,FALSE)/4),0)</f>
        <v>0</v>
      </c>
      <c r="AZ50" s="287">
        <f>_xlfn.IFNA(VLOOKUP(A50,EY!A:AO,41,FALSE),0)</f>
        <v>0</v>
      </c>
      <c r="BA50" s="287">
        <f>_xlfn.IFNA(((VLOOKUP($A50,HN!$A:$M,10,FALSE)-$U50-$AK50)/10),0)+_xlfn.IFNA(VLOOKUP($A50,HN!$A:$R,18,FALSE),0)</f>
        <v>6539.1540833333329</v>
      </c>
      <c r="BB50" s="287">
        <f>_xlfn.IFNA(((VLOOKUP($A50,HN!$A:$M,13,FALSE)-$V50-$AL50)/10),0)+_xlfn.IFNA(VLOOKUP($A50,HN!$A$8:$AU$200,20,FALSE),0)</f>
        <v>0</v>
      </c>
      <c r="BC50" s="286">
        <f t="shared" si="65"/>
        <v>-987.69999999999993</v>
      </c>
      <c r="BD50" s="286">
        <f t="shared" si="66"/>
        <v>-1801.5388333333333</v>
      </c>
      <c r="BE50" s="287"/>
      <c r="BF50" s="287"/>
      <c r="BG50" s="287"/>
      <c r="BH50" s="286">
        <f t="shared" si="67"/>
        <v>218143.95369284975</v>
      </c>
      <c r="BI50" s="307">
        <f t="shared" si="68"/>
        <v>214394.03844284976</v>
      </c>
      <c r="BJ50" s="307">
        <f>_xlfn.IFNA(VLOOKUP(A50,'LA Deductions'!A:AH,34,FALSE),0)</f>
        <v>0</v>
      </c>
      <c r="BK50" s="307"/>
      <c r="BL50" s="308">
        <f>_xlfn.IFNA((VLOOKUP($A50,HN!$A:$M,8,FALSE)/12),0)</f>
        <v>0</v>
      </c>
      <c r="BM50" s="308">
        <f>_xlfn.IFNA((VLOOKUP($A50,HN!$A:$M,12,FALSE)/12),0)</f>
        <v>0</v>
      </c>
      <c r="BN50" s="308">
        <f>_xlfn.IFNA((VLOOKUP($A50,HN!$A:$M,9,FALSE)/12),0)</f>
        <v>0</v>
      </c>
      <c r="BO50" s="308">
        <f>_xlfn.IFNA((VLOOKUP($A50,'Post 16'!$A:$AR,22,FALSE)/4),0)</f>
        <v>0</v>
      </c>
      <c r="BP50" s="308"/>
      <c r="BQ50" s="308">
        <f>_xlfn.IFNA(((VLOOKUP($A50,HN!$A:$M,10,FALSE)-$U50-$AK50)/10),0)</f>
        <v>6539.1540833333329</v>
      </c>
      <c r="BR50" s="308">
        <f>_xlfn.IFNA(((VLOOKUP($A50,HN!$A:$M,13,FALSE)-$V50-$AL50)/10),0)</f>
        <v>0</v>
      </c>
      <c r="BS50" s="307">
        <f t="shared" si="69"/>
        <v>-987.69999999999993</v>
      </c>
      <c r="BT50" s="307">
        <f t="shared" si="70"/>
        <v>-1801.5388333333333</v>
      </c>
      <c r="BU50" s="308"/>
      <c r="BV50" s="308"/>
      <c r="BW50" s="308"/>
      <c r="BX50" s="307">
        <f t="shared" si="71"/>
        <v>218143.95369284975</v>
      </c>
      <c r="BY50" s="300">
        <f t="shared" si="72"/>
        <v>214394.03844284976</v>
      </c>
      <c r="BZ50" s="300"/>
      <c r="CA50" s="300"/>
      <c r="CB50" s="301">
        <f>_xlfn.IFNA((VLOOKUP($A50,HN!$A:$M,8,FALSE)/12),0)</f>
        <v>0</v>
      </c>
      <c r="CC50" s="301">
        <f>_xlfn.IFNA((VLOOKUP($A50,HN!$A:$M,12,FALSE)/12),0)</f>
        <v>0</v>
      </c>
      <c r="CD50" s="301">
        <f>_xlfn.IFNA((VLOOKUP($A50,HN!$A:$M,9,FALSE)/12),0)</f>
        <v>0</v>
      </c>
      <c r="CE50" s="301">
        <f>_xlfn.IFNA((VLOOKUP($A50,'Post 16'!$A:$AG,33,FALSE)/8),0)</f>
        <v>0</v>
      </c>
      <c r="CF50" s="301"/>
      <c r="CG50" s="301">
        <f>_xlfn.IFNA(((VLOOKUP($A50,HN!$A:$M,10,FALSE)-$U50-$AK50)/10),0)</f>
        <v>6539.1540833333329</v>
      </c>
      <c r="CH50" s="301">
        <f>_xlfn.IFNA(((VLOOKUP($A50,HN!$A:$M,13,FALSE)-$V50-$AL50)/10),0)</f>
        <v>0</v>
      </c>
      <c r="CI50" s="300">
        <f t="shared" si="73"/>
        <v>-987.69999999999993</v>
      </c>
      <c r="CJ50" s="300">
        <f t="shared" si="74"/>
        <v>-1801.5388333333333</v>
      </c>
      <c r="CK50" s="301"/>
      <c r="CL50" s="301"/>
      <c r="CM50" s="301"/>
      <c r="CN50" s="300">
        <f t="shared" si="75"/>
        <v>218143.95369284975</v>
      </c>
      <c r="CO50" s="332">
        <f t="shared" si="76"/>
        <v>214394.03844284976</v>
      </c>
      <c r="CP50" s="332"/>
      <c r="CQ50" s="332">
        <f>_xlfn.IFNA((VLOOKUP($A50,EY!$A:$AB,28,FALSE)-$CV50),0)</f>
        <v>0</v>
      </c>
      <c r="CR50" s="333">
        <f>_xlfn.IFNA((VLOOKUP($A50,HN!$A:$M,8,FALSE)/12),0)</f>
        <v>0</v>
      </c>
      <c r="CS50" s="333">
        <f>_xlfn.IFNA((VLOOKUP($A50,HN!$A:$M,12,FALSE)/12),0)</f>
        <v>0</v>
      </c>
      <c r="CT50" s="333">
        <f>_xlfn.IFNA((VLOOKUP($A50,HN!$A:$M,9,FALSE)/12),0)</f>
        <v>0</v>
      </c>
      <c r="CU50" s="333">
        <f>_xlfn.IFNA((VLOOKUP($A50,'Post 16'!$A:$AG,33,FALSE)/8),0)</f>
        <v>0</v>
      </c>
      <c r="CV50" s="333">
        <f>_xlfn.IFNA((VLOOKUP($A50,EY!$A:$AB,26,FALSE)*80%),0)</f>
        <v>0</v>
      </c>
      <c r="CW50" s="333">
        <f>_xlfn.IFNA(((VLOOKUP($A50,HN!$A:$M,10,FALSE)-$U50-$AK50)/10),0)</f>
        <v>6539.1540833333329</v>
      </c>
      <c r="CX50" s="333">
        <f>_xlfn.IFNA(((VLOOKUP($A50,HN!$A:$M,13,FALSE)-$V50-$AL50)/10),0)</f>
        <v>0</v>
      </c>
      <c r="CY50" s="332">
        <f t="shared" si="77"/>
        <v>-987.69999999999993</v>
      </c>
      <c r="CZ50" s="332">
        <f t="shared" si="78"/>
        <v>-1801.5388333333333</v>
      </c>
      <c r="DA50" s="333"/>
      <c r="DB50" s="333"/>
      <c r="DC50" s="333"/>
      <c r="DD50" s="332">
        <f t="shared" si="79"/>
        <v>218143.95369284975</v>
      </c>
      <c r="DE50" s="314">
        <f t="shared" si="80"/>
        <v>214394.03844284976</v>
      </c>
      <c r="DF50" s="314"/>
      <c r="DG50" s="314"/>
      <c r="DH50" s="315">
        <f>_xlfn.IFNA((VLOOKUP($A50,HN!$A:$M,8,FALSE)/12),0)</f>
        <v>0</v>
      </c>
      <c r="DI50" s="315">
        <f>_xlfn.IFNA((VLOOKUP($A50,HN!$A:$M,12,FALSE)/12),0)</f>
        <v>0</v>
      </c>
      <c r="DJ50" s="315">
        <f>_xlfn.IFNA((VLOOKUP($A50,HN!$A:$M,9,FALSE)/12),0)</f>
        <v>0</v>
      </c>
      <c r="DK50" s="315">
        <f>_xlfn.IFNA((VLOOKUP($A50,'Post 16'!$A:$AG,33,FALSE)/8),0)</f>
        <v>0</v>
      </c>
      <c r="DL50" s="315"/>
      <c r="DM50" s="315">
        <f>_xlfn.IFNA(((VLOOKUP($A50,HN!$A:$M,10,FALSE)-$U50-$AK50)/10),0)</f>
        <v>6539.1540833333329</v>
      </c>
      <c r="DN50" s="315">
        <f>_xlfn.IFNA(((VLOOKUP($A50,HN!$A:$M,13,FALSE)-$V50-$AL50)/10),0)</f>
        <v>0</v>
      </c>
      <c r="DO50" s="314">
        <f t="shared" si="81"/>
        <v>-987.69999999999993</v>
      </c>
      <c r="DP50" s="314">
        <f t="shared" si="82"/>
        <v>-1801.5388333333333</v>
      </c>
      <c r="DQ50" s="315"/>
      <c r="DR50" s="315"/>
      <c r="DS50" s="315"/>
      <c r="DT50" s="314">
        <f t="shared" si="83"/>
        <v>218143.95369284975</v>
      </c>
      <c r="DU50" s="307">
        <f t="shared" si="84"/>
        <v>214394.03844284976</v>
      </c>
      <c r="DV50" s="307"/>
      <c r="DW50" s="307"/>
      <c r="DX50" s="308">
        <f>_xlfn.IFNA((VLOOKUP($A50,HN!$A:$M,8,FALSE)/12),0)</f>
        <v>0</v>
      </c>
      <c r="DY50" s="308">
        <f>_xlfn.IFNA((VLOOKUP($A50,HN!$A:$M,12,FALSE)/12),0)</f>
        <v>0</v>
      </c>
      <c r="DZ50" s="308">
        <f>_xlfn.IFNA((VLOOKUP($A50,HN!$A:$M,9,FALSE)/12),0)</f>
        <v>0</v>
      </c>
      <c r="EA50" s="308">
        <f>_xlfn.IFNA((VLOOKUP($A50,'Post 16'!$A:$AG,33,FALSE)/8),0)</f>
        <v>0</v>
      </c>
      <c r="EB50" s="308"/>
      <c r="EC50" s="308">
        <f>_xlfn.IFNA(((VLOOKUP($A50,HN!$A:$M,10,FALSE)-$U50-$AK50)/10),0)</f>
        <v>6539.1540833333329</v>
      </c>
      <c r="ED50" s="308">
        <f>_xlfn.IFNA(((VLOOKUP($A50,HN!$A:$M,13,FALSE)-$V50-$AL50)/10),0)</f>
        <v>0</v>
      </c>
      <c r="EE50" s="307">
        <f t="shared" si="85"/>
        <v>-987.69999999999993</v>
      </c>
      <c r="EF50" s="307">
        <f t="shared" si="86"/>
        <v>-1801.5388333333333</v>
      </c>
      <c r="EG50" s="308"/>
      <c r="EH50" s="308"/>
      <c r="EI50" s="308"/>
      <c r="EJ50" s="307">
        <f t="shared" si="87"/>
        <v>218143.95369284975</v>
      </c>
      <c r="EK50" s="320">
        <f t="shared" si="88"/>
        <v>214394.03844284976</v>
      </c>
      <c r="EL50" s="320"/>
      <c r="EM50" s="320"/>
      <c r="EN50" s="321">
        <f>_xlfn.IFNA((VLOOKUP($A50,HN!$A:$M,8,FALSE)/12),0)</f>
        <v>0</v>
      </c>
      <c r="EO50" s="321">
        <f>_xlfn.IFNA((VLOOKUP($A50,HN!$A:$M,12,FALSE)/12),0)</f>
        <v>0</v>
      </c>
      <c r="EP50" s="321">
        <f>_xlfn.IFNA((VLOOKUP($A50,HN!$A:$M,9,FALSE)/12),0)</f>
        <v>0</v>
      </c>
      <c r="EQ50" s="321">
        <f>_xlfn.IFNA((VLOOKUP($A50,'Post 16'!$A:$AG,33,FALSE)/8),0)</f>
        <v>0</v>
      </c>
      <c r="ER50" s="321"/>
      <c r="ES50" s="321">
        <f>_xlfn.IFNA(((VLOOKUP($A50,HN!$A:$M,10,FALSE)-$U50-$AK50)/10),0)</f>
        <v>6539.1540833333329</v>
      </c>
      <c r="ET50" s="321">
        <f>_xlfn.IFNA(((VLOOKUP($A50,HN!$A:$M,13,FALSE)-$V50-$AL50)/10),0)</f>
        <v>0</v>
      </c>
      <c r="EU50" s="320">
        <f t="shared" si="89"/>
        <v>-987.69999999999993</v>
      </c>
      <c r="EV50" s="320">
        <f t="shared" si="90"/>
        <v>-1801.5388333333333</v>
      </c>
      <c r="EW50" s="321"/>
      <c r="EX50" s="321"/>
      <c r="EY50" s="321"/>
      <c r="EZ50" s="320">
        <f t="shared" si="91"/>
        <v>218143.95369284975</v>
      </c>
      <c r="FA50" s="286">
        <f t="shared" si="92"/>
        <v>214394.03844284976</v>
      </c>
      <c r="FB50" s="286"/>
      <c r="FC50" s="286"/>
      <c r="FD50" s="287">
        <f>_xlfn.IFNA((VLOOKUP($A50,HN!$A:$M,8,FALSE)/12),0)</f>
        <v>0</v>
      </c>
      <c r="FE50" s="287">
        <f>_xlfn.IFNA((VLOOKUP($A50,HN!$A:$M,12,FALSE)/12),0)</f>
        <v>0</v>
      </c>
      <c r="FF50" s="287">
        <f>_xlfn.IFNA((VLOOKUP($A50,HN!$A:$M,9,FALSE)/12),0)</f>
        <v>0</v>
      </c>
      <c r="FG50" s="287">
        <f>_xlfn.IFNA((VLOOKUP($A50,'Post 16'!$A:$AG,33,FALSE)/8),0)</f>
        <v>0</v>
      </c>
      <c r="FH50" s="287"/>
      <c r="FI50" s="287">
        <f>_xlfn.IFNA(((VLOOKUP($A50,HN!$A:$M,10,FALSE)-$U50-$AK50)/10),0)</f>
        <v>6539.1540833333329</v>
      </c>
      <c r="FJ50" s="287">
        <f>_xlfn.IFNA(((VLOOKUP($A50,HN!$A:$M,13,FALSE)-$V50-$AL50)/10),0)</f>
        <v>0</v>
      </c>
      <c r="FK50" s="286">
        <f t="shared" si="93"/>
        <v>-987.69999999999993</v>
      </c>
      <c r="FL50" s="286">
        <f t="shared" si="94"/>
        <v>-1801.5388333333333</v>
      </c>
      <c r="FM50" s="287"/>
      <c r="FN50" s="287"/>
      <c r="FO50" s="287"/>
      <c r="FP50" s="286">
        <f t="shared" si="95"/>
        <v>218143.95369284975</v>
      </c>
      <c r="FQ50" s="293">
        <f t="shared" si="96"/>
        <v>214394.03844284976</v>
      </c>
      <c r="FR50" s="293"/>
      <c r="FS50" s="293"/>
      <c r="FT50" s="294">
        <f>_xlfn.IFNA((VLOOKUP($A50,HN!$A:$M,8,FALSE)/12),0)</f>
        <v>0</v>
      </c>
      <c r="FU50" s="294">
        <f>_xlfn.IFNA((VLOOKUP($A50,HN!$A:$M,12,FALSE)/12),0)</f>
        <v>0</v>
      </c>
      <c r="FV50" s="294">
        <f>_xlfn.IFNA((VLOOKUP($A50,HN!$A:$M,9,FALSE)/12),0)</f>
        <v>0</v>
      </c>
      <c r="FW50" s="294">
        <f>_xlfn.IFNA((VLOOKUP($A50,'Post 16'!$A:$AG,33,FALSE)/8),0)</f>
        <v>0</v>
      </c>
      <c r="FX50" s="294"/>
      <c r="FY50" s="294">
        <f>_xlfn.IFNA(((VLOOKUP($A50,HN!$A:$M,10,FALSE)-$U50-$AK50)/10),0)</f>
        <v>6539.1540833333329</v>
      </c>
      <c r="FZ50" s="294">
        <f>_xlfn.IFNA(((VLOOKUP($A50,HN!$A:$M,13,FALSE)-$V50-$AL50)/10),0)</f>
        <v>0</v>
      </c>
      <c r="GA50" s="293">
        <f t="shared" si="97"/>
        <v>-987.69999999999993</v>
      </c>
      <c r="GB50" s="293">
        <f t="shared" si="98"/>
        <v>-1801.5388333333333</v>
      </c>
      <c r="GC50" s="294"/>
      <c r="GD50" s="294"/>
      <c r="GE50" s="294"/>
      <c r="GF50" s="293">
        <f t="shared" si="99"/>
        <v>218143.95369284975</v>
      </c>
      <c r="GG50" s="300">
        <f t="shared" si="100"/>
        <v>214394.03844284976</v>
      </c>
      <c r="GH50" s="300"/>
      <c r="GI50" s="300"/>
      <c r="GJ50" s="301">
        <f>_xlfn.IFNA((VLOOKUP($A50,HN!$A:$M,8,FALSE)/12),0)</f>
        <v>0</v>
      </c>
      <c r="GK50" s="301">
        <f>_xlfn.IFNA((VLOOKUP($A50,HN!$A:$M,12,FALSE)/12),0)</f>
        <v>0</v>
      </c>
      <c r="GL50" s="301">
        <f>_xlfn.IFNA((VLOOKUP($A50,HN!$A:$M,9,FALSE)/12),0)</f>
        <v>0</v>
      </c>
      <c r="GM50" s="301">
        <f>_xlfn.IFNA((VLOOKUP($A50,'Post 16'!$A:$AG,33,FALSE)/8),0)</f>
        <v>0</v>
      </c>
      <c r="GN50" s="301"/>
      <c r="GO50" s="301">
        <f>_xlfn.IFNA(((VLOOKUP($A50,HN!$A:$M,10,FALSE)-$U50-$AK50)/10),0)</f>
        <v>6539.1540833333329</v>
      </c>
      <c r="GP50" s="301">
        <f>_xlfn.IFNA(((VLOOKUP($A50,HN!$A:$M,13,FALSE)-$V50-$AL50)/10),0)</f>
        <v>0</v>
      </c>
      <c r="GQ50" s="300">
        <f t="shared" si="101"/>
        <v>-987.69999999999993</v>
      </c>
      <c r="GR50" s="300">
        <f t="shared" si="102"/>
        <v>-1801.5388333333333</v>
      </c>
      <c r="GS50" s="301"/>
      <c r="GT50" s="301"/>
      <c r="GU50" s="301"/>
      <c r="GV50" s="300">
        <f t="shared" si="103"/>
        <v>218143.95369284975</v>
      </c>
      <c r="GX50" s="146">
        <f t="shared" si="104"/>
        <v>2572728.4613141962</v>
      </c>
      <c r="GY50" s="146">
        <f t="shared" si="104"/>
        <v>0</v>
      </c>
      <c r="GZ50" s="146">
        <f t="shared" si="104"/>
        <v>88945.339999999982</v>
      </c>
      <c r="HA50" s="146">
        <f t="shared" si="104"/>
        <v>-11852.400000000001</v>
      </c>
      <c r="HB50" s="146">
        <f t="shared" si="104"/>
        <v>-21618.466</v>
      </c>
      <c r="HC50" s="146">
        <f t="shared" si="104"/>
        <v>0</v>
      </c>
      <c r="HE50" s="146">
        <f t="shared" si="105"/>
        <v>643182.11532854929</v>
      </c>
      <c r="HF50" s="146">
        <f t="shared" si="105"/>
        <v>0</v>
      </c>
      <c r="HG50" s="146">
        <f t="shared" si="105"/>
        <v>30092.953249999999</v>
      </c>
      <c r="HH50" s="146">
        <f t="shared" si="105"/>
        <v>-2963.1</v>
      </c>
      <c r="HI50" s="146">
        <f t="shared" si="105"/>
        <v>-5404.6165000000001</v>
      </c>
      <c r="HJ50" s="146">
        <f t="shared" si="105"/>
        <v>0</v>
      </c>
      <c r="HL50" s="146"/>
      <c r="HM50" s="57"/>
    </row>
    <row r="51" spans="1:221">
      <c r="A51" s="185">
        <v>2464</v>
      </c>
      <c r="B51" s="185">
        <v>103390</v>
      </c>
      <c r="C51" s="185" t="s">
        <v>125</v>
      </c>
      <c r="D51" s="2" t="s">
        <v>126</v>
      </c>
      <c r="E51" s="190" t="s">
        <v>39</v>
      </c>
      <c r="F51" s="190" t="s">
        <v>890</v>
      </c>
      <c r="H51" s="271">
        <f>_xlfn.IFNA(VLOOKUP($A51,ISB!$A$4:$BY$441,67,FALSE),0)</f>
        <v>2146339.4070000001</v>
      </c>
      <c r="I51" s="271">
        <f>_xlfn.IFNA(VLOOKUP($A51,ISB!$A$4:$BY$441,72,FALSE),0)</f>
        <v>-10283.699999999999</v>
      </c>
      <c r="J51" s="271">
        <f>-_xlfn.IFNA(VLOOKUP($A51,ISB!$A$4:$BY$441,76,FALSE),0)</f>
        <v>-33844.406999999999</v>
      </c>
      <c r="K51" s="271">
        <f>_xlfn.IFNA(VLOOKUP($A51,ISB!$A$4:$BY$441,77,FALSE),0)</f>
        <v>2102211.2999999998</v>
      </c>
      <c r="M51" s="279">
        <f t="shared" si="56"/>
        <v>178861.61725000001</v>
      </c>
      <c r="N51" s="279"/>
      <c r="O51" s="279">
        <f>_xlfn.IFNA(VLOOKUP($A51,EY!$A:$H,8,FALSE)+(VLOOKUP($A51,EY!$A:$R,18,FALSE)-$T51),0)</f>
        <v>0</v>
      </c>
      <c r="P51" s="280">
        <f>_xlfn.IFNA((VLOOKUP($A51,HN!$A:$M,8,FALSE)/12),0)</f>
        <v>0</v>
      </c>
      <c r="Q51" s="280">
        <f>_xlfn.IFNA((VLOOKUP($A51,HN!$A:$M,12,FALSE)/12),0)</f>
        <v>0</v>
      </c>
      <c r="R51" s="280">
        <f>_xlfn.IFNA((VLOOKUP($A51,HN!$A:$M,9,FALSE)/12),0)</f>
        <v>0</v>
      </c>
      <c r="S51" s="280">
        <f>_xlfn.IFNA((VLOOKUP($A51,'Post 16'!$A:$AR,22,FALSE)/4),0)</f>
        <v>0</v>
      </c>
      <c r="T51" s="280">
        <f>_xlfn.IFNA((VLOOKUP($A51,EY!$A:$R,16,FALSE)*80%),0)</f>
        <v>0</v>
      </c>
      <c r="U51" s="280">
        <v>2399.1108333333336</v>
      </c>
      <c r="V51" s="280">
        <v>0</v>
      </c>
      <c r="W51" s="279">
        <f t="shared" si="57"/>
        <v>-856.97499999999991</v>
      </c>
      <c r="X51" s="279">
        <f t="shared" si="58"/>
        <v>-2820.3672499999998</v>
      </c>
      <c r="Y51" s="280"/>
      <c r="Z51" s="280"/>
      <c r="AA51" s="280"/>
      <c r="AB51" s="279">
        <f t="shared" si="59"/>
        <v>177583.38583333333</v>
      </c>
      <c r="AC51" s="293">
        <f t="shared" si="60"/>
        <v>178861.61725000001</v>
      </c>
      <c r="AD51" s="293"/>
      <c r="AE51" s="293"/>
      <c r="AF51" s="294">
        <f>_xlfn.IFNA((VLOOKUP($A51,HN!$A:$M,8,FALSE)/12),0)</f>
        <v>0</v>
      </c>
      <c r="AG51" s="294">
        <f>_xlfn.IFNA((VLOOKUP($A51,HN!$A:$M,12,FALSE)/12),0)+_xlfn.IFNA(VLOOKUP($A51,HN!$A:$Q,17,FALSE),0)</f>
        <v>0</v>
      </c>
      <c r="AH51" s="294">
        <f>_xlfn.IFNA((VLOOKUP($A51,HN!$A:$M,9,FALSE)/12),0)</f>
        <v>0</v>
      </c>
      <c r="AI51" s="294">
        <f>_xlfn.IFNA((VLOOKUP($A51,'Post 16'!$A:$AR,22,FALSE)/4),0)</f>
        <v>0</v>
      </c>
      <c r="AJ51" s="294"/>
      <c r="AK51" s="294">
        <f>_xlfn.IFNA((VLOOKUP($A51,HN!$A:$M,10,FALSE)/12),0)</f>
        <v>2720.25</v>
      </c>
      <c r="AL51" s="294">
        <f>_xlfn.IFNA((VLOOKUP($A51,HN!$A:$M,13,FALSE)/12),0)</f>
        <v>0</v>
      </c>
      <c r="AM51" s="293">
        <f t="shared" si="61"/>
        <v>-856.97499999999991</v>
      </c>
      <c r="AN51" s="293">
        <f t="shared" si="62"/>
        <v>-2820.3672499999998</v>
      </c>
      <c r="AO51" s="294"/>
      <c r="AP51" s="294"/>
      <c r="AQ51" s="294"/>
      <c r="AR51" s="293">
        <f t="shared" si="63"/>
        <v>177904.52499999999</v>
      </c>
      <c r="AS51" s="286">
        <f t="shared" si="64"/>
        <v>178861.61725000001</v>
      </c>
      <c r="AT51" s="286"/>
      <c r="AU51" s="286">
        <f>_xlfn.IFNA(VLOOKUP(A51,EY!A:AO,40,FALSE),0)</f>
        <v>0</v>
      </c>
      <c r="AV51" s="287">
        <f>_xlfn.IFNA((VLOOKUP($A51,HN!$A:$M,8,FALSE)/12),0)</f>
        <v>0</v>
      </c>
      <c r="AW51" s="287">
        <f>_xlfn.IFNA((VLOOKUP($A51,HN!$A:$M,12,FALSE)/12),0)+_xlfn.IFNA(VLOOKUP($A51,HN!$A$8:$AU$200,19,FALSE),0)</f>
        <v>0</v>
      </c>
      <c r="AX51" s="287">
        <f>_xlfn.IFNA((VLOOKUP($A51,HN!$A:$M,9,FALSE)/12),0)</f>
        <v>0</v>
      </c>
      <c r="AY51" s="287">
        <f>_xlfn.IFNA((VLOOKUP($A51,'Post 16'!$A:$AR,22,FALSE)/4),0)</f>
        <v>0</v>
      </c>
      <c r="AZ51" s="287">
        <f>_xlfn.IFNA(VLOOKUP(A51,EY!A:AO,41,FALSE),0)</f>
        <v>0</v>
      </c>
      <c r="BA51" s="287">
        <f>_xlfn.IFNA(((VLOOKUP($A51,HN!$A:$M,10,FALSE)-$U51-$AK51)/10),0)+_xlfn.IFNA(VLOOKUP($A51,HN!$A:$R,18,FALSE),0)</f>
        <v>2752.3639166666667</v>
      </c>
      <c r="BB51" s="287">
        <f>_xlfn.IFNA(((VLOOKUP($A51,HN!$A:$M,13,FALSE)-$V51-$AL51)/10),0)+_xlfn.IFNA(VLOOKUP($A51,HN!$A$8:$AU$200,20,FALSE),0)</f>
        <v>0</v>
      </c>
      <c r="BC51" s="286">
        <f t="shared" si="65"/>
        <v>-856.97499999999991</v>
      </c>
      <c r="BD51" s="286">
        <f t="shared" si="66"/>
        <v>-2820.3672499999998</v>
      </c>
      <c r="BE51" s="287"/>
      <c r="BF51" s="287"/>
      <c r="BG51" s="287"/>
      <c r="BH51" s="286">
        <f t="shared" si="67"/>
        <v>177936.63891666665</v>
      </c>
      <c r="BI51" s="307">
        <f t="shared" si="68"/>
        <v>178861.61725000001</v>
      </c>
      <c r="BJ51" s="307">
        <f>_xlfn.IFNA(VLOOKUP(A51,'LA Deductions'!A:AH,34,FALSE),0)</f>
        <v>0</v>
      </c>
      <c r="BK51" s="307"/>
      <c r="BL51" s="308">
        <f>_xlfn.IFNA((VLOOKUP($A51,HN!$A:$M,8,FALSE)/12),0)</f>
        <v>0</v>
      </c>
      <c r="BM51" s="308">
        <f>_xlfn.IFNA((VLOOKUP($A51,HN!$A:$M,12,FALSE)/12),0)</f>
        <v>0</v>
      </c>
      <c r="BN51" s="308">
        <f>_xlfn.IFNA((VLOOKUP($A51,HN!$A:$M,9,FALSE)/12),0)</f>
        <v>0</v>
      </c>
      <c r="BO51" s="308">
        <f>_xlfn.IFNA((VLOOKUP($A51,'Post 16'!$A:$AR,22,FALSE)/4),0)</f>
        <v>0</v>
      </c>
      <c r="BP51" s="308"/>
      <c r="BQ51" s="308">
        <f>_xlfn.IFNA(((VLOOKUP($A51,HN!$A:$M,10,FALSE)-$U51-$AK51)/10),0)</f>
        <v>2752.3639166666667</v>
      </c>
      <c r="BR51" s="308">
        <f>_xlfn.IFNA(((VLOOKUP($A51,HN!$A:$M,13,FALSE)-$V51-$AL51)/10),0)</f>
        <v>0</v>
      </c>
      <c r="BS51" s="307">
        <f t="shared" si="69"/>
        <v>-856.97499999999991</v>
      </c>
      <c r="BT51" s="307">
        <f t="shared" si="70"/>
        <v>-2820.3672499999998</v>
      </c>
      <c r="BU51" s="308"/>
      <c r="BV51" s="308"/>
      <c r="BW51" s="308"/>
      <c r="BX51" s="307">
        <f t="shared" si="71"/>
        <v>177936.63891666665</v>
      </c>
      <c r="BY51" s="300">
        <f t="shared" si="72"/>
        <v>178861.61725000001</v>
      </c>
      <c r="BZ51" s="300"/>
      <c r="CA51" s="300"/>
      <c r="CB51" s="301">
        <f>_xlfn.IFNA((VLOOKUP($A51,HN!$A:$M,8,FALSE)/12),0)</f>
        <v>0</v>
      </c>
      <c r="CC51" s="301">
        <f>_xlfn.IFNA((VLOOKUP($A51,HN!$A:$M,12,FALSE)/12),0)</f>
        <v>0</v>
      </c>
      <c r="CD51" s="301">
        <f>_xlfn.IFNA((VLOOKUP($A51,HN!$A:$M,9,FALSE)/12),0)</f>
        <v>0</v>
      </c>
      <c r="CE51" s="301">
        <f>_xlfn.IFNA((VLOOKUP($A51,'Post 16'!$A:$AG,33,FALSE)/8),0)</f>
        <v>0</v>
      </c>
      <c r="CF51" s="301"/>
      <c r="CG51" s="301">
        <f>_xlfn.IFNA(((VLOOKUP($A51,HN!$A:$M,10,FALSE)-$U51-$AK51)/10),0)</f>
        <v>2752.3639166666667</v>
      </c>
      <c r="CH51" s="301">
        <f>_xlfn.IFNA(((VLOOKUP($A51,HN!$A:$M,13,FALSE)-$V51-$AL51)/10),0)</f>
        <v>0</v>
      </c>
      <c r="CI51" s="300">
        <f t="shared" si="73"/>
        <v>-856.97499999999991</v>
      </c>
      <c r="CJ51" s="300">
        <f t="shared" si="74"/>
        <v>-2820.3672499999998</v>
      </c>
      <c r="CK51" s="301"/>
      <c r="CL51" s="301"/>
      <c r="CM51" s="301"/>
      <c r="CN51" s="300">
        <f t="shared" si="75"/>
        <v>177936.63891666665</v>
      </c>
      <c r="CO51" s="332">
        <f t="shared" si="76"/>
        <v>178861.61725000001</v>
      </c>
      <c r="CP51" s="332"/>
      <c r="CQ51" s="332">
        <f>_xlfn.IFNA((VLOOKUP($A51,EY!$A:$AB,28,FALSE)-$CV51),0)</f>
        <v>0</v>
      </c>
      <c r="CR51" s="333">
        <f>_xlfn.IFNA((VLOOKUP($A51,HN!$A:$M,8,FALSE)/12),0)</f>
        <v>0</v>
      </c>
      <c r="CS51" s="333">
        <f>_xlfn.IFNA((VLOOKUP($A51,HN!$A:$M,12,FALSE)/12),0)</f>
        <v>0</v>
      </c>
      <c r="CT51" s="333">
        <f>_xlfn.IFNA((VLOOKUP($A51,HN!$A:$M,9,FALSE)/12),0)</f>
        <v>0</v>
      </c>
      <c r="CU51" s="333">
        <f>_xlfn.IFNA((VLOOKUP($A51,'Post 16'!$A:$AG,33,FALSE)/8),0)</f>
        <v>0</v>
      </c>
      <c r="CV51" s="333">
        <f>_xlfn.IFNA((VLOOKUP($A51,EY!$A:$AB,26,FALSE)*80%),0)</f>
        <v>0</v>
      </c>
      <c r="CW51" s="333">
        <f>_xlfn.IFNA(((VLOOKUP($A51,HN!$A:$M,10,FALSE)-$U51-$AK51)/10),0)</f>
        <v>2752.3639166666667</v>
      </c>
      <c r="CX51" s="333">
        <f>_xlfn.IFNA(((VLOOKUP($A51,HN!$A:$M,13,FALSE)-$V51-$AL51)/10),0)</f>
        <v>0</v>
      </c>
      <c r="CY51" s="332">
        <f t="shared" si="77"/>
        <v>-856.97499999999991</v>
      </c>
      <c r="CZ51" s="332">
        <f t="shared" si="78"/>
        <v>-2820.3672499999998</v>
      </c>
      <c r="DA51" s="333"/>
      <c r="DB51" s="333"/>
      <c r="DC51" s="333"/>
      <c r="DD51" s="332">
        <f t="shared" si="79"/>
        <v>177936.63891666665</v>
      </c>
      <c r="DE51" s="314">
        <f t="shared" si="80"/>
        <v>178861.61725000001</v>
      </c>
      <c r="DF51" s="314"/>
      <c r="DG51" s="314"/>
      <c r="DH51" s="315">
        <f>_xlfn.IFNA((VLOOKUP($A51,HN!$A:$M,8,FALSE)/12),0)</f>
        <v>0</v>
      </c>
      <c r="DI51" s="315">
        <f>_xlfn.IFNA((VLOOKUP($A51,HN!$A:$M,12,FALSE)/12),0)</f>
        <v>0</v>
      </c>
      <c r="DJ51" s="315">
        <f>_xlfn.IFNA((VLOOKUP($A51,HN!$A:$M,9,FALSE)/12),0)</f>
        <v>0</v>
      </c>
      <c r="DK51" s="315">
        <f>_xlfn.IFNA((VLOOKUP($A51,'Post 16'!$A:$AG,33,FALSE)/8),0)</f>
        <v>0</v>
      </c>
      <c r="DL51" s="315"/>
      <c r="DM51" s="315">
        <f>_xlfn.IFNA(((VLOOKUP($A51,HN!$A:$M,10,FALSE)-$U51-$AK51)/10),0)</f>
        <v>2752.3639166666667</v>
      </c>
      <c r="DN51" s="315">
        <f>_xlfn.IFNA(((VLOOKUP($A51,HN!$A:$M,13,FALSE)-$V51-$AL51)/10),0)</f>
        <v>0</v>
      </c>
      <c r="DO51" s="314">
        <f t="shared" si="81"/>
        <v>-856.97499999999991</v>
      </c>
      <c r="DP51" s="314">
        <f t="shared" si="82"/>
        <v>-2820.3672499999998</v>
      </c>
      <c r="DQ51" s="315"/>
      <c r="DR51" s="315"/>
      <c r="DS51" s="315"/>
      <c r="DT51" s="314">
        <f t="shared" si="83"/>
        <v>177936.63891666665</v>
      </c>
      <c r="DU51" s="307">
        <f t="shared" si="84"/>
        <v>178861.61725000001</v>
      </c>
      <c r="DV51" s="307"/>
      <c r="DW51" s="307"/>
      <c r="DX51" s="308">
        <f>_xlfn.IFNA((VLOOKUP($A51,HN!$A:$M,8,FALSE)/12),0)</f>
        <v>0</v>
      </c>
      <c r="DY51" s="308">
        <f>_xlfn.IFNA((VLOOKUP($A51,HN!$A:$M,12,FALSE)/12),0)</f>
        <v>0</v>
      </c>
      <c r="DZ51" s="308">
        <f>_xlfn.IFNA((VLOOKUP($A51,HN!$A:$M,9,FALSE)/12),0)</f>
        <v>0</v>
      </c>
      <c r="EA51" s="308">
        <f>_xlfn.IFNA((VLOOKUP($A51,'Post 16'!$A:$AG,33,FALSE)/8),0)</f>
        <v>0</v>
      </c>
      <c r="EB51" s="308"/>
      <c r="EC51" s="308">
        <f>_xlfn.IFNA(((VLOOKUP($A51,HN!$A:$M,10,FALSE)-$U51-$AK51)/10),0)</f>
        <v>2752.3639166666667</v>
      </c>
      <c r="ED51" s="308">
        <f>_xlfn.IFNA(((VLOOKUP($A51,HN!$A:$M,13,FALSE)-$V51-$AL51)/10),0)</f>
        <v>0</v>
      </c>
      <c r="EE51" s="307">
        <f t="shared" si="85"/>
        <v>-856.97499999999991</v>
      </c>
      <c r="EF51" s="307">
        <f t="shared" si="86"/>
        <v>-2820.3672499999998</v>
      </c>
      <c r="EG51" s="308"/>
      <c r="EH51" s="308"/>
      <c r="EI51" s="308"/>
      <c r="EJ51" s="307">
        <f t="shared" si="87"/>
        <v>177936.63891666665</v>
      </c>
      <c r="EK51" s="320">
        <f t="shared" si="88"/>
        <v>178861.61725000001</v>
      </c>
      <c r="EL51" s="320"/>
      <c r="EM51" s="320"/>
      <c r="EN51" s="321">
        <f>_xlfn.IFNA((VLOOKUP($A51,HN!$A:$M,8,FALSE)/12),0)</f>
        <v>0</v>
      </c>
      <c r="EO51" s="321">
        <f>_xlfn.IFNA((VLOOKUP($A51,HN!$A:$M,12,FALSE)/12),0)</f>
        <v>0</v>
      </c>
      <c r="EP51" s="321">
        <f>_xlfn.IFNA((VLOOKUP($A51,HN!$A:$M,9,FALSE)/12),0)</f>
        <v>0</v>
      </c>
      <c r="EQ51" s="321">
        <f>_xlfn.IFNA((VLOOKUP($A51,'Post 16'!$A:$AG,33,FALSE)/8),0)</f>
        <v>0</v>
      </c>
      <c r="ER51" s="321"/>
      <c r="ES51" s="321">
        <f>_xlfn.IFNA(((VLOOKUP($A51,HN!$A:$M,10,FALSE)-$U51-$AK51)/10),0)</f>
        <v>2752.3639166666667</v>
      </c>
      <c r="ET51" s="321">
        <f>_xlfn.IFNA(((VLOOKUP($A51,HN!$A:$M,13,FALSE)-$V51-$AL51)/10),0)</f>
        <v>0</v>
      </c>
      <c r="EU51" s="320">
        <f t="shared" si="89"/>
        <v>-856.97499999999991</v>
      </c>
      <c r="EV51" s="320">
        <f t="shared" si="90"/>
        <v>-2820.3672499999998</v>
      </c>
      <c r="EW51" s="321"/>
      <c r="EX51" s="321"/>
      <c r="EY51" s="321"/>
      <c r="EZ51" s="320">
        <f t="shared" si="91"/>
        <v>177936.63891666665</v>
      </c>
      <c r="FA51" s="286">
        <f t="shared" si="92"/>
        <v>178861.61725000001</v>
      </c>
      <c r="FB51" s="286"/>
      <c r="FC51" s="286"/>
      <c r="FD51" s="287">
        <f>_xlfn.IFNA((VLOOKUP($A51,HN!$A:$M,8,FALSE)/12),0)</f>
        <v>0</v>
      </c>
      <c r="FE51" s="287">
        <f>_xlfn.IFNA((VLOOKUP($A51,HN!$A:$M,12,FALSE)/12),0)</f>
        <v>0</v>
      </c>
      <c r="FF51" s="287">
        <f>_xlfn.IFNA((VLOOKUP($A51,HN!$A:$M,9,FALSE)/12),0)</f>
        <v>0</v>
      </c>
      <c r="FG51" s="287">
        <f>_xlfn.IFNA((VLOOKUP($A51,'Post 16'!$A:$AG,33,FALSE)/8),0)</f>
        <v>0</v>
      </c>
      <c r="FH51" s="287"/>
      <c r="FI51" s="287">
        <f>_xlfn.IFNA(((VLOOKUP($A51,HN!$A:$M,10,FALSE)-$U51-$AK51)/10),0)</f>
        <v>2752.3639166666667</v>
      </c>
      <c r="FJ51" s="287">
        <f>_xlfn.IFNA(((VLOOKUP($A51,HN!$A:$M,13,FALSE)-$V51-$AL51)/10),0)</f>
        <v>0</v>
      </c>
      <c r="FK51" s="286">
        <f t="shared" si="93"/>
        <v>-856.97499999999991</v>
      </c>
      <c r="FL51" s="286">
        <f t="shared" si="94"/>
        <v>-2820.3672499999998</v>
      </c>
      <c r="FM51" s="287"/>
      <c r="FN51" s="287"/>
      <c r="FO51" s="287"/>
      <c r="FP51" s="286">
        <f t="shared" si="95"/>
        <v>177936.63891666665</v>
      </c>
      <c r="FQ51" s="293">
        <f t="shared" si="96"/>
        <v>178861.61725000001</v>
      </c>
      <c r="FR51" s="293"/>
      <c r="FS51" s="293"/>
      <c r="FT51" s="294">
        <f>_xlfn.IFNA((VLOOKUP($A51,HN!$A:$M,8,FALSE)/12),0)</f>
        <v>0</v>
      </c>
      <c r="FU51" s="294">
        <f>_xlfn.IFNA((VLOOKUP($A51,HN!$A:$M,12,FALSE)/12),0)</f>
        <v>0</v>
      </c>
      <c r="FV51" s="294">
        <f>_xlfn.IFNA((VLOOKUP($A51,HN!$A:$M,9,FALSE)/12),0)</f>
        <v>0</v>
      </c>
      <c r="FW51" s="294">
        <f>_xlfn.IFNA((VLOOKUP($A51,'Post 16'!$A:$AG,33,FALSE)/8),0)</f>
        <v>0</v>
      </c>
      <c r="FX51" s="294"/>
      <c r="FY51" s="294">
        <f>_xlfn.IFNA(((VLOOKUP($A51,HN!$A:$M,10,FALSE)-$U51-$AK51)/10),0)</f>
        <v>2752.3639166666667</v>
      </c>
      <c r="FZ51" s="294">
        <f>_xlfn.IFNA(((VLOOKUP($A51,HN!$A:$M,13,FALSE)-$V51-$AL51)/10),0)</f>
        <v>0</v>
      </c>
      <c r="GA51" s="293">
        <f t="shared" si="97"/>
        <v>-856.97499999999991</v>
      </c>
      <c r="GB51" s="293">
        <f t="shared" si="98"/>
        <v>-2820.3672499999998</v>
      </c>
      <c r="GC51" s="294"/>
      <c r="GD51" s="294"/>
      <c r="GE51" s="294"/>
      <c r="GF51" s="293">
        <f t="shared" si="99"/>
        <v>177936.63891666665</v>
      </c>
      <c r="GG51" s="300">
        <f t="shared" si="100"/>
        <v>178861.61725000001</v>
      </c>
      <c r="GH51" s="300"/>
      <c r="GI51" s="300"/>
      <c r="GJ51" s="301">
        <f>_xlfn.IFNA((VLOOKUP($A51,HN!$A:$M,8,FALSE)/12),0)</f>
        <v>0</v>
      </c>
      <c r="GK51" s="301">
        <f>_xlfn.IFNA((VLOOKUP($A51,HN!$A:$M,12,FALSE)/12),0)</f>
        <v>0</v>
      </c>
      <c r="GL51" s="301">
        <f>_xlfn.IFNA((VLOOKUP($A51,HN!$A:$M,9,FALSE)/12),0)</f>
        <v>0</v>
      </c>
      <c r="GM51" s="301">
        <f>_xlfn.IFNA((VLOOKUP($A51,'Post 16'!$A:$AG,33,FALSE)/8),0)</f>
        <v>0</v>
      </c>
      <c r="GN51" s="301"/>
      <c r="GO51" s="301">
        <f>_xlfn.IFNA(((VLOOKUP($A51,HN!$A:$M,10,FALSE)-$U51-$AK51)/10),0)</f>
        <v>2752.3639166666667</v>
      </c>
      <c r="GP51" s="301">
        <f>_xlfn.IFNA(((VLOOKUP($A51,HN!$A:$M,13,FALSE)-$V51-$AL51)/10),0)</f>
        <v>0</v>
      </c>
      <c r="GQ51" s="300">
        <f t="shared" si="101"/>
        <v>-856.97499999999991</v>
      </c>
      <c r="GR51" s="300">
        <f t="shared" si="102"/>
        <v>-2820.3672499999998</v>
      </c>
      <c r="GS51" s="301"/>
      <c r="GT51" s="301"/>
      <c r="GU51" s="301"/>
      <c r="GV51" s="300">
        <f t="shared" si="103"/>
        <v>177936.63891666665</v>
      </c>
      <c r="GX51" s="146">
        <f t="shared" si="104"/>
        <v>2146339.4070000006</v>
      </c>
      <c r="GY51" s="146">
        <f t="shared" si="104"/>
        <v>0</v>
      </c>
      <c r="GZ51" s="146">
        <f t="shared" si="104"/>
        <v>32642.999999999996</v>
      </c>
      <c r="HA51" s="146">
        <f t="shared" si="104"/>
        <v>-10283.700000000003</v>
      </c>
      <c r="HB51" s="146">
        <f t="shared" si="104"/>
        <v>-33844.406999999999</v>
      </c>
      <c r="HC51" s="146">
        <f t="shared" si="104"/>
        <v>0</v>
      </c>
      <c r="HE51" s="146">
        <f t="shared" si="105"/>
        <v>536584.85175000003</v>
      </c>
      <c r="HF51" s="146">
        <f t="shared" si="105"/>
        <v>0</v>
      </c>
      <c r="HG51" s="146">
        <f t="shared" si="105"/>
        <v>7871.7247500000012</v>
      </c>
      <c r="HH51" s="146">
        <f t="shared" si="105"/>
        <v>-2570.9249999999997</v>
      </c>
      <c r="HI51" s="146">
        <f t="shared" si="105"/>
        <v>-8461.1017499999998</v>
      </c>
      <c r="HJ51" s="146">
        <f t="shared" si="105"/>
        <v>0</v>
      </c>
      <c r="HL51" s="146"/>
      <c r="HM51" s="57"/>
    </row>
    <row r="52" spans="1:221">
      <c r="A52" s="185">
        <v>3320</v>
      </c>
      <c r="B52" s="185">
        <v>103424</v>
      </c>
      <c r="C52" s="185" t="s">
        <v>127</v>
      </c>
      <c r="D52" s="2" t="s">
        <v>128</v>
      </c>
      <c r="E52" s="190" t="s">
        <v>39</v>
      </c>
      <c r="F52" s="190" t="s">
        <v>890</v>
      </c>
      <c r="H52" s="271">
        <f>_xlfn.IFNA(VLOOKUP($A52,ISB!$A$4:$BY$441,67,FALSE),0)</f>
        <v>2511252.5376739195</v>
      </c>
      <c r="I52" s="271">
        <f>_xlfn.IFNA(VLOOKUP($A52,ISB!$A$4:$BY$441,72,FALSE),0)</f>
        <v>-9785.6999999999989</v>
      </c>
      <c r="J52" s="271">
        <f>-_xlfn.IFNA(VLOOKUP($A52,ISB!$A$4:$BY$441,76,FALSE),0)</f>
        <v>-7549.5693000000001</v>
      </c>
      <c r="K52" s="271">
        <f>_xlfn.IFNA(VLOOKUP($A52,ISB!$A$4:$BY$441,77,FALSE),0)</f>
        <v>2493917.2683739192</v>
      </c>
      <c r="M52" s="279">
        <f t="shared" si="56"/>
        <v>209271.04480615995</v>
      </c>
      <c r="N52" s="279"/>
      <c r="O52" s="279">
        <f>_xlfn.IFNA(VLOOKUP($A52,EY!$A:$H,8,FALSE)+(VLOOKUP($A52,EY!$A:$R,18,FALSE)-$T52),0)</f>
        <v>0</v>
      </c>
      <c r="P52" s="280">
        <f>_xlfn.IFNA((VLOOKUP($A52,HN!$A:$M,8,FALSE)/12),0)</f>
        <v>0</v>
      </c>
      <c r="Q52" s="280">
        <f>_xlfn.IFNA((VLOOKUP($A52,HN!$A:$M,12,FALSE)/12),0)</f>
        <v>0</v>
      </c>
      <c r="R52" s="280">
        <f>_xlfn.IFNA((VLOOKUP($A52,HN!$A:$M,9,FALSE)/12),0)</f>
        <v>0</v>
      </c>
      <c r="S52" s="280">
        <f>_xlfn.IFNA((VLOOKUP($A52,'Post 16'!$A:$AR,22,FALSE)/4),0)</f>
        <v>0</v>
      </c>
      <c r="T52" s="280">
        <f>_xlfn.IFNA((VLOOKUP($A52,EY!$A:$R,16,FALSE)*80%),0)</f>
        <v>0</v>
      </c>
      <c r="U52" s="280">
        <v>9365.02</v>
      </c>
      <c r="V52" s="280">
        <v>0</v>
      </c>
      <c r="W52" s="279">
        <f t="shared" si="57"/>
        <v>-815.47499999999991</v>
      </c>
      <c r="X52" s="279">
        <f t="shared" si="58"/>
        <v>-629.13077499999997</v>
      </c>
      <c r="Y52" s="280"/>
      <c r="Z52" s="280"/>
      <c r="AA52" s="280"/>
      <c r="AB52" s="279">
        <f t="shared" si="59"/>
        <v>217191.45903115993</v>
      </c>
      <c r="AC52" s="293">
        <f t="shared" si="60"/>
        <v>209271.04480615995</v>
      </c>
      <c r="AD52" s="293"/>
      <c r="AE52" s="293"/>
      <c r="AF52" s="294">
        <f>_xlfn.IFNA((VLOOKUP($A52,HN!$A:$M,8,FALSE)/12),0)</f>
        <v>0</v>
      </c>
      <c r="AG52" s="294">
        <f>_xlfn.IFNA((VLOOKUP($A52,HN!$A:$M,12,FALSE)/12),0)+_xlfn.IFNA(VLOOKUP($A52,HN!$A:$Q,17,FALSE),0)</f>
        <v>0</v>
      </c>
      <c r="AH52" s="294">
        <f>_xlfn.IFNA((VLOOKUP($A52,HN!$A:$M,9,FALSE)/12),0)</f>
        <v>0</v>
      </c>
      <c r="AI52" s="294">
        <f>_xlfn.IFNA((VLOOKUP($A52,'Post 16'!$A:$AR,22,FALSE)/4),0)</f>
        <v>0</v>
      </c>
      <c r="AJ52" s="294"/>
      <c r="AK52" s="294">
        <f>_xlfn.IFNA((VLOOKUP($A52,HN!$A:$M,10,FALSE)/12),0)</f>
        <v>5283.7775000000001</v>
      </c>
      <c r="AL52" s="294">
        <f>_xlfn.IFNA((VLOOKUP($A52,HN!$A:$M,13,FALSE)/12),0)</f>
        <v>0</v>
      </c>
      <c r="AM52" s="293">
        <f t="shared" si="61"/>
        <v>-815.47499999999991</v>
      </c>
      <c r="AN52" s="293">
        <f t="shared" si="62"/>
        <v>-629.13077499999997</v>
      </c>
      <c r="AO52" s="294"/>
      <c r="AP52" s="294"/>
      <c r="AQ52" s="294"/>
      <c r="AR52" s="293">
        <f t="shared" si="63"/>
        <v>213110.21653115994</v>
      </c>
      <c r="AS52" s="286">
        <f t="shared" si="64"/>
        <v>209271.04480615995</v>
      </c>
      <c r="AT52" s="286"/>
      <c r="AU52" s="286">
        <f>_xlfn.IFNA(VLOOKUP(A52,EY!A:AO,40,FALSE),0)</f>
        <v>0</v>
      </c>
      <c r="AV52" s="287">
        <f>_xlfn.IFNA((VLOOKUP($A52,HN!$A:$M,8,FALSE)/12),0)</f>
        <v>0</v>
      </c>
      <c r="AW52" s="287">
        <f>_xlfn.IFNA((VLOOKUP($A52,HN!$A:$M,12,FALSE)/12),0)+_xlfn.IFNA(VLOOKUP($A52,HN!$A$8:$AU$200,19,FALSE),0)</f>
        <v>0</v>
      </c>
      <c r="AX52" s="287">
        <f>_xlfn.IFNA((VLOOKUP($A52,HN!$A:$M,9,FALSE)/12),0)</f>
        <v>0</v>
      </c>
      <c r="AY52" s="287">
        <f>_xlfn.IFNA((VLOOKUP($A52,'Post 16'!$A:$AR,22,FALSE)/4),0)</f>
        <v>0</v>
      </c>
      <c r="AZ52" s="287">
        <f>_xlfn.IFNA(VLOOKUP(A52,EY!A:AO,41,FALSE),0)</f>
        <v>0</v>
      </c>
      <c r="BA52" s="287">
        <f>_xlfn.IFNA(((VLOOKUP($A52,HN!$A:$M,10,FALSE)-$U52-$AK52)/10),0)+_xlfn.IFNA(VLOOKUP($A52,HN!$A:$R,18,FALSE),0)</f>
        <v>4875.6532500000003</v>
      </c>
      <c r="BB52" s="287">
        <f>_xlfn.IFNA(((VLOOKUP($A52,HN!$A:$M,13,FALSE)-$V52-$AL52)/10),0)+_xlfn.IFNA(VLOOKUP($A52,HN!$A$8:$AU$200,20,FALSE),0)</f>
        <v>0</v>
      </c>
      <c r="BC52" s="286">
        <f t="shared" si="65"/>
        <v>-815.47499999999991</v>
      </c>
      <c r="BD52" s="286">
        <f t="shared" si="66"/>
        <v>-629.13077499999997</v>
      </c>
      <c r="BE52" s="287"/>
      <c r="BF52" s="287"/>
      <c r="BG52" s="287"/>
      <c r="BH52" s="286">
        <f t="shared" si="67"/>
        <v>212702.09228115994</v>
      </c>
      <c r="BI52" s="307">
        <f t="shared" si="68"/>
        <v>209271.04480615995</v>
      </c>
      <c r="BJ52" s="307">
        <f>_xlfn.IFNA(VLOOKUP(A52,'LA Deductions'!A:AH,34,FALSE),0)</f>
        <v>-4530</v>
      </c>
      <c r="BK52" s="307"/>
      <c r="BL52" s="308">
        <f>_xlfn.IFNA((VLOOKUP($A52,HN!$A:$M,8,FALSE)/12),0)</f>
        <v>0</v>
      </c>
      <c r="BM52" s="308">
        <f>_xlfn.IFNA((VLOOKUP($A52,HN!$A:$M,12,FALSE)/12),0)</f>
        <v>0</v>
      </c>
      <c r="BN52" s="308">
        <f>_xlfn.IFNA((VLOOKUP($A52,HN!$A:$M,9,FALSE)/12),0)</f>
        <v>0</v>
      </c>
      <c r="BO52" s="308">
        <f>_xlfn.IFNA((VLOOKUP($A52,'Post 16'!$A:$AR,22,FALSE)/4),0)</f>
        <v>0</v>
      </c>
      <c r="BP52" s="308"/>
      <c r="BQ52" s="308">
        <f>_xlfn.IFNA(((VLOOKUP($A52,HN!$A:$M,10,FALSE)-$U52-$AK52)/10),0)</f>
        <v>4875.6532500000003</v>
      </c>
      <c r="BR52" s="308">
        <f>_xlfn.IFNA(((VLOOKUP($A52,HN!$A:$M,13,FALSE)-$V52-$AL52)/10),0)</f>
        <v>0</v>
      </c>
      <c r="BS52" s="307">
        <f t="shared" si="69"/>
        <v>-815.47499999999991</v>
      </c>
      <c r="BT52" s="307">
        <f t="shared" si="70"/>
        <v>-629.13077499999997</v>
      </c>
      <c r="BU52" s="308"/>
      <c r="BV52" s="308"/>
      <c r="BW52" s="308"/>
      <c r="BX52" s="307">
        <f t="shared" si="71"/>
        <v>208172.09228115994</v>
      </c>
      <c r="BY52" s="300">
        <f t="shared" si="72"/>
        <v>209271.04480615995</v>
      </c>
      <c r="BZ52" s="300"/>
      <c r="CA52" s="300"/>
      <c r="CB52" s="301">
        <f>_xlfn.IFNA((VLOOKUP($A52,HN!$A:$M,8,FALSE)/12),0)</f>
        <v>0</v>
      </c>
      <c r="CC52" s="301">
        <f>_xlfn.IFNA((VLOOKUP($A52,HN!$A:$M,12,FALSE)/12),0)</f>
        <v>0</v>
      </c>
      <c r="CD52" s="301">
        <f>_xlfn.IFNA((VLOOKUP($A52,HN!$A:$M,9,FALSE)/12),0)</f>
        <v>0</v>
      </c>
      <c r="CE52" s="301">
        <f>_xlfn.IFNA((VLOOKUP($A52,'Post 16'!$A:$AG,33,FALSE)/8),0)</f>
        <v>0</v>
      </c>
      <c r="CF52" s="301"/>
      <c r="CG52" s="301">
        <f>_xlfn.IFNA(((VLOOKUP($A52,HN!$A:$M,10,FALSE)-$U52-$AK52)/10),0)</f>
        <v>4875.6532500000003</v>
      </c>
      <c r="CH52" s="301">
        <f>_xlfn.IFNA(((VLOOKUP($A52,HN!$A:$M,13,FALSE)-$V52-$AL52)/10),0)</f>
        <v>0</v>
      </c>
      <c r="CI52" s="300">
        <f t="shared" si="73"/>
        <v>-815.47499999999991</v>
      </c>
      <c r="CJ52" s="300">
        <f t="shared" si="74"/>
        <v>-629.13077499999997</v>
      </c>
      <c r="CK52" s="301"/>
      <c r="CL52" s="301"/>
      <c r="CM52" s="301"/>
      <c r="CN52" s="300">
        <f t="shared" si="75"/>
        <v>212702.09228115994</v>
      </c>
      <c r="CO52" s="332">
        <f t="shared" si="76"/>
        <v>209271.04480615995</v>
      </c>
      <c r="CP52" s="332"/>
      <c r="CQ52" s="332">
        <f>_xlfn.IFNA((VLOOKUP($A52,EY!$A:$AB,28,FALSE)-$CV52),0)</f>
        <v>0</v>
      </c>
      <c r="CR52" s="333">
        <f>_xlfn.IFNA((VLOOKUP($A52,HN!$A:$M,8,FALSE)/12),0)</f>
        <v>0</v>
      </c>
      <c r="CS52" s="333">
        <f>_xlfn.IFNA((VLOOKUP($A52,HN!$A:$M,12,FALSE)/12),0)</f>
        <v>0</v>
      </c>
      <c r="CT52" s="333">
        <f>_xlfn.IFNA((VLOOKUP($A52,HN!$A:$M,9,FALSE)/12),0)</f>
        <v>0</v>
      </c>
      <c r="CU52" s="333">
        <f>_xlfn.IFNA((VLOOKUP($A52,'Post 16'!$A:$AG,33,FALSE)/8),0)</f>
        <v>0</v>
      </c>
      <c r="CV52" s="333">
        <f>_xlfn.IFNA((VLOOKUP($A52,EY!$A:$AB,26,FALSE)*80%),0)</f>
        <v>0</v>
      </c>
      <c r="CW52" s="333">
        <f>_xlfn.IFNA(((VLOOKUP($A52,HN!$A:$M,10,FALSE)-$U52-$AK52)/10),0)</f>
        <v>4875.6532500000003</v>
      </c>
      <c r="CX52" s="333">
        <f>_xlfn.IFNA(((VLOOKUP($A52,HN!$A:$M,13,FALSE)-$V52-$AL52)/10),0)</f>
        <v>0</v>
      </c>
      <c r="CY52" s="332">
        <f t="shared" si="77"/>
        <v>-815.47499999999991</v>
      </c>
      <c r="CZ52" s="332">
        <f t="shared" si="78"/>
        <v>-629.13077499999997</v>
      </c>
      <c r="DA52" s="333"/>
      <c r="DB52" s="333"/>
      <c r="DC52" s="333"/>
      <c r="DD52" s="332">
        <f t="shared" si="79"/>
        <v>212702.09228115994</v>
      </c>
      <c r="DE52" s="314">
        <f t="shared" si="80"/>
        <v>209271.04480615995</v>
      </c>
      <c r="DF52" s="314"/>
      <c r="DG52" s="314"/>
      <c r="DH52" s="315">
        <f>_xlfn.IFNA((VLOOKUP($A52,HN!$A:$M,8,FALSE)/12),0)</f>
        <v>0</v>
      </c>
      <c r="DI52" s="315">
        <f>_xlfn.IFNA((VLOOKUP($A52,HN!$A:$M,12,FALSE)/12),0)</f>
        <v>0</v>
      </c>
      <c r="DJ52" s="315">
        <f>_xlfn.IFNA((VLOOKUP($A52,HN!$A:$M,9,FALSE)/12),0)</f>
        <v>0</v>
      </c>
      <c r="DK52" s="315">
        <f>_xlfn.IFNA((VLOOKUP($A52,'Post 16'!$A:$AG,33,FALSE)/8),0)</f>
        <v>0</v>
      </c>
      <c r="DL52" s="315"/>
      <c r="DM52" s="315">
        <f>_xlfn.IFNA(((VLOOKUP($A52,HN!$A:$M,10,FALSE)-$U52-$AK52)/10),0)</f>
        <v>4875.6532500000003</v>
      </c>
      <c r="DN52" s="315">
        <f>_xlfn.IFNA(((VLOOKUP($A52,HN!$A:$M,13,FALSE)-$V52-$AL52)/10),0)</f>
        <v>0</v>
      </c>
      <c r="DO52" s="314">
        <f t="shared" si="81"/>
        <v>-815.47499999999991</v>
      </c>
      <c r="DP52" s="314">
        <f t="shared" si="82"/>
        <v>-629.13077499999997</v>
      </c>
      <c r="DQ52" s="315"/>
      <c r="DR52" s="315"/>
      <c r="DS52" s="315"/>
      <c r="DT52" s="314">
        <f t="shared" si="83"/>
        <v>212702.09228115994</v>
      </c>
      <c r="DU52" s="307">
        <f t="shared" si="84"/>
        <v>209271.04480615995</v>
      </c>
      <c r="DV52" s="307"/>
      <c r="DW52" s="307"/>
      <c r="DX52" s="308">
        <f>_xlfn.IFNA((VLOOKUP($A52,HN!$A:$M,8,FALSE)/12),0)</f>
        <v>0</v>
      </c>
      <c r="DY52" s="308">
        <f>_xlfn.IFNA((VLOOKUP($A52,HN!$A:$M,12,FALSE)/12),0)</f>
        <v>0</v>
      </c>
      <c r="DZ52" s="308">
        <f>_xlfn.IFNA((VLOOKUP($A52,HN!$A:$M,9,FALSE)/12),0)</f>
        <v>0</v>
      </c>
      <c r="EA52" s="308">
        <f>_xlfn.IFNA((VLOOKUP($A52,'Post 16'!$A:$AG,33,FALSE)/8),0)</f>
        <v>0</v>
      </c>
      <c r="EB52" s="308"/>
      <c r="EC52" s="308">
        <f>_xlfn.IFNA(((VLOOKUP($A52,HN!$A:$M,10,FALSE)-$U52-$AK52)/10),0)</f>
        <v>4875.6532500000003</v>
      </c>
      <c r="ED52" s="308">
        <f>_xlfn.IFNA(((VLOOKUP($A52,HN!$A:$M,13,FALSE)-$V52-$AL52)/10),0)</f>
        <v>0</v>
      </c>
      <c r="EE52" s="307">
        <f t="shared" si="85"/>
        <v>-815.47499999999991</v>
      </c>
      <c r="EF52" s="307">
        <f t="shared" si="86"/>
        <v>-629.13077499999997</v>
      </c>
      <c r="EG52" s="308"/>
      <c r="EH52" s="308"/>
      <c r="EI52" s="308"/>
      <c r="EJ52" s="307">
        <f t="shared" si="87"/>
        <v>212702.09228115994</v>
      </c>
      <c r="EK52" s="320">
        <f t="shared" si="88"/>
        <v>209271.04480615995</v>
      </c>
      <c r="EL52" s="320"/>
      <c r="EM52" s="320"/>
      <c r="EN52" s="321">
        <f>_xlfn.IFNA((VLOOKUP($A52,HN!$A:$M,8,FALSE)/12),0)</f>
        <v>0</v>
      </c>
      <c r="EO52" s="321">
        <f>_xlfn.IFNA((VLOOKUP($A52,HN!$A:$M,12,FALSE)/12),0)</f>
        <v>0</v>
      </c>
      <c r="EP52" s="321">
        <f>_xlfn.IFNA((VLOOKUP($A52,HN!$A:$M,9,FALSE)/12),0)</f>
        <v>0</v>
      </c>
      <c r="EQ52" s="321">
        <f>_xlfn.IFNA((VLOOKUP($A52,'Post 16'!$A:$AG,33,FALSE)/8),0)</f>
        <v>0</v>
      </c>
      <c r="ER52" s="321"/>
      <c r="ES52" s="321">
        <f>_xlfn.IFNA(((VLOOKUP($A52,HN!$A:$M,10,FALSE)-$U52-$AK52)/10),0)</f>
        <v>4875.6532500000003</v>
      </c>
      <c r="ET52" s="321">
        <f>_xlfn.IFNA(((VLOOKUP($A52,HN!$A:$M,13,FALSE)-$V52-$AL52)/10),0)</f>
        <v>0</v>
      </c>
      <c r="EU52" s="320">
        <f t="shared" si="89"/>
        <v>-815.47499999999991</v>
      </c>
      <c r="EV52" s="320">
        <f t="shared" si="90"/>
        <v>-629.13077499999997</v>
      </c>
      <c r="EW52" s="321"/>
      <c r="EX52" s="321"/>
      <c r="EY52" s="321"/>
      <c r="EZ52" s="320">
        <f t="shared" si="91"/>
        <v>212702.09228115994</v>
      </c>
      <c r="FA52" s="286">
        <f t="shared" si="92"/>
        <v>209271.04480615995</v>
      </c>
      <c r="FB52" s="286"/>
      <c r="FC52" s="286"/>
      <c r="FD52" s="287">
        <f>_xlfn.IFNA((VLOOKUP($A52,HN!$A:$M,8,FALSE)/12),0)</f>
        <v>0</v>
      </c>
      <c r="FE52" s="287">
        <f>_xlfn.IFNA((VLOOKUP($A52,HN!$A:$M,12,FALSE)/12),0)</f>
        <v>0</v>
      </c>
      <c r="FF52" s="287">
        <f>_xlfn.IFNA((VLOOKUP($A52,HN!$A:$M,9,FALSE)/12),0)</f>
        <v>0</v>
      </c>
      <c r="FG52" s="287">
        <f>_xlfn.IFNA((VLOOKUP($A52,'Post 16'!$A:$AG,33,FALSE)/8),0)</f>
        <v>0</v>
      </c>
      <c r="FH52" s="287"/>
      <c r="FI52" s="287">
        <f>_xlfn.IFNA(((VLOOKUP($A52,HN!$A:$M,10,FALSE)-$U52-$AK52)/10),0)</f>
        <v>4875.6532500000003</v>
      </c>
      <c r="FJ52" s="287">
        <f>_xlfn.IFNA(((VLOOKUP($A52,HN!$A:$M,13,FALSE)-$V52-$AL52)/10),0)</f>
        <v>0</v>
      </c>
      <c r="FK52" s="286">
        <f t="shared" si="93"/>
        <v>-815.47499999999991</v>
      </c>
      <c r="FL52" s="286">
        <f t="shared" si="94"/>
        <v>-629.13077499999997</v>
      </c>
      <c r="FM52" s="287"/>
      <c r="FN52" s="287"/>
      <c r="FO52" s="287"/>
      <c r="FP52" s="286">
        <f t="shared" si="95"/>
        <v>212702.09228115994</v>
      </c>
      <c r="FQ52" s="293">
        <f t="shared" si="96"/>
        <v>209271.04480615995</v>
      </c>
      <c r="FR52" s="293"/>
      <c r="FS52" s="293"/>
      <c r="FT52" s="294">
        <f>_xlfn.IFNA((VLOOKUP($A52,HN!$A:$M,8,FALSE)/12),0)</f>
        <v>0</v>
      </c>
      <c r="FU52" s="294">
        <f>_xlfn.IFNA((VLOOKUP($A52,HN!$A:$M,12,FALSE)/12),0)</f>
        <v>0</v>
      </c>
      <c r="FV52" s="294">
        <f>_xlfn.IFNA((VLOOKUP($A52,HN!$A:$M,9,FALSE)/12),0)</f>
        <v>0</v>
      </c>
      <c r="FW52" s="294">
        <f>_xlfn.IFNA((VLOOKUP($A52,'Post 16'!$A:$AG,33,FALSE)/8),0)</f>
        <v>0</v>
      </c>
      <c r="FX52" s="294"/>
      <c r="FY52" s="294">
        <f>_xlfn.IFNA(((VLOOKUP($A52,HN!$A:$M,10,FALSE)-$U52-$AK52)/10),0)</f>
        <v>4875.6532500000003</v>
      </c>
      <c r="FZ52" s="294">
        <f>_xlfn.IFNA(((VLOOKUP($A52,HN!$A:$M,13,FALSE)-$V52-$AL52)/10),0)</f>
        <v>0</v>
      </c>
      <c r="GA52" s="293">
        <f t="shared" si="97"/>
        <v>-815.47499999999991</v>
      </c>
      <c r="GB52" s="293">
        <f t="shared" si="98"/>
        <v>-629.13077499999997</v>
      </c>
      <c r="GC52" s="294"/>
      <c r="GD52" s="294"/>
      <c r="GE52" s="294"/>
      <c r="GF52" s="293">
        <f t="shared" si="99"/>
        <v>212702.09228115994</v>
      </c>
      <c r="GG52" s="300">
        <f t="shared" si="100"/>
        <v>209271.04480615995</v>
      </c>
      <c r="GH52" s="300"/>
      <c r="GI52" s="300"/>
      <c r="GJ52" s="301">
        <f>_xlfn.IFNA((VLOOKUP($A52,HN!$A:$M,8,FALSE)/12),0)</f>
        <v>0</v>
      </c>
      <c r="GK52" s="301">
        <f>_xlfn.IFNA((VLOOKUP($A52,HN!$A:$M,12,FALSE)/12),0)</f>
        <v>0</v>
      </c>
      <c r="GL52" s="301">
        <f>_xlfn.IFNA((VLOOKUP($A52,HN!$A:$M,9,FALSE)/12),0)</f>
        <v>0</v>
      </c>
      <c r="GM52" s="301">
        <f>_xlfn.IFNA((VLOOKUP($A52,'Post 16'!$A:$AG,33,FALSE)/8),0)</f>
        <v>0</v>
      </c>
      <c r="GN52" s="301"/>
      <c r="GO52" s="301">
        <f>_xlfn.IFNA(((VLOOKUP($A52,HN!$A:$M,10,FALSE)-$U52-$AK52)/10),0)</f>
        <v>4875.6532500000003</v>
      </c>
      <c r="GP52" s="301">
        <f>_xlfn.IFNA(((VLOOKUP($A52,HN!$A:$M,13,FALSE)-$V52-$AL52)/10),0)</f>
        <v>0</v>
      </c>
      <c r="GQ52" s="300">
        <f t="shared" si="101"/>
        <v>-815.47499999999991</v>
      </c>
      <c r="GR52" s="300">
        <f t="shared" si="102"/>
        <v>-629.13077499999997</v>
      </c>
      <c r="GS52" s="301"/>
      <c r="GT52" s="301"/>
      <c r="GU52" s="301"/>
      <c r="GV52" s="300">
        <f t="shared" si="103"/>
        <v>212702.09228115994</v>
      </c>
      <c r="GX52" s="146">
        <f t="shared" si="104"/>
        <v>2506722.5376739199</v>
      </c>
      <c r="GY52" s="146">
        <f t="shared" si="104"/>
        <v>0</v>
      </c>
      <c r="GZ52" s="146">
        <f t="shared" si="104"/>
        <v>63405.330000000016</v>
      </c>
      <c r="HA52" s="146">
        <f t="shared" si="104"/>
        <v>-9785.7000000000007</v>
      </c>
      <c r="HB52" s="146">
        <f t="shared" si="104"/>
        <v>-7549.5692999999983</v>
      </c>
      <c r="HC52" s="146">
        <f t="shared" si="104"/>
        <v>0</v>
      </c>
      <c r="HE52" s="146">
        <f t="shared" si="105"/>
        <v>627813.13441847987</v>
      </c>
      <c r="HF52" s="146">
        <f t="shared" si="105"/>
        <v>0</v>
      </c>
      <c r="HG52" s="146">
        <f t="shared" si="105"/>
        <v>19524.45075</v>
      </c>
      <c r="HH52" s="146">
        <f t="shared" si="105"/>
        <v>-2446.4249999999997</v>
      </c>
      <c r="HI52" s="146">
        <f t="shared" si="105"/>
        <v>-1887.3923249999998</v>
      </c>
      <c r="HJ52" s="146">
        <f t="shared" si="105"/>
        <v>0</v>
      </c>
      <c r="HL52" s="146"/>
      <c r="HM52" s="57"/>
    </row>
    <row r="53" spans="1:221">
      <c r="A53" s="185">
        <v>2055</v>
      </c>
      <c r="B53" s="185">
        <v>103190</v>
      </c>
      <c r="C53" s="185" t="s">
        <v>129</v>
      </c>
      <c r="D53" s="2" t="s">
        <v>130</v>
      </c>
      <c r="E53" s="190" t="s">
        <v>39</v>
      </c>
      <c r="F53" s="190" t="s">
        <v>890</v>
      </c>
      <c r="H53" s="271">
        <f>_xlfn.IFNA(VLOOKUP($A53,ISB!$A$4:$BY$441,67,FALSE),0)</f>
        <v>2279501.4801436528</v>
      </c>
      <c r="I53" s="271">
        <f>_xlfn.IFNA(VLOOKUP($A53,ISB!$A$4:$BY$441,72,FALSE),0)</f>
        <v>-10258.799999999999</v>
      </c>
      <c r="J53" s="271">
        <f>-_xlfn.IFNA(VLOOKUP($A53,ISB!$A$4:$BY$441,76,FALSE),0)</f>
        <v>-39188.603999999999</v>
      </c>
      <c r="K53" s="271">
        <f>_xlfn.IFNA(VLOOKUP($A53,ISB!$A$4:$BY$441,77,FALSE),0)</f>
        <v>2230054.0761436531</v>
      </c>
      <c r="M53" s="279">
        <f t="shared" si="56"/>
        <v>189958.45667863774</v>
      </c>
      <c r="N53" s="279"/>
      <c r="O53" s="279">
        <f>_xlfn.IFNA(VLOOKUP($A53,EY!$A:$H,8,FALSE)+(VLOOKUP($A53,EY!$A:$R,18,FALSE)-$T53),0)</f>
        <v>48801.479999999996</v>
      </c>
      <c r="P53" s="280">
        <f>_xlfn.IFNA((VLOOKUP($A53,HN!$A:$M,8,FALSE)/12),0)</f>
        <v>0</v>
      </c>
      <c r="Q53" s="280">
        <f>_xlfn.IFNA((VLOOKUP($A53,HN!$A:$M,12,FALSE)/12),0)</f>
        <v>0</v>
      </c>
      <c r="R53" s="280">
        <f>_xlfn.IFNA((VLOOKUP($A53,HN!$A:$M,9,FALSE)/12),0)</f>
        <v>0</v>
      </c>
      <c r="S53" s="280">
        <f>_xlfn.IFNA((VLOOKUP($A53,'Post 16'!$A:$AR,22,FALSE)/4),0)</f>
        <v>0</v>
      </c>
      <c r="T53" s="280">
        <f>_xlfn.IFNA((VLOOKUP($A53,EY!$A:$R,16,FALSE)*80%),0)</f>
        <v>0</v>
      </c>
      <c r="U53" s="280">
        <v>8869.0691666666662</v>
      </c>
      <c r="V53" s="280">
        <v>0</v>
      </c>
      <c r="W53" s="279">
        <f t="shared" si="57"/>
        <v>-854.9</v>
      </c>
      <c r="X53" s="279">
        <f t="shared" si="58"/>
        <v>-3265.7170000000001</v>
      </c>
      <c r="Y53" s="280"/>
      <c r="Z53" s="280"/>
      <c r="AA53" s="280"/>
      <c r="AB53" s="279">
        <f t="shared" si="59"/>
        <v>243508.38884530441</v>
      </c>
      <c r="AC53" s="293">
        <f t="shared" si="60"/>
        <v>189958.45667863774</v>
      </c>
      <c r="AD53" s="293"/>
      <c r="AE53" s="293"/>
      <c r="AF53" s="294">
        <f>_xlfn.IFNA((VLOOKUP($A53,HN!$A:$M,8,FALSE)/12),0)</f>
        <v>0</v>
      </c>
      <c r="AG53" s="294">
        <f>_xlfn.IFNA((VLOOKUP($A53,HN!$A:$M,12,FALSE)/12),0)+_xlfn.IFNA(VLOOKUP($A53,HN!$A:$Q,17,FALSE),0)</f>
        <v>0</v>
      </c>
      <c r="AH53" s="294">
        <f>_xlfn.IFNA((VLOOKUP($A53,HN!$A:$M,9,FALSE)/12),0)</f>
        <v>0</v>
      </c>
      <c r="AI53" s="294">
        <f>_xlfn.IFNA((VLOOKUP($A53,'Post 16'!$A:$AR,22,FALSE)/4),0)</f>
        <v>0</v>
      </c>
      <c r="AJ53" s="294"/>
      <c r="AK53" s="294">
        <f>_xlfn.IFNA((VLOOKUP($A53,HN!$A:$M,10,FALSE)/12),0)</f>
        <v>8624.125</v>
      </c>
      <c r="AL53" s="294">
        <f>_xlfn.IFNA((VLOOKUP($A53,HN!$A:$M,13,FALSE)/12),0)</f>
        <v>0</v>
      </c>
      <c r="AM53" s="293">
        <f t="shared" si="61"/>
        <v>-854.9</v>
      </c>
      <c r="AN53" s="293">
        <f t="shared" si="62"/>
        <v>-3265.7170000000001</v>
      </c>
      <c r="AO53" s="294"/>
      <c r="AP53" s="294"/>
      <c r="AQ53" s="294"/>
      <c r="AR53" s="293">
        <f t="shared" si="63"/>
        <v>194461.96467863774</v>
      </c>
      <c r="AS53" s="286">
        <f t="shared" si="64"/>
        <v>189958.45667863774</v>
      </c>
      <c r="AT53" s="286"/>
      <c r="AU53" s="286">
        <f>_xlfn.IFNA(VLOOKUP(A53,EY!A:AO,40,FALSE),0)</f>
        <v>11799.112842105258</v>
      </c>
      <c r="AV53" s="287">
        <f>_xlfn.IFNA((VLOOKUP($A53,HN!$A:$M,8,FALSE)/12),0)</f>
        <v>0</v>
      </c>
      <c r="AW53" s="287">
        <f>_xlfn.IFNA((VLOOKUP($A53,HN!$A:$M,12,FALSE)/12),0)+_xlfn.IFNA(VLOOKUP($A53,HN!$A$8:$AU$200,19,FALSE),0)</f>
        <v>0</v>
      </c>
      <c r="AX53" s="287">
        <f>_xlfn.IFNA((VLOOKUP($A53,HN!$A:$M,9,FALSE)/12),0)</f>
        <v>0</v>
      </c>
      <c r="AY53" s="287">
        <f>_xlfn.IFNA((VLOOKUP($A53,'Post 16'!$A:$AR,22,FALSE)/4),0)</f>
        <v>0</v>
      </c>
      <c r="AZ53" s="287">
        <f>_xlfn.IFNA(VLOOKUP(A53,EY!A:AO,41,FALSE),0)</f>
        <v>0</v>
      </c>
      <c r="BA53" s="287">
        <f>_xlfn.IFNA(((VLOOKUP($A53,HN!$A:$M,10,FALSE)-$U53-$AK53)/10),0)+_xlfn.IFNA(VLOOKUP($A53,HN!$A:$R,18,FALSE),0)</f>
        <v>8599.6305833333336</v>
      </c>
      <c r="BB53" s="287">
        <f>_xlfn.IFNA(((VLOOKUP($A53,HN!$A:$M,13,FALSE)-$V53-$AL53)/10),0)+_xlfn.IFNA(VLOOKUP($A53,HN!$A$8:$AU$200,20,FALSE),0)</f>
        <v>0</v>
      </c>
      <c r="BC53" s="286">
        <f t="shared" si="65"/>
        <v>-854.9</v>
      </c>
      <c r="BD53" s="286">
        <f t="shared" si="66"/>
        <v>-3265.7170000000001</v>
      </c>
      <c r="BE53" s="287"/>
      <c r="BF53" s="287"/>
      <c r="BG53" s="287"/>
      <c r="BH53" s="286">
        <f t="shared" si="67"/>
        <v>206236.58310407636</v>
      </c>
      <c r="BI53" s="307">
        <f t="shared" si="68"/>
        <v>189958.45667863774</v>
      </c>
      <c r="BJ53" s="307">
        <f>_xlfn.IFNA(VLOOKUP(A53,'LA Deductions'!A:AH,34,FALSE),0)</f>
        <v>0</v>
      </c>
      <c r="BK53" s="307"/>
      <c r="BL53" s="308">
        <f>_xlfn.IFNA((VLOOKUP($A53,HN!$A:$M,8,FALSE)/12),0)</f>
        <v>0</v>
      </c>
      <c r="BM53" s="308">
        <f>_xlfn.IFNA((VLOOKUP($A53,HN!$A:$M,12,FALSE)/12),0)</f>
        <v>0</v>
      </c>
      <c r="BN53" s="308">
        <f>_xlfn.IFNA((VLOOKUP($A53,HN!$A:$M,9,FALSE)/12),0)</f>
        <v>0</v>
      </c>
      <c r="BO53" s="308">
        <f>_xlfn.IFNA((VLOOKUP($A53,'Post 16'!$A:$AR,22,FALSE)/4),0)</f>
        <v>0</v>
      </c>
      <c r="BP53" s="308"/>
      <c r="BQ53" s="308">
        <f>_xlfn.IFNA(((VLOOKUP($A53,HN!$A:$M,10,FALSE)-$U53-$AK53)/10),0)</f>
        <v>8599.6305833333336</v>
      </c>
      <c r="BR53" s="308">
        <f>_xlfn.IFNA(((VLOOKUP($A53,HN!$A:$M,13,FALSE)-$V53-$AL53)/10),0)</f>
        <v>0</v>
      </c>
      <c r="BS53" s="307">
        <f t="shared" si="69"/>
        <v>-854.9</v>
      </c>
      <c r="BT53" s="307">
        <f t="shared" si="70"/>
        <v>-3265.7170000000001</v>
      </c>
      <c r="BU53" s="308"/>
      <c r="BV53" s="308"/>
      <c r="BW53" s="308"/>
      <c r="BX53" s="307">
        <f t="shared" si="71"/>
        <v>194437.47026197109</v>
      </c>
      <c r="BY53" s="300">
        <f t="shared" si="72"/>
        <v>189958.45667863774</v>
      </c>
      <c r="BZ53" s="300"/>
      <c r="CA53" s="300"/>
      <c r="CB53" s="301">
        <f>_xlfn.IFNA((VLOOKUP($A53,HN!$A:$M,8,FALSE)/12),0)</f>
        <v>0</v>
      </c>
      <c r="CC53" s="301">
        <f>_xlfn.IFNA((VLOOKUP($A53,HN!$A:$M,12,FALSE)/12),0)</f>
        <v>0</v>
      </c>
      <c r="CD53" s="301">
        <f>_xlfn.IFNA((VLOOKUP($A53,HN!$A:$M,9,FALSE)/12),0)</f>
        <v>0</v>
      </c>
      <c r="CE53" s="301">
        <f>_xlfn.IFNA((VLOOKUP($A53,'Post 16'!$A:$AG,33,FALSE)/8),0)</f>
        <v>0</v>
      </c>
      <c r="CF53" s="301"/>
      <c r="CG53" s="301">
        <f>_xlfn.IFNA(((VLOOKUP($A53,HN!$A:$M,10,FALSE)-$U53-$AK53)/10),0)</f>
        <v>8599.6305833333336</v>
      </c>
      <c r="CH53" s="301">
        <f>_xlfn.IFNA(((VLOOKUP($A53,HN!$A:$M,13,FALSE)-$V53-$AL53)/10),0)</f>
        <v>0</v>
      </c>
      <c r="CI53" s="300">
        <f t="shared" si="73"/>
        <v>-854.9</v>
      </c>
      <c r="CJ53" s="300">
        <f t="shared" si="74"/>
        <v>-3265.7170000000001</v>
      </c>
      <c r="CK53" s="301"/>
      <c r="CL53" s="301"/>
      <c r="CM53" s="301"/>
      <c r="CN53" s="300">
        <f t="shared" si="75"/>
        <v>194437.47026197109</v>
      </c>
      <c r="CO53" s="332">
        <f t="shared" si="76"/>
        <v>189958.45667863774</v>
      </c>
      <c r="CP53" s="332"/>
      <c r="CQ53" s="332">
        <f>_xlfn.IFNA((VLOOKUP($A53,EY!$A:$AB,28,FALSE)-$CV53),0)</f>
        <v>43575.48000000001</v>
      </c>
      <c r="CR53" s="333">
        <f>_xlfn.IFNA((VLOOKUP($A53,HN!$A:$M,8,FALSE)/12),0)</f>
        <v>0</v>
      </c>
      <c r="CS53" s="333">
        <f>_xlfn.IFNA((VLOOKUP($A53,HN!$A:$M,12,FALSE)/12),0)</f>
        <v>0</v>
      </c>
      <c r="CT53" s="333">
        <f>_xlfn.IFNA((VLOOKUP($A53,HN!$A:$M,9,FALSE)/12),0)</f>
        <v>0</v>
      </c>
      <c r="CU53" s="333">
        <f>_xlfn.IFNA((VLOOKUP($A53,'Post 16'!$A:$AG,33,FALSE)/8),0)</f>
        <v>0</v>
      </c>
      <c r="CV53" s="333">
        <f>_xlfn.IFNA((VLOOKUP($A53,EY!$A:$AB,26,FALSE)*80%),0)</f>
        <v>0</v>
      </c>
      <c r="CW53" s="333">
        <f>_xlfn.IFNA(((VLOOKUP($A53,HN!$A:$M,10,FALSE)-$U53-$AK53)/10),0)</f>
        <v>8599.6305833333336</v>
      </c>
      <c r="CX53" s="333">
        <f>_xlfn.IFNA(((VLOOKUP($A53,HN!$A:$M,13,FALSE)-$V53-$AL53)/10),0)</f>
        <v>0</v>
      </c>
      <c r="CY53" s="332">
        <f t="shared" si="77"/>
        <v>-854.9</v>
      </c>
      <c r="CZ53" s="332">
        <f t="shared" si="78"/>
        <v>-3265.7170000000001</v>
      </c>
      <c r="DA53" s="333"/>
      <c r="DB53" s="333"/>
      <c r="DC53" s="333"/>
      <c r="DD53" s="332">
        <f t="shared" si="79"/>
        <v>238012.9502619711</v>
      </c>
      <c r="DE53" s="314">
        <f t="shared" si="80"/>
        <v>189958.45667863774</v>
      </c>
      <c r="DF53" s="314"/>
      <c r="DG53" s="314"/>
      <c r="DH53" s="315">
        <f>_xlfn.IFNA((VLOOKUP($A53,HN!$A:$M,8,FALSE)/12),0)</f>
        <v>0</v>
      </c>
      <c r="DI53" s="315">
        <f>_xlfn.IFNA((VLOOKUP($A53,HN!$A:$M,12,FALSE)/12),0)</f>
        <v>0</v>
      </c>
      <c r="DJ53" s="315">
        <f>_xlfn.IFNA((VLOOKUP($A53,HN!$A:$M,9,FALSE)/12),0)</f>
        <v>0</v>
      </c>
      <c r="DK53" s="315">
        <f>_xlfn.IFNA((VLOOKUP($A53,'Post 16'!$A:$AG,33,FALSE)/8),0)</f>
        <v>0</v>
      </c>
      <c r="DL53" s="315"/>
      <c r="DM53" s="315">
        <f>_xlfn.IFNA(((VLOOKUP($A53,HN!$A:$M,10,FALSE)-$U53-$AK53)/10),0)</f>
        <v>8599.6305833333336</v>
      </c>
      <c r="DN53" s="315">
        <f>_xlfn.IFNA(((VLOOKUP($A53,HN!$A:$M,13,FALSE)-$V53-$AL53)/10),0)</f>
        <v>0</v>
      </c>
      <c r="DO53" s="314">
        <f t="shared" si="81"/>
        <v>-854.9</v>
      </c>
      <c r="DP53" s="314">
        <f t="shared" si="82"/>
        <v>-3265.7170000000001</v>
      </c>
      <c r="DQ53" s="315"/>
      <c r="DR53" s="315"/>
      <c r="DS53" s="315"/>
      <c r="DT53" s="314">
        <f t="shared" si="83"/>
        <v>194437.47026197109</v>
      </c>
      <c r="DU53" s="307">
        <f t="shared" si="84"/>
        <v>189958.45667863774</v>
      </c>
      <c r="DV53" s="307"/>
      <c r="DW53" s="307"/>
      <c r="DX53" s="308">
        <f>_xlfn.IFNA((VLOOKUP($A53,HN!$A:$M,8,FALSE)/12),0)</f>
        <v>0</v>
      </c>
      <c r="DY53" s="308">
        <f>_xlfn.IFNA((VLOOKUP($A53,HN!$A:$M,12,FALSE)/12),0)</f>
        <v>0</v>
      </c>
      <c r="DZ53" s="308">
        <f>_xlfn.IFNA((VLOOKUP($A53,HN!$A:$M,9,FALSE)/12),0)</f>
        <v>0</v>
      </c>
      <c r="EA53" s="308">
        <f>_xlfn.IFNA((VLOOKUP($A53,'Post 16'!$A:$AG,33,FALSE)/8),0)</f>
        <v>0</v>
      </c>
      <c r="EB53" s="308"/>
      <c r="EC53" s="308">
        <f>_xlfn.IFNA(((VLOOKUP($A53,HN!$A:$M,10,FALSE)-$U53-$AK53)/10),0)</f>
        <v>8599.6305833333336</v>
      </c>
      <c r="ED53" s="308">
        <f>_xlfn.IFNA(((VLOOKUP($A53,HN!$A:$M,13,FALSE)-$V53-$AL53)/10),0)</f>
        <v>0</v>
      </c>
      <c r="EE53" s="307">
        <f t="shared" si="85"/>
        <v>-854.9</v>
      </c>
      <c r="EF53" s="307">
        <f t="shared" si="86"/>
        <v>-3265.7170000000001</v>
      </c>
      <c r="EG53" s="308"/>
      <c r="EH53" s="308"/>
      <c r="EI53" s="308"/>
      <c r="EJ53" s="307">
        <f t="shared" si="87"/>
        <v>194437.47026197109</v>
      </c>
      <c r="EK53" s="320">
        <f t="shared" si="88"/>
        <v>189958.45667863774</v>
      </c>
      <c r="EL53" s="320"/>
      <c r="EM53" s="320"/>
      <c r="EN53" s="321">
        <f>_xlfn.IFNA((VLOOKUP($A53,HN!$A:$M,8,FALSE)/12),0)</f>
        <v>0</v>
      </c>
      <c r="EO53" s="321">
        <f>_xlfn.IFNA((VLOOKUP($A53,HN!$A:$M,12,FALSE)/12),0)</f>
        <v>0</v>
      </c>
      <c r="EP53" s="321">
        <f>_xlfn.IFNA((VLOOKUP($A53,HN!$A:$M,9,FALSE)/12),0)</f>
        <v>0</v>
      </c>
      <c r="EQ53" s="321">
        <f>_xlfn.IFNA((VLOOKUP($A53,'Post 16'!$A:$AG,33,FALSE)/8),0)</f>
        <v>0</v>
      </c>
      <c r="ER53" s="321"/>
      <c r="ES53" s="321">
        <f>_xlfn.IFNA(((VLOOKUP($A53,HN!$A:$M,10,FALSE)-$U53-$AK53)/10),0)</f>
        <v>8599.6305833333336</v>
      </c>
      <c r="ET53" s="321">
        <f>_xlfn.IFNA(((VLOOKUP($A53,HN!$A:$M,13,FALSE)-$V53-$AL53)/10),0)</f>
        <v>0</v>
      </c>
      <c r="EU53" s="320">
        <f t="shared" si="89"/>
        <v>-854.9</v>
      </c>
      <c r="EV53" s="320">
        <f t="shared" si="90"/>
        <v>-3265.7170000000001</v>
      </c>
      <c r="EW53" s="321"/>
      <c r="EX53" s="321"/>
      <c r="EY53" s="321"/>
      <c r="EZ53" s="320">
        <f t="shared" si="91"/>
        <v>194437.47026197109</v>
      </c>
      <c r="FA53" s="286">
        <f t="shared" si="92"/>
        <v>189958.45667863774</v>
      </c>
      <c r="FB53" s="286"/>
      <c r="FC53" s="286"/>
      <c r="FD53" s="287">
        <f>_xlfn.IFNA((VLOOKUP($A53,HN!$A:$M,8,FALSE)/12),0)</f>
        <v>0</v>
      </c>
      <c r="FE53" s="287">
        <f>_xlfn.IFNA((VLOOKUP($A53,HN!$A:$M,12,FALSE)/12),0)</f>
        <v>0</v>
      </c>
      <c r="FF53" s="287">
        <f>_xlfn.IFNA((VLOOKUP($A53,HN!$A:$M,9,FALSE)/12),0)</f>
        <v>0</v>
      </c>
      <c r="FG53" s="287">
        <f>_xlfn.IFNA((VLOOKUP($A53,'Post 16'!$A:$AG,33,FALSE)/8),0)</f>
        <v>0</v>
      </c>
      <c r="FH53" s="287"/>
      <c r="FI53" s="287">
        <f>_xlfn.IFNA(((VLOOKUP($A53,HN!$A:$M,10,FALSE)-$U53-$AK53)/10),0)</f>
        <v>8599.6305833333336</v>
      </c>
      <c r="FJ53" s="287">
        <f>_xlfn.IFNA(((VLOOKUP($A53,HN!$A:$M,13,FALSE)-$V53-$AL53)/10),0)</f>
        <v>0</v>
      </c>
      <c r="FK53" s="286">
        <f t="shared" si="93"/>
        <v>-854.9</v>
      </c>
      <c r="FL53" s="286">
        <f t="shared" si="94"/>
        <v>-3265.7170000000001</v>
      </c>
      <c r="FM53" s="287"/>
      <c r="FN53" s="287"/>
      <c r="FO53" s="287"/>
      <c r="FP53" s="286">
        <f t="shared" si="95"/>
        <v>194437.47026197109</v>
      </c>
      <c r="FQ53" s="293">
        <f t="shared" si="96"/>
        <v>189958.45667863774</v>
      </c>
      <c r="FR53" s="293"/>
      <c r="FS53" s="293"/>
      <c r="FT53" s="294">
        <f>_xlfn.IFNA((VLOOKUP($A53,HN!$A:$M,8,FALSE)/12),0)</f>
        <v>0</v>
      </c>
      <c r="FU53" s="294">
        <f>_xlfn.IFNA((VLOOKUP($A53,HN!$A:$M,12,FALSE)/12),0)</f>
        <v>0</v>
      </c>
      <c r="FV53" s="294">
        <f>_xlfn.IFNA((VLOOKUP($A53,HN!$A:$M,9,FALSE)/12),0)</f>
        <v>0</v>
      </c>
      <c r="FW53" s="294">
        <f>_xlfn.IFNA((VLOOKUP($A53,'Post 16'!$A:$AG,33,FALSE)/8),0)</f>
        <v>0</v>
      </c>
      <c r="FX53" s="294"/>
      <c r="FY53" s="294">
        <f>_xlfn.IFNA(((VLOOKUP($A53,HN!$A:$M,10,FALSE)-$U53-$AK53)/10),0)</f>
        <v>8599.6305833333336</v>
      </c>
      <c r="FZ53" s="294">
        <f>_xlfn.IFNA(((VLOOKUP($A53,HN!$A:$M,13,FALSE)-$V53-$AL53)/10),0)</f>
        <v>0</v>
      </c>
      <c r="GA53" s="293">
        <f t="shared" si="97"/>
        <v>-854.9</v>
      </c>
      <c r="GB53" s="293">
        <f t="shared" si="98"/>
        <v>-3265.7170000000001</v>
      </c>
      <c r="GC53" s="294"/>
      <c r="GD53" s="294"/>
      <c r="GE53" s="294"/>
      <c r="GF53" s="293">
        <f t="shared" si="99"/>
        <v>194437.47026197109</v>
      </c>
      <c r="GG53" s="300">
        <f t="shared" si="100"/>
        <v>189958.45667863774</v>
      </c>
      <c r="GH53" s="300"/>
      <c r="GI53" s="300"/>
      <c r="GJ53" s="301">
        <f>_xlfn.IFNA((VLOOKUP($A53,HN!$A:$M,8,FALSE)/12),0)</f>
        <v>0</v>
      </c>
      <c r="GK53" s="301">
        <f>_xlfn.IFNA((VLOOKUP($A53,HN!$A:$M,12,FALSE)/12),0)</f>
        <v>0</v>
      </c>
      <c r="GL53" s="301">
        <f>_xlfn.IFNA((VLOOKUP($A53,HN!$A:$M,9,FALSE)/12),0)</f>
        <v>0</v>
      </c>
      <c r="GM53" s="301">
        <f>_xlfn.IFNA((VLOOKUP($A53,'Post 16'!$A:$AG,33,FALSE)/8),0)</f>
        <v>0</v>
      </c>
      <c r="GN53" s="301"/>
      <c r="GO53" s="301">
        <f>_xlfn.IFNA(((VLOOKUP($A53,HN!$A:$M,10,FALSE)-$U53-$AK53)/10),0)</f>
        <v>8599.6305833333336</v>
      </c>
      <c r="GP53" s="301">
        <f>_xlfn.IFNA(((VLOOKUP($A53,HN!$A:$M,13,FALSE)-$V53-$AL53)/10),0)</f>
        <v>0</v>
      </c>
      <c r="GQ53" s="300">
        <f t="shared" si="101"/>
        <v>-854.9</v>
      </c>
      <c r="GR53" s="300">
        <f t="shared" si="102"/>
        <v>-3265.7170000000001</v>
      </c>
      <c r="GS53" s="301"/>
      <c r="GT53" s="301"/>
      <c r="GU53" s="301"/>
      <c r="GV53" s="300">
        <f t="shared" si="103"/>
        <v>194437.47026197109</v>
      </c>
      <c r="GX53" s="146">
        <f t="shared" si="104"/>
        <v>2383677.5529857581</v>
      </c>
      <c r="GY53" s="146">
        <f t="shared" si="104"/>
        <v>0</v>
      </c>
      <c r="GZ53" s="146">
        <f t="shared" si="104"/>
        <v>103489.49999999999</v>
      </c>
      <c r="HA53" s="146">
        <f t="shared" si="104"/>
        <v>-10258.799999999997</v>
      </c>
      <c r="HB53" s="146">
        <f t="shared" si="104"/>
        <v>-39188.603999999999</v>
      </c>
      <c r="HC53" s="146">
        <f t="shared" si="104"/>
        <v>0</v>
      </c>
      <c r="HE53" s="146">
        <f t="shared" si="105"/>
        <v>630475.9628780185</v>
      </c>
      <c r="HF53" s="146">
        <f t="shared" si="105"/>
        <v>0</v>
      </c>
      <c r="HG53" s="146">
        <f t="shared" si="105"/>
        <v>26092.82475</v>
      </c>
      <c r="HH53" s="146">
        <f t="shared" si="105"/>
        <v>-2564.6999999999998</v>
      </c>
      <c r="HI53" s="146">
        <f t="shared" si="105"/>
        <v>-9797.1509999999998</v>
      </c>
      <c r="HJ53" s="146">
        <f t="shared" si="105"/>
        <v>0</v>
      </c>
      <c r="HL53" s="146"/>
      <c r="HM53" s="57"/>
    </row>
    <row r="54" spans="1:221">
      <c r="A54" s="185">
        <v>1802</v>
      </c>
      <c r="B54" s="185">
        <v>103150</v>
      </c>
      <c r="C54" s="185" t="s">
        <v>131</v>
      </c>
      <c r="D54" s="2" t="s">
        <v>132</v>
      </c>
      <c r="E54" s="190" t="s">
        <v>36</v>
      </c>
      <c r="F54" s="190" t="s">
        <v>890</v>
      </c>
      <c r="H54" s="271">
        <f>_xlfn.IFNA(VLOOKUP($A54,ISB!$A$4:$BY$441,67,FALSE),0)</f>
        <v>0</v>
      </c>
      <c r="I54" s="271">
        <f>_xlfn.IFNA(VLOOKUP($A54,ISB!$A$4:$BY$441,72,FALSE),0)</f>
        <v>0</v>
      </c>
      <c r="J54" s="271">
        <f>-_xlfn.IFNA(VLOOKUP($A54,ISB!$A$4:$BY$441,76,FALSE),0)</f>
        <v>0</v>
      </c>
      <c r="K54" s="271">
        <f>_xlfn.IFNA(VLOOKUP($A54,ISB!$A$4:$BY$441,77,FALSE),0)</f>
        <v>0</v>
      </c>
      <c r="M54" s="279">
        <f t="shared" si="56"/>
        <v>0</v>
      </c>
      <c r="N54" s="279"/>
      <c r="O54" s="279">
        <f>_xlfn.IFNA(VLOOKUP($A54,EY!$A:$H,8,FALSE)+(VLOOKUP($A54,EY!$A:$R,18,FALSE)-$T54),0)</f>
        <v>339056.35285828693</v>
      </c>
      <c r="P54" s="280">
        <f>_xlfn.IFNA((VLOOKUP($A54,HN!$A:$M,8,FALSE)/12),0)</f>
        <v>0</v>
      </c>
      <c r="Q54" s="280">
        <f>_xlfn.IFNA((VLOOKUP($A54,HN!$A:$M,12,FALSE)/12),0)</f>
        <v>0</v>
      </c>
      <c r="R54" s="280">
        <f>_xlfn.IFNA((VLOOKUP($A54,HN!$A:$M,9,FALSE)/12),0)</f>
        <v>0</v>
      </c>
      <c r="S54" s="280">
        <f>_xlfn.IFNA((VLOOKUP($A54,'Post 16'!$A:$AR,22,FALSE)/4),0)</f>
        <v>0</v>
      </c>
      <c r="T54" s="280">
        <f>_xlfn.IFNA((VLOOKUP($A54,EY!$A:$R,16,FALSE)*80%),0)</f>
        <v>780</v>
      </c>
      <c r="U54" s="280">
        <v>1192.1666666666667</v>
      </c>
      <c r="V54" s="280">
        <v>0</v>
      </c>
      <c r="W54" s="279">
        <f t="shared" si="57"/>
        <v>0</v>
      </c>
      <c r="X54" s="279">
        <f t="shared" si="58"/>
        <v>0</v>
      </c>
      <c r="Y54" s="280"/>
      <c r="Z54" s="280"/>
      <c r="AA54" s="280"/>
      <c r="AB54" s="279">
        <f t="shared" si="59"/>
        <v>341028.51952495362</v>
      </c>
      <c r="AC54" s="293">
        <f t="shared" si="60"/>
        <v>0</v>
      </c>
      <c r="AD54" s="293"/>
      <c r="AE54" s="293"/>
      <c r="AF54" s="294">
        <f>_xlfn.IFNA((VLOOKUP($A54,HN!$A:$M,8,FALSE)/12),0)</f>
        <v>0</v>
      </c>
      <c r="AG54" s="294">
        <f>_xlfn.IFNA((VLOOKUP($A54,HN!$A:$M,12,FALSE)/12),0)+_xlfn.IFNA(VLOOKUP($A54,HN!$A:$Q,17,FALSE),0)</f>
        <v>0</v>
      </c>
      <c r="AH54" s="294">
        <f>_xlfn.IFNA((VLOOKUP($A54,HN!$A:$M,9,FALSE)/12),0)</f>
        <v>0</v>
      </c>
      <c r="AI54" s="294">
        <f>_xlfn.IFNA((VLOOKUP($A54,'Post 16'!$A:$AR,22,FALSE)/4),0)</f>
        <v>0</v>
      </c>
      <c r="AJ54" s="294"/>
      <c r="AK54" s="294">
        <v>-1192.1666666666667</v>
      </c>
      <c r="AL54" s="294">
        <f>_xlfn.IFNA((VLOOKUP($A54,HN!$A:$M,13,FALSE)/12),0)</f>
        <v>0</v>
      </c>
      <c r="AM54" s="293">
        <f t="shared" si="61"/>
        <v>0</v>
      </c>
      <c r="AN54" s="293">
        <f t="shared" si="62"/>
        <v>0</v>
      </c>
      <c r="AO54" s="294"/>
      <c r="AP54" s="294"/>
      <c r="AQ54" s="294"/>
      <c r="AR54" s="293">
        <f t="shared" si="63"/>
        <v>-1192.1666666666667</v>
      </c>
      <c r="AS54" s="286">
        <f t="shared" si="64"/>
        <v>0</v>
      </c>
      <c r="AT54" s="286"/>
      <c r="AU54" s="286">
        <f>_xlfn.IFNA(VLOOKUP(A54,EY!A:AO,40,FALSE),0)</f>
        <v>56220.014709141258</v>
      </c>
      <c r="AV54" s="287">
        <f>_xlfn.IFNA((VLOOKUP($A54,HN!$A:$M,8,FALSE)/12),0)</f>
        <v>0</v>
      </c>
      <c r="AW54" s="287">
        <f>_xlfn.IFNA((VLOOKUP($A54,HN!$A:$M,12,FALSE)/12),0)+_xlfn.IFNA(VLOOKUP($A54,HN!$A$8:$AU$200,19,FALSE),0)</f>
        <v>0</v>
      </c>
      <c r="AX54" s="287">
        <f>_xlfn.IFNA((VLOOKUP($A54,HN!$A:$M,9,FALSE)/12),0)</f>
        <v>0</v>
      </c>
      <c r="AY54" s="287">
        <f>_xlfn.IFNA((VLOOKUP($A54,'Post 16'!$A:$AR,22,FALSE)/4),0)</f>
        <v>0</v>
      </c>
      <c r="AZ54" s="287">
        <f>_xlfn.IFNA(VLOOKUP(A54,EY!A:AO,41,FALSE),0)</f>
        <v>1726.3357340720222</v>
      </c>
      <c r="BA54" s="287">
        <f>_xlfn.IFNA(((VLOOKUP($A54,HN!$A:$M,10,FALSE)-$U54-$AK54)/10),0)+_xlfn.IFNA(VLOOKUP($A54,HN!$A:$R,18,FALSE),0)</f>
        <v>0</v>
      </c>
      <c r="BB54" s="287">
        <f>_xlfn.IFNA(((VLOOKUP($A54,HN!$A:$M,13,FALSE)-$V54-$AL54)/10),0)+_xlfn.IFNA(VLOOKUP($A54,HN!$A$8:$AU$200,20,FALSE),0)</f>
        <v>0</v>
      </c>
      <c r="BC54" s="286">
        <f t="shared" si="65"/>
        <v>0</v>
      </c>
      <c r="BD54" s="286">
        <f t="shared" si="66"/>
        <v>0</v>
      </c>
      <c r="BE54" s="287"/>
      <c r="BF54" s="287"/>
      <c r="BG54" s="287"/>
      <c r="BH54" s="286">
        <f t="shared" si="67"/>
        <v>57946.350443213283</v>
      </c>
      <c r="BI54" s="307">
        <f t="shared" si="68"/>
        <v>0</v>
      </c>
      <c r="BJ54" s="307">
        <f>_xlfn.IFNA(VLOOKUP(A54,'LA Deductions'!A:AH,34,FALSE),0)</f>
        <v>0</v>
      </c>
      <c r="BK54" s="307"/>
      <c r="BL54" s="308">
        <f>_xlfn.IFNA((VLOOKUP($A54,HN!$A:$M,8,FALSE)/12),0)</f>
        <v>0</v>
      </c>
      <c r="BM54" s="308">
        <f>_xlfn.IFNA((VLOOKUP($A54,HN!$A:$M,12,FALSE)/12),0)</f>
        <v>0</v>
      </c>
      <c r="BN54" s="308">
        <f>_xlfn.IFNA((VLOOKUP($A54,HN!$A:$M,9,FALSE)/12),0)</f>
        <v>0</v>
      </c>
      <c r="BO54" s="308">
        <f>_xlfn.IFNA((VLOOKUP($A54,'Post 16'!$A:$AR,22,FALSE)/4),0)</f>
        <v>0</v>
      </c>
      <c r="BP54" s="308"/>
      <c r="BQ54" s="308">
        <f>_xlfn.IFNA(((VLOOKUP($A54,HN!$A:$M,10,FALSE)-$U54-$AK54)/10),0)</f>
        <v>0</v>
      </c>
      <c r="BR54" s="308">
        <f>_xlfn.IFNA(((VLOOKUP($A54,HN!$A:$M,13,FALSE)-$V54-$AL54)/10),0)</f>
        <v>0</v>
      </c>
      <c r="BS54" s="307">
        <f t="shared" si="69"/>
        <v>0</v>
      </c>
      <c r="BT54" s="307">
        <f t="shared" si="70"/>
        <v>0</v>
      </c>
      <c r="BU54" s="308"/>
      <c r="BV54" s="308"/>
      <c r="BW54" s="308"/>
      <c r="BX54" s="307">
        <f t="shared" si="71"/>
        <v>0</v>
      </c>
      <c r="BY54" s="300">
        <f t="shared" si="72"/>
        <v>0</v>
      </c>
      <c r="BZ54" s="300"/>
      <c r="CA54" s="300"/>
      <c r="CB54" s="301">
        <f>_xlfn.IFNA((VLOOKUP($A54,HN!$A:$M,8,FALSE)/12),0)</f>
        <v>0</v>
      </c>
      <c r="CC54" s="301">
        <f>_xlfn.IFNA((VLOOKUP($A54,HN!$A:$M,12,FALSE)/12),0)</f>
        <v>0</v>
      </c>
      <c r="CD54" s="301">
        <f>_xlfn.IFNA((VLOOKUP($A54,HN!$A:$M,9,FALSE)/12),0)</f>
        <v>0</v>
      </c>
      <c r="CE54" s="301">
        <f>_xlfn.IFNA((VLOOKUP($A54,'Post 16'!$A:$AG,33,FALSE)/8),0)</f>
        <v>0</v>
      </c>
      <c r="CF54" s="301"/>
      <c r="CG54" s="301">
        <f>_xlfn.IFNA(((VLOOKUP($A54,HN!$A:$M,10,FALSE)-$U54-$AK54)/10),0)</f>
        <v>0</v>
      </c>
      <c r="CH54" s="301">
        <f>_xlfn.IFNA(((VLOOKUP($A54,HN!$A:$M,13,FALSE)-$V54-$AL54)/10),0)</f>
        <v>0</v>
      </c>
      <c r="CI54" s="300">
        <f t="shared" si="73"/>
        <v>0</v>
      </c>
      <c r="CJ54" s="300">
        <f t="shared" si="74"/>
        <v>0</v>
      </c>
      <c r="CK54" s="301"/>
      <c r="CL54" s="301"/>
      <c r="CM54" s="301"/>
      <c r="CN54" s="300">
        <f t="shared" si="75"/>
        <v>0</v>
      </c>
      <c r="CO54" s="332">
        <f t="shared" si="76"/>
        <v>0</v>
      </c>
      <c r="CP54" s="332"/>
      <c r="CQ54" s="332">
        <f>_xlfn.IFNA((VLOOKUP($A54,EY!$A:$AB,28,FALSE)-$CV54),0)</f>
        <v>121748.59747368419</v>
      </c>
      <c r="CR54" s="333">
        <f>_xlfn.IFNA((VLOOKUP($A54,HN!$A:$M,8,FALSE)/12),0)</f>
        <v>0</v>
      </c>
      <c r="CS54" s="333">
        <f>_xlfn.IFNA((VLOOKUP($A54,HN!$A:$M,12,FALSE)/12),0)</f>
        <v>0</v>
      </c>
      <c r="CT54" s="333">
        <f>_xlfn.IFNA((VLOOKUP($A54,HN!$A:$M,9,FALSE)/12),0)</f>
        <v>0</v>
      </c>
      <c r="CU54" s="333">
        <f>_xlfn.IFNA((VLOOKUP($A54,'Post 16'!$A:$AG,33,FALSE)/8),0)</f>
        <v>0</v>
      </c>
      <c r="CV54" s="333">
        <f>_xlfn.IFNA((VLOOKUP($A54,EY!$A:$AB,26,FALSE)*80%),0)</f>
        <v>3120</v>
      </c>
      <c r="CW54" s="333">
        <f>_xlfn.IFNA(((VLOOKUP($A54,HN!$A:$M,10,FALSE)-$U54-$AK54)/10),0)</f>
        <v>0</v>
      </c>
      <c r="CX54" s="333">
        <f>_xlfn.IFNA(((VLOOKUP($A54,HN!$A:$M,13,FALSE)-$V54-$AL54)/10),0)</f>
        <v>0</v>
      </c>
      <c r="CY54" s="332">
        <f t="shared" si="77"/>
        <v>0</v>
      </c>
      <c r="CZ54" s="332">
        <f t="shared" si="78"/>
        <v>0</v>
      </c>
      <c r="DA54" s="333"/>
      <c r="DB54" s="333"/>
      <c r="DC54" s="333"/>
      <c r="DD54" s="332">
        <f t="shared" si="79"/>
        <v>124868.59747368419</v>
      </c>
      <c r="DE54" s="314">
        <f t="shared" si="80"/>
        <v>0</v>
      </c>
      <c r="DF54" s="314"/>
      <c r="DG54" s="314"/>
      <c r="DH54" s="315">
        <f>_xlfn.IFNA((VLOOKUP($A54,HN!$A:$M,8,FALSE)/12),0)</f>
        <v>0</v>
      </c>
      <c r="DI54" s="315">
        <f>_xlfn.IFNA((VLOOKUP($A54,HN!$A:$M,12,FALSE)/12),0)</f>
        <v>0</v>
      </c>
      <c r="DJ54" s="315">
        <f>_xlfn.IFNA((VLOOKUP($A54,HN!$A:$M,9,FALSE)/12),0)</f>
        <v>0</v>
      </c>
      <c r="DK54" s="315">
        <f>_xlfn.IFNA((VLOOKUP($A54,'Post 16'!$A:$AG,33,FALSE)/8),0)</f>
        <v>0</v>
      </c>
      <c r="DL54" s="315"/>
      <c r="DM54" s="315">
        <f>_xlfn.IFNA(((VLOOKUP($A54,HN!$A:$M,10,FALSE)-$U54-$AK54)/10),0)</f>
        <v>0</v>
      </c>
      <c r="DN54" s="315">
        <f>_xlfn.IFNA(((VLOOKUP($A54,HN!$A:$M,13,FALSE)-$V54-$AL54)/10),0)</f>
        <v>0</v>
      </c>
      <c r="DO54" s="314">
        <f t="shared" si="81"/>
        <v>0</v>
      </c>
      <c r="DP54" s="314">
        <f t="shared" si="82"/>
        <v>0</v>
      </c>
      <c r="DQ54" s="315"/>
      <c r="DR54" s="315"/>
      <c r="DS54" s="315"/>
      <c r="DT54" s="314">
        <f t="shared" si="83"/>
        <v>0</v>
      </c>
      <c r="DU54" s="307">
        <f t="shared" si="84"/>
        <v>0</v>
      </c>
      <c r="DV54" s="307"/>
      <c r="DW54" s="307"/>
      <c r="DX54" s="308">
        <f>_xlfn.IFNA((VLOOKUP($A54,HN!$A:$M,8,FALSE)/12),0)</f>
        <v>0</v>
      </c>
      <c r="DY54" s="308">
        <f>_xlfn.IFNA((VLOOKUP($A54,HN!$A:$M,12,FALSE)/12),0)</f>
        <v>0</v>
      </c>
      <c r="DZ54" s="308">
        <f>_xlfn.IFNA((VLOOKUP($A54,HN!$A:$M,9,FALSE)/12),0)</f>
        <v>0</v>
      </c>
      <c r="EA54" s="308">
        <f>_xlfn.IFNA((VLOOKUP($A54,'Post 16'!$A:$AG,33,FALSE)/8),0)</f>
        <v>0</v>
      </c>
      <c r="EB54" s="308"/>
      <c r="EC54" s="308">
        <f>_xlfn.IFNA(((VLOOKUP($A54,HN!$A:$M,10,FALSE)-$U54-$AK54)/10),0)</f>
        <v>0</v>
      </c>
      <c r="ED54" s="308">
        <f>_xlfn.IFNA(((VLOOKUP($A54,HN!$A:$M,13,FALSE)-$V54-$AL54)/10),0)</f>
        <v>0</v>
      </c>
      <c r="EE54" s="307">
        <f t="shared" si="85"/>
        <v>0</v>
      </c>
      <c r="EF54" s="307">
        <f t="shared" si="86"/>
        <v>0</v>
      </c>
      <c r="EG54" s="308"/>
      <c r="EH54" s="308"/>
      <c r="EI54" s="308"/>
      <c r="EJ54" s="307">
        <f t="shared" si="87"/>
        <v>0</v>
      </c>
      <c r="EK54" s="320">
        <f t="shared" si="88"/>
        <v>0</v>
      </c>
      <c r="EL54" s="320"/>
      <c r="EM54" s="320"/>
      <c r="EN54" s="321">
        <f>_xlfn.IFNA((VLOOKUP($A54,HN!$A:$M,8,FALSE)/12),0)</f>
        <v>0</v>
      </c>
      <c r="EO54" s="321">
        <f>_xlfn.IFNA((VLOOKUP($A54,HN!$A:$M,12,FALSE)/12),0)</f>
        <v>0</v>
      </c>
      <c r="EP54" s="321">
        <f>_xlfn.IFNA((VLOOKUP($A54,HN!$A:$M,9,FALSE)/12),0)</f>
        <v>0</v>
      </c>
      <c r="EQ54" s="321">
        <f>_xlfn.IFNA((VLOOKUP($A54,'Post 16'!$A:$AG,33,FALSE)/8),0)</f>
        <v>0</v>
      </c>
      <c r="ER54" s="321"/>
      <c r="ES54" s="321">
        <f>_xlfn.IFNA(((VLOOKUP($A54,HN!$A:$M,10,FALSE)-$U54-$AK54)/10),0)</f>
        <v>0</v>
      </c>
      <c r="ET54" s="321">
        <f>_xlfn.IFNA(((VLOOKUP($A54,HN!$A:$M,13,FALSE)-$V54-$AL54)/10),0)</f>
        <v>0</v>
      </c>
      <c r="EU54" s="320">
        <f t="shared" si="89"/>
        <v>0</v>
      </c>
      <c r="EV54" s="320">
        <f t="shared" si="90"/>
        <v>0</v>
      </c>
      <c r="EW54" s="321"/>
      <c r="EX54" s="321"/>
      <c r="EY54" s="321"/>
      <c r="EZ54" s="320">
        <f t="shared" si="91"/>
        <v>0</v>
      </c>
      <c r="FA54" s="286">
        <f t="shared" si="92"/>
        <v>0</v>
      </c>
      <c r="FB54" s="286"/>
      <c r="FC54" s="286"/>
      <c r="FD54" s="287">
        <f>_xlfn.IFNA((VLOOKUP($A54,HN!$A:$M,8,FALSE)/12),0)</f>
        <v>0</v>
      </c>
      <c r="FE54" s="287">
        <f>_xlfn.IFNA((VLOOKUP($A54,HN!$A:$M,12,FALSE)/12),0)</f>
        <v>0</v>
      </c>
      <c r="FF54" s="287">
        <f>_xlfn.IFNA((VLOOKUP($A54,HN!$A:$M,9,FALSE)/12),0)</f>
        <v>0</v>
      </c>
      <c r="FG54" s="287">
        <f>_xlfn.IFNA((VLOOKUP($A54,'Post 16'!$A:$AG,33,FALSE)/8),0)</f>
        <v>0</v>
      </c>
      <c r="FH54" s="287"/>
      <c r="FI54" s="287">
        <f>_xlfn.IFNA(((VLOOKUP($A54,HN!$A:$M,10,FALSE)-$U54-$AK54)/10),0)</f>
        <v>0</v>
      </c>
      <c r="FJ54" s="287">
        <f>_xlfn.IFNA(((VLOOKUP($A54,HN!$A:$M,13,FALSE)-$V54-$AL54)/10),0)</f>
        <v>0</v>
      </c>
      <c r="FK54" s="286">
        <f t="shared" si="93"/>
        <v>0</v>
      </c>
      <c r="FL54" s="286">
        <f t="shared" si="94"/>
        <v>0</v>
      </c>
      <c r="FM54" s="287"/>
      <c r="FN54" s="287"/>
      <c r="FO54" s="287"/>
      <c r="FP54" s="286">
        <f t="shared" si="95"/>
        <v>0</v>
      </c>
      <c r="FQ54" s="293">
        <f t="shared" si="96"/>
        <v>0</v>
      </c>
      <c r="FR54" s="293"/>
      <c r="FS54" s="293"/>
      <c r="FT54" s="294">
        <f>_xlfn.IFNA((VLOOKUP($A54,HN!$A:$M,8,FALSE)/12),0)</f>
        <v>0</v>
      </c>
      <c r="FU54" s="294">
        <f>_xlfn.IFNA((VLOOKUP($A54,HN!$A:$M,12,FALSE)/12),0)</f>
        <v>0</v>
      </c>
      <c r="FV54" s="294">
        <f>_xlfn.IFNA((VLOOKUP($A54,HN!$A:$M,9,FALSE)/12),0)</f>
        <v>0</v>
      </c>
      <c r="FW54" s="294">
        <f>_xlfn.IFNA((VLOOKUP($A54,'Post 16'!$A:$AG,33,FALSE)/8),0)</f>
        <v>0</v>
      </c>
      <c r="FX54" s="294"/>
      <c r="FY54" s="294">
        <f>_xlfn.IFNA(((VLOOKUP($A54,HN!$A:$M,10,FALSE)-$U54-$AK54)/10),0)</f>
        <v>0</v>
      </c>
      <c r="FZ54" s="294">
        <f>_xlfn.IFNA(((VLOOKUP($A54,HN!$A:$M,13,FALSE)-$V54-$AL54)/10),0)</f>
        <v>0</v>
      </c>
      <c r="GA54" s="293">
        <f t="shared" si="97"/>
        <v>0</v>
      </c>
      <c r="GB54" s="293">
        <f t="shared" si="98"/>
        <v>0</v>
      </c>
      <c r="GC54" s="294"/>
      <c r="GD54" s="294"/>
      <c r="GE54" s="294"/>
      <c r="GF54" s="293">
        <f t="shared" si="99"/>
        <v>0</v>
      </c>
      <c r="GG54" s="300">
        <f t="shared" si="100"/>
        <v>0</v>
      </c>
      <c r="GH54" s="300"/>
      <c r="GI54" s="300"/>
      <c r="GJ54" s="301">
        <f>_xlfn.IFNA((VLOOKUP($A54,HN!$A:$M,8,FALSE)/12),0)</f>
        <v>0</v>
      </c>
      <c r="GK54" s="301">
        <f>_xlfn.IFNA((VLOOKUP($A54,HN!$A:$M,12,FALSE)/12),0)</f>
        <v>0</v>
      </c>
      <c r="GL54" s="301">
        <f>_xlfn.IFNA((VLOOKUP($A54,HN!$A:$M,9,FALSE)/12),0)</f>
        <v>0</v>
      </c>
      <c r="GM54" s="301">
        <f>_xlfn.IFNA((VLOOKUP($A54,'Post 16'!$A:$AG,33,FALSE)/8),0)</f>
        <v>0</v>
      </c>
      <c r="GN54" s="301"/>
      <c r="GO54" s="301">
        <f>_xlfn.IFNA(((VLOOKUP($A54,HN!$A:$M,10,FALSE)-$U54-$AK54)/10),0)</f>
        <v>0</v>
      </c>
      <c r="GP54" s="301">
        <f>_xlfn.IFNA(((VLOOKUP($A54,HN!$A:$M,13,FALSE)-$V54-$AL54)/10),0)</f>
        <v>0</v>
      </c>
      <c r="GQ54" s="300">
        <f t="shared" si="101"/>
        <v>0</v>
      </c>
      <c r="GR54" s="300">
        <f t="shared" si="102"/>
        <v>0</v>
      </c>
      <c r="GS54" s="301"/>
      <c r="GT54" s="301"/>
      <c r="GU54" s="301"/>
      <c r="GV54" s="300">
        <f t="shared" si="103"/>
        <v>0</v>
      </c>
      <c r="GX54" s="146">
        <f t="shared" si="104"/>
        <v>517024.96504111239</v>
      </c>
      <c r="GY54" s="146">
        <f t="shared" si="104"/>
        <v>0</v>
      </c>
      <c r="GZ54" s="146">
        <f t="shared" si="104"/>
        <v>5626.3357340720222</v>
      </c>
      <c r="HA54" s="146">
        <f t="shared" si="104"/>
        <v>0</v>
      </c>
      <c r="HB54" s="146">
        <f t="shared" si="104"/>
        <v>0</v>
      </c>
      <c r="HC54" s="146">
        <f t="shared" si="104"/>
        <v>0</v>
      </c>
      <c r="HE54" s="146">
        <f t="shared" si="105"/>
        <v>395276.36756742821</v>
      </c>
      <c r="HF54" s="146">
        <f t="shared" si="105"/>
        <v>0</v>
      </c>
      <c r="HG54" s="146">
        <f t="shared" si="105"/>
        <v>2506.3357340720222</v>
      </c>
      <c r="HH54" s="146">
        <f t="shared" si="105"/>
        <v>0</v>
      </c>
      <c r="HI54" s="146">
        <f t="shared" si="105"/>
        <v>0</v>
      </c>
      <c r="HJ54" s="146">
        <f t="shared" si="105"/>
        <v>0</v>
      </c>
      <c r="HL54" s="146"/>
      <c r="HM54" s="57"/>
    </row>
    <row r="55" spans="1:221">
      <c r="A55" s="185">
        <v>2454</v>
      </c>
      <c r="B55" s="185">
        <v>103381</v>
      </c>
      <c r="C55" s="185" t="s">
        <v>133</v>
      </c>
      <c r="D55" s="2" t="s">
        <v>134</v>
      </c>
      <c r="E55" s="190" t="s">
        <v>39</v>
      </c>
      <c r="F55" s="190" t="s">
        <v>890</v>
      </c>
      <c r="H55" s="271">
        <f>_xlfn.IFNA(VLOOKUP($A55,ISB!$A$4:$BY$441,67,FALSE),0)</f>
        <v>2559880.6798802582</v>
      </c>
      <c r="I55" s="271">
        <f>_xlfn.IFNA(VLOOKUP($A55,ISB!$A$4:$BY$441,72,FALSE),0)</f>
        <v>-9586.5</v>
      </c>
      <c r="J55" s="271">
        <f>-_xlfn.IFNA(VLOOKUP($A55,ISB!$A$4:$BY$441,76,FALSE),0)</f>
        <v>-31408.513500000001</v>
      </c>
      <c r="K55" s="271">
        <f>_xlfn.IFNA(VLOOKUP($A55,ISB!$A$4:$BY$441,77,FALSE),0)</f>
        <v>2518885.6663802583</v>
      </c>
      <c r="M55" s="279">
        <f t="shared" si="56"/>
        <v>213323.3899900215</v>
      </c>
      <c r="N55" s="279"/>
      <c r="O55" s="279">
        <f>_xlfn.IFNA(VLOOKUP($A55,EY!$A:$H,8,FALSE)+(VLOOKUP($A55,EY!$A:$R,18,FALSE)-$T55),0)</f>
        <v>65765.877894736856</v>
      </c>
      <c r="P55" s="280">
        <f>_xlfn.IFNA((VLOOKUP($A55,HN!$A:$M,8,FALSE)/12),0)</f>
        <v>0</v>
      </c>
      <c r="Q55" s="280">
        <f>_xlfn.IFNA((VLOOKUP($A55,HN!$A:$M,12,FALSE)/12),0)</f>
        <v>0</v>
      </c>
      <c r="R55" s="280">
        <f>_xlfn.IFNA((VLOOKUP($A55,HN!$A:$M,9,FALSE)/12),0)</f>
        <v>0</v>
      </c>
      <c r="S55" s="280">
        <f>_xlfn.IFNA((VLOOKUP($A55,'Post 16'!$A:$AR,22,FALSE)/4),0)</f>
        <v>0</v>
      </c>
      <c r="T55" s="280">
        <f>_xlfn.IFNA((VLOOKUP($A55,EY!$A:$R,16,FALSE)*80%),0)</f>
        <v>0</v>
      </c>
      <c r="U55" s="280">
        <v>9325.6041666666661</v>
      </c>
      <c r="V55" s="280">
        <v>0</v>
      </c>
      <c r="W55" s="279">
        <f t="shared" si="57"/>
        <v>-798.875</v>
      </c>
      <c r="X55" s="279">
        <f t="shared" si="58"/>
        <v>-2617.3761250000002</v>
      </c>
      <c r="Y55" s="280"/>
      <c r="Z55" s="280"/>
      <c r="AA55" s="280"/>
      <c r="AB55" s="279">
        <f t="shared" si="59"/>
        <v>284998.62092642504</v>
      </c>
      <c r="AC55" s="293">
        <f t="shared" si="60"/>
        <v>213323.3899900215</v>
      </c>
      <c r="AD55" s="293"/>
      <c r="AE55" s="293"/>
      <c r="AF55" s="294">
        <f>_xlfn.IFNA((VLOOKUP($A55,HN!$A:$M,8,FALSE)/12),0)</f>
        <v>0</v>
      </c>
      <c r="AG55" s="294">
        <f>_xlfn.IFNA((VLOOKUP($A55,HN!$A:$M,12,FALSE)/12),0)+_xlfn.IFNA(VLOOKUP($A55,HN!$A:$Q,17,FALSE),0)</f>
        <v>0</v>
      </c>
      <c r="AH55" s="294">
        <f>_xlfn.IFNA((VLOOKUP($A55,HN!$A:$M,9,FALSE)/12),0)</f>
        <v>0</v>
      </c>
      <c r="AI55" s="294">
        <f>_xlfn.IFNA((VLOOKUP($A55,'Post 16'!$A:$AR,22,FALSE)/4),0)</f>
        <v>0</v>
      </c>
      <c r="AJ55" s="294"/>
      <c r="AK55" s="294">
        <f>_xlfn.IFNA((VLOOKUP($A55,HN!$A:$M,10,FALSE)/12),0)</f>
        <v>4829.666666666667</v>
      </c>
      <c r="AL55" s="294">
        <f>_xlfn.IFNA((VLOOKUP($A55,HN!$A:$M,13,FALSE)/12),0)</f>
        <v>0</v>
      </c>
      <c r="AM55" s="293">
        <f t="shared" si="61"/>
        <v>-798.875</v>
      </c>
      <c r="AN55" s="293">
        <f t="shared" si="62"/>
        <v>-2617.3761250000002</v>
      </c>
      <c r="AO55" s="294"/>
      <c r="AP55" s="294"/>
      <c r="AQ55" s="294"/>
      <c r="AR55" s="293">
        <f t="shared" si="63"/>
        <v>214736.80553168815</v>
      </c>
      <c r="AS55" s="286">
        <f t="shared" si="64"/>
        <v>213323.3899900215</v>
      </c>
      <c r="AT55" s="286"/>
      <c r="AU55" s="286">
        <f>_xlfn.IFNA(VLOOKUP(A55,EY!A:AO,40,FALSE),0)</f>
        <v>-3289.5454847645465</v>
      </c>
      <c r="AV55" s="287">
        <f>_xlfn.IFNA((VLOOKUP($A55,HN!$A:$M,8,FALSE)/12),0)</f>
        <v>0</v>
      </c>
      <c r="AW55" s="287">
        <f>_xlfn.IFNA((VLOOKUP($A55,HN!$A:$M,12,FALSE)/12),0)+_xlfn.IFNA(VLOOKUP($A55,HN!$A$8:$AU$200,19,FALSE),0)</f>
        <v>0</v>
      </c>
      <c r="AX55" s="287">
        <f>_xlfn.IFNA((VLOOKUP($A55,HN!$A:$M,9,FALSE)/12),0)</f>
        <v>0</v>
      </c>
      <c r="AY55" s="287">
        <f>_xlfn.IFNA((VLOOKUP($A55,'Post 16'!$A:$AR,22,FALSE)/4),0)</f>
        <v>0</v>
      </c>
      <c r="AZ55" s="287">
        <f>_xlfn.IFNA(VLOOKUP(A55,EY!A:AO,41,FALSE),0)</f>
        <v>0</v>
      </c>
      <c r="BA55" s="287">
        <f>_xlfn.IFNA(((VLOOKUP($A55,HN!$A:$M,10,FALSE)-$U55-$AK55)/10),0)+_xlfn.IFNA(VLOOKUP($A55,HN!$A:$R,18,FALSE),0)</f>
        <v>4380.072916666667</v>
      </c>
      <c r="BB55" s="287">
        <f>_xlfn.IFNA(((VLOOKUP($A55,HN!$A:$M,13,FALSE)-$V55-$AL55)/10),0)+_xlfn.IFNA(VLOOKUP($A55,HN!$A$8:$AU$200,20,FALSE),0)</f>
        <v>0</v>
      </c>
      <c r="BC55" s="286">
        <f t="shared" si="65"/>
        <v>-798.875</v>
      </c>
      <c r="BD55" s="286">
        <f t="shared" si="66"/>
        <v>-2617.3761250000002</v>
      </c>
      <c r="BE55" s="287"/>
      <c r="BF55" s="287"/>
      <c r="BG55" s="287"/>
      <c r="BH55" s="286">
        <f t="shared" si="67"/>
        <v>210997.66629692359</v>
      </c>
      <c r="BI55" s="307">
        <f t="shared" si="68"/>
        <v>213323.3899900215</v>
      </c>
      <c r="BJ55" s="307">
        <f>_xlfn.IFNA(VLOOKUP(A55,'LA Deductions'!A:AH,34,FALSE),0)</f>
        <v>0</v>
      </c>
      <c r="BK55" s="307"/>
      <c r="BL55" s="308">
        <f>_xlfn.IFNA((VLOOKUP($A55,HN!$A:$M,8,FALSE)/12),0)</f>
        <v>0</v>
      </c>
      <c r="BM55" s="308">
        <f>_xlfn.IFNA((VLOOKUP($A55,HN!$A:$M,12,FALSE)/12),0)</f>
        <v>0</v>
      </c>
      <c r="BN55" s="308">
        <f>_xlfn.IFNA((VLOOKUP($A55,HN!$A:$M,9,FALSE)/12),0)</f>
        <v>0</v>
      </c>
      <c r="BO55" s="308">
        <f>_xlfn.IFNA((VLOOKUP($A55,'Post 16'!$A:$AR,22,FALSE)/4),0)</f>
        <v>0</v>
      </c>
      <c r="BP55" s="308"/>
      <c r="BQ55" s="308">
        <f>_xlfn.IFNA(((VLOOKUP($A55,HN!$A:$M,10,FALSE)-$U55-$AK55)/10),0)</f>
        <v>4380.072916666667</v>
      </c>
      <c r="BR55" s="308">
        <f>_xlfn.IFNA(((VLOOKUP($A55,HN!$A:$M,13,FALSE)-$V55-$AL55)/10),0)</f>
        <v>0</v>
      </c>
      <c r="BS55" s="307">
        <f t="shared" si="69"/>
        <v>-798.875</v>
      </c>
      <c r="BT55" s="307">
        <f t="shared" si="70"/>
        <v>-2617.3761250000002</v>
      </c>
      <c r="BU55" s="308"/>
      <c r="BV55" s="308"/>
      <c r="BW55" s="308"/>
      <c r="BX55" s="307">
        <f t="shared" si="71"/>
        <v>214287.21178168815</v>
      </c>
      <c r="BY55" s="300">
        <f t="shared" si="72"/>
        <v>213323.3899900215</v>
      </c>
      <c r="BZ55" s="300"/>
      <c r="CA55" s="300"/>
      <c r="CB55" s="301">
        <f>_xlfn.IFNA((VLOOKUP($A55,HN!$A:$M,8,FALSE)/12),0)</f>
        <v>0</v>
      </c>
      <c r="CC55" s="301">
        <f>_xlfn.IFNA((VLOOKUP($A55,HN!$A:$M,12,FALSE)/12),0)</f>
        <v>0</v>
      </c>
      <c r="CD55" s="301">
        <f>_xlfn.IFNA((VLOOKUP($A55,HN!$A:$M,9,FALSE)/12),0)</f>
        <v>0</v>
      </c>
      <c r="CE55" s="301">
        <f>_xlfn.IFNA((VLOOKUP($A55,'Post 16'!$A:$AG,33,FALSE)/8),0)</f>
        <v>0</v>
      </c>
      <c r="CF55" s="301"/>
      <c r="CG55" s="301">
        <f>_xlfn.IFNA(((VLOOKUP($A55,HN!$A:$M,10,FALSE)-$U55-$AK55)/10),0)</f>
        <v>4380.072916666667</v>
      </c>
      <c r="CH55" s="301">
        <f>_xlfn.IFNA(((VLOOKUP($A55,HN!$A:$M,13,FALSE)-$V55-$AL55)/10),0)</f>
        <v>0</v>
      </c>
      <c r="CI55" s="300">
        <f t="shared" si="73"/>
        <v>-798.875</v>
      </c>
      <c r="CJ55" s="300">
        <f t="shared" si="74"/>
        <v>-2617.3761250000002</v>
      </c>
      <c r="CK55" s="301"/>
      <c r="CL55" s="301"/>
      <c r="CM55" s="301"/>
      <c r="CN55" s="300">
        <f t="shared" si="75"/>
        <v>214287.21178168815</v>
      </c>
      <c r="CO55" s="332">
        <f t="shared" si="76"/>
        <v>213323.3899900215</v>
      </c>
      <c r="CP55" s="332"/>
      <c r="CQ55" s="332">
        <f>_xlfn.IFNA((VLOOKUP($A55,EY!$A:$AB,28,FALSE)-$CV55),0)</f>
        <v>25545.832000000006</v>
      </c>
      <c r="CR55" s="333">
        <f>_xlfn.IFNA((VLOOKUP($A55,HN!$A:$M,8,FALSE)/12),0)</f>
        <v>0</v>
      </c>
      <c r="CS55" s="333">
        <f>_xlfn.IFNA((VLOOKUP($A55,HN!$A:$M,12,FALSE)/12),0)</f>
        <v>0</v>
      </c>
      <c r="CT55" s="333">
        <f>_xlfn.IFNA((VLOOKUP($A55,HN!$A:$M,9,FALSE)/12),0)</f>
        <v>0</v>
      </c>
      <c r="CU55" s="333">
        <f>_xlfn.IFNA((VLOOKUP($A55,'Post 16'!$A:$AG,33,FALSE)/8),0)</f>
        <v>0</v>
      </c>
      <c r="CV55" s="333">
        <f>_xlfn.IFNA((VLOOKUP($A55,EY!$A:$AB,26,FALSE)*80%),0)</f>
        <v>0</v>
      </c>
      <c r="CW55" s="333">
        <f>_xlfn.IFNA(((VLOOKUP($A55,HN!$A:$M,10,FALSE)-$U55-$AK55)/10),0)</f>
        <v>4380.072916666667</v>
      </c>
      <c r="CX55" s="333">
        <f>_xlfn.IFNA(((VLOOKUP($A55,HN!$A:$M,13,FALSE)-$V55-$AL55)/10),0)</f>
        <v>0</v>
      </c>
      <c r="CY55" s="332">
        <f t="shared" si="77"/>
        <v>-798.875</v>
      </c>
      <c r="CZ55" s="332">
        <f t="shared" si="78"/>
        <v>-2617.3761250000002</v>
      </c>
      <c r="DA55" s="333"/>
      <c r="DB55" s="333"/>
      <c r="DC55" s="333"/>
      <c r="DD55" s="332">
        <f t="shared" si="79"/>
        <v>239833.04378168815</v>
      </c>
      <c r="DE55" s="314">
        <f t="shared" si="80"/>
        <v>213323.3899900215</v>
      </c>
      <c r="DF55" s="314"/>
      <c r="DG55" s="314"/>
      <c r="DH55" s="315">
        <f>_xlfn.IFNA((VLOOKUP($A55,HN!$A:$M,8,FALSE)/12),0)</f>
        <v>0</v>
      </c>
      <c r="DI55" s="315">
        <f>_xlfn.IFNA((VLOOKUP($A55,HN!$A:$M,12,FALSE)/12),0)</f>
        <v>0</v>
      </c>
      <c r="DJ55" s="315">
        <f>_xlfn.IFNA((VLOOKUP($A55,HN!$A:$M,9,FALSE)/12),0)</f>
        <v>0</v>
      </c>
      <c r="DK55" s="315">
        <f>_xlfn.IFNA((VLOOKUP($A55,'Post 16'!$A:$AG,33,FALSE)/8),0)</f>
        <v>0</v>
      </c>
      <c r="DL55" s="315"/>
      <c r="DM55" s="315">
        <f>_xlfn.IFNA(((VLOOKUP($A55,HN!$A:$M,10,FALSE)-$U55-$AK55)/10),0)</f>
        <v>4380.072916666667</v>
      </c>
      <c r="DN55" s="315">
        <f>_xlfn.IFNA(((VLOOKUP($A55,HN!$A:$M,13,FALSE)-$V55-$AL55)/10),0)</f>
        <v>0</v>
      </c>
      <c r="DO55" s="314">
        <f t="shared" si="81"/>
        <v>-798.875</v>
      </c>
      <c r="DP55" s="314">
        <f t="shared" si="82"/>
        <v>-2617.3761250000002</v>
      </c>
      <c r="DQ55" s="315"/>
      <c r="DR55" s="315"/>
      <c r="DS55" s="315"/>
      <c r="DT55" s="314">
        <f t="shared" si="83"/>
        <v>214287.21178168815</v>
      </c>
      <c r="DU55" s="307">
        <f t="shared" si="84"/>
        <v>213323.3899900215</v>
      </c>
      <c r="DV55" s="307"/>
      <c r="DW55" s="307"/>
      <c r="DX55" s="308">
        <f>_xlfn.IFNA((VLOOKUP($A55,HN!$A:$M,8,FALSE)/12),0)</f>
        <v>0</v>
      </c>
      <c r="DY55" s="308">
        <f>_xlfn.IFNA((VLOOKUP($A55,HN!$A:$M,12,FALSE)/12),0)</f>
        <v>0</v>
      </c>
      <c r="DZ55" s="308">
        <f>_xlfn.IFNA((VLOOKUP($A55,HN!$A:$M,9,FALSE)/12),0)</f>
        <v>0</v>
      </c>
      <c r="EA55" s="308">
        <f>_xlfn.IFNA((VLOOKUP($A55,'Post 16'!$A:$AG,33,FALSE)/8),0)</f>
        <v>0</v>
      </c>
      <c r="EB55" s="308"/>
      <c r="EC55" s="308">
        <f>_xlfn.IFNA(((VLOOKUP($A55,HN!$A:$M,10,FALSE)-$U55-$AK55)/10),0)</f>
        <v>4380.072916666667</v>
      </c>
      <c r="ED55" s="308">
        <f>_xlfn.IFNA(((VLOOKUP($A55,HN!$A:$M,13,FALSE)-$V55-$AL55)/10),0)</f>
        <v>0</v>
      </c>
      <c r="EE55" s="307">
        <f t="shared" si="85"/>
        <v>-798.875</v>
      </c>
      <c r="EF55" s="307">
        <f t="shared" si="86"/>
        <v>-2617.3761250000002</v>
      </c>
      <c r="EG55" s="308"/>
      <c r="EH55" s="308"/>
      <c r="EI55" s="308"/>
      <c r="EJ55" s="307">
        <f t="shared" si="87"/>
        <v>214287.21178168815</v>
      </c>
      <c r="EK55" s="320">
        <f t="shared" si="88"/>
        <v>213323.3899900215</v>
      </c>
      <c r="EL55" s="320"/>
      <c r="EM55" s="320"/>
      <c r="EN55" s="321">
        <f>_xlfn.IFNA((VLOOKUP($A55,HN!$A:$M,8,FALSE)/12),0)</f>
        <v>0</v>
      </c>
      <c r="EO55" s="321">
        <f>_xlfn.IFNA((VLOOKUP($A55,HN!$A:$M,12,FALSE)/12),0)</f>
        <v>0</v>
      </c>
      <c r="EP55" s="321">
        <f>_xlfn.IFNA((VLOOKUP($A55,HN!$A:$M,9,FALSE)/12),0)</f>
        <v>0</v>
      </c>
      <c r="EQ55" s="321">
        <f>_xlfn.IFNA((VLOOKUP($A55,'Post 16'!$A:$AG,33,FALSE)/8),0)</f>
        <v>0</v>
      </c>
      <c r="ER55" s="321"/>
      <c r="ES55" s="321">
        <f>_xlfn.IFNA(((VLOOKUP($A55,HN!$A:$M,10,FALSE)-$U55-$AK55)/10),0)</f>
        <v>4380.072916666667</v>
      </c>
      <c r="ET55" s="321">
        <f>_xlfn.IFNA(((VLOOKUP($A55,HN!$A:$M,13,FALSE)-$V55-$AL55)/10),0)</f>
        <v>0</v>
      </c>
      <c r="EU55" s="320">
        <f t="shared" si="89"/>
        <v>-798.875</v>
      </c>
      <c r="EV55" s="320">
        <f t="shared" si="90"/>
        <v>-2617.3761250000002</v>
      </c>
      <c r="EW55" s="321"/>
      <c r="EX55" s="321"/>
      <c r="EY55" s="321"/>
      <c r="EZ55" s="320">
        <f t="shared" si="91"/>
        <v>214287.21178168815</v>
      </c>
      <c r="FA55" s="286">
        <f t="shared" si="92"/>
        <v>213323.3899900215</v>
      </c>
      <c r="FB55" s="286"/>
      <c r="FC55" s="286"/>
      <c r="FD55" s="287">
        <f>_xlfn.IFNA((VLOOKUP($A55,HN!$A:$M,8,FALSE)/12),0)</f>
        <v>0</v>
      </c>
      <c r="FE55" s="287">
        <f>_xlfn.IFNA((VLOOKUP($A55,HN!$A:$M,12,FALSE)/12),0)</f>
        <v>0</v>
      </c>
      <c r="FF55" s="287">
        <f>_xlfn.IFNA((VLOOKUP($A55,HN!$A:$M,9,FALSE)/12),0)</f>
        <v>0</v>
      </c>
      <c r="FG55" s="287">
        <f>_xlfn.IFNA((VLOOKUP($A55,'Post 16'!$A:$AG,33,FALSE)/8),0)</f>
        <v>0</v>
      </c>
      <c r="FH55" s="287"/>
      <c r="FI55" s="287">
        <f>_xlfn.IFNA(((VLOOKUP($A55,HN!$A:$M,10,FALSE)-$U55-$AK55)/10),0)</f>
        <v>4380.072916666667</v>
      </c>
      <c r="FJ55" s="287">
        <f>_xlfn.IFNA(((VLOOKUP($A55,HN!$A:$M,13,FALSE)-$V55-$AL55)/10),0)</f>
        <v>0</v>
      </c>
      <c r="FK55" s="286">
        <f t="shared" si="93"/>
        <v>-798.875</v>
      </c>
      <c r="FL55" s="286">
        <f t="shared" si="94"/>
        <v>-2617.3761250000002</v>
      </c>
      <c r="FM55" s="287"/>
      <c r="FN55" s="287"/>
      <c r="FO55" s="287"/>
      <c r="FP55" s="286">
        <f t="shared" si="95"/>
        <v>214287.21178168815</v>
      </c>
      <c r="FQ55" s="293">
        <f t="shared" si="96"/>
        <v>213323.3899900215</v>
      </c>
      <c r="FR55" s="293"/>
      <c r="FS55" s="293"/>
      <c r="FT55" s="294">
        <f>_xlfn.IFNA((VLOOKUP($A55,HN!$A:$M,8,FALSE)/12),0)</f>
        <v>0</v>
      </c>
      <c r="FU55" s="294">
        <f>_xlfn.IFNA((VLOOKUP($A55,HN!$A:$M,12,FALSE)/12),0)</f>
        <v>0</v>
      </c>
      <c r="FV55" s="294">
        <f>_xlfn.IFNA((VLOOKUP($A55,HN!$A:$M,9,FALSE)/12),0)</f>
        <v>0</v>
      </c>
      <c r="FW55" s="294">
        <f>_xlfn.IFNA((VLOOKUP($A55,'Post 16'!$A:$AG,33,FALSE)/8),0)</f>
        <v>0</v>
      </c>
      <c r="FX55" s="294"/>
      <c r="FY55" s="294">
        <f>_xlfn.IFNA(((VLOOKUP($A55,HN!$A:$M,10,FALSE)-$U55-$AK55)/10),0)</f>
        <v>4380.072916666667</v>
      </c>
      <c r="FZ55" s="294">
        <f>_xlfn.IFNA(((VLOOKUP($A55,HN!$A:$M,13,FALSE)-$V55-$AL55)/10),0)</f>
        <v>0</v>
      </c>
      <c r="GA55" s="293">
        <f t="shared" si="97"/>
        <v>-798.875</v>
      </c>
      <c r="GB55" s="293">
        <f t="shared" si="98"/>
        <v>-2617.3761250000002</v>
      </c>
      <c r="GC55" s="294"/>
      <c r="GD55" s="294"/>
      <c r="GE55" s="294"/>
      <c r="GF55" s="293">
        <f t="shared" si="99"/>
        <v>214287.21178168815</v>
      </c>
      <c r="GG55" s="300">
        <f t="shared" si="100"/>
        <v>213323.3899900215</v>
      </c>
      <c r="GH55" s="300"/>
      <c r="GI55" s="300"/>
      <c r="GJ55" s="301">
        <f>_xlfn.IFNA((VLOOKUP($A55,HN!$A:$M,8,FALSE)/12),0)</f>
        <v>0</v>
      </c>
      <c r="GK55" s="301">
        <f>_xlfn.IFNA((VLOOKUP($A55,HN!$A:$M,12,FALSE)/12),0)</f>
        <v>0</v>
      </c>
      <c r="GL55" s="301">
        <f>_xlfn.IFNA((VLOOKUP($A55,HN!$A:$M,9,FALSE)/12),0)</f>
        <v>0</v>
      </c>
      <c r="GM55" s="301">
        <f>_xlfn.IFNA((VLOOKUP($A55,'Post 16'!$A:$AG,33,FALSE)/8),0)</f>
        <v>0</v>
      </c>
      <c r="GN55" s="301"/>
      <c r="GO55" s="301">
        <f>_xlfn.IFNA(((VLOOKUP($A55,HN!$A:$M,10,FALSE)-$U55-$AK55)/10),0)</f>
        <v>4380.072916666667</v>
      </c>
      <c r="GP55" s="301">
        <f>_xlfn.IFNA(((VLOOKUP($A55,HN!$A:$M,13,FALSE)-$V55-$AL55)/10),0)</f>
        <v>0</v>
      </c>
      <c r="GQ55" s="300">
        <f t="shared" si="101"/>
        <v>-798.875</v>
      </c>
      <c r="GR55" s="300">
        <f t="shared" si="102"/>
        <v>-2617.3761250000002</v>
      </c>
      <c r="GS55" s="301"/>
      <c r="GT55" s="301"/>
      <c r="GU55" s="301"/>
      <c r="GV55" s="300">
        <f t="shared" si="103"/>
        <v>214287.21178168815</v>
      </c>
      <c r="GX55" s="146">
        <f t="shared" si="104"/>
        <v>2647902.8442902304</v>
      </c>
      <c r="GY55" s="146">
        <f t="shared" si="104"/>
        <v>0</v>
      </c>
      <c r="GZ55" s="146">
        <f t="shared" si="104"/>
        <v>57955.999999999993</v>
      </c>
      <c r="HA55" s="146">
        <f t="shared" si="104"/>
        <v>-9586.5</v>
      </c>
      <c r="HB55" s="146">
        <f t="shared" si="104"/>
        <v>-31408.513499999997</v>
      </c>
      <c r="HC55" s="146">
        <f t="shared" si="104"/>
        <v>0</v>
      </c>
      <c r="HE55" s="146">
        <f t="shared" si="105"/>
        <v>702446.50238003687</v>
      </c>
      <c r="HF55" s="146">
        <f t="shared" si="105"/>
        <v>0</v>
      </c>
      <c r="HG55" s="146">
        <f t="shared" si="105"/>
        <v>18535.34375</v>
      </c>
      <c r="HH55" s="146">
        <f t="shared" si="105"/>
        <v>-2396.625</v>
      </c>
      <c r="HI55" s="146">
        <f t="shared" si="105"/>
        <v>-7852.1283750000002</v>
      </c>
      <c r="HJ55" s="146">
        <f t="shared" si="105"/>
        <v>0</v>
      </c>
      <c r="HL55" s="146"/>
      <c r="HM55" s="57"/>
    </row>
    <row r="56" spans="1:221">
      <c r="A56" s="185">
        <v>3321</v>
      </c>
      <c r="B56" s="185">
        <v>103425</v>
      </c>
      <c r="C56" s="185" t="s">
        <v>135</v>
      </c>
      <c r="D56" s="2" t="s">
        <v>136</v>
      </c>
      <c r="E56" s="190" t="s">
        <v>39</v>
      </c>
      <c r="F56" s="190" t="s">
        <v>890</v>
      </c>
      <c r="H56" s="271">
        <f>_xlfn.IFNA(VLOOKUP($A56,ISB!$A$4:$BY$441,67,FALSE),0)</f>
        <v>1927052.8543284149</v>
      </c>
      <c r="I56" s="271">
        <f>_xlfn.IFNA(VLOOKUP($A56,ISB!$A$4:$BY$441,72,FALSE),0)</f>
        <v>-7519.7999999999993</v>
      </c>
      <c r="J56" s="271">
        <f>-_xlfn.IFNA(VLOOKUP($A56,ISB!$A$4:$BY$441,76,FALSE),0)</f>
        <v>-5214.2755999999999</v>
      </c>
      <c r="K56" s="271">
        <f>_xlfn.IFNA(VLOOKUP($A56,ISB!$A$4:$BY$441,77,FALSE),0)</f>
        <v>1914318.7787284148</v>
      </c>
      <c r="M56" s="279">
        <f t="shared" si="56"/>
        <v>160587.73786070125</v>
      </c>
      <c r="N56" s="279"/>
      <c r="O56" s="279">
        <f>_xlfn.IFNA(VLOOKUP($A56,EY!$A:$H,8,FALSE)+(VLOOKUP($A56,EY!$A:$R,18,FALSE)-$T56),0)</f>
        <v>0</v>
      </c>
      <c r="P56" s="280">
        <f>_xlfn.IFNA((VLOOKUP($A56,HN!$A:$M,8,FALSE)/12),0)</f>
        <v>0</v>
      </c>
      <c r="Q56" s="280">
        <f>_xlfn.IFNA((VLOOKUP($A56,HN!$A:$M,12,FALSE)/12),0)</f>
        <v>0</v>
      </c>
      <c r="R56" s="280">
        <f>_xlfn.IFNA((VLOOKUP($A56,HN!$A:$M,9,FALSE)/12),0)</f>
        <v>0</v>
      </c>
      <c r="S56" s="280">
        <f>_xlfn.IFNA((VLOOKUP($A56,'Post 16'!$A:$AR,22,FALSE)/4),0)</f>
        <v>0</v>
      </c>
      <c r="T56" s="280">
        <f>_xlfn.IFNA((VLOOKUP($A56,EY!$A:$R,16,FALSE)*80%),0)</f>
        <v>0</v>
      </c>
      <c r="U56" s="280">
        <v>12049.569166666668</v>
      </c>
      <c r="V56" s="280">
        <v>0</v>
      </c>
      <c r="W56" s="279">
        <f t="shared" si="57"/>
        <v>-626.65</v>
      </c>
      <c r="X56" s="279">
        <f t="shared" si="58"/>
        <v>-434.52296666666666</v>
      </c>
      <c r="Y56" s="280"/>
      <c r="Z56" s="280"/>
      <c r="AA56" s="280"/>
      <c r="AB56" s="279">
        <f t="shared" si="59"/>
        <v>171576.13406070127</v>
      </c>
      <c r="AC56" s="293">
        <f t="shared" si="60"/>
        <v>160587.73786070125</v>
      </c>
      <c r="AD56" s="293"/>
      <c r="AE56" s="293"/>
      <c r="AF56" s="294">
        <f>_xlfn.IFNA((VLOOKUP($A56,HN!$A:$M,8,FALSE)/12),0)</f>
        <v>0</v>
      </c>
      <c r="AG56" s="294">
        <f>_xlfn.IFNA((VLOOKUP($A56,HN!$A:$M,12,FALSE)/12),0)+_xlfn.IFNA(VLOOKUP($A56,HN!$A:$Q,17,FALSE),0)</f>
        <v>0</v>
      </c>
      <c r="AH56" s="294">
        <f>_xlfn.IFNA((VLOOKUP($A56,HN!$A:$M,9,FALSE)/12),0)</f>
        <v>0</v>
      </c>
      <c r="AI56" s="294">
        <f>_xlfn.IFNA((VLOOKUP($A56,'Post 16'!$A:$AR,22,FALSE)/4),0)</f>
        <v>0</v>
      </c>
      <c r="AJ56" s="294"/>
      <c r="AK56" s="294">
        <f>_xlfn.IFNA((VLOOKUP($A56,HN!$A:$M,10,FALSE)/12),0)</f>
        <v>6841.6108333333332</v>
      </c>
      <c r="AL56" s="294">
        <f>_xlfn.IFNA((VLOOKUP($A56,HN!$A:$M,13,FALSE)/12),0)</f>
        <v>0</v>
      </c>
      <c r="AM56" s="293">
        <f t="shared" si="61"/>
        <v>-626.65</v>
      </c>
      <c r="AN56" s="293">
        <f t="shared" si="62"/>
        <v>-434.52296666666666</v>
      </c>
      <c r="AO56" s="294"/>
      <c r="AP56" s="294"/>
      <c r="AQ56" s="294"/>
      <c r="AR56" s="293">
        <f t="shared" si="63"/>
        <v>166368.17572736792</v>
      </c>
      <c r="AS56" s="286">
        <f t="shared" si="64"/>
        <v>160587.73786070125</v>
      </c>
      <c r="AT56" s="286"/>
      <c r="AU56" s="286">
        <f>_xlfn.IFNA(VLOOKUP(A56,EY!A:AO,40,FALSE),0)</f>
        <v>0</v>
      </c>
      <c r="AV56" s="287">
        <f>_xlfn.IFNA((VLOOKUP($A56,HN!$A:$M,8,FALSE)/12),0)</f>
        <v>0</v>
      </c>
      <c r="AW56" s="287">
        <f>_xlfn.IFNA((VLOOKUP($A56,HN!$A:$M,12,FALSE)/12),0)+_xlfn.IFNA(VLOOKUP($A56,HN!$A$8:$AU$200,19,FALSE),0)</f>
        <v>0</v>
      </c>
      <c r="AX56" s="287">
        <f>_xlfn.IFNA((VLOOKUP($A56,HN!$A:$M,9,FALSE)/12),0)</f>
        <v>0</v>
      </c>
      <c r="AY56" s="287">
        <f>_xlfn.IFNA((VLOOKUP($A56,'Post 16'!$A:$AR,22,FALSE)/4),0)</f>
        <v>0</v>
      </c>
      <c r="AZ56" s="287">
        <f>_xlfn.IFNA(VLOOKUP(A56,EY!A:AO,41,FALSE),0)</f>
        <v>0</v>
      </c>
      <c r="BA56" s="287">
        <f>_xlfn.IFNA(((VLOOKUP($A56,HN!$A:$M,10,FALSE)-$U56-$AK56)/10),0)+_xlfn.IFNA(VLOOKUP($A56,HN!$A:$R,18,FALSE),0)</f>
        <v>6320.8150000000005</v>
      </c>
      <c r="BB56" s="287">
        <f>_xlfn.IFNA(((VLOOKUP($A56,HN!$A:$M,13,FALSE)-$V56-$AL56)/10),0)+_xlfn.IFNA(VLOOKUP($A56,HN!$A$8:$AU$200,20,FALSE),0)</f>
        <v>0</v>
      </c>
      <c r="BC56" s="286">
        <f t="shared" si="65"/>
        <v>-626.65</v>
      </c>
      <c r="BD56" s="286">
        <f t="shared" si="66"/>
        <v>-434.52296666666666</v>
      </c>
      <c r="BE56" s="287"/>
      <c r="BF56" s="287"/>
      <c r="BG56" s="287"/>
      <c r="BH56" s="286">
        <f t="shared" si="67"/>
        <v>165847.37989403459</v>
      </c>
      <c r="BI56" s="307">
        <f t="shared" si="68"/>
        <v>160587.73786070125</v>
      </c>
      <c r="BJ56" s="307">
        <f>_xlfn.IFNA(VLOOKUP(A56,'LA Deductions'!A:AH,34,FALSE),0)</f>
        <v>0</v>
      </c>
      <c r="BK56" s="307"/>
      <c r="BL56" s="308">
        <f>_xlfn.IFNA((VLOOKUP($A56,HN!$A:$M,8,FALSE)/12),0)</f>
        <v>0</v>
      </c>
      <c r="BM56" s="308">
        <f>_xlfn.IFNA((VLOOKUP($A56,HN!$A:$M,12,FALSE)/12),0)</f>
        <v>0</v>
      </c>
      <c r="BN56" s="308">
        <f>_xlfn.IFNA((VLOOKUP($A56,HN!$A:$M,9,FALSE)/12),0)</f>
        <v>0</v>
      </c>
      <c r="BO56" s="308">
        <f>_xlfn.IFNA((VLOOKUP($A56,'Post 16'!$A:$AR,22,FALSE)/4),0)</f>
        <v>0</v>
      </c>
      <c r="BP56" s="308"/>
      <c r="BQ56" s="308">
        <f>_xlfn.IFNA(((VLOOKUP($A56,HN!$A:$M,10,FALSE)-$U56-$AK56)/10),0)</f>
        <v>6320.8150000000005</v>
      </c>
      <c r="BR56" s="308">
        <f>_xlfn.IFNA(((VLOOKUP($A56,HN!$A:$M,13,FALSE)-$V56-$AL56)/10),0)</f>
        <v>0</v>
      </c>
      <c r="BS56" s="307">
        <f t="shared" si="69"/>
        <v>-626.65</v>
      </c>
      <c r="BT56" s="307">
        <f t="shared" si="70"/>
        <v>-434.52296666666666</v>
      </c>
      <c r="BU56" s="308"/>
      <c r="BV56" s="308"/>
      <c r="BW56" s="308"/>
      <c r="BX56" s="307">
        <f t="shared" si="71"/>
        <v>165847.37989403459</v>
      </c>
      <c r="BY56" s="300">
        <f t="shared" si="72"/>
        <v>160587.73786070125</v>
      </c>
      <c r="BZ56" s="300"/>
      <c r="CA56" s="300"/>
      <c r="CB56" s="301">
        <f>_xlfn.IFNA((VLOOKUP($A56,HN!$A:$M,8,FALSE)/12),0)</f>
        <v>0</v>
      </c>
      <c r="CC56" s="301">
        <f>_xlfn.IFNA((VLOOKUP($A56,HN!$A:$M,12,FALSE)/12),0)</f>
        <v>0</v>
      </c>
      <c r="CD56" s="301">
        <f>_xlfn.IFNA((VLOOKUP($A56,HN!$A:$M,9,FALSE)/12),0)</f>
        <v>0</v>
      </c>
      <c r="CE56" s="301">
        <f>_xlfn.IFNA((VLOOKUP($A56,'Post 16'!$A:$AG,33,FALSE)/8),0)</f>
        <v>0</v>
      </c>
      <c r="CF56" s="301"/>
      <c r="CG56" s="301">
        <f>_xlfn.IFNA(((VLOOKUP($A56,HN!$A:$M,10,FALSE)-$U56-$AK56)/10),0)</f>
        <v>6320.8150000000005</v>
      </c>
      <c r="CH56" s="301">
        <f>_xlfn.IFNA(((VLOOKUP($A56,HN!$A:$M,13,FALSE)-$V56-$AL56)/10),0)</f>
        <v>0</v>
      </c>
      <c r="CI56" s="300">
        <f t="shared" si="73"/>
        <v>-626.65</v>
      </c>
      <c r="CJ56" s="300">
        <f t="shared" si="74"/>
        <v>-434.52296666666666</v>
      </c>
      <c r="CK56" s="301"/>
      <c r="CL56" s="301"/>
      <c r="CM56" s="301"/>
      <c r="CN56" s="300">
        <f t="shared" si="75"/>
        <v>165847.37989403459</v>
      </c>
      <c r="CO56" s="332">
        <f t="shared" si="76"/>
        <v>160587.73786070125</v>
      </c>
      <c r="CP56" s="332"/>
      <c r="CQ56" s="332">
        <f>_xlfn.IFNA((VLOOKUP($A56,EY!$A:$AB,28,FALSE)-$CV56),0)</f>
        <v>0</v>
      </c>
      <c r="CR56" s="333">
        <f>_xlfn.IFNA((VLOOKUP($A56,HN!$A:$M,8,FALSE)/12),0)</f>
        <v>0</v>
      </c>
      <c r="CS56" s="333">
        <f>_xlfn.IFNA((VLOOKUP($A56,HN!$A:$M,12,FALSE)/12),0)</f>
        <v>0</v>
      </c>
      <c r="CT56" s="333">
        <f>_xlfn.IFNA((VLOOKUP($A56,HN!$A:$M,9,FALSE)/12),0)</f>
        <v>0</v>
      </c>
      <c r="CU56" s="333">
        <f>_xlfn.IFNA((VLOOKUP($A56,'Post 16'!$A:$AG,33,FALSE)/8),0)</f>
        <v>0</v>
      </c>
      <c r="CV56" s="333">
        <f>_xlfn.IFNA((VLOOKUP($A56,EY!$A:$AB,26,FALSE)*80%),0)</f>
        <v>0</v>
      </c>
      <c r="CW56" s="333">
        <f>_xlfn.IFNA(((VLOOKUP($A56,HN!$A:$M,10,FALSE)-$U56-$AK56)/10),0)</f>
        <v>6320.8150000000005</v>
      </c>
      <c r="CX56" s="333">
        <f>_xlfn.IFNA(((VLOOKUP($A56,HN!$A:$M,13,FALSE)-$V56-$AL56)/10),0)</f>
        <v>0</v>
      </c>
      <c r="CY56" s="332">
        <f t="shared" si="77"/>
        <v>-626.65</v>
      </c>
      <c r="CZ56" s="332">
        <f t="shared" si="78"/>
        <v>-434.52296666666666</v>
      </c>
      <c r="DA56" s="333"/>
      <c r="DB56" s="333"/>
      <c r="DC56" s="333"/>
      <c r="DD56" s="332">
        <f t="shared" si="79"/>
        <v>165847.37989403459</v>
      </c>
      <c r="DE56" s="314">
        <f t="shared" si="80"/>
        <v>160587.73786070125</v>
      </c>
      <c r="DF56" s="314"/>
      <c r="DG56" s="314"/>
      <c r="DH56" s="315">
        <f>_xlfn.IFNA((VLOOKUP($A56,HN!$A:$M,8,FALSE)/12),0)</f>
        <v>0</v>
      </c>
      <c r="DI56" s="315">
        <f>_xlfn.IFNA((VLOOKUP($A56,HN!$A:$M,12,FALSE)/12),0)</f>
        <v>0</v>
      </c>
      <c r="DJ56" s="315">
        <f>_xlfn.IFNA((VLOOKUP($A56,HN!$A:$M,9,FALSE)/12),0)</f>
        <v>0</v>
      </c>
      <c r="DK56" s="315">
        <f>_xlfn.IFNA((VLOOKUP($A56,'Post 16'!$A:$AG,33,FALSE)/8),0)</f>
        <v>0</v>
      </c>
      <c r="DL56" s="315"/>
      <c r="DM56" s="315">
        <f>_xlfn.IFNA(((VLOOKUP($A56,HN!$A:$M,10,FALSE)-$U56-$AK56)/10),0)</f>
        <v>6320.8150000000005</v>
      </c>
      <c r="DN56" s="315">
        <f>_xlfn.IFNA(((VLOOKUP($A56,HN!$A:$M,13,FALSE)-$V56-$AL56)/10),0)</f>
        <v>0</v>
      </c>
      <c r="DO56" s="314">
        <f t="shared" si="81"/>
        <v>-626.65</v>
      </c>
      <c r="DP56" s="314">
        <f t="shared" si="82"/>
        <v>-434.52296666666666</v>
      </c>
      <c r="DQ56" s="315"/>
      <c r="DR56" s="315"/>
      <c r="DS56" s="315"/>
      <c r="DT56" s="314">
        <f t="shared" si="83"/>
        <v>165847.37989403459</v>
      </c>
      <c r="DU56" s="307">
        <f t="shared" si="84"/>
        <v>160587.73786070125</v>
      </c>
      <c r="DV56" s="307"/>
      <c r="DW56" s="307"/>
      <c r="DX56" s="308">
        <f>_xlfn.IFNA((VLOOKUP($A56,HN!$A:$M,8,FALSE)/12),0)</f>
        <v>0</v>
      </c>
      <c r="DY56" s="308">
        <f>_xlfn.IFNA((VLOOKUP($A56,HN!$A:$M,12,FALSE)/12),0)</f>
        <v>0</v>
      </c>
      <c r="DZ56" s="308">
        <f>_xlfn.IFNA((VLOOKUP($A56,HN!$A:$M,9,FALSE)/12),0)</f>
        <v>0</v>
      </c>
      <c r="EA56" s="308">
        <f>_xlfn.IFNA((VLOOKUP($A56,'Post 16'!$A:$AG,33,FALSE)/8),0)</f>
        <v>0</v>
      </c>
      <c r="EB56" s="308"/>
      <c r="EC56" s="308">
        <f>_xlfn.IFNA(((VLOOKUP($A56,HN!$A:$M,10,FALSE)-$U56-$AK56)/10),0)</f>
        <v>6320.8150000000005</v>
      </c>
      <c r="ED56" s="308">
        <f>_xlfn.IFNA(((VLOOKUP($A56,HN!$A:$M,13,FALSE)-$V56-$AL56)/10),0)</f>
        <v>0</v>
      </c>
      <c r="EE56" s="307">
        <f t="shared" si="85"/>
        <v>-626.65</v>
      </c>
      <c r="EF56" s="307">
        <f t="shared" si="86"/>
        <v>-434.52296666666666</v>
      </c>
      <c r="EG56" s="308"/>
      <c r="EH56" s="308"/>
      <c r="EI56" s="308"/>
      <c r="EJ56" s="307">
        <f t="shared" si="87"/>
        <v>165847.37989403459</v>
      </c>
      <c r="EK56" s="320">
        <f t="shared" si="88"/>
        <v>160587.73786070125</v>
      </c>
      <c r="EL56" s="320"/>
      <c r="EM56" s="320"/>
      <c r="EN56" s="321">
        <f>_xlfn.IFNA((VLOOKUP($A56,HN!$A:$M,8,FALSE)/12),0)</f>
        <v>0</v>
      </c>
      <c r="EO56" s="321">
        <f>_xlfn.IFNA((VLOOKUP($A56,HN!$A:$M,12,FALSE)/12),0)</f>
        <v>0</v>
      </c>
      <c r="EP56" s="321">
        <f>_xlfn.IFNA((VLOOKUP($A56,HN!$A:$M,9,FALSE)/12),0)</f>
        <v>0</v>
      </c>
      <c r="EQ56" s="321">
        <f>_xlfn.IFNA((VLOOKUP($A56,'Post 16'!$A:$AG,33,FALSE)/8),0)</f>
        <v>0</v>
      </c>
      <c r="ER56" s="321"/>
      <c r="ES56" s="321">
        <f>_xlfn.IFNA(((VLOOKUP($A56,HN!$A:$M,10,FALSE)-$U56-$AK56)/10),0)</f>
        <v>6320.8150000000005</v>
      </c>
      <c r="ET56" s="321">
        <f>_xlfn.IFNA(((VLOOKUP($A56,HN!$A:$M,13,FALSE)-$V56-$AL56)/10),0)</f>
        <v>0</v>
      </c>
      <c r="EU56" s="320">
        <f t="shared" si="89"/>
        <v>-626.65</v>
      </c>
      <c r="EV56" s="320">
        <f t="shared" si="90"/>
        <v>-434.52296666666666</v>
      </c>
      <c r="EW56" s="321"/>
      <c r="EX56" s="321"/>
      <c r="EY56" s="321"/>
      <c r="EZ56" s="320">
        <f t="shared" si="91"/>
        <v>165847.37989403459</v>
      </c>
      <c r="FA56" s="286">
        <f t="shared" si="92"/>
        <v>160587.73786070125</v>
      </c>
      <c r="FB56" s="286"/>
      <c r="FC56" s="286"/>
      <c r="FD56" s="287">
        <f>_xlfn.IFNA((VLOOKUP($A56,HN!$A:$M,8,FALSE)/12),0)</f>
        <v>0</v>
      </c>
      <c r="FE56" s="287">
        <f>_xlfn.IFNA((VLOOKUP($A56,HN!$A:$M,12,FALSE)/12),0)</f>
        <v>0</v>
      </c>
      <c r="FF56" s="287">
        <f>_xlfn.IFNA((VLOOKUP($A56,HN!$A:$M,9,FALSE)/12),0)</f>
        <v>0</v>
      </c>
      <c r="FG56" s="287">
        <f>_xlfn.IFNA((VLOOKUP($A56,'Post 16'!$A:$AG,33,FALSE)/8),0)</f>
        <v>0</v>
      </c>
      <c r="FH56" s="287"/>
      <c r="FI56" s="287">
        <f>_xlfn.IFNA(((VLOOKUP($A56,HN!$A:$M,10,FALSE)-$U56-$AK56)/10),0)</f>
        <v>6320.8150000000005</v>
      </c>
      <c r="FJ56" s="287">
        <f>_xlfn.IFNA(((VLOOKUP($A56,HN!$A:$M,13,FALSE)-$V56-$AL56)/10),0)</f>
        <v>0</v>
      </c>
      <c r="FK56" s="286">
        <f t="shared" si="93"/>
        <v>-626.65</v>
      </c>
      <c r="FL56" s="286">
        <f t="shared" si="94"/>
        <v>-434.52296666666666</v>
      </c>
      <c r="FM56" s="287"/>
      <c r="FN56" s="287"/>
      <c r="FO56" s="287"/>
      <c r="FP56" s="286">
        <f t="shared" si="95"/>
        <v>165847.37989403459</v>
      </c>
      <c r="FQ56" s="293">
        <f t="shared" si="96"/>
        <v>160587.73786070125</v>
      </c>
      <c r="FR56" s="293"/>
      <c r="FS56" s="293"/>
      <c r="FT56" s="294">
        <f>_xlfn.IFNA((VLOOKUP($A56,HN!$A:$M,8,FALSE)/12),0)</f>
        <v>0</v>
      </c>
      <c r="FU56" s="294">
        <f>_xlfn.IFNA((VLOOKUP($A56,HN!$A:$M,12,FALSE)/12),0)</f>
        <v>0</v>
      </c>
      <c r="FV56" s="294">
        <f>_xlfn.IFNA((VLOOKUP($A56,HN!$A:$M,9,FALSE)/12),0)</f>
        <v>0</v>
      </c>
      <c r="FW56" s="294">
        <f>_xlfn.IFNA((VLOOKUP($A56,'Post 16'!$A:$AG,33,FALSE)/8),0)</f>
        <v>0</v>
      </c>
      <c r="FX56" s="294"/>
      <c r="FY56" s="294">
        <f>_xlfn.IFNA(((VLOOKUP($A56,HN!$A:$M,10,FALSE)-$U56-$AK56)/10),0)</f>
        <v>6320.8150000000005</v>
      </c>
      <c r="FZ56" s="294">
        <f>_xlfn.IFNA(((VLOOKUP($A56,HN!$A:$M,13,FALSE)-$V56-$AL56)/10),0)</f>
        <v>0</v>
      </c>
      <c r="GA56" s="293">
        <f t="shared" si="97"/>
        <v>-626.65</v>
      </c>
      <c r="GB56" s="293">
        <f t="shared" si="98"/>
        <v>-434.52296666666666</v>
      </c>
      <c r="GC56" s="294"/>
      <c r="GD56" s="294"/>
      <c r="GE56" s="294"/>
      <c r="GF56" s="293">
        <f t="shared" si="99"/>
        <v>165847.37989403459</v>
      </c>
      <c r="GG56" s="300">
        <f t="shared" si="100"/>
        <v>160587.73786070125</v>
      </c>
      <c r="GH56" s="300"/>
      <c r="GI56" s="300"/>
      <c r="GJ56" s="301">
        <f>_xlfn.IFNA((VLOOKUP($A56,HN!$A:$M,8,FALSE)/12),0)</f>
        <v>0</v>
      </c>
      <c r="GK56" s="301">
        <f>_xlfn.IFNA((VLOOKUP($A56,HN!$A:$M,12,FALSE)/12),0)</f>
        <v>0</v>
      </c>
      <c r="GL56" s="301">
        <f>_xlfn.IFNA((VLOOKUP($A56,HN!$A:$M,9,FALSE)/12),0)</f>
        <v>0</v>
      </c>
      <c r="GM56" s="301">
        <f>_xlfn.IFNA((VLOOKUP($A56,'Post 16'!$A:$AG,33,FALSE)/8),0)</f>
        <v>0</v>
      </c>
      <c r="GN56" s="301"/>
      <c r="GO56" s="301">
        <f>_xlfn.IFNA(((VLOOKUP($A56,HN!$A:$M,10,FALSE)-$U56-$AK56)/10),0)</f>
        <v>6320.8150000000005</v>
      </c>
      <c r="GP56" s="301">
        <f>_xlfn.IFNA(((VLOOKUP($A56,HN!$A:$M,13,FALSE)-$V56-$AL56)/10),0)</f>
        <v>0</v>
      </c>
      <c r="GQ56" s="300">
        <f t="shared" si="101"/>
        <v>-626.65</v>
      </c>
      <c r="GR56" s="300">
        <f t="shared" si="102"/>
        <v>-434.52296666666666</v>
      </c>
      <c r="GS56" s="301"/>
      <c r="GT56" s="301"/>
      <c r="GU56" s="301"/>
      <c r="GV56" s="300">
        <f t="shared" si="103"/>
        <v>165847.37989403459</v>
      </c>
      <c r="GX56" s="146">
        <f t="shared" si="104"/>
        <v>1927052.8543284151</v>
      </c>
      <c r="GY56" s="146">
        <f t="shared" si="104"/>
        <v>0</v>
      </c>
      <c r="GZ56" s="146">
        <f t="shared" si="104"/>
        <v>82099.330000000016</v>
      </c>
      <c r="HA56" s="146">
        <f t="shared" si="104"/>
        <v>-7519.7999999999984</v>
      </c>
      <c r="HB56" s="146">
        <f t="shared" si="104"/>
        <v>-5214.2755999999981</v>
      </c>
      <c r="HC56" s="146">
        <f t="shared" si="104"/>
        <v>0</v>
      </c>
      <c r="HE56" s="146">
        <f t="shared" si="105"/>
        <v>481763.21358210372</v>
      </c>
      <c r="HF56" s="146">
        <f t="shared" si="105"/>
        <v>0</v>
      </c>
      <c r="HG56" s="146">
        <f t="shared" si="105"/>
        <v>25211.995000000003</v>
      </c>
      <c r="HH56" s="146">
        <f t="shared" si="105"/>
        <v>-1879.9499999999998</v>
      </c>
      <c r="HI56" s="146">
        <f t="shared" si="105"/>
        <v>-1303.5689</v>
      </c>
      <c r="HJ56" s="146">
        <f t="shared" si="105"/>
        <v>0</v>
      </c>
      <c r="HL56" s="146"/>
      <c r="HM56" s="57"/>
    </row>
    <row r="57" spans="1:221">
      <c r="A57" s="185">
        <v>1026</v>
      </c>
      <c r="B57" s="185">
        <v>103139</v>
      </c>
      <c r="C57" s="185" t="s">
        <v>137</v>
      </c>
      <c r="D57" s="2" t="s">
        <v>138</v>
      </c>
      <c r="E57" s="190" t="s">
        <v>36</v>
      </c>
      <c r="F57" s="190" t="s">
        <v>890</v>
      </c>
      <c r="H57" s="271">
        <f>_xlfn.IFNA(VLOOKUP($A57,ISB!$A$4:$BY$441,67,FALSE),0)</f>
        <v>0</v>
      </c>
      <c r="I57" s="271">
        <f>_xlfn.IFNA(VLOOKUP($A57,ISB!$A$4:$BY$441,72,FALSE),0)</f>
        <v>0</v>
      </c>
      <c r="J57" s="271">
        <f>-_xlfn.IFNA(VLOOKUP($A57,ISB!$A$4:$BY$441,76,FALSE),0)</f>
        <v>0</v>
      </c>
      <c r="K57" s="271">
        <f>_xlfn.IFNA(VLOOKUP($A57,ISB!$A$4:$BY$441,77,FALSE),0)</f>
        <v>0</v>
      </c>
      <c r="M57" s="279">
        <f t="shared" si="56"/>
        <v>0</v>
      </c>
      <c r="N57" s="279"/>
      <c r="O57" s="279">
        <f>_xlfn.IFNA(VLOOKUP($A57,EY!$A:$H,8,FALSE)+(VLOOKUP($A57,EY!$A:$R,18,FALSE)-$T57),0)</f>
        <v>415640.58552881051</v>
      </c>
      <c r="P57" s="280">
        <f>_xlfn.IFNA((VLOOKUP($A57,HN!$A:$M,8,FALSE)/12),0)</f>
        <v>0</v>
      </c>
      <c r="Q57" s="280">
        <f>_xlfn.IFNA((VLOOKUP($A57,HN!$A:$M,12,FALSE)/12),0)</f>
        <v>0</v>
      </c>
      <c r="R57" s="280">
        <f>_xlfn.IFNA((VLOOKUP($A57,HN!$A:$M,9,FALSE)/12),0)</f>
        <v>0</v>
      </c>
      <c r="S57" s="280">
        <f>_xlfn.IFNA((VLOOKUP($A57,'Post 16'!$A:$AR,22,FALSE)/4),0)</f>
        <v>0</v>
      </c>
      <c r="T57" s="280">
        <f>_xlfn.IFNA((VLOOKUP($A57,EY!$A:$R,16,FALSE)*80%),0)</f>
        <v>3900</v>
      </c>
      <c r="U57" s="280">
        <v>6017.5</v>
      </c>
      <c r="V57" s="280">
        <v>0</v>
      </c>
      <c r="W57" s="279">
        <f t="shared" si="57"/>
        <v>0</v>
      </c>
      <c r="X57" s="279">
        <f t="shared" si="58"/>
        <v>0</v>
      </c>
      <c r="Y57" s="280"/>
      <c r="Z57" s="280"/>
      <c r="AA57" s="280"/>
      <c r="AB57" s="279">
        <f t="shared" si="59"/>
        <v>425558.08552881051</v>
      </c>
      <c r="AC57" s="293">
        <f t="shared" si="60"/>
        <v>0</v>
      </c>
      <c r="AD57" s="293"/>
      <c r="AE57" s="293"/>
      <c r="AF57" s="294">
        <f>_xlfn.IFNA((VLOOKUP($A57,HN!$A:$M,8,FALSE)/12),0)</f>
        <v>0</v>
      </c>
      <c r="AG57" s="294">
        <f>_xlfn.IFNA((VLOOKUP($A57,HN!$A:$M,12,FALSE)/12),0)+_xlfn.IFNA(VLOOKUP($A57,HN!$A:$Q,17,FALSE),0)</f>
        <v>0</v>
      </c>
      <c r="AH57" s="294">
        <f>_xlfn.IFNA((VLOOKUP($A57,HN!$A:$M,9,FALSE)/12),0)</f>
        <v>0</v>
      </c>
      <c r="AI57" s="294">
        <f>_xlfn.IFNA((VLOOKUP($A57,'Post 16'!$A:$AR,22,FALSE)/4),0)</f>
        <v>0</v>
      </c>
      <c r="AJ57" s="294"/>
      <c r="AK57" s="294">
        <v>-6017.5</v>
      </c>
      <c r="AL57" s="294">
        <f>_xlfn.IFNA((VLOOKUP($A57,HN!$A:$M,13,FALSE)/12),0)</f>
        <v>0</v>
      </c>
      <c r="AM57" s="293">
        <f t="shared" si="61"/>
        <v>0</v>
      </c>
      <c r="AN57" s="293">
        <f t="shared" si="62"/>
        <v>0</v>
      </c>
      <c r="AO57" s="294"/>
      <c r="AP57" s="294"/>
      <c r="AQ57" s="294"/>
      <c r="AR57" s="293">
        <f t="shared" si="63"/>
        <v>-6017.5</v>
      </c>
      <c r="AS57" s="286">
        <f t="shared" si="64"/>
        <v>0</v>
      </c>
      <c r="AT57" s="286"/>
      <c r="AU57" s="286">
        <f>_xlfn.IFNA(VLOOKUP(A57,EY!A:AO,40,FALSE),0)</f>
        <v>37846.027537396112</v>
      </c>
      <c r="AV57" s="287">
        <f>_xlfn.IFNA((VLOOKUP($A57,HN!$A:$M,8,FALSE)/12),0)</f>
        <v>0</v>
      </c>
      <c r="AW57" s="287">
        <f>_xlfn.IFNA((VLOOKUP($A57,HN!$A:$M,12,FALSE)/12),0)+_xlfn.IFNA(VLOOKUP($A57,HN!$A$8:$AU$200,19,FALSE),0)</f>
        <v>0</v>
      </c>
      <c r="AX57" s="287">
        <f>_xlfn.IFNA((VLOOKUP($A57,HN!$A:$M,9,FALSE)/12),0)</f>
        <v>0</v>
      </c>
      <c r="AY57" s="287">
        <f>_xlfn.IFNA((VLOOKUP($A57,'Post 16'!$A:$AR,22,FALSE)/4),0)</f>
        <v>0</v>
      </c>
      <c r="AZ57" s="287">
        <f>_xlfn.IFNA(VLOOKUP(A57,EY!A:AO,41,FALSE),0)</f>
        <v>1127.6786703601106</v>
      </c>
      <c r="BA57" s="287">
        <f>_xlfn.IFNA(((VLOOKUP($A57,HN!$A:$M,10,FALSE)-$U57-$AK57)/10),0)+_xlfn.IFNA(VLOOKUP($A57,HN!$A:$R,18,FALSE),0)</f>
        <v>0</v>
      </c>
      <c r="BB57" s="287">
        <f>_xlfn.IFNA(((VLOOKUP($A57,HN!$A:$M,13,FALSE)-$V57-$AL57)/10),0)+_xlfn.IFNA(VLOOKUP($A57,HN!$A$8:$AU$200,20,FALSE),0)</f>
        <v>0</v>
      </c>
      <c r="BC57" s="286">
        <f t="shared" si="65"/>
        <v>0</v>
      </c>
      <c r="BD57" s="286">
        <f t="shared" si="66"/>
        <v>0</v>
      </c>
      <c r="BE57" s="287"/>
      <c r="BF57" s="287"/>
      <c r="BG57" s="287"/>
      <c r="BH57" s="286">
        <f t="shared" si="67"/>
        <v>38973.706207756222</v>
      </c>
      <c r="BI57" s="307">
        <f t="shared" si="68"/>
        <v>0</v>
      </c>
      <c r="BJ57" s="307">
        <f>_xlfn.IFNA(VLOOKUP(A57,'LA Deductions'!A:AH,34,FALSE),0)</f>
        <v>0</v>
      </c>
      <c r="BK57" s="307"/>
      <c r="BL57" s="308">
        <f>_xlfn.IFNA((VLOOKUP($A57,HN!$A:$M,8,FALSE)/12),0)</f>
        <v>0</v>
      </c>
      <c r="BM57" s="308">
        <f>_xlfn.IFNA((VLOOKUP($A57,HN!$A:$M,12,FALSE)/12),0)</f>
        <v>0</v>
      </c>
      <c r="BN57" s="308">
        <f>_xlfn.IFNA((VLOOKUP($A57,HN!$A:$M,9,FALSE)/12),0)</f>
        <v>0</v>
      </c>
      <c r="BO57" s="308">
        <f>_xlfn.IFNA((VLOOKUP($A57,'Post 16'!$A:$AR,22,FALSE)/4),0)</f>
        <v>0</v>
      </c>
      <c r="BP57" s="308"/>
      <c r="BQ57" s="308">
        <f>_xlfn.IFNA(((VLOOKUP($A57,HN!$A:$M,10,FALSE)-$U57-$AK57)/10),0)</f>
        <v>0</v>
      </c>
      <c r="BR57" s="308">
        <f>_xlfn.IFNA(((VLOOKUP($A57,HN!$A:$M,13,FALSE)-$V57-$AL57)/10),0)</f>
        <v>0</v>
      </c>
      <c r="BS57" s="307">
        <f t="shared" si="69"/>
        <v>0</v>
      </c>
      <c r="BT57" s="307">
        <f t="shared" si="70"/>
        <v>0</v>
      </c>
      <c r="BU57" s="308"/>
      <c r="BV57" s="308"/>
      <c r="BW57" s="308"/>
      <c r="BX57" s="307">
        <f t="shared" si="71"/>
        <v>0</v>
      </c>
      <c r="BY57" s="300">
        <f t="shared" si="72"/>
        <v>0</v>
      </c>
      <c r="BZ57" s="300"/>
      <c r="CA57" s="300"/>
      <c r="CB57" s="301">
        <f>_xlfn.IFNA((VLOOKUP($A57,HN!$A:$M,8,FALSE)/12),0)</f>
        <v>0</v>
      </c>
      <c r="CC57" s="301">
        <f>_xlfn.IFNA((VLOOKUP($A57,HN!$A:$M,12,FALSE)/12),0)</f>
        <v>0</v>
      </c>
      <c r="CD57" s="301">
        <f>_xlfn.IFNA((VLOOKUP($A57,HN!$A:$M,9,FALSE)/12),0)</f>
        <v>0</v>
      </c>
      <c r="CE57" s="301">
        <f>_xlfn.IFNA((VLOOKUP($A57,'Post 16'!$A:$AG,33,FALSE)/8),0)</f>
        <v>0</v>
      </c>
      <c r="CF57" s="301"/>
      <c r="CG57" s="301">
        <f>_xlfn.IFNA(((VLOOKUP($A57,HN!$A:$M,10,FALSE)-$U57-$AK57)/10),0)</f>
        <v>0</v>
      </c>
      <c r="CH57" s="301">
        <f>_xlfn.IFNA(((VLOOKUP($A57,HN!$A:$M,13,FALSE)-$V57-$AL57)/10),0)</f>
        <v>0</v>
      </c>
      <c r="CI57" s="300">
        <f t="shared" si="73"/>
        <v>0</v>
      </c>
      <c r="CJ57" s="300">
        <f t="shared" si="74"/>
        <v>0</v>
      </c>
      <c r="CK57" s="301"/>
      <c r="CL57" s="301"/>
      <c r="CM57" s="301"/>
      <c r="CN57" s="300">
        <f t="shared" si="75"/>
        <v>0</v>
      </c>
      <c r="CO57" s="332">
        <f t="shared" si="76"/>
        <v>0</v>
      </c>
      <c r="CP57" s="332"/>
      <c r="CQ57" s="332">
        <f>_xlfn.IFNA((VLOOKUP($A57,EY!$A:$AB,28,FALSE)-$CV57),0)</f>
        <v>135226.63957894736</v>
      </c>
      <c r="CR57" s="333">
        <f>_xlfn.IFNA((VLOOKUP($A57,HN!$A:$M,8,FALSE)/12),0)</f>
        <v>0</v>
      </c>
      <c r="CS57" s="333">
        <f>_xlfn.IFNA((VLOOKUP($A57,HN!$A:$M,12,FALSE)/12),0)</f>
        <v>0</v>
      </c>
      <c r="CT57" s="333">
        <f>_xlfn.IFNA((VLOOKUP($A57,HN!$A:$M,9,FALSE)/12),0)</f>
        <v>0</v>
      </c>
      <c r="CU57" s="333">
        <f>_xlfn.IFNA((VLOOKUP($A57,'Post 16'!$A:$AG,33,FALSE)/8),0)</f>
        <v>0</v>
      </c>
      <c r="CV57" s="333">
        <f>_xlfn.IFNA((VLOOKUP($A57,EY!$A:$AB,26,FALSE)*80%),0)</f>
        <v>1560</v>
      </c>
      <c r="CW57" s="333">
        <f>_xlfn.IFNA(((VLOOKUP($A57,HN!$A:$M,10,FALSE)-$U57-$AK57)/10),0)</f>
        <v>0</v>
      </c>
      <c r="CX57" s="333">
        <f>_xlfn.IFNA(((VLOOKUP($A57,HN!$A:$M,13,FALSE)-$V57-$AL57)/10),0)</f>
        <v>0</v>
      </c>
      <c r="CY57" s="332">
        <f t="shared" si="77"/>
        <v>0</v>
      </c>
      <c r="CZ57" s="332">
        <f t="shared" si="78"/>
        <v>0</v>
      </c>
      <c r="DA57" s="333"/>
      <c r="DB57" s="333"/>
      <c r="DC57" s="333"/>
      <c r="DD57" s="332">
        <f t="shared" si="79"/>
        <v>136786.63957894736</v>
      </c>
      <c r="DE57" s="314">
        <f t="shared" si="80"/>
        <v>0</v>
      </c>
      <c r="DF57" s="314"/>
      <c r="DG57" s="314"/>
      <c r="DH57" s="315">
        <f>_xlfn.IFNA((VLOOKUP($A57,HN!$A:$M,8,FALSE)/12),0)</f>
        <v>0</v>
      </c>
      <c r="DI57" s="315">
        <f>_xlfn.IFNA((VLOOKUP($A57,HN!$A:$M,12,FALSE)/12),0)</f>
        <v>0</v>
      </c>
      <c r="DJ57" s="315">
        <f>_xlfn.IFNA((VLOOKUP($A57,HN!$A:$M,9,FALSE)/12),0)</f>
        <v>0</v>
      </c>
      <c r="DK57" s="315">
        <f>_xlfn.IFNA((VLOOKUP($A57,'Post 16'!$A:$AG,33,FALSE)/8),0)</f>
        <v>0</v>
      </c>
      <c r="DL57" s="315"/>
      <c r="DM57" s="315">
        <f>_xlfn.IFNA(((VLOOKUP($A57,HN!$A:$M,10,FALSE)-$U57-$AK57)/10),0)</f>
        <v>0</v>
      </c>
      <c r="DN57" s="315">
        <f>_xlfn.IFNA(((VLOOKUP($A57,HN!$A:$M,13,FALSE)-$V57-$AL57)/10),0)</f>
        <v>0</v>
      </c>
      <c r="DO57" s="314">
        <f t="shared" si="81"/>
        <v>0</v>
      </c>
      <c r="DP57" s="314">
        <f t="shared" si="82"/>
        <v>0</v>
      </c>
      <c r="DQ57" s="315"/>
      <c r="DR57" s="315"/>
      <c r="DS57" s="315"/>
      <c r="DT57" s="314">
        <f t="shared" si="83"/>
        <v>0</v>
      </c>
      <c r="DU57" s="307">
        <f t="shared" si="84"/>
        <v>0</v>
      </c>
      <c r="DV57" s="307"/>
      <c r="DW57" s="307"/>
      <c r="DX57" s="308">
        <f>_xlfn.IFNA((VLOOKUP($A57,HN!$A:$M,8,FALSE)/12),0)</f>
        <v>0</v>
      </c>
      <c r="DY57" s="308">
        <f>_xlfn.IFNA((VLOOKUP($A57,HN!$A:$M,12,FALSE)/12),0)</f>
        <v>0</v>
      </c>
      <c r="DZ57" s="308">
        <f>_xlfn.IFNA((VLOOKUP($A57,HN!$A:$M,9,FALSE)/12),0)</f>
        <v>0</v>
      </c>
      <c r="EA57" s="308">
        <f>_xlfn.IFNA((VLOOKUP($A57,'Post 16'!$A:$AG,33,FALSE)/8),0)</f>
        <v>0</v>
      </c>
      <c r="EB57" s="308"/>
      <c r="EC57" s="308">
        <f>_xlfn.IFNA(((VLOOKUP($A57,HN!$A:$M,10,FALSE)-$U57-$AK57)/10),0)</f>
        <v>0</v>
      </c>
      <c r="ED57" s="308">
        <f>_xlfn.IFNA(((VLOOKUP($A57,HN!$A:$M,13,FALSE)-$V57-$AL57)/10),0)</f>
        <v>0</v>
      </c>
      <c r="EE57" s="307">
        <f t="shared" si="85"/>
        <v>0</v>
      </c>
      <c r="EF57" s="307">
        <f t="shared" si="86"/>
        <v>0</v>
      </c>
      <c r="EG57" s="308"/>
      <c r="EH57" s="308"/>
      <c r="EI57" s="308"/>
      <c r="EJ57" s="307">
        <f t="shared" si="87"/>
        <v>0</v>
      </c>
      <c r="EK57" s="320">
        <f t="shared" si="88"/>
        <v>0</v>
      </c>
      <c r="EL57" s="320"/>
      <c r="EM57" s="320"/>
      <c r="EN57" s="321">
        <f>_xlfn.IFNA((VLOOKUP($A57,HN!$A:$M,8,FALSE)/12),0)</f>
        <v>0</v>
      </c>
      <c r="EO57" s="321">
        <f>_xlfn.IFNA((VLOOKUP($A57,HN!$A:$M,12,FALSE)/12),0)</f>
        <v>0</v>
      </c>
      <c r="EP57" s="321">
        <f>_xlfn.IFNA((VLOOKUP($A57,HN!$A:$M,9,FALSE)/12),0)</f>
        <v>0</v>
      </c>
      <c r="EQ57" s="321">
        <f>_xlfn.IFNA((VLOOKUP($A57,'Post 16'!$A:$AG,33,FALSE)/8),0)</f>
        <v>0</v>
      </c>
      <c r="ER57" s="321"/>
      <c r="ES57" s="321">
        <f>_xlfn.IFNA(((VLOOKUP($A57,HN!$A:$M,10,FALSE)-$U57-$AK57)/10),0)</f>
        <v>0</v>
      </c>
      <c r="ET57" s="321">
        <f>_xlfn.IFNA(((VLOOKUP($A57,HN!$A:$M,13,FALSE)-$V57-$AL57)/10),0)</f>
        <v>0</v>
      </c>
      <c r="EU57" s="320">
        <f t="shared" si="89"/>
        <v>0</v>
      </c>
      <c r="EV57" s="320">
        <f t="shared" si="90"/>
        <v>0</v>
      </c>
      <c r="EW57" s="321"/>
      <c r="EX57" s="321"/>
      <c r="EY57" s="321"/>
      <c r="EZ57" s="320">
        <f t="shared" si="91"/>
        <v>0</v>
      </c>
      <c r="FA57" s="286">
        <f t="shared" si="92"/>
        <v>0</v>
      </c>
      <c r="FB57" s="286"/>
      <c r="FC57" s="286"/>
      <c r="FD57" s="287">
        <f>_xlfn.IFNA((VLOOKUP($A57,HN!$A:$M,8,FALSE)/12),0)</f>
        <v>0</v>
      </c>
      <c r="FE57" s="287">
        <f>_xlfn.IFNA((VLOOKUP($A57,HN!$A:$M,12,FALSE)/12),0)</f>
        <v>0</v>
      </c>
      <c r="FF57" s="287">
        <f>_xlfn.IFNA((VLOOKUP($A57,HN!$A:$M,9,FALSE)/12),0)</f>
        <v>0</v>
      </c>
      <c r="FG57" s="287">
        <f>_xlfn.IFNA((VLOOKUP($A57,'Post 16'!$A:$AG,33,FALSE)/8),0)</f>
        <v>0</v>
      </c>
      <c r="FH57" s="287"/>
      <c r="FI57" s="287">
        <f>_xlfn.IFNA(((VLOOKUP($A57,HN!$A:$M,10,FALSE)-$U57-$AK57)/10),0)</f>
        <v>0</v>
      </c>
      <c r="FJ57" s="287">
        <f>_xlfn.IFNA(((VLOOKUP($A57,HN!$A:$M,13,FALSE)-$V57-$AL57)/10),0)</f>
        <v>0</v>
      </c>
      <c r="FK57" s="286">
        <f t="shared" si="93"/>
        <v>0</v>
      </c>
      <c r="FL57" s="286">
        <f t="shared" si="94"/>
        <v>0</v>
      </c>
      <c r="FM57" s="287"/>
      <c r="FN57" s="287"/>
      <c r="FO57" s="287"/>
      <c r="FP57" s="286">
        <f t="shared" si="95"/>
        <v>0</v>
      </c>
      <c r="FQ57" s="293">
        <f t="shared" si="96"/>
        <v>0</v>
      </c>
      <c r="FR57" s="293"/>
      <c r="FS57" s="293"/>
      <c r="FT57" s="294">
        <f>_xlfn.IFNA((VLOOKUP($A57,HN!$A:$M,8,FALSE)/12),0)</f>
        <v>0</v>
      </c>
      <c r="FU57" s="294">
        <f>_xlfn.IFNA((VLOOKUP($A57,HN!$A:$M,12,FALSE)/12),0)</f>
        <v>0</v>
      </c>
      <c r="FV57" s="294">
        <f>_xlfn.IFNA((VLOOKUP($A57,HN!$A:$M,9,FALSE)/12),0)</f>
        <v>0</v>
      </c>
      <c r="FW57" s="294">
        <f>_xlfn.IFNA((VLOOKUP($A57,'Post 16'!$A:$AG,33,FALSE)/8),0)</f>
        <v>0</v>
      </c>
      <c r="FX57" s="294"/>
      <c r="FY57" s="294">
        <f>_xlfn.IFNA(((VLOOKUP($A57,HN!$A:$M,10,FALSE)-$U57-$AK57)/10),0)</f>
        <v>0</v>
      </c>
      <c r="FZ57" s="294">
        <f>_xlfn.IFNA(((VLOOKUP($A57,HN!$A:$M,13,FALSE)-$V57-$AL57)/10),0)</f>
        <v>0</v>
      </c>
      <c r="GA57" s="293">
        <f t="shared" si="97"/>
        <v>0</v>
      </c>
      <c r="GB57" s="293">
        <f t="shared" si="98"/>
        <v>0</v>
      </c>
      <c r="GC57" s="294"/>
      <c r="GD57" s="294"/>
      <c r="GE57" s="294"/>
      <c r="GF57" s="293">
        <f t="shared" si="99"/>
        <v>0</v>
      </c>
      <c r="GG57" s="300">
        <f t="shared" si="100"/>
        <v>0</v>
      </c>
      <c r="GH57" s="300"/>
      <c r="GI57" s="300"/>
      <c r="GJ57" s="301">
        <f>_xlfn.IFNA((VLOOKUP($A57,HN!$A:$M,8,FALSE)/12),0)</f>
        <v>0</v>
      </c>
      <c r="GK57" s="301">
        <f>_xlfn.IFNA((VLOOKUP($A57,HN!$A:$M,12,FALSE)/12),0)</f>
        <v>0</v>
      </c>
      <c r="GL57" s="301">
        <f>_xlfn.IFNA((VLOOKUP($A57,HN!$A:$M,9,FALSE)/12),0)</f>
        <v>0</v>
      </c>
      <c r="GM57" s="301">
        <f>_xlfn.IFNA((VLOOKUP($A57,'Post 16'!$A:$AG,33,FALSE)/8),0)</f>
        <v>0</v>
      </c>
      <c r="GN57" s="301"/>
      <c r="GO57" s="301">
        <f>_xlfn.IFNA(((VLOOKUP($A57,HN!$A:$M,10,FALSE)-$U57-$AK57)/10),0)</f>
        <v>0</v>
      </c>
      <c r="GP57" s="301">
        <f>_xlfn.IFNA(((VLOOKUP($A57,HN!$A:$M,13,FALSE)-$V57-$AL57)/10),0)</f>
        <v>0</v>
      </c>
      <c r="GQ57" s="300">
        <f t="shared" si="101"/>
        <v>0</v>
      </c>
      <c r="GR57" s="300">
        <f t="shared" si="102"/>
        <v>0</v>
      </c>
      <c r="GS57" s="301"/>
      <c r="GT57" s="301"/>
      <c r="GU57" s="301"/>
      <c r="GV57" s="300">
        <f t="shared" si="103"/>
        <v>0</v>
      </c>
      <c r="GX57" s="146">
        <f t="shared" si="104"/>
        <v>588713.25264515402</v>
      </c>
      <c r="GY57" s="146">
        <f t="shared" si="104"/>
        <v>0</v>
      </c>
      <c r="GZ57" s="146">
        <f t="shared" si="104"/>
        <v>6587.6786703601101</v>
      </c>
      <c r="HA57" s="146">
        <f t="shared" si="104"/>
        <v>0</v>
      </c>
      <c r="HB57" s="146">
        <f t="shared" si="104"/>
        <v>0</v>
      </c>
      <c r="HC57" s="146">
        <f t="shared" si="104"/>
        <v>0</v>
      </c>
      <c r="HE57" s="146">
        <f t="shared" si="105"/>
        <v>453486.61306620663</v>
      </c>
      <c r="HF57" s="146">
        <f t="shared" si="105"/>
        <v>0</v>
      </c>
      <c r="HG57" s="146">
        <f t="shared" si="105"/>
        <v>5027.6786703601101</v>
      </c>
      <c r="HH57" s="146">
        <f t="shared" si="105"/>
        <v>0</v>
      </c>
      <c r="HI57" s="146">
        <f t="shared" si="105"/>
        <v>0</v>
      </c>
      <c r="HJ57" s="146">
        <f t="shared" si="105"/>
        <v>0</v>
      </c>
      <c r="HL57" s="146"/>
      <c r="HM57" s="57"/>
    </row>
    <row r="58" spans="1:221">
      <c r="A58" s="185">
        <v>2294</v>
      </c>
      <c r="B58" s="185">
        <v>103318</v>
      </c>
      <c r="C58" s="185" t="s">
        <v>139</v>
      </c>
      <c r="D58" s="2" t="s">
        <v>140</v>
      </c>
      <c r="E58" s="190" t="s">
        <v>39</v>
      </c>
      <c r="F58" s="190" t="s">
        <v>890</v>
      </c>
      <c r="H58" s="271">
        <f>_xlfn.IFNA(VLOOKUP($A58,ISB!$A$4:$BY$441,67,FALSE),0)</f>
        <v>2654959.5851899525</v>
      </c>
      <c r="I58" s="271">
        <f>_xlfn.IFNA(VLOOKUP($A58,ISB!$A$4:$BY$441,72,FALSE),0)</f>
        <v>-10433.099999999999</v>
      </c>
      <c r="J58" s="271">
        <f>-_xlfn.IFNA(VLOOKUP($A58,ISB!$A$4:$BY$441,76,FALSE),0)</f>
        <v>-50550.069300000003</v>
      </c>
      <c r="K58" s="271">
        <f>_xlfn.IFNA(VLOOKUP($A58,ISB!$A$4:$BY$441,77,FALSE),0)</f>
        <v>2593976.4158899523</v>
      </c>
      <c r="M58" s="279">
        <f t="shared" si="56"/>
        <v>221246.6320991627</v>
      </c>
      <c r="N58" s="279"/>
      <c r="O58" s="279">
        <f>_xlfn.IFNA(VLOOKUP($A58,EY!$A:$H,8,FALSE)+(VLOOKUP($A58,EY!$A:$R,18,FALSE)-$T58),0)</f>
        <v>0</v>
      </c>
      <c r="P58" s="280">
        <f>_xlfn.IFNA((VLOOKUP($A58,HN!$A:$M,8,FALSE)/12),0)</f>
        <v>0</v>
      </c>
      <c r="Q58" s="280">
        <f>_xlfn.IFNA((VLOOKUP($A58,HN!$A:$M,12,FALSE)/12),0)</f>
        <v>0</v>
      </c>
      <c r="R58" s="280">
        <f>_xlfn.IFNA((VLOOKUP($A58,HN!$A:$M,9,FALSE)/12),0)</f>
        <v>0</v>
      </c>
      <c r="S58" s="280">
        <f>_xlfn.IFNA((VLOOKUP($A58,'Post 16'!$A:$AR,22,FALSE)/4),0)</f>
        <v>0</v>
      </c>
      <c r="T58" s="280">
        <f>_xlfn.IFNA((VLOOKUP($A58,EY!$A:$R,16,FALSE)*80%),0)</f>
        <v>0</v>
      </c>
      <c r="U58" s="280">
        <v>26887.709166666667</v>
      </c>
      <c r="V58" s="280">
        <v>0</v>
      </c>
      <c r="W58" s="279">
        <f t="shared" si="57"/>
        <v>-869.42499999999984</v>
      </c>
      <c r="X58" s="279">
        <f t="shared" si="58"/>
        <v>-4212.5057750000005</v>
      </c>
      <c r="Y58" s="280"/>
      <c r="Z58" s="280"/>
      <c r="AA58" s="280"/>
      <c r="AB58" s="279">
        <f t="shared" si="59"/>
        <v>243052.41049082938</v>
      </c>
      <c r="AC58" s="293">
        <f t="shared" si="60"/>
        <v>221246.6320991627</v>
      </c>
      <c r="AD58" s="293"/>
      <c r="AE58" s="293"/>
      <c r="AF58" s="294">
        <f>_xlfn.IFNA((VLOOKUP($A58,HN!$A:$M,8,FALSE)/12),0)</f>
        <v>0</v>
      </c>
      <c r="AG58" s="294">
        <f>_xlfn.IFNA((VLOOKUP($A58,HN!$A:$M,12,FALSE)/12),0)+_xlfn.IFNA(VLOOKUP($A58,HN!$A:$Q,17,FALSE),0)</f>
        <v>0</v>
      </c>
      <c r="AH58" s="294">
        <f>_xlfn.IFNA((VLOOKUP($A58,HN!$A:$M,9,FALSE)/12),0)</f>
        <v>0</v>
      </c>
      <c r="AI58" s="294">
        <f>_xlfn.IFNA((VLOOKUP($A58,'Post 16'!$A:$AR,22,FALSE)/4),0)</f>
        <v>0</v>
      </c>
      <c r="AJ58" s="294"/>
      <c r="AK58" s="294">
        <f>_xlfn.IFNA((VLOOKUP($A58,HN!$A:$M,10,FALSE)/12),0)</f>
        <v>18983.208333333332</v>
      </c>
      <c r="AL58" s="294">
        <f>_xlfn.IFNA((VLOOKUP($A58,HN!$A:$M,13,FALSE)/12),0)</f>
        <v>0</v>
      </c>
      <c r="AM58" s="293">
        <f t="shared" si="61"/>
        <v>-869.42499999999984</v>
      </c>
      <c r="AN58" s="293">
        <f t="shared" si="62"/>
        <v>-4212.5057750000005</v>
      </c>
      <c r="AO58" s="294"/>
      <c r="AP58" s="294"/>
      <c r="AQ58" s="294"/>
      <c r="AR58" s="293">
        <f t="shared" si="63"/>
        <v>235147.90965749606</v>
      </c>
      <c r="AS58" s="286">
        <f t="shared" si="64"/>
        <v>221246.6320991627</v>
      </c>
      <c r="AT58" s="286"/>
      <c r="AU58" s="286">
        <f>_xlfn.IFNA(VLOOKUP(A58,EY!A:AO,40,FALSE),0)</f>
        <v>0</v>
      </c>
      <c r="AV58" s="287">
        <f>_xlfn.IFNA((VLOOKUP($A58,HN!$A:$M,8,FALSE)/12),0)</f>
        <v>0</v>
      </c>
      <c r="AW58" s="287">
        <f>_xlfn.IFNA((VLOOKUP($A58,HN!$A:$M,12,FALSE)/12),0)+_xlfn.IFNA(VLOOKUP($A58,HN!$A$8:$AU$200,19,FALSE),0)</f>
        <v>0</v>
      </c>
      <c r="AX58" s="287">
        <f>_xlfn.IFNA((VLOOKUP($A58,HN!$A:$M,9,FALSE)/12),0)</f>
        <v>0</v>
      </c>
      <c r="AY58" s="287">
        <f>_xlfn.IFNA((VLOOKUP($A58,'Post 16'!$A:$AR,22,FALSE)/4),0)</f>
        <v>0</v>
      </c>
      <c r="AZ58" s="287">
        <f>_xlfn.IFNA(VLOOKUP(A58,EY!A:AO,41,FALSE),0)</f>
        <v>0</v>
      </c>
      <c r="BA58" s="287">
        <f>_xlfn.IFNA(((VLOOKUP($A58,HN!$A:$M,10,FALSE)-$U58-$AK58)/10),0)+_xlfn.IFNA(VLOOKUP($A58,HN!$A:$R,18,FALSE),0)</f>
        <v>18192.758249999999</v>
      </c>
      <c r="BB58" s="287">
        <f>_xlfn.IFNA(((VLOOKUP($A58,HN!$A:$M,13,FALSE)-$V58-$AL58)/10),0)+_xlfn.IFNA(VLOOKUP($A58,HN!$A$8:$AU$200,20,FALSE),0)</f>
        <v>0</v>
      </c>
      <c r="BC58" s="286">
        <f t="shared" si="65"/>
        <v>-869.42499999999984</v>
      </c>
      <c r="BD58" s="286">
        <f t="shared" si="66"/>
        <v>-4212.5057750000005</v>
      </c>
      <c r="BE58" s="287"/>
      <c r="BF58" s="287"/>
      <c r="BG58" s="287"/>
      <c r="BH58" s="286">
        <f t="shared" si="67"/>
        <v>234357.4595741627</v>
      </c>
      <c r="BI58" s="307">
        <f t="shared" si="68"/>
        <v>221246.6320991627</v>
      </c>
      <c r="BJ58" s="307">
        <f>_xlfn.IFNA(VLOOKUP(A58,'LA Deductions'!A:AH,34,FALSE),0)</f>
        <v>0</v>
      </c>
      <c r="BK58" s="307"/>
      <c r="BL58" s="308">
        <f>_xlfn.IFNA((VLOOKUP($A58,HN!$A:$M,8,FALSE)/12),0)</f>
        <v>0</v>
      </c>
      <c r="BM58" s="308">
        <f>_xlfn.IFNA((VLOOKUP($A58,HN!$A:$M,12,FALSE)/12),0)</f>
        <v>0</v>
      </c>
      <c r="BN58" s="308">
        <f>_xlfn.IFNA((VLOOKUP($A58,HN!$A:$M,9,FALSE)/12),0)</f>
        <v>0</v>
      </c>
      <c r="BO58" s="308">
        <f>_xlfn.IFNA((VLOOKUP($A58,'Post 16'!$A:$AR,22,FALSE)/4),0)</f>
        <v>0</v>
      </c>
      <c r="BP58" s="308"/>
      <c r="BQ58" s="308">
        <f>_xlfn.IFNA(((VLOOKUP($A58,HN!$A:$M,10,FALSE)-$U58-$AK58)/10),0)</f>
        <v>18192.758249999999</v>
      </c>
      <c r="BR58" s="308">
        <f>_xlfn.IFNA(((VLOOKUP($A58,HN!$A:$M,13,FALSE)-$V58-$AL58)/10),0)</f>
        <v>0</v>
      </c>
      <c r="BS58" s="307">
        <f t="shared" si="69"/>
        <v>-869.42499999999984</v>
      </c>
      <c r="BT58" s="307">
        <f t="shared" si="70"/>
        <v>-4212.5057750000005</v>
      </c>
      <c r="BU58" s="308"/>
      <c r="BV58" s="308"/>
      <c r="BW58" s="308"/>
      <c r="BX58" s="307">
        <f t="shared" si="71"/>
        <v>234357.4595741627</v>
      </c>
      <c r="BY58" s="300">
        <f t="shared" si="72"/>
        <v>221246.6320991627</v>
      </c>
      <c r="BZ58" s="300"/>
      <c r="CA58" s="300"/>
      <c r="CB58" s="301">
        <f>_xlfn.IFNA((VLOOKUP($A58,HN!$A:$M,8,FALSE)/12),0)</f>
        <v>0</v>
      </c>
      <c r="CC58" s="301">
        <f>_xlfn.IFNA((VLOOKUP($A58,HN!$A:$M,12,FALSE)/12),0)</f>
        <v>0</v>
      </c>
      <c r="CD58" s="301">
        <f>_xlfn.IFNA((VLOOKUP($A58,HN!$A:$M,9,FALSE)/12),0)</f>
        <v>0</v>
      </c>
      <c r="CE58" s="301">
        <f>_xlfn.IFNA((VLOOKUP($A58,'Post 16'!$A:$AG,33,FALSE)/8),0)</f>
        <v>0</v>
      </c>
      <c r="CF58" s="301"/>
      <c r="CG58" s="301">
        <f>_xlfn.IFNA(((VLOOKUP($A58,HN!$A:$M,10,FALSE)-$U58-$AK58)/10),0)</f>
        <v>18192.758249999999</v>
      </c>
      <c r="CH58" s="301">
        <f>_xlfn.IFNA(((VLOOKUP($A58,HN!$A:$M,13,FALSE)-$V58-$AL58)/10),0)</f>
        <v>0</v>
      </c>
      <c r="CI58" s="300">
        <f t="shared" si="73"/>
        <v>-869.42499999999984</v>
      </c>
      <c r="CJ58" s="300">
        <f t="shared" si="74"/>
        <v>-4212.5057750000005</v>
      </c>
      <c r="CK58" s="301"/>
      <c r="CL58" s="301"/>
      <c r="CM58" s="301"/>
      <c r="CN58" s="300">
        <f t="shared" si="75"/>
        <v>234357.4595741627</v>
      </c>
      <c r="CO58" s="332">
        <f t="shared" si="76"/>
        <v>221246.6320991627</v>
      </c>
      <c r="CP58" s="332"/>
      <c r="CQ58" s="332">
        <f>_xlfn.IFNA((VLOOKUP($A58,EY!$A:$AB,28,FALSE)-$CV58),0)</f>
        <v>0</v>
      </c>
      <c r="CR58" s="333">
        <f>_xlfn.IFNA((VLOOKUP($A58,HN!$A:$M,8,FALSE)/12),0)</f>
        <v>0</v>
      </c>
      <c r="CS58" s="333">
        <f>_xlfn.IFNA((VLOOKUP($A58,HN!$A:$M,12,FALSE)/12),0)</f>
        <v>0</v>
      </c>
      <c r="CT58" s="333">
        <f>_xlfn.IFNA((VLOOKUP($A58,HN!$A:$M,9,FALSE)/12),0)</f>
        <v>0</v>
      </c>
      <c r="CU58" s="333">
        <f>_xlfn.IFNA((VLOOKUP($A58,'Post 16'!$A:$AG,33,FALSE)/8),0)</f>
        <v>0</v>
      </c>
      <c r="CV58" s="333">
        <f>_xlfn.IFNA((VLOOKUP($A58,EY!$A:$AB,26,FALSE)*80%),0)</f>
        <v>0</v>
      </c>
      <c r="CW58" s="333">
        <f>_xlfn.IFNA(((VLOOKUP($A58,HN!$A:$M,10,FALSE)-$U58-$AK58)/10),0)</f>
        <v>18192.758249999999</v>
      </c>
      <c r="CX58" s="333">
        <f>_xlfn.IFNA(((VLOOKUP($A58,HN!$A:$M,13,FALSE)-$V58-$AL58)/10),0)</f>
        <v>0</v>
      </c>
      <c r="CY58" s="332">
        <f t="shared" si="77"/>
        <v>-869.42499999999984</v>
      </c>
      <c r="CZ58" s="332">
        <f t="shared" si="78"/>
        <v>-4212.5057750000005</v>
      </c>
      <c r="DA58" s="333"/>
      <c r="DB58" s="333"/>
      <c r="DC58" s="333"/>
      <c r="DD58" s="332">
        <f t="shared" si="79"/>
        <v>234357.4595741627</v>
      </c>
      <c r="DE58" s="314">
        <f t="shared" si="80"/>
        <v>221246.6320991627</v>
      </c>
      <c r="DF58" s="314"/>
      <c r="DG58" s="314"/>
      <c r="DH58" s="315">
        <f>_xlfn.IFNA((VLOOKUP($A58,HN!$A:$M,8,FALSE)/12),0)</f>
        <v>0</v>
      </c>
      <c r="DI58" s="315">
        <f>_xlfn.IFNA((VLOOKUP($A58,HN!$A:$M,12,FALSE)/12),0)</f>
        <v>0</v>
      </c>
      <c r="DJ58" s="315">
        <f>_xlfn.IFNA((VLOOKUP($A58,HN!$A:$M,9,FALSE)/12),0)</f>
        <v>0</v>
      </c>
      <c r="DK58" s="315">
        <f>_xlfn.IFNA((VLOOKUP($A58,'Post 16'!$A:$AG,33,FALSE)/8),0)</f>
        <v>0</v>
      </c>
      <c r="DL58" s="315"/>
      <c r="DM58" s="315">
        <f>_xlfn.IFNA(((VLOOKUP($A58,HN!$A:$M,10,FALSE)-$U58-$AK58)/10),0)</f>
        <v>18192.758249999999</v>
      </c>
      <c r="DN58" s="315">
        <f>_xlfn.IFNA(((VLOOKUP($A58,HN!$A:$M,13,FALSE)-$V58-$AL58)/10),0)</f>
        <v>0</v>
      </c>
      <c r="DO58" s="314">
        <f t="shared" si="81"/>
        <v>-869.42499999999984</v>
      </c>
      <c r="DP58" s="314">
        <f t="shared" si="82"/>
        <v>-4212.5057750000005</v>
      </c>
      <c r="DQ58" s="315"/>
      <c r="DR58" s="315"/>
      <c r="DS58" s="315"/>
      <c r="DT58" s="314">
        <f t="shared" si="83"/>
        <v>234357.4595741627</v>
      </c>
      <c r="DU58" s="307">
        <f t="shared" si="84"/>
        <v>221246.6320991627</v>
      </c>
      <c r="DV58" s="307"/>
      <c r="DW58" s="307"/>
      <c r="DX58" s="308">
        <f>_xlfn.IFNA((VLOOKUP($A58,HN!$A:$M,8,FALSE)/12),0)</f>
        <v>0</v>
      </c>
      <c r="DY58" s="308">
        <f>_xlfn.IFNA((VLOOKUP($A58,HN!$A:$M,12,FALSE)/12),0)</f>
        <v>0</v>
      </c>
      <c r="DZ58" s="308">
        <f>_xlfn.IFNA((VLOOKUP($A58,HN!$A:$M,9,FALSE)/12),0)</f>
        <v>0</v>
      </c>
      <c r="EA58" s="308">
        <f>_xlfn.IFNA((VLOOKUP($A58,'Post 16'!$A:$AG,33,FALSE)/8),0)</f>
        <v>0</v>
      </c>
      <c r="EB58" s="308"/>
      <c r="EC58" s="308">
        <f>_xlfn.IFNA(((VLOOKUP($A58,HN!$A:$M,10,FALSE)-$U58-$AK58)/10),0)</f>
        <v>18192.758249999999</v>
      </c>
      <c r="ED58" s="308">
        <f>_xlfn.IFNA(((VLOOKUP($A58,HN!$A:$M,13,FALSE)-$V58-$AL58)/10),0)</f>
        <v>0</v>
      </c>
      <c r="EE58" s="307">
        <f t="shared" si="85"/>
        <v>-869.42499999999984</v>
      </c>
      <c r="EF58" s="307">
        <f t="shared" si="86"/>
        <v>-4212.5057750000005</v>
      </c>
      <c r="EG58" s="308"/>
      <c r="EH58" s="308"/>
      <c r="EI58" s="308"/>
      <c r="EJ58" s="307">
        <f t="shared" si="87"/>
        <v>234357.4595741627</v>
      </c>
      <c r="EK58" s="320">
        <f t="shared" si="88"/>
        <v>221246.6320991627</v>
      </c>
      <c r="EL58" s="320"/>
      <c r="EM58" s="320"/>
      <c r="EN58" s="321">
        <f>_xlfn.IFNA((VLOOKUP($A58,HN!$A:$M,8,FALSE)/12),0)</f>
        <v>0</v>
      </c>
      <c r="EO58" s="321">
        <f>_xlfn.IFNA((VLOOKUP($A58,HN!$A:$M,12,FALSE)/12),0)</f>
        <v>0</v>
      </c>
      <c r="EP58" s="321">
        <f>_xlfn.IFNA((VLOOKUP($A58,HN!$A:$M,9,FALSE)/12),0)</f>
        <v>0</v>
      </c>
      <c r="EQ58" s="321">
        <f>_xlfn.IFNA((VLOOKUP($A58,'Post 16'!$A:$AG,33,FALSE)/8),0)</f>
        <v>0</v>
      </c>
      <c r="ER58" s="321"/>
      <c r="ES58" s="321">
        <f>_xlfn.IFNA(((VLOOKUP($A58,HN!$A:$M,10,FALSE)-$U58-$AK58)/10),0)</f>
        <v>18192.758249999999</v>
      </c>
      <c r="ET58" s="321">
        <f>_xlfn.IFNA(((VLOOKUP($A58,HN!$A:$M,13,FALSE)-$V58-$AL58)/10),0)</f>
        <v>0</v>
      </c>
      <c r="EU58" s="320">
        <f t="shared" si="89"/>
        <v>-869.42499999999984</v>
      </c>
      <c r="EV58" s="320">
        <f t="shared" si="90"/>
        <v>-4212.5057750000005</v>
      </c>
      <c r="EW58" s="321"/>
      <c r="EX58" s="321"/>
      <c r="EY58" s="321"/>
      <c r="EZ58" s="320">
        <f t="shared" si="91"/>
        <v>234357.4595741627</v>
      </c>
      <c r="FA58" s="286">
        <f t="shared" si="92"/>
        <v>221246.6320991627</v>
      </c>
      <c r="FB58" s="286"/>
      <c r="FC58" s="286"/>
      <c r="FD58" s="287">
        <f>_xlfn.IFNA((VLOOKUP($A58,HN!$A:$M,8,FALSE)/12),0)</f>
        <v>0</v>
      </c>
      <c r="FE58" s="287">
        <f>_xlfn.IFNA((VLOOKUP($A58,HN!$A:$M,12,FALSE)/12),0)</f>
        <v>0</v>
      </c>
      <c r="FF58" s="287">
        <f>_xlfn.IFNA((VLOOKUP($A58,HN!$A:$M,9,FALSE)/12),0)</f>
        <v>0</v>
      </c>
      <c r="FG58" s="287">
        <f>_xlfn.IFNA((VLOOKUP($A58,'Post 16'!$A:$AG,33,FALSE)/8),0)</f>
        <v>0</v>
      </c>
      <c r="FH58" s="287"/>
      <c r="FI58" s="287">
        <f>_xlfn.IFNA(((VLOOKUP($A58,HN!$A:$M,10,FALSE)-$U58-$AK58)/10),0)</f>
        <v>18192.758249999999</v>
      </c>
      <c r="FJ58" s="287">
        <f>_xlfn.IFNA(((VLOOKUP($A58,HN!$A:$M,13,FALSE)-$V58-$AL58)/10),0)</f>
        <v>0</v>
      </c>
      <c r="FK58" s="286">
        <f t="shared" si="93"/>
        <v>-869.42499999999984</v>
      </c>
      <c r="FL58" s="286">
        <f t="shared" si="94"/>
        <v>-4212.5057750000005</v>
      </c>
      <c r="FM58" s="287"/>
      <c r="FN58" s="287"/>
      <c r="FO58" s="287"/>
      <c r="FP58" s="286">
        <f t="shared" si="95"/>
        <v>234357.4595741627</v>
      </c>
      <c r="FQ58" s="293">
        <f t="shared" si="96"/>
        <v>221246.6320991627</v>
      </c>
      <c r="FR58" s="293"/>
      <c r="FS58" s="293"/>
      <c r="FT58" s="294">
        <f>_xlfn.IFNA((VLOOKUP($A58,HN!$A:$M,8,FALSE)/12),0)</f>
        <v>0</v>
      </c>
      <c r="FU58" s="294">
        <f>_xlfn.IFNA((VLOOKUP($A58,HN!$A:$M,12,FALSE)/12),0)</f>
        <v>0</v>
      </c>
      <c r="FV58" s="294">
        <f>_xlfn.IFNA((VLOOKUP($A58,HN!$A:$M,9,FALSE)/12),0)</f>
        <v>0</v>
      </c>
      <c r="FW58" s="294">
        <f>_xlfn.IFNA((VLOOKUP($A58,'Post 16'!$A:$AG,33,FALSE)/8),0)</f>
        <v>0</v>
      </c>
      <c r="FX58" s="294"/>
      <c r="FY58" s="294">
        <f>_xlfn.IFNA(((VLOOKUP($A58,HN!$A:$M,10,FALSE)-$U58-$AK58)/10),0)</f>
        <v>18192.758249999999</v>
      </c>
      <c r="FZ58" s="294">
        <f>_xlfn.IFNA(((VLOOKUP($A58,HN!$A:$M,13,FALSE)-$V58-$AL58)/10),0)</f>
        <v>0</v>
      </c>
      <c r="GA58" s="293">
        <f t="shared" si="97"/>
        <v>-869.42499999999984</v>
      </c>
      <c r="GB58" s="293">
        <f t="shared" si="98"/>
        <v>-4212.5057750000005</v>
      </c>
      <c r="GC58" s="294"/>
      <c r="GD58" s="294"/>
      <c r="GE58" s="294"/>
      <c r="GF58" s="293">
        <f t="shared" si="99"/>
        <v>234357.4595741627</v>
      </c>
      <c r="GG58" s="300">
        <f t="shared" si="100"/>
        <v>221246.6320991627</v>
      </c>
      <c r="GH58" s="300"/>
      <c r="GI58" s="300"/>
      <c r="GJ58" s="301">
        <f>_xlfn.IFNA((VLOOKUP($A58,HN!$A:$M,8,FALSE)/12),0)</f>
        <v>0</v>
      </c>
      <c r="GK58" s="301">
        <f>_xlfn.IFNA((VLOOKUP($A58,HN!$A:$M,12,FALSE)/12),0)</f>
        <v>0</v>
      </c>
      <c r="GL58" s="301">
        <f>_xlfn.IFNA((VLOOKUP($A58,HN!$A:$M,9,FALSE)/12),0)</f>
        <v>0</v>
      </c>
      <c r="GM58" s="301">
        <f>_xlfn.IFNA((VLOOKUP($A58,'Post 16'!$A:$AG,33,FALSE)/8),0)</f>
        <v>0</v>
      </c>
      <c r="GN58" s="301"/>
      <c r="GO58" s="301">
        <f>_xlfn.IFNA(((VLOOKUP($A58,HN!$A:$M,10,FALSE)-$U58-$AK58)/10),0)</f>
        <v>18192.758249999999</v>
      </c>
      <c r="GP58" s="301">
        <f>_xlfn.IFNA(((VLOOKUP($A58,HN!$A:$M,13,FALSE)-$V58-$AL58)/10),0)</f>
        <v>0</v>
      </c>
      <c r="GQ58" s="300">
        <f t="shared" si="101"/>
        <v>-869.42499999999984</v>
      </c>
      <c r="GR58" s="300">
        <f t="shared" si="102"/>
        <v>-4212.5057750000005</v>
      </c>
      <c r="GS58" s="301"/>
      <c r="GT58" s="301"/>
      <c r="GU58" s="301"/>
      <c r="GV58" s="300">
        <f t="shared" si="103"/>
        <v>234357.4595741627</v>
      </c>
      <c r="GX58" s="146">
        <f t="shared" ref="GX58:HC67" si="106">SUMIFS($M58:$GV58,$M$7:$GV$7,GX$7)</f>
        <v>2654959.585189953</v>
      </c>
      <c r="GY58" s="146">
        <f t="shared" si="106"/>
        <v>0</v>
      </c>
      <c r="GZ58" s="146">
        <f t="shared" si="106"/>
        <v>227798.50000000006</v>
      </c>
      <c r="HA58" s="146">
        <f t="shared" si="106"/>
        <v>-10433.099999999999</v>
      </c>
      <c r="HB58" s="146">
        <f t="shared" si="106"/>
        <v>-50550.069299999996</v>
      </c>
      <c r="HC58" s="146">
        <f t="shared" si="106"/>
        <v>0</v>
      </c>
      <c r="HE58" s="146">
        <f t="shared" ref="HE58:HJ67" si="107">SUMIFS($M58:$GV58,$M$7:$GV$7,HE$7,$M$4:$GV$4,$HE$6)</f>
        <v>663739.89629748813</v>
      </c>
      <c r="HF58" s="146">
        <f t="shared" si="107"/>
        <v>0</v>
      </c>
      <c r="HG58" s="146">
        <f t="shared" si="107"/>
        <v>64063.675749999995</v>
      </c>
      <c r="HH58" s="146">
        <f t="shared" si="107"/>
        <v>-2608.2749999999996</v>
      </c>
      <c r="HI58" s="146">
        <f t="shared" si="107"/>
        <v>-12637.517325000001</v>
      </c>
      <c r="HJ58" s="146">
        <f t="shared" si="107"/>
        <v>0</v>
      </c>
      <c r="HL58" s="146"/>
      <c r="HM58" s="57"/>
    </row>
    <row r="59" spans="1:221">
      <c r="A59" s="185">
        <v>2486</v>
      </c>
      <c r="B59" s="185">
        <v>133759</v>
      </c>
      <c r="C59" s="185" t="s">
        <v>141</v>
      </c>
      <c r="D59" s="2" t="s">
        <v>142</v>
      </c>
      <c r="E59" s="190" t="s">
        <v>39</v>
      </c>
      <c r="F59" s="190" t="s">
        <v>890</v>
      </c>
      <c r="H59" s="271">
        <f>_xlfn.IFNA(VLOOKUP($A59,ISB!$A$4:$BY$441,67,FALSE),0)</f>
        <v>1377854.6758838289</v>
      </c>
      <c r="I59" s="271">
        <f>_xlfn.IFNA(VLOOKUP($A59,ISB!$A$4:$BY$441,72,FALSE),0)</f>
        <v>-4681.2</v>
      </c>
      <c r="J59" s="271">
        <f>-_xlfn.IFNA(VLOOKUP($A59,ISB!$A$4:$BY$441,76,FALSE),0)</f>
        <v>-4187.2213000000002</v>
      </c>
      <c r="K59" s="271">
        <f>_xlfn.IFNA(VLOOKUP($A59,ISB!$A$4:$BY$441,77,FALSE),0)</f>
        <v>1368986.2545838288</v>
      </c>
      <c r="M59" s="279">
        <f t="shared" si="56"/>
        <v>114821.22299031907</v>
      </c>
      <c r="N59" s="279"/>
      <c r="O59" s="279">
        <f>_xlfn.IFNA(VLOOKUP($A59,EY!$A:$H,8,FALSE)+(VLOOKUP($A59,EY!$A:$R,18,FALSE)-$T59),0)</f>
        <v>21399.144</v>
      </c>
      <c r="P59" s="280">
        <f>_xlfn.IFNA((VLOOKUP($A59,HN!$A:$M,8,FALSE)/12),0)</f>
        <v>0</v>
      </c>
      <c r="Q59" s="280">
        <f>_xlfn.IFNA((VLOOKUP($A59,HN!$A:$M,12,FALSE)/12),0)</f>
        <v>0</v>
      </c>
      <c r="R59" s="280">
        <f>_xlfn.IFNA((VLOOKUP($A59,HN!$A:$M,9,FALSE)/12),0)</f>
        <v>0</v>
      </c>
      <c r="S59" s="280">
        <f>_xlfn.IFNA((VLOOKUP($A59,'Post 16'!$A:$AR,22,FALSE)/4),0)</f>
        <v>0</v>
      </c>
      <c r="T59" s="280">
        <f>_xlfn.IFNA((VLOOKUP($A59,EY!$A:$R,16,FALSE)*80%),0)</f>
        <v>0</v>
      </c>
      <c r="U59" s="280">
        <v>14359.173333333334</v>
      </c>
      <c r="V59" s="280">
        <v>0</v>
      </c>
      <c r="W59" s="279">
        <f t="shared" si="57"/>
        <v>-390.09999999999997</v>
      </c>
      <c r="X59" s="279">
        <f t="shared" si="58"/>
        <v>-348.93510833333335</v>
      </c>
      <c r="Y59" s="280"/>
      <c r="Z59" s="280"/>
      <c r="AA59" s="280"/>
      <c r="AB59" s="279">
        <f t="shared" si="59"/>
        <v>149840.50521531908</v>
      </c>
      <c r="AC59" s="293">
        <f t="shared" si="60"/>
        <v>114821.22299031907</v>
      </c>
      <c r="AD59" s="293"/>
      <c r="AE59" s="293"/>
      <c r="AF59" s="294">
        <f>_xlfn.IFNA((VLOOKUP($A59,HN!$A:$M,8,FALSE)/12),0)</f>
        <v>0</v>
      </c>
      <c r="AG59" s="294">
        <f>_xlfn.IFNA((VLOOKUP($A59,HN!$A:$M,12,FALSE)/12),0)+_xlfn.IFNA(VLOOKUP($A59,HN!$A:$Q,17,FALSE),0)</f>
        <v>0</v>
      </c>
      <c r="AH59" s="294">
        <f>_xlfn.IFNA((VLOOKUP($A59,HN!$A:$M,9,FALSE)/12),0)</f>
        <v>0</v>
      </c>
      <c r="AI59" s="294">
        <f>_xlfn.IFNA((VLOOKUP($A59,'Post 16'!$A:$AR,22,FALSE)/4),0)</f>
        <v>0</v>
      </c>
      <c r="AJ59" s="294"/>
      <c r="AK59" s="294">
        <f>_xlfn.IFNA((VLOOKUP($A59,HN!$A:$M,10,FALSE)/12),0)</f>
        <v>9313.9166666666661</v>
      </c>
      <c r="AL59" s="294">
        <f>_xlfn.IFNA((VLOOKUP($A59,HN!$A:$M,13,FALSE)/12),0)</f>
        <v>0</v>
      </c>
      <c r="AM59" s="293">
        <f t="shared" si="61"/>
        <v>-390.09999999999997</v>
      </c>
      <c r="AN59" s="293">
        <f t="shared" si="62"/>
        <v>-348.93510833333335</v>
      </c>
      <c r="AO59" s="294"/>
      <c r="AP59" s="294"/>
      <c r="AQ59" s="294"/>
      <c r="AR59" s="293">
        <f t="shared" si="63"/>
        <v>123396.10454865241</v>
      </c>
      <c r="AS59" s="286">
        <f t="shared" si="64"/>
        <v>114821.22299031907</v>
      </c>
      <c r="AT59" s="286"/>
      <c r="AU59" s="286">
        <f>_xlfn.IFNA(VLOOKUP(A59,EY!A:AO,40,FALSE),0)</f>
        <v>279.81335180055692</v>
      </c>
      <c r="AV59" s="287">
        <f>_xlfn.IFNA((VLOOKUP($A59,HN!$A:$M,8,FALSE)/12),0)</f>
        <v>0</v>
      </c>
      <c r="AW59" s="287">
        <f>_xlfn.IFNA((VLOOKUP($A59,HN!$A:$M,12,FALSE)/12),0)+_xlfn.IFNA(VLOOKUP($A59,HN!$A$8:$AU$200,19,FALSE),0)</f>
        <v>0</v>
      </c>
      <c r="AX59" s="287">
        <f>_xlfn.IFNA((VLOOKUP($A59,HN!$A:$M,9,FALSE)/12),0)</f>
        <v>0</v>
      </c>
      <c r="AY59" s="287">
        <f>_xlfn.IFNA((VLOOKUP($A59,'Post 16'!$A:$AR,22,FALSE)/4),0)</f>
        <v>0</v>
      </c>
      <c r="AZ59" s="287">
        <f>_xlfn.IFNA(VLOOKUP(A59,EY!A:AO,41,FALSE),0)</f>
        <v>0</v>
      </c>
      <c r="BA59" s="287">
        <f>_xlfn.IFNA(((VLOOKUP($A59,HN!$A:$M,10,FALSE)-$U59-$AK59)/10),0)+_xlfn.IFNA(VLOOKUP($A59,HN!$A:$R,18,FALSE),0)</f>
        <v>8809.3909999999996</v>
      </c>
      <c r="BB59" s="287">
        <f>_xlfn.IFNA(((VLOOKUP($A59,HN!$A:$M,13,FALSE)-$V59-$AL59)/10),0)+_xlfn.IFNA(VLOOKUP($A59,HN!$A$8:$AU$200,20,FALSE),0)</f>
        <v>0</v>
      </c>
      <c r="BC59" s="286">
        <f t="shared" si="65"/>
        <v>-390.09999999999997</v>
      </c>
      <c r="BD59" s="286">
        <f t="shared" si="66"/>
        <v>-348.93510833333335</v>
      </c>
      <c r="BE59" s="287"/>
      <c r="BF59" s="287"/>
      <c r="BG59" s="287"/>
      <c r="BH59" s="286">
        <f t="shared" si="67"/>
        <v>123171.3922337863</v>
      </c>
      <c r="BI59" s="307">
        <f t="shared" si="68"/>
        <v>114821.22299031907</v>
      </c>
      <c r="BJ59" s="307">
        <f>_xlfn.IFNA(VLOOKUP(A59,'LA Deductions'!A:AH,34,FALSE),0)</f>
        <v>0</v>
      </c>
      <c r="BK59" s="307"/>
      <c r="BL59" s="308">
        <f>_xlfn.IFNA((VLOOKUP($A59,HN!$A:$M,8,FALSE)/12),0)</f>
        <v>0</v>
      </c>
      <c r="BM59" s="308">
        <f>_xlfn.IFNA((VLOOKUP($A59,HN!$A:$M,12,FALSE)/12),0)</f>
        <v>0</v>
      </c>
      <c r="BN59" s="308">
        <f>_xlfn.IFNA((VLOOKUP($A59,HN!$A:$M,9,FALSE)/12),0)</f>
        <v>0</v>
      </c>
      <c r="BO59" s="308">
        <f>_xlfn.IFNA((VLOOKUP($A59,'Post 16'!$A:$AR,22,FALSE)/4),0)</f>
        <v>0</v>
      </c>
      <c r="BP59" s="308"/>
      <c r="BQ59" s="308">
        <f>_xlfn.IFNA(((VLOOKUP($A59,HN!$A:$M,10,FALSE)-$U59-$AK59)/10),0)</f>
        <v>8809.3909999999996</v>
      </c>
      <c r="BR59" s="308">
        <f>_xlfn.IFNA(((VLOOKUP($A59,HN!$A:$M,13,FALSE)-$V59-$AL59)/10),0)</f>
        <v>0</v>
      </c>
      <c r="BS59" s="307">
        <f t="shared" si="69"/>
        <v>-390.09999999999997</v>
      </c>
      <c r="BT59" s="307">
        <f t="shared" si="70"/>
        <v>-348.93510833333335</v>
      </c>
      <c r="BU59" s="308"/>
      <c r="BV59" s="308"/>
      <c r="BW59" s="308"/>
      <c r="BX59" s="307">
        <f t="shared" si="71"/>
        <v>122891.57888198574</v>
      </c>
      <c r="BY59" s="300">
        <f t="shared" si="72"/>
        <v>114821.22299031907</v>
      </c>
      <c r="BZ59" s="300"/>
      <c r="CA59" s="300"/>
      <c r="CB59" s="301">
        <f>_xlfn.IFNA((VLOOKUP($A59,HN!$A:$M,8,FALSE)/12),0)</f>
        <v>0</v>
      </c>
      <c r="CC59" s="301">
        <f>_xlfn.IFNA((VLOOKUP($A59,HN!$A:$M,12,FALSE)/12),0)</f>
        <v>0</v>
      </c>
      <c r="CD59" s="301">
        <f>_xlfn.IFNA((VLOOKUP($A59,HN!$A:$M,9,FALSE)/12),0)</f>
        <v>0</v>
      </c>
      <c r="CE59" s="301">
        <f>_xlfn.IFNA((VLOOKUP($A59,'Post 16'!$A:$AG,33,FALSE)/8),0)</f>
        <v>0</v>
      </c>
      <c r="CF59" s="301"/>
      <c r="CG59" s="301">
        <f>_xlfn.IFNA(((VLOOKUP($A59,HN!$A:$M,10,FALSE)-$U59-$AK59)/10),0)</f>
        <v>8809.3909999999996</v>
      </c>
      <c r="CH59" s="301">
        <f>_xlfn.IFNA(((VLOOKUP($A59,HN!$A:$M,13,FALSE)-$V59-$AL59)/10),0)</f>
        <v>0</v>
      </c>
      <c r="CI59" s="300">
        <f t="shared" si="73"/>
        <v>-390.09999999999997</v>
      </c>
      <c r="CJ59" s="300">
        <f t="shared" si="74"/>
        <v>-348.93510833333335</v>
      </c>
      <c r="CK59" s="301"/>
      <c r="CL59" s="301"/>
      <c r="CM59" s="301"/>
      <c r="CN59" s="300">
        <f t="shared" si="75"/>
        <v>122891.57888198574</v>
      </c>
      <c r="CO59" s="332">
        <f t="shared" si="76"/>
        <v>114821.22299031907</v>
      </c>
      <c r="CP59" s="332"/>
      <c r="CQ59" s="332">
        <f>_xlfn.IFNA((VLOOKUP($A59,EY!$A:$AB,28,FALSE)-$CV59),0)</f>
        <v>14462.136000000002</v>
      </c>
      <c r="CR59" s="333">
        <f>_xlfn.IFNA((VLOOKUP($A59,HN!$A:$M,8,FALSE)/12),0)</f>
        <v>0</v>
      </c>
      <c r="CS59" s="333">
        <f>_xlfn.IFNA((VLOOKUP($A59,HN!$A:$M,12,FALSE)/12),0)</f>
        <v>0</v>
      </c>
      <c r="CT59" s="333">
        <f>_xlfn.IFNA((VLOOKUP($A59,HN!$A:$M,9,FALSE)/12),0)</f>
        <v>0</v>
      </c>
      <c r="CU59" s="333">
        <f>_xlfn.IFNA((VLOOKUP($A59,'Post 16'!$A:$AG,33,FALSE)/8),0)</f>
        <v>0</v>
      </c>
      <c r="CV59" s="333">
        <f>_xlfn.IFNA((VLOOKUP($A59,EY!$A:$AB,26,FALSE)*80%),0)</f>
        <v>0</v>
      </c>
      <c r="CW59" s="333">
        <f>_xlfn.IFNA(((VLOOKUP($A59,HN!$A:$M,10,FALSE)-$U59-$AK59)/10),0)</f>
        <v>8809.3909999999996</v>
      </c>
      <c r="CX59" s="333">
        <f>_xlfn.IFNA(((VLOOKUP($A59,HN!$A:$M,13,FALSE)-$V59-$AL59)/10),0)</f>
        <v>0</v>
      </c>
      <c r="CY59" s="332">
        <f t="shared" si="77"/>
        <v>-390.09999999999997</v>
      </c>
      <c r="CZ59" s="332">
        <f t="shared" si="78"/>
        <v>-348.93510833333335</v>
      </c>
      <c r="DA59" s="333"/>
      <c r="DB59" s="333"/>
      <c r="DC59" s="333"/>
      <c r="DD59" s="332">
        <f t="shared" si="79"/>
        <v>137353.71488198574</v>
      </c>
      <c r="DE59" s="314">
        <f t="shared" si="80"/>
        <v>114821.22299031907</v>
      </c>
      <c r="DF59" s="314"/>
      <c r="DG59" s="314"/>
      <c r="DH59" s="315">
        <f>_xlfn.IFNA((VLOOKUP($A59,HN!$A:$M,8,FALSE)/12),0)</f>
        <v>0</v>
      </c>
      <c r="DI59" s="315">
        <f>_xlfn.IFNA((VLOOKUP($A59,HN!$A:$M,12,FALSE)/12),0)</f>
        <v>0</v>
      </c>
      <c r="DJ59" s="315">
        <f>_xlfn.IFNA((VLOOKUP($A59,HN!$A:$M,9,FALSE)/12),0)</f>
        <v>0</v>
      </c>
      <c r="DK59" s="315">
        <f>_xlfn.IFNA((VLOOKUP($A59,'Post 16'!$A:$AG,33,FALSE)/8),0)</f>
        <v>0</v>
      </c>
      <c r="DL59" s="315"/>
      <c r="DM59" s="315">
        <f>_xlfn.IFNA(((VLOOKUP($A59,HN!$A:$M,10,FALSE)-$U59-$AK59)/10),0)</f>
        <v>8809.3909999999996</v>
      </c>
      <c r="DN59" s="315">
        <f>_xlfn.IFNA(((VLOOKUP($A59,HN!$A:$M,13,FALSE)-$V59-$AL59)/10),0)</f>
        <v>0</v>
      </c>
      <c r="DO59" s="314">
        <f t="shared" si="81"/>
        <v>-390.09999999999997</v>
      </c>
      <c r="DP59" s="314">
        <f t="shared" si="82"/>
        <v>-348.93510833333335</v>
      </c>
      <c r="DQ59" s="315"/>
      <c r="DR59" s="315"/>
      <c r="DS59" s="315"/>
      <c r="DT59" s="314">
        <f t="shared" si="83"/>
        <v>122891.57888198574</v>
      </c>
      <c r="DU59" s="307">
        <f t="shared" si="84"/>
        <v>114821.22299031907</v>
      </c>
      <c r="DV59" s="307"/>
      <c r="DW59" s="307"/>
      <c r="DX59" s="308">
        <f>_xlfn.IFNA((VLOOKUP($A59,HN!$A:$M,8,FALSE)/12),0)</f>
        <v>0</v>
      </c>
      <c r="DY59" s="308">
        <f>_xlfn.IFNA((VLOOKUP($A59,HN!$A:$M,12,FALSE)/12),0)</f>
        <v>0</v>
      </c>
      <c r="DZ59" s="308">
        <f>_xlfn.IFNA((VLOOKUP($A59,HN!$A:$M,9,FALSE)/12),0)</f>
        <v>0</v>
      </c>
      <c r="EA59" s="308">
        <f>_xlfn.IFNA((VLOOKUP($A59,'Post 16'!$A:$AG,33,FALSE)/8),0)</f>
        <v>0</v>
      </c>
      <c r="EB59" s="308"/>
      <c r="EC59" s="308">
        <f>_xlfn.IFNA(((VLOOKUP($A59,HN!$A:$M,10,FALSE)-$U59-$AK59)/10),0)</f>
        <v>8809.3909999999996</v>
      </c>
      <c r="ED59" s="308">
        <f>_xlfn.IFNA(((VLOOKUP($A59,HN!$A:$M,13,FALSE)-$V59-$AL59)/10),0)</f>
        <v>0</v>
      </c>
      <c r="EE59" s="307">
        <f t="shared" si="85"/>
        <v>-390.09999999999997</v>
      </c>
      <c r="EF59" s="307">
        <f t="shared" si="86"/>
        <v>-348.93510833333335</v>
      </c>
      <c r="EG59" s="308"/>
      <c r="EH59" s="308"/>
      <c r="EI59" s="308"/>
      <c r="EJ59" s="307">
        <f t="shared" si="87"/>
        <v>122891.57888198574</v>
      </c>
      <c r="EK59" s="320">
        <f t="shared" si="88"/>
        <v>114821.22299031907</v>
      </c>
      <c r="EL59" s="320"/>
      <c r="EM59" s="320"/>
      <c r="EN59" s="321">
        <f>_xlfn.IFNA((VLOOKUP($A59,HN!$A:$M,8,FALSE)/12),0)</f>
        <v>0</v>
      </c>
      <c r="EO59" s="321">
        <f>_xlfn.IFNA((VLOOKUP($A59,HN!$A:$M,12,FALSE)/12),0)</f>
        <v>0</v>
      </c>
      <c r="EP59" s="321">
        <f>_xlfn.IFNA((VLOOKUP($A59,HN!$A:$M,9,FALSE)/12),0)</f>
        <v>0</v>
      </c>
      <c r="EQ59" s="321">
        <f>_xlfn.IFNA((VLOOKUP($A59,'Post 16'!$A:$AG,33,FALSE)/8),0)</f>
        <v>0</v>
      </c>
      <c r="ER59" s="321"/>
      <c r="ES59" s="321">
        <f>_xlfn.IFNA(((VLOOKUP($A59,HN!$A:$M,10,FALSE)-$U59-$AK59)/10),0)</f>
        <v>8809.3909999999996</v>
      </c>
      <c r="ET59" s="321">
        <f>_xlfn.IFNA(((VLOOKUP($A59,HN!$A:$M,13,FALSE)-$V59-$AL59)/10),0)</f>
        <v>0</v>
      </c>
      <c r="EU59" s="320">
        <f t="shared" si="89"/>
        <v>-390.09999999999997</v>
      </c>
      <c r="EV59" s="320">
        <f t="shared" si="90"/>
        <v>-348.93510833333335</v>
      </c>
      <c r="EW59" s="321"/>
      <c r="EX59" s="321"/>
      <c r="EY59" s="321"/>
      <c r="EZ59" s="320">
        <f t="shared" si="91"/>
        <v>122891.57888198574</v>
      </c>
      <c r="FA59" s="286">
        <f t="shared" si="92"/>
        <v>114821.22299031907</v>
      </c>
      <c r="FB59" s="286"/>
      <c r="FC59" s="286"/>
      <c r="FD59" s="287">
        <f>_xlfn.IFNA((VLOOKUP($A59,HN!$A:$M,8,FALSE)/12),0)</f>
        <v>0</v>
      </c>
      <c r="FE59" s="287">
        <f>_xlfn.IFNA((VLOOKUP($A59,HN!$A:$M,12,FALSE)/12),0)</f>
        <v>0</v>
      </c>
      <c r="FF59" s="287">
        <f>_xlfn.IFNA((VLOOKUP($A59,HN!$A:$M,9,FALSE)/12),0)</f>
        <v>0</v>
      </c>
      <c r="FG59" s="287">
        <f>_xlfn.IFNA((VLOOKUP($A59,'Post 16'!$A:$AG,33,FALSE)/8),0)</f>
        <v>0</v>
      </c>
      <c r="FH59" s="287"/>
      <c r="FI59" s="287">
        <f>_xlfn.IFNA(((VLOOKUP($A59,HN!$A:$M,10,FALSE)-$U59-$AK59)/10),0)</f>
        <v>8809.3909999999996</v>
      </c>
      <c r="FJ59" s="287">
        <f>_xlfn.IFNA(((VLOOKUP($A59,HN!$A:$M,13,FALSE)-$V59-$AL59)/10),0)</f>
        <v>0</v>
      </c>
      <c r="FK59" s="286">
        <f t="shared" si="93"/>
        <v>-390.09999999999997</v>
      </c>
      <c r="FL59" s="286">
        <f t="shared" si="94"/>
        <v>-348.93510833333335</v>
      </c>
      <c r="FM59" s="287"/>
      <c r="FN59" s="287"/>
      <c r="FO59" s="287"/>
      <c r="FP59" s="286">
        <f t="shared" si="95"/>
        <v>122891.57888198574</v>
      </c>
      <c r="FQ59" s="293">
        <f t="shared" si="96"/>
        <v>114821.22299031907</v>
      </c>
      <c r="FR59" s="293"/>
      <c r="FS59" s="293"/>
      <c r="FT59" s="294">
        <f>_xlfn.IFNA((VLOOKUP($A59,HN!$A:$M,8,FALSE)/12),0)</f>
        <v>0</v>
      </c>
      <c r="FU59" s="294">
        <f>_xlfn.IFNA((VLOOKUP($A59,HN!$A:$M,12,FALSE)/12),0)</f>
        <v>0</v>
      </c>
      <c r="FV59" s="294">
        <f>_xlfn.IFNA((VLOOKUP($A59,HN!$A:$M,9,FALSE)/12),0)</f>
        <v>0</v>
      </c>
      <c r="FW59" s="294">
        <f>_xlfn.IFNA((VLOOKUP($A59,'Post 16'!$A:$AG,33,FALSE)/8),0)</f>
        <v>0</v>
      </c>
      <c r="FX59" s="294"/>
      <c r="FY59" s="294">
        <f>_xlfn.IFNA(((VLOOKUP($A59,HN!$A:$M,10,FALSE)-$U59-$AK59)/10),0)</f>
        <v>8809.3909999999996</v>
      </c>
      <c r="FZ59" s="294">
        <f>_xlfn.IFNA(((VLOOKUP($A59,HN!$A:$M,13,FALSE)-$V59-$AL59)/10),0)</f>
        <v>0</v>
      </c>
      <c r="GA59" s="293">
        <f t="shared" si="97"/>
        <v>-390.09999999999997</v>
      </c>
      <c r="GB59" s="293">
        <f t="shared" si="98"/>
        <v>-348.93510833333335</v>
      </c>
      <c r="GC59" s="294"/>
      <c r="GD59" s="294"/>
      <c r="GE59" s="294"/>
      <c r="GF59" s="293">
        <f t="shared" si="99"/>
        <v>122891.57888198574</v>
      </c>
      <c r="GG59" s="300">
        <f t="shared" si="100"/>
        <v>114821.22299031907</v>
      </c>
      <c r="GH59" s="300"/>
      <c r="GI59" s="300"/>
      <c r="GJ59" s="301">
        <f>_xlfn.IFNA((VLOOKUP($A59,HN!$A:$M,8,FALSE)/12),0)</f>
        <v>0</v>
      </c>
      <c r="GK59" s="301">
        <f>_xlfn.IFNA((VLOOKUP($A59,HN!$A:$M,12,FALSE)/12),0)</f>
        <v>0</v>
      </c>
      <c r="GL59" s="301">
        <f>_xlfn.IFNA((VLOOKUP($A59,HN!$A:$M,9,FALSE)/12),0)</f>
        <v>0</v>
      </c>
      <c r="GM59" s="301">
        <f>_xlfn.IFNA((VLOOKUP($A59,'Post 16'!$A:$AG,33,FALSE)/8),0)</f>
        <v>0</v>
      </c>
      <c r="GN59" s="301"/>
      <c r="GO59" s="301">
        <f>_xlfn.IFNA(((VLOOKUP($A59,HN!$A:$M,10,FALSE)-$U59-$AK59)/10),0)</f>
        <v>8809.3909999999996</v>
      </c>
      <c r="GP59" s="301">
        <f>_xlfn.IFNA(((VLOOKUP($A59,HN!$A:$M,13,FALSE)-$V59-$AL59)/10),0)</f>
        <v>0</v>
      </c>
      <c r="GQ59" s="300">
        <f t="shared" si="101"/>
        <v>-390.09999999999997</v>
      </c>
      <c r="GR59" s="300">
        <f t="shared" si="102"/>
        <v>-348.93510833333335</v>
      </c>
      <c r="GS59" s="301"/>
      <c r="GT59" s="301"/>
      <c r="GU59" s="301"/>
      <c r="GV59" s="300">
        <f t="shared" si="103"/>
        <v>122891.57888198574</v>
      </c>
      <c r="GX59" s="146">
        <f t="shared" si="106"/>
        <v>1413995.7692356298</v>
      </c>
      <c r="GY59" s="146">
        <f t="shared" si="106"/>
        <v>0</v>
      </c>
      <c r="GZ59" s="146">
        <f t="shared" si="106"/>
        <v>111767.00000000003</v>
      </c>
      <c r="HA59" s="146">
        <f t="shared" si="106"/>
        <v>-4681.2</v>
      </c>
      <c r="HB59" s="146">
        <f t="shared" si="106"/>
        <v>-4187.2212999999992</v>
      </c>
      <c r="HC59" s="146">
        <f t="shared" si="106"/>
        <v>0</v>
      </c>
      <c r="HE59" s="146">
        <f t="shared" si="107"/>
        <v>366142.6263227578</v>
      </c>
      <c r="HF59" s="146">
        <f t="shared" si="107"/>
        <v>0</v>
      </c>
      <c r="HG59" s="146">
        <f t="shared" si="107"/>
        <v>32482.481</v>
      </c>
      <c r="HH59" s="146">
        <f t="shared" si="107"/>
        <v>-1170.3</v>
      </c>
      <c r="HI59" s="146">
        <f t="shared" si="107"/>
        <v>-1046.805325</v>
      </c>
      <c r="HJ59" s="146">
        <f t="shared" si="107"/>
        <v>0</v>
      </c>
      <c r="HL59" s="146"/>
      <c r="HM59" s="57"/>
    </row>
    <row r="60" spans="1:221">
      <c r="A60" s="185">
        <v>3435</v>
      </c>
      <c r="B60" s="185">
        <v>131920</v>
      </c>
      <c r="C60" s="185" t="s">
        <v>143</v>
      </c>
      <c r="D60" s="2" t="s">
        <v>144</v>
      </c>
      <c r="E60" s="190" t="s">
        <v>39</v>
      </c>
      <c r="F60" s="190" t="s">
        <v>890</v>
      </c>
      <c r="H60" s="271">
        <f>_xlfn.IFNA(VLOOKUP($A60,ISB!$A$4:$BY$441,67,FALSE),0)</f>
        <v>2156368.2420000001</v>
      </c>
      <c r="I60" s="271">
        <f>_xlfn.IFNA(VLOOKUP($A60,ISB!$A$4:$BY$441,72,FALSE),0)</f>
        <v>-10458</v>
      </c>
      <c r="J60" s="271">
        <f>-_xlfn.IFNA(VLOOKUP($A60,ISB!$A$4:$BY$441,76,FALSE),0)</f>
        <v>-8068.2420000000002</v>
      </c>
      <c r="K60" s="271">
        <f>_xlfn.IFNA(VLOOKUP($A60,ISB!$A$4:$BY$441,77,FALSE),0)</f>
        <v>2137842</v>
      </c>
      <c r="M60" s="279">
        <f t="shared" si="56"/>
        <v>179697.3535</v>
      </c>
      <c r="N60" s="279"/>
      <c r="O60" s="279">
        <f>_xlfn.IFNA(VLOOKUP($A60,EY!$A:$H,8,FALSE)+(VLOOKUP($A60,EY!$A:$R,18,FALSE)-$T60),0)</f>
        <v>0</v>
      </c>
      <c r="P60" s="280">
        <f>_xlfn.IFNA((VLOOKUP($A60,HN!$A:$M,8,FALSE)/12),0)</f>
        <v>0</v>
      </c>
      <c r="Q60" s="280">
        <f>_xlfn.IFNA((VLOOKUP($A60,HN!$A:$M,12,FALSE)/12),0)</f>
        <v>0</v>
      </c>
      <c r="R60" s="280">
        <f>_xlfn.IFNA((VLOOKUP($A60,HN!$A:$M,9,FALSE)/12),0)</f>
        <v>0</v>
      </c>
      <c r="S60" s="280">
        <f>_xlfn.IFNA((VLOOKUP($A60,'Post 16'!$A:$AR,22,FALSE)/4),0)</f>
        <v>0</v>
      </c>
      <c r="T60" s="280">
        <f>_xlfn.IFNA((VLOOKUP($A60,EY!$A:$R,16,FALSE)*80%),0)</f>
        <v>0</v>
      </c>
      <c r="U60" s="280">
        <v>24050.090833333332</v>
      </c>
      <c r="V60" s="280">
        <v>0</v>
      </c>
      <c r="W60" s="279">
        <f t="shared" si="57"/>
        <v>-871.5</v>
      </c>
      <c r="X60" s="279">
        <f t="shared" si="58"/>
        <v>-672.35350000000005</v>
      </c>
      <c r="Y60" s="280"/>
      <c r="Z60" s="280"/>
      <c r="AA60" s="280"/>
      <c r="AB60" s="279">
        <f t="shared" si="59"/>
        <v>202203.59083333332</v>
      </c>
      <c r="AC60" s="293">
        <f t="shared" si="60"/>
        <v>179697.3535</v>
      </c>
      <c r="AD60" s="293"/>
      <c r="AE60" s="293"/>
      <c r="AF60" s="294">
        <f>_xlfn.IFNA((VLOOKUP($A60,HN!$A:$M,8,FALSE)/12),0)</f>
        <v>0</v>
      </c>
      <c r="AG60" s="294">
        <f>_xlfn.IFNA((VLOOKUP($A60,HN!$A:$M,12,FALSE)/12),0)+_xlfn.IFNA(VLOOKUP($A60,HN!$A:$Q,17,FALSE),0)</f>
        <v>0</v>
      </c>
      <c r="AH60" s="294">
        <f>_xlfn.IFNA((VLOOKUP($A60,HN!$A:$M,9,FALSE)/12),0)</f>
        <v>0</v>
      </c>
      <c r="AI60" s="294">
        <f>_xlfn.IFNA((VLOOKUP($A60,'Post 16'!$A:$AR,22,FALSE)/4),0)</f>
        <v>0</v>
      </c>
      <c r="AJ60" s="294"/>
      <c r="AK60" s="294">
        <f>_xlfn.IFNA((VLOOKUP($A60,HN!$A:$M,10,FALSE)/12),0)</f>
        <v>12632.1875</v>
      </c>
      <c r="AL60" s="294">
        <f>_xlfn.IFNA((VLOOKUP($A60,HN!$A:$M,13,FALSE)/12),0)</f>
        <v>0</v>
      </c>
      <c r="AM60" s="293">
        <f t="shared" si="61"/>
        <v>-871.5</v>
      </c>
      <c r="AN60" s="293">
        <f t="shared" si="62"/>
        <v>-672.35350000000005</v>
      </c>
      <c r="AO60" s="294"/>
      <c r="AP60" s="294"/>
      <c r="AQ60" s="294"/>
      <c r="AR60" s="293">
        <f t="shared" si="63"/>
        <v>190785.6875</v>
      </c>
      <c r="AS60" s="286">
        <f t="shared" si="64"/>
        <v>179697.3535</v>
      </c>
      <c r="AT60" s="286"/>
      <c r="AU60" s="286">
        <f>_xlfn.IFNA(VLOOKUP(A60,EY!A:AO,40,FALSE),0)</f>
        <v>0</v>
      </c>
      <c r="AV60" s="287">
        <f>_xlfn.IFNA((VLOOKUP($A60,HN!$A:$M,8,FALSE)/12),0)</f>
        <v>0</v>
      </c>
      <c r="AW60" s="287">
        <f>_xlfn.IFNA((VLOOKUP($A60,HN!$A:$M,12,FALSE)/12),0)+_xlfn.IFNA(VLOOKUP($A60,HN!$A$8:$AU$200,19,FALSE),0)</f>
        <v>0</v>
      </c>
      <c r="AX60" s="287">
        <f>_xlfn.IFNA((VLOOKUP($A60,HN!$A:$M,9,FALSE)/12),0)</f>
        <v>0</v>
      </c>
      <c r="AY60" s="287">
        <f>_xlfn.IFNA((VLOOKUP($A60,'Post 16'!$A:$AR,22,FALSE)/4),0)</f>
        <v>0</v>
      </c>
      <c r="AZ60" s="287">
        <f>_xlfn.IFNA(VLOOKUP(A60,EY!A:AO,41,FALSE),0)</f>
        <v>0</v>
      </c>
      <c r="BA60" s="287">
        <f>_xlfn.IFNA(((VLOOKUP($A60,HN!$A:$M,10,FALSE)-$U60-$AK60)/10),0)+_xlfn.IFNA(VLOOKUP($A60,HN!$A:$R,18,FALSE),0)</f>
        <v>11490.397166666666</v>
      </c>
      <c r="BB60" s="287">
        <f>_xlfn.IFNA(((VLOOKUP($A60,HN!$A:$M,13,FALSE)-$V60-$AL60)/10),0)+_xlfn.IFNA(VLOOKUP($A60,HN!$A$8:$AU$200,20,FALSE),0)</f>
        <v>0</v>
      </c>
      <c r="BC60" s="286">
        <f t="shared" si="65"/>
        <v>-871.5</v>
      </c>
      <c r="BD60" s="286">
        <f t="shared" si="66"/>
        <v>-672.35350000000005</v>
      </c>
      <c r="BE60" s="287"/>
      <c r="BF60" s="287"/>
      <c r="BG60" s="287"/>
      <c r="BH60" s="286">
        <f t="shared" si="67"/>
        <v>189643.89716666666</v>
      </c>
      <c r="BI60" s="307">
        <f t="shared" si="68"/>
        <v>179697.3535</v>
      </c>
      <c r="BJ60" s="307">
        <f>_xlfn.IFNA(VLOOKUP(A60,'LA Deductions'!A:AH,34,FALSE),0)</f>
        <v>0</v>
      </c>
      <c r="BK60" s="307"/>
      <c r="BL60" s="308">
        <f>_xlfn.IFNA((VLOOKUP($A60,HN!$A:$M,8,FALSE)/12),0)</f>
        <v>0</v>
      </c>
      <c r="BM60" s="308">
        <f>_xlfn.IFNA((VLOOKUP($A60,HN!$A:$M,12,FALSE)/12),0)</f>
        <v>0</v>
      </c>
      <c r="BN60" s="308">
        <f>_xlfn.IFNA((VLOOKUP($A60,HN!$A:$M,9,FALSE)/12),0)</f>
        <v>0</v>
      </c>
      <c r="BO60" s="308">
        <f>_xlfn.IFNA((VLOOKUP($A60,'Post 16'!$A:$AR,22,FALSE)/4),0)</f>
        <v>0</v>
      </c>
      <c r="BP60" s="308"/>
      <c r="BQ60" s="308">
        <f>_xlfn.IFNA(((VLOOKUP($A60,HN!$A:$M,10,FALSE)-$U60-$AK60)/10),0)</f>
        <v>11490.397166666666</v>
      </c>
      <c r="BR60" s="308">
        <f>_xlfn.IFNA(((VLOOKUP($A60,HN!$A:$M,13,FALSE)-$V60-$AL60)/10),0)</f>
        <v>0</v>
      </c>
      <c r="BS60" s="307">
        <f t="shared" si="69"/>
        <v>-871.5</v>
      </c>
      <c r="BT60" s="307">
        <f t="shared" si="70"/>
        <v>-672.35350000000005</v>
      </c>
      <c r="BU60" s="308"/>
      <c r="BV60" s="308"/>
      <c r="BW60" s="308"/>
      <c r="BX60" s="307">
        <f t="shared" si="71"/>
        <v>189643.89716666666</v>
      </c>
      <c r="BY60" s="300">
        <f t="shared" si="72"/>
        <v>179697.3535</v>
      </c>
      <c r="BZ60" s="300"/>
      <c r="CA60" s="300"/>
      <c r="CB60" s="301">
        <f>_xlfn.IFNA((VLOOKUP($A60,HN!$A:$M,8,FALSE)/12),0)</f>
        <v>0</v>
      </c>
      <c r="CC60" s="301">
        <f>_xlfn.IFNA((VLOOKUP($A60,HN!$A:$M,12,FALSE)/12),0)</f>
        <v>0</v>
      </c>
      <c r="CD60" s="301">
        <f>_xlfn.IFNA((VLOOKUP($A60,HN!$A:$M,9,FALSE)/12),0)</f>
        <v>0</v>
      </c>
      <c r="CE60" s="301">
        <f>_xlfn.IFNA((VLOOKUP($A60,'Post 16'!$A:$AG,33,FALSE)/8),0)</f>
        <v>0</v>
      </c>
      <c r="CF60" s="301"/>
      <c r="CG60" s="301">
        <f>_xlfn.IFNA(((VLOOKUP($A60,HN!$A:$M,10,FALSE)-$U60-$AK60)/10),0)</f>
        <v>11490.397166666666</v>
      </c>
      <c r="CH60" s="301">
        <f>_xlfn.IFNA(((VLOOKUP($A60,HN!$A:$M,13,FALSE)-$V60-$AL60)/10),0)</f>
        <v>0</v>
      </c>
      <c r="CI60" s="300">
        <f t="shared" si="73"/>
        <v>-871.5</v>
      </c>
      <c r="CJ60" s="300">
        <f t="shared" si="74"/>
        <v>-672.35350000000005</v>
      </c>
      <c r="CK60" s="301"/>
      <c r="CL60" s="301"/>
      <c r="CM60" s="301"/>
      <c r="CN60" s="300">
        <f t="shared" si="75"/>
        <v>189643.89716666666</v>
      </c>
      <c r="CO60" s="332">
        <f t="shared" si="76"/>
        <v>179697.3535</v>
      </c>
      <c r="CP60" s="332"/>
      <c r="CQ60" s="332">
        <f>_xlfn.IFNA((VLOOKUP($A60,EY!$A:$AB,28,FALSE)-$CV60),0)</f>
        <v>0</v>
      </c>
      <c r="CR60" s="333">
        <f>_xlfn.IFNA((VLOOKUP($A60,HN!$A:$M,8,FALSE)/12),0)</f>
        <v>0</v>
      </c>
      <c r="CS60" s="333">
        <f>_xlfn.IFNA((VLOOKUP($A60,HN!$A:$M,12,FALSE)/12),0)</f>
        <v>0</v>
      </c>
      <c r="CT60" s="333">
        <f>_xlfn.IFNA((VLOOKUP($A60,HN!$A:$M,9,FALSE)/12),0)</f>
        <v>0</v>
      </c>
      <c r="CU60" s="333">
        <f>_xlfn.IFNA((VLOOKUP($A60,'Post 16'!$A:$AG,33,FALSE)/8),0)</f>
        <v>0</v>
      </c>
      <c r="CV60" s="333">
        <f>_xlfn.IFNA((VLOOKUP($A60,EY!$A:$AB,26,FALSE)*80%),0)</f>
        <v>0</v>
      </c>
      <c r="CW60" s="333">
        <f>_xlfn.IFNA(((VLOOKUP($A60,HN!$A:$M,10,FALSE)-$U60-$AK60)/10),0)</f>
        <v>11490.397166666666</v>
      </c>
      <c r="CX60" s="333">
        <f>_xlfn.IFNA(((VLOOKUP($A60,HN!$A:$M,13,FALSE)-$V60-$AL60)/10),0)</f>
        <v>0</v>
      </c>
      <c r="CY60" s="332">
        <f t="shared" si="77"/>
        <v>-871.5</v>
      </c>
      <c r="CZ60" s="332">
        <f t="shared" si="78"/>
        <v>-672.35350000000005</v>
      </c>
      <c r="DA60" s="333"/>
      <c r="DB60" s="333"/>
      <c r="DC60" s="333"/>
      <c r="DD60" s="332">
        <f t="shared" si="79"/>
        <v>189643.89716666666</v>
      </c>
      <c r="DE60" s="314">
        <f t="shared" si="80"/>
        <v>179697.3535</v>
      </c>
      <c r="DF60" s="314"/>
      <c r="DG60" s="314"/>
      <c r="DH60" s="315">
        <f>_xlfn.IFNA((VLOOKUP($A60,HN!$A:$M,8,FALSE)/12),0)</f>
        <v>0</v>
      </c>
      <c r="DI60" s="315">
        <f>_xlfn.IFNA((VLOOKUP($A60,HN!$A:$M,12,FALSE)/12),0)</f>
        <v>0</v>
      </c>
      <c r="DJ60" s="315">
        <f>_xlfn.IFNA((VLOOKUP($A60,HN!$A:$M,9,FALSE)/12),0)</f>
        <v>0</v>
      </c>
      <c r="DK60" s="315">
        <f>_xlfn.IFNA((VLOOKUP($A60,'Post 16'!$A:$AG,33,FALSE)/8),0)</f>
        <v>0</v>
      </c>
      <c r="DL60" s="315"/>
      <c r="DM60" s="315">
        <f>_xlfn.IFNA(((VLOOKUP($A60,HN!$A:$M,10,FALSE)-$U60-$AK60)/10),0)</f>
        <v>11490.397166666666</v>
      </c>
      <c r="DN60" s="315">
        <f>_xlfn.IFNA(((VLOOKUP($A60,HN!$A:$M,13,FALSE)-$V60-$AL60)/10),0)</f>
        <v>0</v>
      </c>
      <c r="DO60" s="314">
        <f t="shared" si="81"/>
        <v>-871.5</v>
      </c>
      <c r="DP60" s="314">
        <f t="shared" si="82"/>
        <v>-672.35350000000005</v>
      </c>
      <c r="DQ60" s="315"/>
      <c r="DR60" s="315"/>
      <c r="DS60" s="315"/>
      <c r="DT60" s="314">
        <f t="shared" si="83"/>
        <v>189643.89716666666</v>
      </c>
      <c r="DU60" s="307">
        <f t="shared" si="84"/>
        <v>179697.3535</v>
      </c>
      <c r="DV60" s="307"/>
      <c r="DW60" s="307"/>
      <c r="DX60" s="308">
        <f>_xlfn.IFNA((VLOOKUP($A60,HN!$A:$M,8,FALSE)/12),0)</f>
        <v>0</v>
      </c>
      <c r="DY60" s="308">
        <f>_xlfn.IFNA((VLOOKUP($A60,HN!$A:$M,12,FALSE)/12),0)</f>
        <v>0</v>
      </c>
      <c r="DZ60" s="308">
        <f>_xlfn.IFNA((VLOOKUP($A60,HN!$A:$M,9,FALSE)/12),0)</f>
        <v>0</v>
      </c>
      <c r="EA60" s="308">
        <f>_xlfn.IFNA((VLOOKUP($A60,'Post 16'!$A:$AG,33,FALSE)/8),0)</f>
        <v>0</v>
      </c>
      <c r="EB60" s="308"/>
      <c r="EC60" s="308">
        <f>_xlfn.IFNA(((VLOOKUP($A60,HN!$A:$M,10,FALSE)-$U60-$AK60)/10),0)</f>
        <v>11490.397166666666</v>
      </c>
      <c r="ED60" s="308">
        <f>_xlfn.IFNA(((VLOOKUP($A60,HN!$A:$M,13,FALSE)-$V60-$AL60)/10),0)</f>
        <v>0</v>
      </c>
      <c r="EE60" s="307">
        <f t="shared" si="85"/>
        <v>-871.5</v>
      </c>
      <c r="EF60" s="307">
        <f t="shared" si="86"/>
        <v>-672.35350000000005</v>
      </c>
      <c r="EG60" s="308"/>
      <c r="EH60" s="308"/>
      <c r="EI60" s="308"/>
      <c r="EJ60" s="307">
        <f t="shared" si="87"/>
        <v>189643.89716666666</v>
      </c>
      <c r="EK60" s="320">
        <f t="shared" si="88"/>
        <v>179697.3535</v>
      </c>
      <c r="EL60" s="320"/>
      <c r="EM60" s="320"/>
      <c r="EN60" s="321">
        <f>_xlfn.IFNA((VLOOKUP($A60,HN!$A:$M,8,FALSE)/12),0)</f>
        <v>0</v>
      </c>
      <c r="EO60" s="321">
        <f>_xlfn.IFNA((VLOOKUP($A60,HN!$A:$M,12,FALSE)/12),0)</f>
        <v>0</v>
      </c>
      <c r="EP60" s="321">
        <f>_xlfn.IFNA((VLOOKUP($A60,HN!$A:$M,9,FALSE)/12),0)</f>
        <v>0</v>
      </c>
      <c r="EQ60" s="321">
        <f>_xlfn.IFNA((VLOOKUP($A60,'Post 16'!$A:$AG,33,FALSE)/8),0)</f>
        <v>0</v>
      </c>
      <c r="ER60" s="321"/>
      <c r="ES60" s="321">
        <f>_xlfn.IFNA(((VLOOKUP($A60,HN!$A:$M,10,FALSE)-$U60-$AK60)/10),0)</f>
        <v>11490.397166666666</v>
      </c>
      <c r="ET60" s="321">
        <f>_xlfn.IFNA(((VLOOKUP($A60,HN!$A:$M,13,FALSE)-$V60-$AL60)/10),0)</f>
        <v>0</v>
      </c>
      <c r="EU60" s="320">
        <f t="shared" si="89"/>
        <v>-871.5</v>
      </c>
      <c r="EV60" s="320">
        <f t="shared" si="90"/>
        <v>-672.35350000000005</v>
      </c>
      <c r="EW60" s="321"/>
      <c r="EX60" s="321"/>
      <c r="EY60" s="321"/>
      <c r="EZ60" s="320">
        <f t="shared" si="91"/>
        <v>189643.89716666666</v>
      </c>
      <c r="FA60" s="286">
        <f t="shared" si="92"/>
        <v>179697.3535</v>
      </c>
      <c r="FB60" s="286"/>
      <c r="FC60" s="286"/>
      <c r="FD60" s="287">
        <f>_xlfn.IFNA((VLOOKUP($A60,HN!$A:$M,8,FALSE)/12),0)</f>
        <v>0</v>
      </c>
      <c r="FE60" s="287">
        <f>_xlfn.IFNA((VLOOKUP($A60,HN!$A:$M,12,FALSE)/12),0)</f>
        <v>0</v>
      </c>
      <c r="FF60" s="287">
        <f>_xlfn.IFNA((VLOOKUP($A60,HN!$A:$M,9,FALSE)/12),0)</f>
        <v>0</v>
      </c>
      <c r="FG60" s="287">
        <f>_xlfn.IFNA((VLOOKUP($A60,'Post 16'!$A:$AG,33,FALSE)/8),0)</f>
        <v>0</v>
      </c>
      <c r="FH60" s="287"/>
      <c r="FI60" s="287">
        <f>_xlfn.IFNA(((VLOOKUP($A60,HN!$A:$M,10,FALSE)-$U60-$AK60)/10),0)</f>
        <v>11490.397166666666</v>
      </c>
      <c r="FJ60" s="287">
        <f>_xlfn.IFNA(((VLOOKUP($A60,HN!$A:$M,13,FALSE)-$V60-$AL60)/10),0)</f>
        <v>0</v>
      </c>
      <c r="FK60" s="286">
        <f t="shared" si="93"/>
        <v>-871.5</v>
      </c>
      <c r="FL60" s="286">
        <f t="shared" si="94"/>
        <v>-672.35350000000005</v>
      </c>
      <c r="FM60" s="287"/>
      <c r="FN60" s="287"/>
      <c r="FO60" s="287"/>
      <c r="FP60" s="286">
        <f t="shared" si="95"/>
        <v>189643.89716666666</v>
      </c>
      <c r="FQ60" s="293">
        <f t="shared" si="96"/>
        <v>179697.3535</v>
      </c>
      <c r="FR60" s="293"/>
      <c r="FS60" s="293"/>
      <c r="FT60" s="294">
        <f>_xlfn.IFNA((VLOOKUP($A60,HN!$A:$M,8,FALSE)/12),0)</f>
        <v>0</v>
      </c>
      <c r="FU60" s="294">
        <f>_xlfn.IFNA((VLOOKUP($A60,HN!$A:$M,12,FALSE)/12),0)</f>
        <v>0</v>
      </c>
      <c r="FV60" s="294">
        <f>_xlfn.IFNA((VLOOKUP($A60,HN!$A:$M,9,FALSE)/12),0)</f>
        <v>0</v>
      </c>
      <c r="FW60" s="294">
        <f>_xlfn.IFNA((VLOOKUP($A60,'Post 16'!$A:$AG,33,FALSE)/8),0)</f>
        <v>0</v>
      </c>
      <c r="FX60" s="294"/>
      <c r="FY60" s="294">
        <f>_xlfn.IFNA(((VLOOKUP($A60,HN!$A:$M,10,FALSE)-$U60-$AK60)/10),0)</f>
        <v>11490.397166666666</v>
      </c>
      <c r="FZ60" s="294">
        <f>_xlfn.IFNA(((VLOOKUP($A60,HN!$A:$M,13,FALSE)-$V60-$AL60)/10),0)</f>
        <v>0</v>
      </c>
      <c r="GA60" s="293">
        <f t="shared" si="97"/>
        <v>-871.5</v>
      </c>
      <c r="GB60" s="293">
        <f t="shared" si="98"/>
        <v>-672.35350000000005</v>
      </c>
      <c r="GC60" s="294"/>
      <c r="GD60" s="294"/>
      <c r="GE60" s="294"/>
      <c r="GF60" s="293">
        <f t="shared" si="99"/>
        <v>189643.89716666666</v>
      </c>
      <c r="GG60" s="300">
        <f t="shared" si="100"/>
        <v>179697.3535</v>
      </c>
      <c r="GH60" s="300"/>
      <c r="GI60" s="300"/>
      <c r="GJ60" s="301">
        <f>_xlfn.IFNA((VLOOKUP($A60,HN!$A:$M,8,FALSE)/12),0)</f>
        <v>0</v>
      </c>
      <c r="GK60" s="301">
        <f>_xlfn.IFNA((VLOOKUP($A60,HN!$A:$M,12,FALSE)/12),0)</f>
        <v>0</v>
      </c>
      <c r="GL60" s="301">
        <f>_xlfn.IFNA((VLOOKUP($A60,HN!$A:$M,9,FALSE)/12),0)</f>
        <v>0</v>
      </c>
      <c r="GM60" s="301">
        <f>_xlfn.IFNA((VLOOKUP($A60,'Post 16'!$A:$AG,33,FALSE)/8),0)</f>
        <v>0</v>
      </c>
      <c r="GN60" s="301"/>
      <c r="GO60" s="301">
        <f>_xlfn.IFNA(((VLOOKUP($A60,HN!$A:$M,10,FALSE)-$U60-$AK60)/10),0)</f>
        <v>11490.397166666666</v>
      </c>
      <c r="GP60" s="301">
        <f>_xlfn.IFNA(((VLOOKUP($A60,HN!$A:$M,13,FALSE)-$V60-$AL60)/10),0)</f>
        <v>0</v>
      </c>
      <c r="GQ60" s="300">
        <f t="shared" si="101"/>
        <v>-871.5</v>
      </c>
      <c r="GR60" s="300">
        <f t="shared" si="102"/>
        <v>-672.35350000000005</v>
      </c>
      <c r="GS60" s="301"/>
      <c r="GT60" s="301"/>
      <c r="GU60" s="301"/>
      <c r="GV60" s="300">
        <f t="shared" si="103"/>
        <v>189643.89716666666</v>
      </c>
      <c r="GX60" s="146">
        <f t="shared" si="106"/>
        <v>2156368.2420000001</v>
      </c>
      <c r="GY60" s="146">
        <f t="shared" si="106"/>
        <v>0</v>
      </c>
      <c r="GZ60" s="146">
        <f t="shared" si="106"/>
        <v>151586.24999999997</v>
      </c>
      <c r="HA60" s="146">
        <f t="shared" si="106"/>
        <v>-10458</v>
      </c>
      <c r="HB60" s="146">
        <f t="shared" si="106"/>
        <v>-8068.2420000000011</v>
      </c>
      <c r="HC60" s="146">
        <f t="shared" si="106"/>
        <v>0</v>
      </c>
      <c r="HE60" s="146">
        <f t="shared" si="107"/>
        <v>539092.06050000002</v>
      </c>
      <c r="HF60" s="146">
        <f t="shared" si="107"/>
        <v>0</v>
      </c>
      <c r="HG60" s="146">
        <f t="shared" si="107"/>
        <v>48172.675499999998</v>
      </c>
      <c r="HH60" s="146">
        <f t="shared" si="107"/>
        <v>-2614.5</v>
      </c>
      <c r="HI60" s="146">
        <f t="shared" si="107"/>
        <v>-2017.0605</v>
      </c>
      <c r="HJ60" s="146">
        <f t="shared" si="107"/>
        <v>0</v>
      </c>
      <c r="HL60" s="146"/>
      <c r="HM60" s="57"/>
    </row>
    <row r="61" spans="1:221">
      <c r="A61" s="185">
        <v>7050</v>
      </c>
      <c r="B61" s="185">
        <v>103625</v>
      </c>
      <c r="C61" s="185" t="s">
        <v>145</v>
      </c>
      <c r="D61" s="2" t="s">
        <v>146</v>
      </c>
      <c r="E61" s="190" t="s">
        <v>56</v>
      </c>
      <c r="F61" s="190" t="s">
        <v>890</v>
      </c>
      <c r="H61" s="271">
        <f>_xlfn.IFNA(VLOOKUP($A61,ISB!$A$4:$BY$441,67,FALSE),0)</f>
        <v>0</v>
      </c>
      <c r="I61" s="271">
        <f>_xlfn.IFNA(VLOOKUP($A61,ISB!$A$4:$BY$441,72,FALSE),0)</f>
        <v>0</v>
      </c>
      <c r="J61" s="271">
        <f>-_xlfn.IFNA(VLOOKUP($A61,ISB!$A$4:$BY$441,76,FALSE),0)</f>
        <v>0</v>
      </c>
      <c r="K61" s="271">
        <f>_xlfn.IFNA(VLOOKUP($A61,ISB!$A$4:$BY$441,77,FALSE),0)</f>
        <v>0</v>
      </c>
      <c r="M61" s="279">
        <f t="shared" si="56"/>
        <v>0</v>
      </c>
      <c r="N61" s="279"/>
      <c r="O61" s="279">
        <f>_xlfn.IFNA(VLOOKUP($A61,EY!$A:$H,8,FALSE)+(VLOOKUP($A61,EY!$A:$R,18,FALSE)-$T61),0)</f>
        <v>0</v>
      </c>
      <c r="P61" s="280">
        <f>_xlfn.IFNA((VLOOKUP($A61,HN!$A:$M,8,FALSE)/12),0)</f>
        <v>60000</v>
      </c>
      <c r="Q61" s="280">
        <f>_xlfn.IFNA((VLOOKUP($A61,HN!$A:$M,12,FALSE)/12),0)</f>
        <v>0</v>
      </c>
      <c r="R61" s="280">
        <f>_xlfn.IFNA((VLOOKUP($A61,HN!$A:$M,9,FALSE)/12),0)</f>
        <v>32500</v>
      </c>
      <c r="S61" s="280">
        <f>_xlfn.IFNA((VLOOKUP($A61,'Post 16'!$A:$AR,22,FALSE)/4),0)</f>
        <v>0</v>
      </c>
      <c r="T61" s="280">
        <f>_xlfn.IFNA((VLOOKUP($A61,EY!$A:$R,16,FALSE)*80%),0)</f>
        <v>0</v>
      </c>
      <c r="U61" s="280">
        <v>170202.37</v>
      </c>
      <c r="V61" s="280">
        <v>0</v>
      </c>
      <c r="W61" s="279">
        <f t="shared" si="57"/>
        <v>0</v>
      </c>
      <c r="X61" s="279">
        <f t="shared" si="58"/>
        <v>0</v>
      </c>
      <c r="Y61" s="280"/>
      <c r="Z61" s="280"/>
      <c r="AA61" s="280"/>
      <c r="AB61" s="279">
        <f t="shared" si="59"/>
        <v>262702.37</v>
      </c>
      <c r="AC61" s="293">
        <f t="shared" si="60"/>
        <v>0</v>
      </c>
      <c r="AD61" s="293"/>
      <c r="AE61" s="293"/>
      <c r="AF61" s="294">
        <f>_xlfn.IFNA((VLOOKUP($A61,HN!$A:$M,8,FALSE)/12),0)</f>
        <v>60000</v>
      </c>
      <c r="AG61" s="294">
        <f>_xlfn.IFNA((VLOOKUP($A61,HN!$A:$M,12,FALSE)/12),0)+_xlfn.IFNA(VLOOKUP($A61,HN!$A:$Q,17,FALSE),0)</f>
        <v>0</v>
      </c>
      <c r="AH61" s="294">
        <f>_xlfn.IFNA((VLOOKUP($A61,HN!$A:$M,9,FALSE)/12),0)</f>
        <v>32500</v>
      </c>
      <c r="AI61" s="294">
        <f>_xlfn.IFNA((VLOOKUP($A61,'Post 16'!$A:$AR,22,FALSE)/4),0)</f>
        <v>0</v>
      </c>
      <c r="AJ61" s="294"/>
      <c r="AK61" s="294">
        <f>_xlfn.IFNA((VLOOKUP($A61,HN!$A:$M,10,FALSE)/12),0)</f>
        <v>170202.37</v>
      </c>
      <c r="AL61" s="294">
        <f>_xlfn.IFNA((VLOOKUP($A61,HN!$A:$M,13,FALSE)/12),0)</f>
        <v>0</v>
      </c>
      <c r="AM61" s="293">
        <f t="shared" si="61"/>
        <v>0</v>
      </c>
      <c r="AN61" s="293">
        <f t="shared" si="62"/>
        <v>0</v>
      </c>
      <c r="AO61" s="294"/>
      <c r="AP61" s="294"/>
      <c r="AQ61" s="294"/>
      <c r="AR61" s="293">
        <f t="shared" si="63"/>
        <v>262702.37</v>
      </c>
      <c r="AS61" s="286">
        <f t="shared" si="64"/>
        <v>0</v>
      </c>
      <c r="AT61" s="286"/>
      <c r="AU61" s="286">
        <f>_xlfn.IFNA(VLOOKUP(A61,EY!A:AO,40,FALSE),0)</f>
        <v>0</v>
      </c>
      <c r="AV61" s="287">
        <f>_xlfn.IFNA((VLOOKUP($A61,HN!$A:$M,8,FALSE)/12),0)</f>
        <v>60000</v>
      </c>
      <c r="AW61" s="287">
        <f>_xlfn.IFNA((VLOOKUP($A61,HN!$A:$M,12,FALSE)/12),0)+_xlfn.IFNA(VLOOKUP($A61,HN!$A$8:$AU$200,19,FALSE),0)</f>
        <v>0</v>
      </c>
      <c r="AX61" s="287">
        <f>_xlfn.IFNA((VLOOKUP($A61,HN!$A:$M,9,FALSE)/12),0)</f>
        <v>32500</v>
      </c>
      <c r="AY61" s="287">
        <f>_xlfn.IFNA((VLOOKUP($A61,'Post 16'!$A:$AR,22,FALSE)/4),0)</f>
        <v>0</v>
      </c>
      <c r="AZ61" s="287">
        <f>_xlfn.IFNA(VLOOKUP(A61,EY!A:AO,41,FALSE),0)</f>
        <v>0</v>
      </c>
      <c r="BA61" s="287">
        <f>_xlfn.IFNA(((VLOOKUP($A61,HN!$A:$M,10,FALSE)-$U61-$AK61)/10),0)+_xlfn.IFNA(VLOOKUP($A61,HN!$A:$R,18,FALSE),0)</f>
        <v>170202.36999999997</v>
      </c>
      <c r="BB61" s="287">
        <f>_xlfn.IFNA(((VLOOKUP($A61,HN!$A:$M,13,FALSE)-$V61-$AL61)/10),0)+_xlfn.IFNA(VLOOKUP($A61,HN!$A$8:$AU$200,20,FALSE),0)</f>
        <v>0</v>
      </c>
      <c r="BC61" s="286">
        <f t="shared" si="65"/>
        <v>0</v>
      </c>
      <c r="BD61" s="286">
        <f t="shared" si="66"/>
        <v>0</v>
      </c>
      <c r="BE61" s="287"/>
      <c r="BF61" s="287"/>
      <c r="BG61" s="287"/>
      <c r="BH61" s="286">
        <f t="shared" si="67"/>
        <v>262702.37</v>
      </c>
      <c r="BI61" s="307">
        <f t="shared" si="68"/>
        <v>0</v>
      </c>
      <c r="BJ61" s="307">
        <f>_xlfn.IFNA(VLOOKUP(A61,'LA Deductions'!A:AH,34,FALSE),0)</f>
        <v>0</v>
      </c>
      <c r="BK61" s="307"/>
      <c r="BL61" s="308">
        <f>_xlfn.IFNA((VLOOKUP($A61,HN!$A:$M,8,FALSE)/12),0)</f>
        <v>60000</v>
      </c>
      <c r="BM61" s="308">
        <f>_xlfn.IFNA((VLOOKUP($A61,HN!$A:$M,12,FALSE)/12),0)</f>
        <v>0</v>
      </c>
      <c r="BN61" s="308">
        <f>_xlfn.IFNA((VLOOKUP($A61,HN!$A:$M,9,FALSE)/12),0)</f>
        <v>32500</v>
      </c>
      <c r="BO61" s="308">
        <f>_xlfn.IFNA((VLOOKUP($A61,'Post 16'!$A:$AR,22,FALSE)/4),0)</f>
        <v>0</v>
      </c>
      <c r="BP61" s="308"/>
      <c r="BQ61" s="308">
        <f>_xlfn.IFNA(((VLOOKUP($A61,HN!$A:$M,10,FALSE)-$U61-$AK61)/10),0)</f>
        <v>170202.36999999997</v>
      </c>
      <c r="BR61" s="308">
        <f>_xlfn.IFNA(((VLOOKUP($A61,HN!$A:$M,13,FALSE)-$V61-$AL61)/10),0)</f>
        <v>0</v>
      </c>
      <c r="BS61" s="307">
        <f t="shared" si="69"/>
        <v>0</v>
      </c>
      <c r="BT61" s="307">
        <f t="shared" si="70"/>
        <v>0</v>
      </c>
      <c r="BU61" s="308"/>
      <c r="BV61" s="308"/>
      <c r="BW61" s="308"/>
      <c r="BX61" s="307">
        <f t="shared" si="71"/>
        <v>262702.37</v>
      </c>
      <c r="BY61" s="300">
        <f t="shared" si="72"/>
        <v>0</v>
      </c>
      <c r="BZ61" s="300"/>
      <c r="CA61" s="300"/>
      <c r="CB61" s="301">
        <f>_xlfn.IFNA((VLOOKUP($A61,HN!$A:$M,8,FALSE)/12),0)</f>
        <v>60000</v>
      </c>
      <c r="CC61" s="301">
        <f>_xlfn.IFNA((VLOOKUP($A61,HN!$A:$M,12,FALSE)/12),0)</f>
        <v>0</v>
      </c>
      <c r="CD61" s="301">
        <f>_xlfn.IFNA((VLOOKUP($A61,HN!$A:$M,9,FALSE)/12),0)</f>
        <v>32500</v>
      </c>
      <c r="CE61" s="301">
        <f>_xlfn.IFNA((VLOOKUP($A61,'Post 16'!$A:$AG,33,FALSE)/8),0)</f>
        <v>0</v>
      </c>
      <c r="CF61" s="301"/>
      <c r="CG61" s="301">
        <f>_xlfn.IFNA(((VLOOKUP($A61,HN!$A:$M,10,FALSE)-$U61-$AK61)/10),0)</f>
        <v>170202.36999999997</v>
      </c>
      <c r="CH61" s="301">
        <f>_xlfn.IFNA(((VLOOKUP($A61,HN!$A:$M,13,FALSE)-$V61-$AL61)/10),0)</f>
        <v>0</v>
      </c>
      <c r="CI61" s="300">
        <f t="shared" si="73"/>
        <v>0</v>
      </c>
      <c r="CJ61" s="300">
        <f t="shared" si="74"/>
        <v>0</v>
      </c>
      <c r="CK61" s="301"/>
      <c r="CL61" s="301"/>
      <c r="CM61" s="301"/>
      <c r="CN61" s="300">
        <f t="shared" si="75"/>
        <v>262702.37</v>
      </c>
      <c r="CO61" s="332">
        <f t="shared" si="76"/>
        <v>0</v>
      </c>
      <c r="CP61" s="332"/>
      <c r="CQ61" s="332">
        <f>_xlfn.IFNA((VLOOKUP($A61,EY!$A:$AB,28,FALSE)-$CV61),0)</f>
        <v>0</v>
      </c>
      <c r="CR61" s="333">
        <f>_xlfn.IFNA((VLOOKUP($A61,HN!$A:$M,8,FALSE)/12),0)</f>
        <v>60000</v>
      </c>
      <c r="CS61" s="333">
        <f>_xlfn.IFNA((VLOOKUP($A61,HN!$A:$M,12,FALSE)/12),0)</f>
        <v>0</v>
      </c>
      <c r="CT61" s="333">
        <f>_xlfn.IFNA((VLOOKUP($A61,HN!$A:$M,9,FALSE)/12),0)</f>
        <v>32500</v>
      </c>
      <c r="CU61" s="333">
        <f>_xlfn.IFNA((VLOOKUP($A61,'Post 16'!$A:$AG,33,FALSE)/8),0)</f>
        <v>0</v>
      </c>
      <c r="CV61" s="333">
        <f>_xlfn.IFNA((VLOOKUP($A61,EY!$A:$AB,26,FALSE)*80%),0)</f>
        <v>0</v>
      </c>
      <c r="CW61" s="333">
        <f>_xlfn.IFNA(((VLOOKUP($A61,HN!$A:$M,10,FALSE)-$U61-$AK61)/10),0)</f>
        <v>170202.36999999997</v>
      </c>
      <c r="CX61" s="333">
        <f>_xlfn.IFNA(((VLOOKUP($A61,HN!$A:$M,13,FALSE)-$V61-$AL61)/10),0)</f>
        <v>0</v>
      </c>
      <c r="CY61" s="332">
        <f t="shared" si="77"/>
        <v>0</v>
      </c>
      <c r="CZ61" s="332">
        <f t="shared" si="78"/>
        <v>0</v>
      </c>
      <c r="DA61" s="333"/>
      <c r="DB61" s="333"/>
      <c r="DC61" s="333"/>
      <c r="DD61" s="332">
        <f t="shared" si="79"/>
        <v>262702.37</v>
      </c>
      <c r="DE61" s="314">
        <f t="shared" si="80"/>
        <v>0</v>
      </c>
      <c r="DF61" s="314"/>
      <c r="DG61" s="314"/>
      <c r="DH61" s="315">
        <f>_xlfn.IFNA((VLOOKUP($A61,HN!$A:$M,8,FALSE)/12),0)</f>
        <v>60000</v>
      </c>
      <c r="DI61" s="315">
        <f>_xlfn.IFNA((VLOOKUP($A61,HN!$A:$M,12,FALSE)/12),0)</f>
        <v>0</v>
      </c>
      <c r="DJ61" s="315">
        <f>_xlfn.IFNA((VLOOKUP($A61,HN!$A:$M,9,FALSE)/12),0)</f>
        <v>32500</v>
      </c>
      <c r="DK61" s="315">
        <f>_xlfn.IFNA((VLOOKUP($A61,'Post 16'!$A:$AG,33,FALSE)/8),0)</f>
        <v>0</v>
      </c>
      <c r="DL61" s="315"/>
      <c r="DM61" s="315">
        <f>_xlfn.IFNA(((VLOOKUP($A61,HN!$A:$M,10,FALSE)-$U61-$AK61)/10),0)</f>
        <v>170202.36999999997</v>
      </c>
      <c r="DN61" s="315">
        <f>_xlfn.IFNA(((VLOOKUP($A61,HN!$A:$M,13,FALSE)-$V61-$AL61)/10),0)</f>
        <v>0</v>
      </c>
      <c r="DO61" s="314">
        <f t="shared" si="81"/>
        <v>0</v>
      </c>
      <c r="DP61" s="314">
        <f t="shared" si="82"/>
        <v>0</v>
      </c>
      <c r="DQ61" s="315"/>
      <c r="DR61" s="315"/>
      <c r="DS61" s="315"/>
      <c r="DT61" s="314">
        <f t="shared" si="83"/>
        <v>262702.37</v>
      </c>
      <c r="DU61" s="307">
        <f t="shared" si="84"/>
        <v>0</v>
      </c>
      <c r="DV61" s="307"/>
      <c r="DW61" s="307"/>
      <c r="DX61" s="308">
        <f>_xlfn.IFNA((VLOOKUP($A61,HN!$A:$M,8,FALSE)/12),0)</f>
        <v>60000</v>
      </c>
      <c r="DY61" s="308">
        <f>_xlfn.IFNA((VLOOKUP($A61,HN!$A:$M,12,FALSE)/12),0)</f>
        <v>0</v>
      </c>
      <c r="DZ61" s="308">
        <f>_xlfn.IFNA((VLOOKUP($A61,HN!$A:$M,9,FALSE)/12),0)</f>
        <v>32500</v>
      </c>
      <c r="EA61" s="308">
        <f>_xlfn.IFNA((VLOOKUP($A61,'Post 16'!$A:$AG,33,FALSE)/8),0)</f>
        <v>0</v>
      </c>
      <c r="EB61" s="308"/>
      <c r="EC61" s="308">
        <f>_xlfn.IFNA(((VLOOKUP($A61,HN!$A:$M,10,FALSE)-$U61-$AK61)/10),0)</f>
        <v>170202.36999999997</v>
      </c>
      <c r="ED61" s="308">
        <f>_xlfn.IFNA(((VLOOKUP($A61,HN!$A:$M,13,FALSE)-$V61-$AL61)/10),0)</f>
        <v>0</v>
      </c>
      <c r="EE61" s="307">
        <f t="shared" si="85"/>
        <v>0</v>
      </c>
      <c r="EF61" s="307">
        <f t="shared" si="86"/>
        <v>0</v>
      </c>
      <c r="EG61" s="308"/>
      <c r="EH61" s="308"/>
      <c r="EI61" s="308"/>
      <c r="EJ61" s="307">
        <f t="shared" si="87"/>
        <v>262702.37</v>
      </c>
      <c r="EK61" s="320">
        <f t="shared" si="88"/>
        <v>0</v>
      </c>
      <c r="EL61" s="320"/>
      <c r="EM61" s="320"/>
      <c r="EN61" s="321">
        <f>_xlfn.IFNA((VLOOKUP($A61,HN!$A:$M,8,FALSE)/12),0)</f>
        <v>60000</v>
      </c>
      <c r="EO61" s="321">
        <f>_xlfn.IFNA((VLOOKUP($A61,HN!$A:$M,12,FALSE)/12),0)</f>
        <v>0</v>
      </c>
      <c r="EP61" s="321">
        <f>_xlfn.IFNA((VLOOKUP($A61,HN!$A:$M,9,FALSE)/12),0)</f>
        <v>32500</v>
      </c>
      <c r="EQ61" s="321">
        <f>_xlfn.IFNA((VLOOKUP($A61,'Post 16'!$A:$AG,33,FALSE)/8),0)</f>
        <v>0</v>
      </c>
      <c r="ER61" s="321"/>
      <c r="ES61" s="321">
        <f>_xlfn.IFNA(((VLOOKUP($A61,HN!$A:$M,10,FALSE)-$U61-$AK61)/10),0)</f>
        <v>170202.36999999997</v>
      </c>
      <c r="ET61" s="321">
        <f>_xlfn.IFNA(((VLOOKUP($A61,HN!$A:$M,13,FALSE)-$V61-$AL61)/10),0)</f>
        <v>0</v>
      </c>
      <c r="EU61" s="320">
        <f t="shared" si="89"/>
        <v>0</v>
      </c>
      <c r="EV61" s="320">
        <f t="shared" si="90"/>
        <v>0</v>
      </c>
      <c r="EW61" s="321"/>
      <c r="EX61" s="321"/>
      <c r="EY61" s="321"/>
      <c r="EZ61" s="320">
        <f t="shared" si="91"/>
        <v>262702.37</v>
      </c>
      <c r="FA61" s="286">
        <f t="shared" si="92"/>
        <v>0</v>
      </c>
      <c r="FB61" s="286"/>
      <c r="FC61" s="286"/>
      <c r="FD61" s="287">
        <f>_xlfn.IFNA((VLOOKUP($A61,HN!$A:$M,8,FALSE)/12),0)</f>
        <v>60000</v>
      </c>
      <c r="FE61" s="287">
        <f>_xlfn.IFNA((VLOOKUP($A61,HN!$A:$M,12,FALSE)/12),0)</f>
        <v>0</v>
      </c>
      <c r="FF61" s="287">
        <f>_xlfn.IFNA((VLOOKUP($A61,HN!$A:$M,9,FALSE)/12),0)</f>
        <v>32500</v>
      </c>
      <c r="FG61" s="287">
        <f>_xlfn.IFNA((VLOOKUP($A61,'Post 16'!$A:$AG,33,FALSE)/8),0)</f>
        <v>0</v>
      </c>
      <c r="FH61" s="287"/>
      <c r="FI61" s="287">
        <f>_xlfn.IFNA(((VLOOKUP($A61,HN!$A:$M,10,FALSE)-$U61-$AK61)/10),0)</f>
        <v>170202.36999999997</v>
      </c>
      <c r="FJ61" s="287">
        <f>_xlfn.IFNA(((VLOOKUP($A61,HN!$A:$M,13,FALSE)-$V61-$AL61)/10),0)</f>
        <v>0</v>
      </c>
      <c r="FK61" s="286">
        <f t="shared" si="93"/>
        <v>0</v>
      </c>
      <c r="FL61" s="286">
        <f t="shared" si="94"/>
        <v>0</v>
      </c>
      <c r="FM61" s="287"/>
      <c r="FN61" s="287"/>
      <c r="FO61" s="287"/>
      <c r="FP61" s="286">
        <f t="shared" si="95"/>
        <v>262702.37</v>
      </c>
      <c r="FQ61" s="293">
        <f t="shared" si="96"/>
        <v>0</v>
      </c>
      <c r="FR61" s="293"/>
      <c r="FS61" s="293"/>
      <c r="FT61" s="294">
        <f>_xlfn.IFNA((VLOOKUP($A61,HN!$A:$M,8,FALSE)/12),0)</f>
        <v>60000</v>
      </c>
      <c r="FU61" s="294">
        <f>_xlfn.IFNA((VLOOKUP($A61,HN!$A:$M,12,FALSE)/12),0)</f>
        <v>0</v>
      </c>
      <c r="FV61" s="294">
        <f>_xlfn.IFNA((VLOOKUP($A61,HN!$A:$M,9,FALSE)/12),0)</f>
        <v>32500</v>
      </c>
      <c r="FW61" s="294">
        <f>_xlfn.IFNA((VLOOKUP($A61,'Post 16'!$A:$AG,33,FALSE)/8),0)</f>
        <v>0</v>
      </c>
      <c r="FX61" s="294"/>
      <c r="FY61" s="294">
        <f>_xlfn.IFNA(((VLOOKUP($A61,HN!$A:$M,10,FALSE)-$U61-$AK61)/10),0)</f>
        <v>170202.36999999997</v>
      </c>
      <c r="FZ61" s="294">
        <f>_xlfn.IFNA(((VLOOKUP($A61,HN!$A:$M,13,FALSE)-$V61-$AL61)/10),0)</f>
        <v>0</v>
      </c>
      <c r="GA61" s="293">
        <f t="shared" si="97"/>
        <v>0</v>
      </c>
      <c r="GB61" s="293">
        <f t="shared" si="98"/>
        <v>0</v>
      </c>
      <c r="GC61" s="294"/>
      <c r="GD61" s="294"/>
      <c r="GE61" s="294"/>
      <c r="GF61" s="293">
        <f t="shared" si="99"/>
        <v>262702.37</v>
      </c>
      <c r="GG61" s="300">
        <f t="shared" si="100"/>
        <v>0</v>
      </c>
      <c r="GH61" s="300"/>
      <c r="GI61" s="300"/>
      <c r="GJ61" s="301">
        <f>_xlfn.IFNA((VLOOKUP($A61,HN!$A:$M,8,FALSE)/12),0)</f>
        <v>60000</v>
      </c>
      <c r="GK61" s="301">
        <f>_xlfn.IFNA((VLOOKUP($A61,HN!$A:$M,12,FALSE)/12),0)</f>
        <v>0</v>
      </c>
      <c r="GL61" s="301">
        <f>_xlfn.IFNA((VLOOKUP($A61,HN!$A:$M,9,FALSE)/12),0)</f>
        <v>32500</v>
      </c>
      <c r="GM61" s="301">
        <f>_xlfn.IFNA((VLOOKUP($A61,'Post 16'!$A:$AG,33,FALSE)/8),0)</f>
        <v>0</v>
      </c>
      <c r="GN61" s="301"/>
      <c r="GO61" s="301">
        <f>_xlfn.IFNA(((VLOOKUP($A61,HN!$A:$M,10,FALSE)-$U61-$AK61)/10),0)</f>
        <v>170202.36999999997</v>
      </c>
      <c r="GP61" s="301">
        <f>_xlfn.IFNA(((VLOOKUP($A61,HN!$A:$M,13,FALSE)-$V61-$AL61)/10),0)</f>
        <v>0</v>
      </c>
      <c r="GQ61" s="300">
        <f t="shared" si="101"/>
        <v>0</v>
      </c>
      <c r="GR61" s="300">
        <f t="shared" si="102"/>
        <v>0</v>
      </c>
      <c r="GS61" s="301"/>
      <c r="GT61" s="301"/>
      <c r="GU61" s="301"/>
      <c r="GV61" s="300">
        <f t="shared" si="103"/>
        <v>262702.37</v>
      </c>
      <c r="GX61" s="146">
        <f t="shared" si="106"/>
        <v>720000</v>
      </c>
      <c r="GY61" s="146">
        <f t="shared" si="106"/>
        <v>390000</v>
      </c>
      <c r="GZ61" s="146">
        <f t="shared" si="106"/>
        <v>2042428.4399999992</v>
      </c>
      <c r="HA61" s="146">
        <f t="shared" si="106"/>
        <v>0</v>
      </c>
      <c r="HB61" s="146">
        <f t="shared" si="106"/>
        <v>0</v>
      </c>
      <c r="HC61" s="146">
        <f t="shared" si="106"/>
        <v>0</v>
      </c>
      <c r="HE61" s="146">
        <f t="shared" si="107"/>
        <v>180000</v>
      </c>
      <c r="HF61" s="146">
        <f t="shared" si="107"/>
        <v>97500</v>
      </c>
      <c r="HG61" s="146">
        <f t="shared" si="107"/>
        <v>510607.11</v>
      </c>
      <c r="HH61" s="146">
        <f t="shared" si="107"/>
        <v>0</v>
      </c>
      <c r="HI61" s="146">
        <f t="shared" si="107"/>
        <v>0</v>
      </c>
      <c r="HJ61" s="146">
        <f t="shared" si="107"/>
        <v>0</v>
      </c>
      <c r="HL61" s="146"/>
      <c r="HM61" s="57"/>
    </row>
    <row r="62" spans="1:221">
      <c r="A62" s="185">
        <v>1006</v>
      </c>
      <c r="B62" s="185">
        <v>103122</v>
      </c>
      <c r="C62" s="185" t="s">
        <v>147</v>
      </c>
      <c r="D62" s="2" t="s">
        <v>148</v>
      </c>
      <c r="E62" s="190" t="s">
        <v>36</v>
      </c>
      <c r="F62" s="190" t="s">
        <v>890</v>
      </c>
      <c r="H62" s="271">
        <f>_xlfn.IFNA(VLOOKUP($A62,ISB!$A$4:$BY$441,67,FALSE),0)</f>
        <v>0</v>
      </c>
      <c r="I62" s="271">
        <f>_xlfn.IFNA(VLOOKUP($A62,ISB!$A$4:$BY$441,72,FALSE),0)</f>
        <v>0</v>
      </c>
      <c r="J62" s="271">
        <f>-_xlfn.IFNA(VLOOKUP($A62,ISB!$A$4:$BY$441,76,FALSE),0)</f>
        <v>0</v>
      </c>
      <c r="K62" s="271">
        <f>_xlfn.IFNA(VLOOKUP($A62,ISB!$A$4:$BY$441,77,FALSE),0)</f>
        <v>0</v>
      </c>
      <c r="M62" s="279">
        <f t="shared" si="56"/>
        <v>0</v>
      </c>
      <c r="N62" s="279"/>
      <c r="O62" s="279">
        <f>_xlfn.IFNA(VLOOKUP($A62,EY!$A:$H,8,FALSE)+(VLOOKUP($A62,EY!$A:$R,18,FALSE)-$T62),0)</f>
        <v>324070.72887234692</v>
      </c>
      <c r="P62" s="280">
        <f>_xlfn.IFNA((VLOOKUP($A62,HN!$A:$M,8,FALSE)/12),0)</f>
        <v>0</v>
      </c>
      <c r="Q62" s="280">
        <f>_xlfn.IFNA((VLOOKUP($A62,HN!$A:$M,12,FALSE)/12),0)</f>
        <v>5000</v>
      </c>
      <c r="R62" s="280">
        <f>_xlfn.IFNA((VLOOKUP($A62,HN!$A:$M,9,FALSE)/12),0)</f>
        <v>0</v>
      </c>
      <c r="S62" s="280">
        <f>_xlfn.IFNA((VLOOKUP($A62,'Post 16'!$A:$AR,22,FALSE)/4),0)</f>
        <v>0</v>
      </c>
      <c r="T62" s="280">
        <f>_xlfn.IFNA((VLOOKUP($A62,EY!$A:$R,16,FALSE)*80%),0)</f>
        <v>7020</v>
      </c>
      <c r="U62" s="280">
        <v>0</v>
      </c>
      <c r="V62" s="280">
        <v>9229.6666666666661</v>
      </c>
      <c r="W62" s="279">
        <f t="shared" si="57"/>
        <v>0</v>
      </c>
      <c r="X62" s="279">
        <f t="shared" si="58"/>
        <v>0</v>
      </c>
      <c r="Y62" s="280"/>
      <c r="Z62" s="280"/>
      <c r="AA62" s="280"/>
      <c r="AB62" s="279">
        <f t="shared" si="59"/>
        <v>345320.39553901361</v>
      </c>
      <c r="AC62" s="293">
        <f t="shared" si="60"/>
        <v>0</v>
      </c>
      <c r="AD62" s="293"/>
      <c r="AE62" s="293"/>
      <c r="AF62" s="294">
        <f>_xlfn.IFNA((VLOOKUP($A62,HN!$A:$M,8,FALSE)/12),0)</f>
        <v>0</v>
      </c>
      <c r="AG62" s="294">
        <f>_xlfn.IFNA((VLOOKUP($A62,HN!$A:$M,12,FALSE)/12),0)+_xlfn.IFNA(VLOOKUP($A62,HN!$A:$Q,17,FALSE),0)</f>
        <v>1000</v>
      </c>
      <c r="AH62" s="294">
        <f>_xlfn.IFNA((VLOOKUP($A62,HN!$A:$M,9,FALSE)/12),0)</f>
        <v>0</v>
      </c>
      <c r="AI62" s="294">
        <f>_xlfn.IFNA((VLOOKUP($A62,'Post 16'!$A:$AR,22,FALSE)/4),0)</f>
        <v>0</v>
      </c>
      <c r="AJ62" s="294"/>
      <c r="AK62" s="294">
        <f>_xlfn.IFNA((VLOOKUP($A62,HN!$A:$M,10,FALSE)/12),0)</f>
        <v>0</v>
      </c>
      <c r="AL62" s="294">
        <f>_xlfn.IFNA((VLOOKUP($A62,HN!$A:$M,13,FALSE)/12),0)</f>
        <v>9229.6666666666661</v>
      </c>
      <c r="AM62" s="293">
        <f t="shared" si="61"/>
        <v>0</v>
      </c>
      <c r="AN62" s="293">
        <f t="shared" si="62"/>
        <v>0</v>
      </c>
      <c r="AO62" s="294"/>
      <c r="AP62" s="294"/>
      <c r="AQ62" s="294"/>
      <c r="AR62" s="293">
        <f t="shared" si="63"/>
        <v>10229.666666666666</v>
      </c>
      <c r="AS62" s="286">
        <f t="shared" si="64"/>
        <v>0</v>
      </c>
      <c r="AT62" s="286"/>
      <c r="AU62" s="286">
        <f>_xlfn.IFNA(VLOOKUP(A62,EY!A:AO,40,FALSE),0)</f>
        <v>22572.480914127416</v>
      </c>
      <c r="AV62" s="287">
        <f>_xlfn.IFNA((VLOOKUP($A62,HN!$A:$M,8,FALSE)/12),0)</f>
        <v>0</v>
      </c>
      <c r="AW62" s="287">
        <f>_xlfn.IFNA((VLOOKUP($A62,HN!$A:$M,12,FALSE)/12),0)+_xlfn.IFNA(VLOOKUP($A62,HN!$A$8:$AU$200,19,FALSE),0)</f>
        <v>5000</v>
      </c>
      <c r="AX62" s="287">
        <f>_xlfn.IFNA((VLOOKUP($A62,HN!$A:$M,9,FALSE)/12),0)</f>
        <v>0</v>
      </c>
      <c r="AY62" s="287">
        <f>_xlfn.IFNA((VLOOKUP($A62,'Post 16'!$A:$AR,22,FALSE)/4),0)</f>
        <v>0</v>
      </c>
      <c r="AZ62" s="287">
        <f>_xlfn.IFNA(VLOOKUP(A62,EY!A:AO,41,FALSE),0)</f>
        <v>2330.1894736842105</v>
      </c>
      <c r="BA62" s="287">
        <f>_xlfn.IFNA(((VLOOKUP($A62,HN!$A:$M,10,FALSE)-$U62-$AK62)/10),0)+_xlfn.IFNA(VLOOKUP($A62,HN!$A:$R,18,FALSE),0)</f>
        <v>0</v>
      </c>
      <c r="BB62" s="287">
        <f>_xlfn.IFNA(((VLOOKUP($A62,HN!$A:$M,13,FALSE)-$V62-$AL62)/10),0)+_xlfn.IFNA(VLOOKUP($A62,HN!$A$8:$AU$200,20,FALSE),0)</f>
        <v>9229.6666666666661</v>
      </c>
      <c r="BC62" s="286">
        <f t="shared" si="65"/>
        <v>0</v>
      </c>
      <c r="BD62" s="286">
        <f t="shared" si="66"/>
        <v>0</v>
      </c>
      <c r="BE62" s="287"/>
      <c r="BF62" s="287"/>
      <c r="BG62" s="287"/>
      <c r="BH62" s="286">
        <f t="shared" si="67"/>
        <v>39132.337054478296</v>
      </c>
      <c r="BI62" s="307">
        <f t="shared" si="68"/>
        <v>0</v>
      </c>
      <c r="BJ62" s="307">
        <f>_xlfn.IFNA(VLOOKUP(A62,'LA Deductions'!A:AH,34,FALSE),0)</f>
        <v>0</v>
      </c>
      <c r="BK62" s="307"/>
      <c r="BL62" s="308">
        <f>_xlfn.IFNA((VLOOKUP($A62,HN!$A:$M,8,FALSE)/12),0)</f>
        <v>0</v>
      </c>
      <c r="BM62" s="308">
        <f>_xlfn.IFNA((VLOOKUP($A62,HN!$A:$M,12,FALSE)/12),0)</f>
        <v>5000</v>
      </c>
      <c r="BN62" s="308">
        <f>_xlfn.IFNA((VLOOKUP($A62,HN!$A:$M,9,FALSE)/12),0)</f>
        <v>0</v>
      </c>
      <c r="BO62" s="308">
        <f>_xlfn.IFNA((VLOOKUP($A62,'Post 16'!$A:$AR,22,FALSE)/4),0)</f>
        <v>0</v>
      </c>
      <c r="BP62" s="308"/>
      <c r="BQ62" s="308">
        <f>_xlfn.IFNA(((VLOOKUP($A62,HN!$A:$M,10,FALSE)-$U62-$AK62)/10),0)</f>
        <v>0</v>
      </c>
      <c r="BR62" s="308">
        <f>_xlfn.IFNA(((VLOOKUP($A62,HN!$A:$M,13,FALSE)-$V62-$AL62)/10),0)</f>
        <v>9229.6666666666661</v>
      </c>
      <c r="BS62" s="307">
        <f t="shared" si="69"/>
        <v>0</v>
      </c>
      <c r="BT62" s="307">
        <f t="shared" si="70"/>
        <v>0</v>
      </c>
      <c r="BU62" s="308"/>
      <c r="BV62" s="308"/>
      <c r="BW62" s="308"/>
      <c r="BX62" s="307">
        <f t="shared" si="71"/>
        <v>14229.666666666666</v>
      </c>
      <c r="BY62" s="300">
        <f t="shared" si="72"/>
        <v>0</v>
      </c>
      <c r="BZ62" s="300"/>
      <c r="CA62" s="300"/>
      <c r="CB62" s="301">
        <f>_xlfn.IFNA((VLOOKUP($A62,HN!$A:$M,8,FALSE)/12),0)</f>
        <v>0</v>
      </c>
      <c r="CC62" s="301">
        <f>_xlfn.IFNA((VLOOKUP($A62,HN!$A:$M,12,FALSE)/12),0)</f>
        <v>5000</v>
      </c>
      <c r="CD62" s="301">
        <f>_xlfn.IFNA((VLOOKUP($A62,HN!$A:$M,9,FALSE)/12),0)</f>
        <v>0</v>
      </c>
      <c r="CE62" s="301">
        <f>_xlfn.IFNA((VLOOKUP($A62,'Post 16'!$A:$AG,33,FALSE)/8),0)</f>
        <v>0</v>
      </c>
      <c r="CF62" s="301"/>
      <c r="CG62" s="301">
        <f>_xlfn.IFNA(((VLOOKUP($A62,HN!$A:$M,10,FALSE)-$U62-$AK62)/10),0)</f>
        <v>0</v>
      </c>
      <c r="CH62" s="301">
        <f>_xlfn.IFNA(((VLOOKUP($A62,HN!$A:$M,13,FALSE)-$V62-$AL62)/10),0)</f>
        <v>9229.6666666666661</v>
      </c>
      <c r="CI62" s="300">
        <f t="shared" si="73"/>
        <v>0</v>
      </c>
      <c r="CJ62" s="300">
        <f t="shared" si="74"/>
        <v>0</v>
      </c>
      <c r="CK62" s="301"/>
      <c r="CL62" s="301"/>
      <c r="CM62" s="301"/>
      <c r="CN62" s="300">
        <f t="shared" si="75"/>
        <v>14229.666666666666</v>
      </c>
      <c r="CO62" s="332">
        <f t="shared" si="76"/>
        <v>0</v>
      </c>
      <c r="CP62" s="332"/>
      <c r="CQ62" s="332">
        <f>_xlfn.IFNA((VLOOKUP($A62,EY!$A:$AB,28,FALSE)-$CV62),0)</f>
        <v>110105.15578947371</v>
      </c>
      <c r="CR62" s="333">
        <f>_xlfn.IFNA((VLOOKUP($A62,HN!$A:$M,8,FALSE)/12),0)</f>
        <v>0</v>
      </c>
      <c r="CS62" s="333">
        <f>_xlfn.IFNA((VLOOKUP($A62,HN!$A:$M,12,FALSE)/12),0)</f>
        <v>5000</v>
      </c>
      <c r="CT62" s="333">
        <f>_xlfn.IFNA((VLOOKUP($A62,HN!$A:$M,9,FALSE)/12),0)</f>
        <v>0</v>
      </c>
      <c r="CU62" s="333">
        <f>_xlfn.IFNA((VLOOKUP($A62,'Post 16'!$A:$AG,33,FALSE)/8),0)</f>
        <v>0</v>
      </c>
      <c r="CV62" s="333">
        <f>_xlfn.IFNA((VLOOKUP($A62,EY!$A:$AB,26,FALSE)*80%),0)</f>
        <v>6240</v>
      </c>
      <c r="CW62" s="333">
        <f>_xlfn.IFNA(((VLOOKUP($A62,HN!$A:$M,10,FALSE)-$U62-$AK62)/10),0)</f>
        <v>0</v>
      </c>
      <c r="CX62" s="333">
        <f>_xlfn.IFNA(((VLOOKUP($A62,HN!$A:$M,13,FALSE)-$V62-$AL62)/10),0)</f>
        <v>9229.6666666666661</v>
      </c>
      <c r="CY62" s="332">
        <f t="shared" si="77"/>
        <v>0</v>
      </c>
      <c r="CZ62" s="332">
        <f t="shared" si="78"/>
        <v>0</v>
      </c>
      <c r="DA62" s="333"/>
      <c r="DB62" s="333"/>
      <c r="DC62" s="333"/>
      <c r="DD62" s="332">
        <f t="shared" si="79"/>
        <v>130574.82245614038</v>
      </c>
      <c r="DE62" s="314">
        <f t="shared" si="80"/>
        <v>0</v>
      </c>
      <c r="DF62" s="314"/>
      <c r="DG62" s="314"/>
      <c r="DH62" s="315">
        <f>_xlfn.IFNA((VLOOKUP($A62,HN!$A:$M,8,FALSE)/12),0)</f>
        <v>0</v>
      </c>
      <c r="DI62" s="315">
        <f>_xlfn.IFNA((VLOOKUP($A62,HN!$A:$M,12,FALSE)/12),0)</f>
        <v>5000</v>
      </c>
      <c r="DJ62" s="315">
        <f>_xlfn.IFNA((VLOOKUP($A62,HN!$A:$M,9,FALSE)/12),0)</f>
        <v>0</v>
      </c>
      <c r="DK62" s="315">
        <f>_xlfn.IFNA((VLOOKUP($A62,'Post 16'!$A:$AG,33,FALSE)/8),0)</f>
        <v>0</v>
      </c>
      <c r="DL62" s="315"/>
      <c r="DM62" s="315">
        <f>_xlfn.IFNA(((VLOOKUP($A62,HN!$A:$M,10,FALSE)-$U62-$AK62)/10),0)</f>
        <v>0</v>
      </c>
      <c r="DN62" s="315">
        <f>_xlfn.IFNA(((VLOOKUP($A62,HN!$A:$M,13,FALSE)-$V62-$AL62)/10),0)</f>
        <v>9229.6666666666661</v>
      </c>
      <c r="DO62" s="314">
        <f t="shared" si="81"/>
        <v>0</v>
      </c>
      <c r="DP62" s="314">
        <f t="shared" si="82"/>
        <v>0</v>
      </c>
      <c r="DQ62" s="315"/>
      <c r="DR62" s="315"/>
      <c r="DS62" s="315"/>
      <c r="DT62" s="314">
        <f t="shared" si="83"/>
        <v>14229.666666666666</v>
      </c>
      <c r="DU62" s="307">
        <f t="shared" si="84"/>
        <v>0</v>
      </c>
      <c r="DV62" s="307"/>
      <c r="DW62" s="307"/>
      <c r="DX62" s="308">
        <f>_xlfn.IFNA((VLOOKUP($A62,HN!$A:$M,8,FALSE)/12),0)</f>
        <v>0</v>
      </c>
      <c r="DY62" s="308">
        <f>_xlfn.IFNA((VLOOKUP($A62,HN!$A:$M,12,FALSE)/12),0)</f>
        <v>5000</v>
      </c>
      <c r="DZ62" s="308">
        <f>_xlfn.IFNA((VLOOKUP($A62,HN!$A:$M,9,FALSE)/12),0)</f>
        <v>0</v>
      </c>
      <c r="EA62" s="308">
        <f>_xlfn.IFNA((VLOOKUP($A62,'Post 16'!$A:$AG,33,FALSE)/8),0)</f>
        <v>0</v>
      </c>
      <c r="EB62" s="308"/>
      <c r="EC62" s="308">
        <f>_xlfn.IFNA(((VLOOKUP($A62,HN!$A:$M,10,FALSE)-$U62-$AK62)/10),0)</f>
        <v>0</v>
      </c>
      <c r="ED62" s="308">
        <f>_xlfn.IFNA(((VLOOKUP($A62,HN!$A:$M,13,FALSE)-$V62-$AL62)/10),0)</f>
        <v>9229.6666666666661</v>
      </c>
      <c r="EE62" s="307">
        <f t="shared" si="85"/>
        <v>0</v>
      </c>
      <c r="EF62" s="307">
        <f t="shared" si="86"/>
        <v>0</v>
      </c>
      <c r="EG62" s="308"/>
      <c r="EH62" s="308"/>
      <c r="EI62" s="308"/>
      <c r="EJ62" s="307">
        <f t="shared" si="87"/>
        <v>14229.666666666666</v>
      </c>
      <c r="EK62" s="320">
        <f t="shared" si="88"/>
        <v>0</v>
      </c>
      <c r="EL62" s="320"/>
      <c r="EM62" s="320"/>
      <c r="EN62" s="321">
        <f>_xlfn.IFNA((VLOOKUP($A62,HN!$A:$M,8,FALSE)/12),0)</f>
        <v>0</v>
      </c>
      <c r="EO62" s="321">
        <f>_xlfn.IFNA((VLOOKUP($A62,HN!$A:$M,12,FALSE)/12),0)</f>
        <v>5000</v>
      </c>
      <c r="EP62" s="321">
        <f>_xlfn.IFNA((VLOOKUP($A62,HN!$A:$M,9,FALSE)/12),0)</f>
        <v>0</v>
      </c>
      <c r="EQ62" s="321">
        <f>_xlfn.IFNA((VLOOKUP($A62,'Post 16'!$A:$AG,33,FALSE)/8),0)</f>
        <v>0</v>
      </c>
      <c r="ER62" s="321"/>
      <c r="ES62" s="321">
        <f>_xlfn.IFNA(((VLOOKUP($A62,HN!$A:$M,10,FALSE)-$U62-$AK62)/10),0)</f>
        <v>0</v>
      </c>
      <c r="ET62" s="321">
        <f>_xlfn.IFNA(((VLOOKUP($A62,HN!$A:$M,13,FALSE)-$V62-$AL62)/10),0)</f>
        <v>9229.6666666666661</v>
      </c>
      <c r="EU62" s="320">
        <f t="shared" si="89"/>
        <v>0</v>
      </c>
      <c r="EV62" s="320">
        <f t="shared" si="90"/>
        <v>0</v>
      </c>
      <c r="EW62" s="321"/>
      <c r="EX62" s="321"/>
      <c r="EY62" s="321"/>
      <c r="EZ62" s="320">
        <f t="shared" si="91"/>
        <v>14229.666666666666</v>
      </c>
      <c r="FA62" s="286">
        <f t="shared" si="92"/>
        <v>0</v>
      </c>
      <c r="FB62" s="286"/>
      <c r="FC62" s="286"/>
      <c r="FD62" s="287">
        <f>_xlfn.IFNA((VLOOKUP($A62,HN!$A:$M,8,FALSE)/12),0)</f>
        <v>0</v>
      </c>
      <c r="FE62" s="287">
        <f>_xlfn.IFNA((VLOOKUP($A62,HN!$A:$M,12,FALSE)/12),0)</f>
        <v>5000</v>
      </c>
      <c r="FF62" s="287">
        <f>_xlfn.IFNA((VLOOKUP($A62,HN!$A:$M,9,FALSE)/12),0)</f>
        <v>0</v>
      </c>
      <c r="FG62" s="287">
        <f>_xlfn.IFNA((VLOOKUP($A62,'Post 16'!$A:$AG,33,FALSE)/8),0)</f>
        <v>0</v>
      </c>
      <c r="FH62" s="287"/>
      <c r="FI62" s="287">
        <f>_xlfn.IFNA(((VLOOKUP($A62,HN!$A:$M,10,FALSE)-$U62-$AK62)/10),0)</f>
        <v>0</v>
      </c>
      <c r="FJ62" s="287">
        <f>_xlfn.IFNA(((VLOOKUP($A62,HN!$A:$M,13,FALSE)-$V62-$AL62)/10),0)</f>
        <v>9229.6666666666661</v>
      </c>
      <c r="FK62" s="286">
        <f t="shared" si="93"/>
        <v>0</v>
      </c>
      <c r="FL62" s="286">
        <f t="shared" si="94"/>
        <v>0</v>
      </c>
      <c r="FM62" s="287"/>
      <c r="FN62" s="287"/>
      <c r="FO62" s="287"/>
      <c r="FP62" s="286">
        <f t="shared" si="95"/>
        <v>14229.666666666666</v>
      </c>
      <c r="FQ62" s="293">
        <f t="shared" si="96"/>
        <v>0</v>
      </c>
      <c r="FR62" s="293"/>
      <c r="FS62" s="293"/>
      <c r="FT62" s="294">
        <f>_xlfn.IFNA((VLOOKUP($A62,HN!$A:$M,8,FALSE)/12),0)</f>
        <v>0</v>
      </c>
      <c r="FU62" s="294">
        <f>_xlfn.IFNA((VLOOKUP($A62,HN!$A:$M,12,FALSE)/12),0)</f>
        <v>5000</v>
      </c>
      <c r="FV62" s="294">
        <f>_xlfn.IFNA((VLOOKUP($A62,HN!$A:$M,9,FALSE)/12),0)</f>
        <v>0</v>
      </c>
      <c r="FW62" s="294">
        <f>_xlfn.IFNA((VLOOKUP($A62,'Post 16'!$A:$AG,33,FALSE)/8),0)</f>
        <v>0</v>
      </c>
      <c r="FX62" s="294"/>
      <c r="FY62" s="294">
        <f>_xlfn.IFNA(((VLOOKUP($A62,HN!$A:$M,10,FALSE)-$U62-$AK62)/10),0)</f>
        <v>0</v>
      </c>
      <c r="FZ62" s="294">
        <f>_xlfn.IFNA(((VLOOKUP($A62,HN!$A:$M,13,FALSE)-$V62-$AL62)/10),0)</f>
        <v>9229.6666666666661</v>
      </c>
      <c r="GA62" s="293">
        <f t="shared" si="97"/>
        <v>0</v>
      </c>
      <c r="GB62" s="293">
        <f t="shared" si="98"/>
        <v>0</v>
      </c>
      <c r="GC62" s="294"/>
      <c r="GD62" s="294"/>
      <c r="GE62" s="294"/>
      <c r="GF62" s="293">
        <f t="shared" si="99"/>
        <v>14229.666666666666</v>
      </c>
      <c r="GG62" s="300">
        <f t="shared" si="100"/>
        <v>0</v>
      </c>
      <c r="GH62" s="300"/>
      <c r="GI62" s="300"/>
      <c r="GJ62" s="301">
        <f>_xlfn.IFNA((VLOOKUP($A62,HN!$A:$M,8,FALSE)/12),0)</f>
        <v>0</v>
      </c>
      <c r="GK62" s="301">
        <f>_xlfn.IFNA((VLOOKUP($A62,HN!$A:$M,12,FALSE)/12),0)</f>
        <v>5000</v>
      </c>
      <c r="GL62" s="301">
        <f>_xlfn.IFNA((VLOOKUP($A62,HN!$A:$M,9,FALSE)/12),0)</f>
        <v>0</v>
      </c>
      <c r="GM62" s="301">
        <f>_xlfn.IFNA((VLOOKUP($A62,'Post 16'!$A:$AG,33,FALSE)/8),0)</f>
        <v>0</v>
      </c>
      <c r="GN62" s="301"/>
      <c r="GO62" s="301">
        <f>_xlfn.IFNA(((VLOOKUP($A62,HN!$A:$M,10,FALSE)-$U62-$AK62)/10),0)</f>
        <v>0</v>
      </c>
      <c r="GP62" s="301">
        <f>_xlfn.IFNA(((VLOOKUP($A62,HN!$A:$M,13,FALSE)-$V62-$AL62)/10),0)</f>
        <v>9229.6666666666661</v>
      </c>
      <c r="GQ62" s="300">
        <f t="shared" si="101"/>
        <v>0</v>
      </c>
      <c r="GR62" s="300">
        <f t="shared" si="102"/>
        <v>0</v>
      </c>
      <c r="GS62" s="301"/>
      <c r="GT62" s="301"/>
      <c r="GU62" s="301"/>
      <c r="GV62" s="300">
        <f t="shared" si="103"/>
        <v>14229.666666666666</v>
      </c>
      <c r="GX62" s="146">
        <f t="shared" si="106"/>
        <v>512748.36557594803</v>
      </c>
      <c r="GY62" s="146">
        <f t="shared" si="106"/>
        <v>0</v>
      </c>
      <c r="GZ62" s="146">
        <f t="shared" si="106"/>
        <v>126346.18947368424</v>
      </c>
      <c r="HA62" s="146">
        <f t="shared" si="106"/>
        <v>0</v>
      </c>
      <c r="HB62" s="146">
        <f t="shared" si="106"/>
        <v>0</v>
      </c>
      <c r="HC62" s="146">
        <f t="shared" si="106"/>
        <v>0</v>
      </c>
      <c r="HE62" s="146">
        <f t="shared" si="107"/>
        <v>357643.20978647436</v>
      </c>
      <c r="HF62" s="146">
        <f t="shared" si="107"/>
        <v>0</v>
      </c>
      <c r="HG62" s="146">
        <f t="shared" si="107"/>
        <v>37039.189473684208</v>
      </c>
      <c r="HH62" s="146">
        <f t="shared" si="107"/>
        <v>0</v>
      </c>
      <c r="HI62" s="146">
        <f t="shared" si="107"/>
        <v>0</v>
      </c>
      <c r="HJ62" s="146">
        <f t="shared" si="107"/>
        <v>0</v>
      </c>
      <c r="HL62" s="146"/>
      <c r="HM62" s="57"/>
    </row>
    <row r="63" spans="1:221">
      <c r="A63" s="185">
        <v>2079</v>
      </c>
      <c r="B63" s="185">
        <v>103200</v>
      </c>
      <c r="C63" s="185" t="s">
        <v>149</v>
      </c>
      <c r="D63" s="2" t="s">
        <v>150</v>
      </c>
      <c r="E63" s="190" t="s">
        <v>39</v>
      </c>
      <c r="F63" s="190" t="s">
        <v>890</v>
      </c>
      <c r="H63" s="271">
        <f>_xlfn.IFNA(VLOOKUP($A63,ISB!$A$4:$BY$441,67,FALSE),0)</f>
        <v>1780327.0639150094</v>
      </c>
      <c r="I63" s="271">
        <f>_xlfn.IFNA(VLOOKUP($A63,ISB!$A$4:$BY$441,72,FALSE),0)</f>
        <v>-7046.7</v>
      </c>
      <c r="J63" s="271">
        <f>-_xlfn.IFNA(VLOOKUP($A63,ISB!$A$4:$BY$441,76,FALSE),0)</f>
        <v>-34866.3315</v>
      </c>
      <c r="K63" s="271">
        <f>_xlfn.IFNA(VLOOKUP($A63,ISB!$A$4:$BY$441,77,FALSE),0)</f>
        <v>1738414.0324150093</v>
      </c>
      <c r="M63" s="279">
        <f t="shared" si="56"/>
        <v>148360.58865958411</v>
      </c>
      <c r="N63" s="279"/>
      <c r="O63" s="279">
        <f>_xlfn.IFNA(VLOOKUP($A63,EY!$A:$H,8,FALSE)+(VLOOKUP($A63,EY!$A:$R,18,FALSE)-$T63),0)</f>
        <v>0</v>
      </c>
      <c r="P63" s="280">
        <f>_xlfn.IFNA((VLOOKUP($A63,HN!$A:$M,8,FALSE)/12),0)</f>
        <v>0</v>
      </c>
      <c r="Q63" s="280">
        <f>_xlfn.IFNA((VLOOKUP($A63,HN!$A:$M,12,FALSE)/12),0)</f>
        <v>0</v>
      </c>
      <c r="R63" s="280">
        <f>_xlfn.IFNA((VLOOKUP($A63,HN!$A:$M,9,FALSE)/12),0)</f>
        <v>0</v>
      </c>
      <c r="S63" s="280">
        <f>_xlfn.IFNA((VLOOKUP($A63,'Post 16'!$A:$AR,22,FALSE)/4),0)</f>
        <v>0</v>
      </c>
      <c r="T63" s="280">
        <f>_xlfn.IFNA((VLOOKUP($A63,EY!$A:$R,16,FALSE)*80%),0)</f>
        <v>0</v>
      </c>
      <c r="U63" s="280">
        <v>15420.360833333334</v>
      </c>
      <c r="V63" s="280">
        <v>0</v>
      </c>
      <c r="W63" s="279">
        <f t="shared" si="57"/>
        <v>-587.22500000000002</v>
      </c>
      <c r="X63" s="279">
        <f t="shared" si="58"/>
        <v>-2905.5276250000002</v>
      </c>
      <c r="Y63" s="280"/>
      <c r="Z63" s="280"/>
      <c r="AA63" s="280"/>
      <c r="AB63" s="279">
        <f t="shared" si="59"/>
        <v>160288.19686791746</v>
      </c>
      <c r="AC63" s="293">
        <f t="shared" si="60"/>
        <v>148360.58865958411</v>
      </c>
      <c r="AD63" s="293"/>
      <c r="AE63" s="293"/>
      <c r="AF63" s="294">
        <f>_xlfn.IFNA((VLOOKUP($A63,HN!$A:$M,8,FALSE)/12),0)</f>
        <v>0</v>
      </c>
      <c r="AG63" s="294">
        <f>_xlfn.IFNA((VLOOKUP($A63,HN!$A:$M,12,FALSE)/12),0)+_xlfn.IFNA(VLOOKUP($A63,HN!$A:$Q,17,FALSE),0)</f>
        <v>0</v>
      </c>
      <c r="AH63" s="294">
        <f>_xlfn.IFNA((VLOOKUP($A63,HN!$A:$M,9,FALSE)/12),0)</f>
        <v>0</v>
      </c>
      <c r="AI63" s="294">
        <f>_xlfn.IFNA((VLOOKUP($A63,'Post 16'!$A:$AR,22,FALSE)/4),0)</f>
        <v>0</v>
      </c>
      <c r="AJ63" s="294"/>
      <c r="AK63" s="294">
        <f>_xlfn.IFNA((VLOOKUP($A63,HN!$A:$M,10,FALSE)/12),0)</f>
        <v>8717.6391666666659</v>
      </c>
      <c r="AL63" s="294">
        <f>_xlfn.IFNA((VLOOKUP($A63,HN!$A:$M,13,FALSE)/12),0)</f>
        <v>0</v>
      </c>
      <c r="AM63" s="293">
        <f t="shared" si="61"/>
        <v>-587.22500000000002</v>
      </c>
      <c r="AN63" s="293">
        <f t="shared" si="62"/>
        <v>-2905.5276250000002</v>
      </c>
      <c r="AO63" s="294"/>
      <c r="AP63" s="294"/>
      <c r="AQ63" s="294"/>
      <c r="AR63" s="293">
        <f t="shared" si="63"/>
        <v>153585.47520125078</v>
      </c>
      <c r="AS63" s="286">
        <f t="shared" si="64"/>
        <v>148360.58865958411</v>
      </c>
      <c r="AT63" s="286"/>
      <c r="AU63" s="286">
        <f>_xlfn.IFNA(VLOOKUP(A63,EY!A:AO,40,FALSE),0)</f>
        <v>0</v>
      </c>
      <c r="AV63" s="287">
        <f>_xlfn.IFNA((VLOOKUP($A63,HN!$A:$M,8,FALSE)/12),0)</f>
        <v>0</v>
      </c>
      <c r="AW63" s="287">
        <f>_xlfn.IFNA((VLOOKUP($A63,HN!$A:$M,12,FALSE)/12),0)+_xlfn.IFNA(VLOOKUP($A63,HN!$A$8:$AU$200,19,FALSE),0)</f>
        <v>0</v>
      </c>
      <c r="AX63" s="287">
        <f>_xlfn.IFNA((VLOOKUP($A63,HN!$A:$M,9,FALSE)/12),0)</f>
        <v>0</v>
      </c>
      <c r="AY63" s="287">
        <f>_xlfn.IFNA((VLOOKUP($A63,'Post 16'!$A:$AR,22,FALSE)/4),0)</f>
        <v>0</v>
      </c>
      <c r="AZ63" s="287">
        <f>_xlfn.IFNA(VLOOKUP(A63,EY!A:AO,41,FALSE),0)</f>
        <v>0</v>
      </c>
      <c r="BA63" s="287">
        <f>_xlfn.IFNA(((VLOOKUP($A63,HN!$A:$M,10,FALSE)-$U63-$AK63)/10),0)+_xlfn.IFNA(VLOOKUP($A63,HN!$A:$R,18,FALSE),0)</f>
        <v>8047.3670000000002</v>
      </c>
      <c r="BB63" s="287">
        <f>_xlfn.IFNA(((VLOOKUP($A63,HN!$A:$M,13,FALSE)-$V63-$AL63)/10),0)+_xlfn.IFNA(VLOOKUP($A63,HN!$A$8:$AU$200,20,FALSE),0)</f>
        <v>0</v>
      </c>
      <c r="BC63" s="286">
        <f t="shared" si="65"/>
        <v>-587.22500000000002</v>
      </c>
      <c r="BD63" s="286">
        <f t="shared" si="66"/>
        <v>-2905.5276250000002</v>
      </c>
      <c r="BE63" s="287"/>
      <c r="BF63" s="287"/>
      <c r="BG63" s="287"/>
      <c r="BH63" s="286">
        <f t="shared" si="67"/>
        <v>152915.20303458412</v>
      </c>
      <c r="BI63" s="307">
        <f t="shared" si="68"/>
        <v>148360.58865958411</v>
      </c>
      <c r="BJ63" s="307">
        <f>_xlfn.IFNA(VLOOKUP(A63,'LA Deductions'!A:AH,34,FALSE),0)</f>
        <v>0</v>
      </c>
      <c r="BK63" s="307"/>
      <c r="BL63" s="308">
        <f>_xlfn.IFNA((VLOOKUP($A63,HN!$A:$M,8,FALSE)/12),0)</f>
        <v>0</v>
      </c>
      <c r="BM63" s="308">
        <f>_xlfn.IFNA((VLOOKUP($A63,HN!$A:$M,12,FALSE)/12),0)</f>
        <v>0</v>
      </c>
      <c r="BN63" s="308">
        <f>_xlfn.IFNA((VLOOKUP($A63,HN!$A:$M,9,FALSE)/12),0)</f>
        <v>0</v>
      </c>
      <c r="BO63" s="308">
        <f>_xlfn.IFNA((VLOOKUP($A63,'Post 16'!$A:$AR,22,FALSE)/4),0)</f>
        <v>0</v>
      </c>
      <c r="BP63" s="308"/>
      <c r="BQ63" s="308">
        <f>_xlfn.IFNA(((VLOOKUP($A63,HN!$A:$M,10,FALSE)-$U63-$AK63)/10),0)</f>
        <v>8047.3670000000002</v>
      </c>
      <c r="BR63" s="308">
        <f>_xlfn.IFNA(((VLOOKUP($A63,HN!$A:$M,13,FALSE)-$V63-$AL63)/10),0)</f>
        <v>0</v>
      </c>
      <c r="BS63" s="307">
        <f t="shared" si="69"/>
        <v>-587.22500000000002</v>
      </c>
      <c r="BT63" s="307">
        <f t="shared" si="70"/>
        <v>-2905.5276250000002</v>
      </c>
      <c r="BU63" s="308"/>
      <c r="BV63" s="308"/>
      <c r="BW63" s="308"/>
      <c r="BX63" s="307">
        <f t="shared" si="71"/>
        <v>152915.20303458412</v>
      </c>
      <c r="BY63" s="300">
        <f t="shared" si="72"/>
        <v>148360.58865958411</v>
      </c>
      <c r="BZ63" s="300"/>
      <c r="CA63" s="300"/>
      <c r="CB63" s="301">
        <f>_xlfn.IFNA((VLOOKUP($A63,HN!$A:$M,8,FALSE)/12),0)</f>
        <v>0</v>
      </c>
      <c r="CC63" s="301">
        <f>_xlfn.IFNA((VLOOKUP($A63,HN!$A:$M,12,FALSE)/12),0)</f>
        <v>0</v>
      </c>
      <c r="CD63" s="301">
        <f>_xlfn.IFNA((VLOOKUP($A63,HN!$A:$M,9,FALSE)/12),0)</f>
        <v>0</v>
      </c>
      <c r="CE63" s="301">
        <f>_xlfn.IFNA((VLOOKUP($A63,'Post 16'!$A:$AG,33,FALSE)/8),0)</f>
        <v>0</v>
      </c>
      <c r="CF63" s="301"/>
      <c r="CG63" s="301">
        <f>_xlfn.IFNA(((VLOOKUP($A63,HN!$A:$M,10,FALSE)-$U63-$AK63)/10),0)</f>
        <v>8047.3670000000002</v>
      </c>
      <c r="CH63" s="301">
        <f>_xlfn.IFNA(((VLOOKUP($A63,HN!$A:$M,13,FALSE)-$V63-$AL63)/10),0)</f>
        <v>0</v>
      </c>
      <c r="CI63" s="300">
        <f t="shared" si="73"/>
        <v>-587.22500000000002</v>
      </c>
      <c r="CJ63" s="300">
        <f t="shared" si="74"/>
        <v>-2905.5276250000002</v>
      </c>
      <c r="CK63" s="301"/>
      <c r="CL63" s="301"/>
      <c r="CM63" s="301"/>
      <c r="CN63" s="300">
        <f t="shared" si="75"/>
        <v>152915.20303458412</v>
      </c>
      <c r="CO63" s="332">
        <f t="shared" si="76"/>
        <v>148360.58865958411</v>
      </c>
      <c r="CP63" s="332"/>
      <c r="CQ63" s="332">
        <f>_xlfn.IFNA((VLOOKUP($A63,EY!$A:$AB,28,FALSE)-$CV63),0)</f>
        <v>0</v>
      </c>
      <c r="CR63" s="333">
        <f>_xlfn.IFNA((VLOOKUP($A63,HN!$A:$M,8,FALSE)/12),0)</f>
        <v>0</v>
      </c>
      <c r="CS63" s="333">
        <f>_xlfn.IFNA((VLOOKUP($A63,HN!$A:$M,12,FALSE)/12),0)</f>
        <v>0</v>
      </c>
      <c r="CT63" s="333">
        <f>_xlfn.IFNA((VLOOKUP($A63,HN!$A:$M,9,FALSE)/12),0)</f>
        <v>0</v>
      </c>
      <c r="CU63" s="333">
        <f>_xlfn.IFNA((VLOOKUP($A63,'Post 16'!$A:$AG,33,FALSE)/8),0)</f>
        <v>0</v>
      </c>
      <c r="CV63" s="333">
        <f>_xlfn.IFNA((VLOOKUP($A63,EY!$A:$AB,26,FALSE)*80%),0)</f>
        <v>0</v>
      </c>
      <c r="CW63" s="333">
        <f>_xlfn.IFNA(((VLOOKUP($A63,HN!$A:$M,10,FALSE)-$U63-$AK63)/10),0)</f>
        <v>8047.3670000000002</v>
      </c>
      <c r="CX63" s="333">
        <f>_xlfn.IFNA(((VLOOKUP($A63,HN!$A:$M,13,FALSE)-$V63-$AL63)/10),0)</f>
        <v>0</v>
      </c>
      <c r="CY63" s="332">
        <f t="shared" si="77"/>
        <v>-587.22500000000002</v>
      </c>
      <c r="CZ63" s="332">
        <f t="shared" si="78"/>
        <v>-2905.5276250000002</v>
      </c>
      <c r="DA63" s="333"/>
      <c r="DB63" s="333"/>
      <c r="DC63" s="333"/>
      <c r="DD63" s="332">
        <f t="shared" si="79"/>
        <v>152915.20303458412</v>
      </c>
      <c r="DE63" s="314">
        <f t="shared" si="80"/>
        <v>148360.58865958411</v>
      </c>
      <c r="DF63" s="314"/>
      <c r="DG63" s="314"/>
      <c r="DH63" s="315">
        <f>_xlfn.IFNA((VLOOKUP($A63,HN!$A:$M,8,FALSE)/12),0)</f>
        <v>0</v>
      </c>
      <c r="DI63" s="315">
        <f>_xlfn.IFNA((VLOOKUP($A63,HN!$A:$M,12,FALSE)/12),0)</f>
        <v>0</v>
      </c>
      <c r="DJ63" s="315">
        <f>_xlfn.IFNA((VLOOKUP($A63,HN!$A:$M,9,FALSE)/12),0)</f>
        <v>0</v>
      </c>
      <c r="DK63" s="315">
        <f>_xlfn.IFNA((VLOOKUP($A63,'Post 16'!$A:$AG,33,FALSE)/8),0)</f>
        <v>0</v>
      </c>
      <c r="DL63" s="315"/>
      <c r="DM63" s="315">
        <f>_xlfn.IFNA(((VLOOKUP($A63,HN!$A:$M,10,FALSE)-$U63-$AK63)/10),0)</f>
        <v>8047.3670000000002</v>
      </c>
      <c r="DN63" s="315">
        <f>_xlfn.IFNA(((VLOOKUP($A63,HN!$A:$M,13,FALSE)-$V63-$AL63)/10),0)</f>
        <v>0</v>
      </c>
      <c r="DO63" s="314">
        <f t="shared" si="81"/>
        <v>-587.22500000000002</v>
      </c>
      <c r="DP63" s="314">
        <f t="shared" si="82"/>
        <v>-2905.5276250000002</v>
      </c>
      <c r="DQ63" s="315"/>
      <c r="DR63" s="315"/>
      <c r="DS63" s="315"/>
      <c r="DT63" s="314">
        <f t="shared" si="83"/>
        <v>152915.20303458412</v>
      </c>
      <c r="DU63" s="307">
        <f t="shared" si="84"/>
        <v>148360.58865958411</v>
      </c>
      <c r="DV63" s="307"/>
      <c r="DW63" s="307"/>
      <c r="DX63" s="308">
        <f>_xlfn.IFNA((VLOOKUP($A63,HN!$A:$M,8,FALSE)/12),0)</f>
        <v>0</v>
      </c>
      <c r="DY63" s="308">
        <f>_xlfn.IFNA((VLOOKUP($A63,HN!$A:$M,12,FALSE)/12),0)</f>
        <v>0</v>
      </c>
      <c r="DZ63" s="308">
        <f>_xlfn.IFNA((VLOOKUP($A63,HN!$A:$M,9,FALSE)/12),0)</f>
        <v>0</v>
      </c>
      <c r="EA63" s="308">
        <f>_xlfn.IFNA((VLOOKUP($A63,'Post 16'!$A:$AG,33,FALSE)/8),0)</f>
        <v>0</v>
      </c>
      <c r="EB63" s="308"/>
      <c r="EC63" s="308">
        <f>_xlfn.IFNA(((VLOOKUP($A63,HN!$A:$M,10,FALSE)-$U63-$AK63)/10),0)</f>
        <v>8047.3670000000002</v>
      </c>
      <c r="ED63" s="308">
        <f>_xlfn.IFNA(((VLOOKUP($A63,HN!$A:$M,13,FALSE)-$V63-$AL63)/10),0)</f>
        <v>0</v>
      </c>
      <c r="EE63" s="307">
        <f t="shared" si="85"/>
        <v>-587.22500000000002</v>
      </c>
      <c r="EF63" s="307">
        <f t="shared" si="86"/>
        <v>-2905.5276250000002</v>
      </c>
      <c r="EG63" s="308"/>
      <c r="EH63" s="308"/>
      <c r="EI63" s="308"/>
      <c r="EJ63" s="307">
        <f t="shared" si="87"/>
        <v>152915.20303458412</v>
      </c>
      <c r="EK63" s="320">
        <f t="shared" si="88"/>
        <v>148360.58865958411</v>
      </c>
      <c r="EL63" s="320"/>
      <c r="EM63" s="320"/>
      <c r="EN63" s="321">
        <f>_xlfn.IFNA((VLOOKUP($A63,HN!$A:$M,8,FALSE)/12),0)</f>
        <v>0</v>
      </c>
      <c r="EO63" s="321">
        <f>_xlfn.IFNA((VLOOKUP($A63,HN!$A:$M,12,FALSE)/12),0)</f>
        <v>0</v>
      </c>
      <c r="EP63" s="321">
        <f>_xlfn.IFNA((VLOOKUP($A63,HN!$A:$M,9,FALSE)/12),0)</f>
        <v>0</v>
      </c>
      <c r="EQ63" s="321">
        <f>_xlfn.IFNA((VLOOKUP($A63,'Post 16'!$A:$AG,33,FALSE)/8),0)</f>
        <v>0</v>
      </c>
      <c r="ER63" s="321"/>
      <c r="ES63" s="321">
        <f>_xlfn.IFNA(((VLOOKUP($A63,HN!$A:$M,10,FALSE)-$U63-$AK63)/10),0)</f>
        <v>8047.3670000000002</v>
      </c>
      <c r="ET63" s="321">
        <f>_xlfn.IFNA(((VLOOKUP($A63,HN!$A:$M,13,FALSE)-$V63-$AL63)/10),0)</f>
        <v>0</v>
      </c>
      <c r="EU63" s="320">
        <f t="shared" si="89"/>
        <v>-587.22500000000002</v>
      </c>
      <c r="EV63" s="320">
        <f t="shared" si="90"/>
        <v>-2905.5276250000002</v>
      </c>
      <c r="EW63" s="321"/>
      <c r="EX63" s="321"/>
      <c r="EY63" s="321"/>
      <c r="EZ63" s="320">
        <f t="shared" si="91"/>
        <v>152915.20303458412</v>
      </c>
      <c r="FA63" s="286">
        <f t="shared" si="92"/>
        <v>148360.58865958411</v>
      </c>
      <c r="FB63" s="286"/>
      <c r="FC63" s="286"/>
      <c r="FD63" s="287">
        <f>_xlfn.IFNA((VLOOKUP($A63,HN!$A:$M,8,FALSE)/12),0)</f>
        <v>0</v>
      </c>
      <c r="FE63" s="287">
        <f>_xlfn.IFNA((VLOOKUP($A63,HN!$A:$M,12,FALSE)/12),0)</f>
        <v>0</v>
      </c>
      <c r="FF63" s="287">
        <f>_xlfn.IFNA((VLOOKUP($A63,HN!$A:$M,9,FALSE)/12),0)</f>
        <v>0</v>
      </c>
      <c r="FG63" s="287">
        <f>_xlfn.IFNA((VLOOKUP($A63,'Post 16'!$A:$AG,33,FALSE)/8),0)</f>
        <v>0</v>
      </c>
      <c r="FH63" s="287"/>
      <c r="FI63" s="287">
        <f>_xlfn.IFNA(((VLOOKUP($A63,HN!$A:$M,10,FALSE)-$U63-$AK63)/10),0)</f>
        <v>8047.3670000000002</v>
      </c>
      <c r="FJ63" s="287">
        <f>_xlfn.IFNA(((VLOOKUP($A63,HN!$A:$M,13,FALSE)-$V63-$AL63)/10),0)</f>
        <v>0</v>
      </c>
      <c r="FK63" s="286">
        <f t="shared" si="93"/>
        <v>-587.22500000000002</v>
      </c>
      <c r="FL63" s="286">
        <f t="shared" si="94"/>
        <v>-2905.5276250000002</v>
      </c>
      <c r="FM63" s="287"/>
      <c r="FN63" s="287"/>
      <c r="FO63" s="287"/>
      <c r="FP63" s="286">
        <f t="shared" si="95"/>
        <v>152915.20303458412</v>
      </c>
      <c r="FQ63" s="293">
        <f t="shared" si="96"/>
        <v>148360.58865958411</v>
      </c>
      <c r="FR63" s="293"/>
      <c r="FS63" s="293"/>
      <c r="FT63" s="294">
        <f>_xlfn.IFNA((VLOOKUP($A63,HN!$A:$M,8,FALSE)/12),0)</f>
        <v>0</v>
      </c>
      <c r="FU63" s="294">
        <f>_xlfn.IFNA((VLOOKUP($A63,HN!$A:$M,12,FALSE)/12),0)</f>
        <v>0</v>
      </c>
      <c r="FV63" s="294">
        <f>_xlfn.IFNA((VLOOKUP($A63,HN!$A:$M,9,FALSE)/12),0)</f>
        <v>0</v>
      </c>
      <c r="FW63" s="294">
        <f>_xlfn.IFNA((VLOOKUP($A63,'Post 16'!$A:$AG,33,FALSE)/8),0)</f>
        <v>0</v>
      </c>
      <c r="FX63" s="294"/>
      <c r="FY63" s="294">
        <f>_xlfn.IFNA(((VLOOKUP($A63,HN!$A:$M,10,FALSE)-$U63-$AK63)/10),0)</f>
        <v>8047.3670000000002</v>
      </c>
      <c r="FZ63" s="294">
        <f>_xlfn.IFNA(((VLOOKUP($A63,HN!$A:$M,13,FALSE)-$V63-$AL63)/10),0)</f>
        <v>0</v>
      </c>
      <c r="GA63" s="293">
        <f t="shared" si="97"/>
        <v>-587.22500000000002</v>
      </c>
      <c r="GB63" s="293">
        <f t="shared" si="98"/>
        <v>-2905.5276250000002</v>
      </c>
      <c r="GC63" s="294"/>
      <c r="GD63" s="294"/>
      <c r="GE63" s="294"/>
      <c r="GF63" s="293">
        <f t="shared" si="99"/>
        <v>152915.20303458412</v>
      </c>
      <c r="GG63" s="300">
        <f t="shared" si="100"/>
        <v>148360.58865958411</v>
      </c>
      <c r="GH63" s="300"/>
      <c r="GI63" s="300"/>
      <c r="GJ63" s="301">
        <f>_xlfn.IFNA((VLOOKUP($A63,HN!$A:$M,8,FALSE)/12),0)</f>
        <v>0</v>
      </c>
      <c r="GK63" s="301">
        <f>_xlfn.IFNA((VLOOKUP($A63,HN!$A:$M,12,FALSE)/12),0)</f>
        <v>0</v>
      </c>
      <c r="GL63" s="301">
        <f>_xlfn.IFNA((VLOOKUP($A63,HN!$A:$M,9,FALSE)/12),0)</f>
        <v>0</v>
      </c>
      <c r="GM63" s="301">
        <f>_xlfn.IFNA((VLOOKUP($A63,'Post 16'!$A:$AG,33,FALSE)/8),0)</f>
        <v>0</v>
      </c>
      <c r="GN63" s="301"/>
      <c r="GO63" s="301">
        <f>_xlfn.IFNA(((VLOOKUP($A63,HN!$A:$M,10,FALSE)-$U63-$AK63)/10),0)</f>
        <v>8047.3670000000002</v>
      </c>
      <c r="GP63" s="301">
        <f>_xlfn.IFNA(((VLOOKUP($A63,HN!$A:$M,13,FALSE)-$V63-$AL63)/10),0)</f>
        <v>0</v>
      </c>
      <c r="GQ63" s="300">
        <f t="shared" si="101"/>
        <v>-587.22500000000002</v>
      </c>
      <c r="GR63" s="300">
        <f t="shared" si="102"/>
        <v>-2905.5276250000002</v>
      </c>
      <c r="GS63" s="301"/>
      <c r="GT63" s="301"/>
      <c r="GU63" s="301"/>
      <c r="GV63" s="300">
        <f t="shared" si="103"/>
        <v>152915.20303458412</v>
      </c>
      <c r="GX63" s="146">
        <f t="shared" si="106"/>
        <v>1780327.0639150089</v>
      </c>
      <c r="GY63" s="146">
        <f t="shared" si="106"/>
        <v>0</v>
      </c>
      <c r="GZ63" s="146">
        <f t="shared" si="106"/>
        <v>104611.66999999998</v>
      </c>
      <c r="HA63" s="146">
        <f t="shared" si="106"/>
        <v>-7046.7000000000016</v>
      </c>
      <c r="HB63" s="146">
        <f t="shared" si="106"/>
        <v>-34866.331499999993</v>
      </c>
      <c r="HC63" s="146">
        <f t="shared" si="106"/>
        <v>0</v>
      </c>
      <c r="HE63" s="146">
        <f t="shared" si="107"/>
        <v>445081.76597875234</v>
      </c>
      <c r="HF63" s="146">
        <f t="shared" si="107"/>
        <v>0</v>
      </c>
      <c r="HG63" s="146">
        <f t="shared" si="107"/>
        <v>32185.366999999998</v>
      </c>
      <c r="HH63" s="146">
        <f t="shared" si="107"/>
        <v>-1761.6750000000002</v>
      </c>
      <c r="HI63" s="146">
        <f t="shared" si="107"/>
        <v>-8716.5828750000001</v>
      </c>
      <c r="HJ63" s="146">
        <f t="shared" si="107"/>
        <v>0</v>
      </c>
      <c r="HL63" s="146"/>
      <c r="HM63" s="57"/>
    </row>
    <row r="64" spans="1:221">
      <c r="A64" s="185">
        <v>2081</v>
      </c>
      <c r="B64" s="185">
        <v>103201</v>
      </c>
      <c r="C64" s="185" t="s">
        <v>151</v>
      </c>
      <c r="D64" s="2" t="s">
        <v>152</v>
      </c>
      <c r="E64" s="190" t="s">
        <v>39</v>
      </c>
      <c r="F64" s="190" t="s">
        <v>890</v>
      </c>
      <c r="H64" s="271">
        <f>_xlfn.IFNA(VLOOKUP($A64,ISB!$A$4:$BY$441,67,FALSE),0)</f>
        <v>2318383.8258093242</v>
      </c>
      <c r="I64" s="271">
        <f>_xlfn.IFNA(VLOOKUP($A64,ISB!$A$4:$BY$441,72,FALSE),0)</f>
        <v>-10233.9</v>
      </c>
      <c r="J64" s="271">
        <f>-_xlfn.IFNA(VLOOKUP($A64,ISB!$A$4:$BY$441,76,FALSE),0)</f>
        <v>-53308.027499999997</v>
      </c>
      <c r="K64" s="271">
        <f>_xlfn.IFNA(VLOOKUP($A64,ISB!$A$4:$BY$441,77,FALSE),0)</f>
        <v>2254841.8983093244</v>
      </c>
      <c r="M64" s="279">
        <f t="shared" si="56"/>
        <v>193198.65215077702</v>
      </c>
      <c r="N64" s="279"/>
      <c r="O64" s="279">
        <f>_xlfn.IFNA(VLOOKUP($A64,EY!$A:$H,8,FALSE)+(VLOOKUP($A64,EY!$A:$R,18,FALSE)-$T64),0)</f>
        <v>0</v>
      </c>
      <c r="P64" s="280">
        <f>_xlfn.IFNA((VLOOKUP($A64,HN!$A:$M,8,FALSE)/12),0)</f>
        <v>0</v>
      </c>
      <c r="Q64" s="280">
        <f>_xlfn.IFNA((VLOOKUP($A64,HN!$A:$M,12,FALSE)/12),0)</f>
        <v>0</v>
      </c>
      <c r="R64" s="280">
        <f>_xlfn.IFNA((VLOOKUP($A64,HN!$A:$M,9,FALSE)/12),0)</f>
        <v>0</v>
      </c>
      <c r="S64" s="280">
        <f>_xlfn.IFNA((VLOOKUP($A64,'Post 16'!$A:$AR,22,FALSE)/4),0)</f>
        <v>0</v>
      </c>
      <c r="T64" s="280">
        <f>_xlfn.IFNA((VLOOKUP($A64,EY!$A:$R,16,FALSE)*80%),0)</f>
        <v>0</v>
      </c>
      <c r="U64" s="280">
        <v>18286.854166666668</v>
      </c>
      <c r="V64" s="280">
        <v>0</v>
      </c>
      <c r="W64" s="279">
        <f t="shared" si="57"/>
        <v>-852.82499999999993</v>
      </c>
      <c r="X64" s="279">
        <f t="shared" si="58"/>
        <v>-4442.3356249999997</v>
      </c>
      <c r="Y64" s="280"/>
      <c r="Z64" s="280"/>
      <c r="AA64" s="280"/>
      <c r="AB64" s="279">
        <f t="shared" si="59"/>
        <v>206190.34569244366</v>
      </c>
      <c r="AC64" s="293">
        <f t="shared" si="60"/>
        <v>193198.65215077702</v>
      </c>
      <c r="AD64" s="293"/>
      <c r="AE64" s="293"/>
      <c r="AF64" s="294">
        <f>_xlfn.IFNA((VLOOKUP($A64,HN!$A:$M,8,FALSE)/12),0)</f>
        <v>0</v>
      </c>
      <c r="AG64" s="294">
        <f>_xlfn.IFNA((VLOOKUP($A64,HN!$A:$M,12,FALSE)/12),0)+_xlfn.IFNA(VLOOKUP($A64,HN!$A:$Q,17,FALSE),0)</f>
        <v>0</v>
      </c>
      <c r="AH64" s="294">
        <f>_xlfn.IFNA((VLOOKUP($A64,HN!$A:$M,9,FALSE)/12),0)</f>
        <v>0</v>
      </c>
      <c r="AI64" s="294">
        <f>_xlfn.IFNA((VLOOKUP($A64,'Post 16'!$A:$AR,22,FALSE)/4),0)</f>
        <v>0</v>
      </c>
      <c r="AJ64" s="294"/>
      <c r="AK64" s="294">
        <f>_xlfn.IFNA((VLOOKUP($A64,HN!$A:$M,10,FALSE)/12),0)</f>
        <v>9149.7083333333339</v>
      </c>
      <c r="AL64" s="294">
        <f>_xlfn.IFNA((VLOOKUP($A64,HN!$A:$M,13,FALSE)/12),0)</f>
        <v>0</v>
      </c>
      <c r="AM64" s="293">
        <f t="shared" si="61"/>
        <v>-852.82499999999993</v>
      </c>
      <c r="AN64" s="293">
        <f t="shared" si="62"/>
        <v>-4442.3356249999997</v>
      </c>
      <c r="AO64" s="294"/>
      <c r="AP64" s="294"/>
      <c r="AQ64" s="294"/>
      <c r="AR64" s="293">
        <f t="shared" si="63"/>
        <v>197053.19985911035</v>
      </c>
      <c r="AS64" s="286">
        <f t="shared" si="64"/>
        <v>193198.65215077702</v>
      </c>
      <c r="AT64" s="286"/>
      <c r="AU64" s="286">
        <f>_xlfn.IFNA(VLOOKUP(A64,EY!A:AO,40,FALSE),0)</f>
        <v>0</v>
      </c>
      <c r="AV64" s="287">
        <f>_xlfn.IFNA((VLOOKUP($A64,HN!$A:$M,8,FALSE)/12),0)</f>
        <v>0</v>
      </c>
      <c r="AW64" s="287">
        <f>_xlfn.IFNA((VLOOKUP($A64,HN!$A:$M,12,FALSE)/12),0)+_xlfn.IFNA(VLOOKUP($A64,HN!$A$8:$AU$200,19,FALSE),0)</f>
        <v>0</v>
      </c>
      <c r="AX64" s="287">
        <f>_xlfn.IFNA((VLOOKUP($A64,HN!$A:$M,9,FALSE)/12),0)</f>
        <v>0</v>
      </c>
      <c r="AY64" s="287">
        <f>_xlfn.IFNA((VLOOKUP($A64,'Post 16'!$A:$AR,22,FALSE)/4),0)</f>
        <v>0</v>
      </c>
      <c r="AZ64" s="287">
        <f>_xlfn.IFNA(VLOOKUP(A64,EY!A:AO,41,FALSE),0)</f>
        <v>0</v>
      </c>
      <c r="BA64" s="287">
        <f>_xlfn.IFNA(((VLOOKUP($A64,HN!$A:$M,10,FALSE)-$U64-$AK64)/10),0)+_xlfn.IFNA(VLOOKUP($A64,HN!$A:$R,18,FALSE),0)</f>
        <v>8235.9937499999996</v>
      </c>
      <c r="BB64" s="287">
        <f>_xlfn.IFNA(((VLOOKUP($A64,HN!$A:$M,13,FALSE)-$V64-$AL64)/10),0)+_xlfn.IFNA(VLOOKUP($A64,HN!$A$8:$AU$200,20,FALSE),0)</f>
        <v>0</v>
      </c>
      <c r="BC64" s="286">
        <f t="shared" si="65"/>
        <v>-852.82499999999993</v>
      </c>
      <c r="BD64" s="286">
        <f t="shared" si="66"/>
        <v>-4442.3356249999997</v>
      </c>
      <c r="BE64" s="287"/>
      <c r="BF64" s="287"/>
      <c r="BG64" s="287"/>
      <c r="BH64" s="286">
        <f t="shared" si="67"/>
        <v>196139.485275777</v>
      </c>
      <c r="BI64" s="307">
        <f t="shared" si="68"/>
        <v>193198.65215077702</v>
      </c>
      <c r="BJ64" s="307">
        <f>_xlfn.IFNA(VLOOKUP(A64,'LA Deductions'!A:AH,34,FALSE),0)</f>
        <v>0</v>
      </c>
      <c r="BK64" s="307"/>
      <c r="BL64" s="308">
        <f>_xlfn.IFNA((VLOOKUP($A64,HN!$A:$M,8,FALSE)/12),0)</f>
        <v>0</v>
      </c>
      <c r="BM64" s="308">
        <f>_xlfn.IFNA((VLOOKUP($A64,HN!$A:$M,12,FALSE)/12),0)</f>
        <v>0</v>
      </c>
      <c r="BN64" s="308">
        <f>_xlfn.IFNA((VLOOKUP($A64,HN!$A:$M,9,FALSE)/12),0)</f>
        <v>0</v>
      </c>
      <c r="BO64" s="308">
        <f>_xlfn.IFNA((VLOOKUP($A64,'Post 16'!$A:$AR,22,FALSE)/4),0)</f>
        <v>0</v>
      </c>
      <c r="BP64" s="308"/>
      <c r="BQ64" s="308">
        <f>_xlfn.IFNA(((VLOOKUP($A64,HN!$A:$M,10,FALSE)-$U64-$AK64)/10),0)</f>
        <v>8235.9937499999996</v>
      </c>
      <c r="BR64" s="308">
        <f>_xlfn.IFNA(((VLOOKUP($A64,HN!$A:$M,13,FALSE)-$V64-$AL64)/10),0)</f>
        <v>0</v>
      </c>
      <c r="BS64" s="307">
        <f t="shared" si="69"/>
        <v>-852.82499999999993</v>
      </c>
      <c r="BT64" s="307">
        <f t="shared" si="70"/>
        <v>-4442.3356249999997</v>
      </c>
      <c r="BU64" s="308"/>
      <c r="BV64" s="308"/>
      <c r="BW64" s="308"/>
      <c r="BX64" s="307">
        <f t="shared" si="71"/>
        <v>196139.485275777</v>
      </c>
      <c r="BY64" s="300">
        <f t="shared" si="72"/>
        <v>193198.65215077702</v>
      </c>
      <c r="BZ64" s="300"/>
      <c r="CA64" s="300"/>
      <c r="CB64" s="301">
        <f>_xlfn.IFNA((VLOOKUP($A64,HN!$A:$M,8,FALSE)/12),0)</f>
        <v>0</v>
      </c>
      <c r="CC64" s="301">
        <f>_xlfn.IFNA((VLOOKUP($A64,HN!$A:$M,12,FALSE)/12),0)</f>
        <v>0</v>
      </c>
      <c r="CD64" s="301">
        <f>_xlfn.IFNA((VLOOKUP($A64,HN!$A:$M,9,FALSE)/12),0)</f>
        <v>0</v>
      </c>
      <c r="CE64" s="301">
        <f>_xlfn.IFNA((VLOOKUP($A64,'Post 16'!$A:$AG,33,FALSE)/8),0)</f>
        <v>0</v>
      </c>
      <c r="CF64" s="301"/>
      <c r="CG64" s="301">
        <f>_xlfn.IFNA(((VLOOKUP($A64,HN!$A:$M,10,FALSE)-$U64-$AK64)/10),0)</f>
        <v>8235.9937499999996</v>
      </c>
      <c r="CH64" s="301">
        <f>_xlfn.IFNA(((VLOOKUP($A64,HN!$A:$M,13,FALSE)-$V64-$AL64)/10),0)</f>
        <v>0</v>
      </c>
      <c r="CI64" s="300">
        <f t="shared" si="73"/>
        <v>-852.82499999999993</v>
      </c>
      <c r="CJ64" s="300">
        <f t="shared" si="74"/>
        <v>-4442.3356249999997</v>
      </c>
      <c r="CK64" s="301"/>
      <c r="CL64" s="301"/>
      <c r="CM64" s="301"/>
      <c r="CN64" s="300">
        <f t="shared" si="75"/>
        <v>196139.485275777</v>
      </c>
      <c r="CO64" s="332">
        <f t="shared" si="76"/>
        <v>193198.65215077702</v>
      </c>
      <c r="CP64" s="332"/>
      <c r="CQ64" s="332">
        <f>_xlfn.IFNA((VLOOKUP($A64,EY!$A:$AB,28,FALSE)-$CV64),0)</f>
        <v>0</v>
      </c>
      <c r="CR64" s="333">
        <f>_xlfn.IFNA((VLOOKUP($A64,HN!$A:$M,8,FALSE)/12),0)</f>
        <v>0</v>
      </c>
      <c r="CS64" s="333">
        <f>_xlfn.IFNA((VLOOKUP($A64,HN!$A:$M,12,FALSE)/12),0)</f>
        <v>0</v>
      </c>
      <c r="CT64" s="333">
        <f>_xlfn.IFNA((VLOOKUP($A64,HN!$A:$M,9,FALSE)/12),0)</f>
        <v>0</v>
      </c>
      <c r="CU64" s="333">
        <f>_xlfn.IFNA((VLOOKUP($A64,'Post 16'!$A:$AG,33,FALSE)/8),0)</f>
        <v>0</v>
      </c>
      <c r="CV64" s="333">
        <f>_xlfn.IFNA((VLOOKUP($A64,EY!$A:$AB,26,FALSE)*80%),0)</f>
        <v>0</v>
      </c>
      <c r="CW64" s="333">
        <f>_xlfn.IFNA(((VLOOKUP($A64,HN!$A:$M,10,FALSE)-$U64-$AK64)/10),0)</f>
        <v>8235.9937499999996</v>
      </c>
      <c r="CX64" s="333">
        <f>_xlfn.IFNA(((VLOOKUP($A64,HN!$A:$M,13,FALSE)-$V64-$AL64)/10),0)</f>
        <v>0</v>
      </c>
      <c r="CY64" s="332">
        <f t="shared" si="77"/>
        <v>-852.82499999999993</v>
      </c>
      <c r="CZ64" s="332">
        <f t="shared" si="78"/>
        <v>-4442.3356249999997</v>
      </c>
      <c r="DA64" s="333"/>
      <c r="DB64" s="333"/>
      <c r="DC64" s="333"/>
      <c r="DD64" s="332">
        <f t="shared" si="79"/>
        <v>196139.485275777</v>
      </c>
      <c r="DE64" s="314">
        <f t="shared" si="80"/>
        <v>193198.65215077702</v>
      </c>
      <c r="DF64" s="314"/>
      <c r="DG64" s="314"/>
      <c r="DH64" s="315">
        <f>_xlfn.IFNA((VLOOKUP($A64,HN!$A:$M,8,FALSE)/12),0)</f>
        <v>0</v>
      </c>
      <c r="DI64" s="315">
        <f>_xlfn.IFNA((VLOOKUP($A64,HN!$A:$M,12,FALSE)/12),0)</f>
        <v>0</v>
      </c>
      <c r="DJ64" s="315">
        <f>_xlfn.IFNA((VLOOKUP($A64,HN!$A:$M,9,FALSE)/12),0)</f>
        <v>0</v>
      </c>
      <c r="DK64" s="315">
        <f>_xlfn.IFNA((VLOOKUP($A64,'Post 16'!$A:$AG,33,FALSE)/8),0)</f>
        <v>0</v>
      </c>
      <c r="DL64" s="315"/>
      <c r="DM64" s="315">
        <f>_xlfn.IFNA(((VLOOKUP($A64,HN!$A:$M,10,FALSE)-$U64-$AK64)/10),0)</f>
        <v>8235.9937499999996</v>
      </c>
      <c r="DN64" s="315">
        <f>_xlfn.IFNA(((VLOOKUP($A64,HN!$A:$M,13,FALSE)-$V64-$AL64)/10),0)</f>
        <v>0</v>
      </c>
      <c r="DO64" s="314">
        <f t="shared" si="81"/>
        <v>-852.82499999999993</v>
      </c>
      <c r="DP64" s="314">
        <f t="shared" si="82"/>
        <v>-4442.3356249999997</v>
      </c>
      <c r="DQ64" s="315"/>
      <c r="DR64" s="315"/>
      <c r="DS64" s="315"/>
      <c r="DT64" s="314">
        <f t="shared" si="83"/>
        <v>196139.485275777</v>
      </c>
      <c r="DU64" s="307">
        <f t="shared" si="84"/>
        <v>193198.65215077702</v>
      </c>
      <c r="DV64" s="307"/>
      <c r="DW64" s="307"/>
      <c r="DX64" s="308">
        <f>_xlfn.IFNA((VLOOKUP($A64,HN!$A:$M,8,FALSE)/12),0)</f>
        <v>0</v>
      </c>
      <c r="DY64" s="308">
        <f>_xlfn.IFNA((VLOOKUP($A64,HN!$A:$M,12,FALSE)/12),0)</f>
        <v>0</v>
      </c>
      <c r="DZ64" s="308">
        <f>_xlfn.IFNA((VLOOKUP($A64,HN!$A:$M,9,FALSE)/12),0)</f>
        <v>0</v>
      </c>
      <c r="EA64" s="308">
        <f>_xlfn.IFNA((VLOOKUP($A64,'Post 16'!$A:$AG,33,FALSE)/8),0)</f>
        <v>0</v>
      </c>
      <c r="EB64" s="308"/>
      <c r="EC64" s="308">
        <f>_xlfn.IFNA(((VLOOKUP($A64,HN!$A:$M,10,FALSE)-$U64-$AK64)/10),0)</f>
        <v>8235.9937499999996</v>
      </c>
      <c r="ED64" s="308">
        <f>_xlfn.IFNA(((VLOOKUP($A64,HN!$A:$M,13,FALSE)-$V64-$AL64)/10),0)</f>
        <v>0</v>
      </c>
      <c r="EE64" s="307">
        <f t="shared" si="85"/>
        <v>-852.82499999999993</v>
      </c>
      <c r="EF64" s="307">
        <f t="shared" si="86"/>
        <v>-4442.3356249999997</v>
      </c>
      <c r="EG64" s="308"/>
      <c r="EH64" s="308"/>
      <c r="EI64" s="308"/>
      <c r="EJ64" s="307">
        <f t="shared" si="87"/>
        <v>196139.485275777</v>
      </c>
      <c r="EK64" s="320">
        <f t="shared" si="88"/>
        <v>193198.65215077702</v>
      </c>
      <c r="EL64" s="320"/>
      <c r="EM64" s="320"/>
      <c r="EN64" s="321">
        <f>_xlfn.IFNA((VLOOKUP($A64,HN!$A:$M,8,FALSE)/12),0)</f>
        <v>0</v>
      </c>
      <c r="EO64" s="321">
        <f>_xlfn.IFNA((VLOOKUP($A64,HN!$A:$M,12,FALSE)/12),0)</f>
        <v>0</v>
      </c>
      <c r="EP64" s="321">
        <f>_xlfn.IFNA((VLOOKUP($A64,HN!$A:$M,9,FALSE)/12),0)</f>
        <v>0</v>
      </c>
      <c r="EQ64" s="321">
        <f>_xlfn.IFNA((VLOOKUP($A64,'Post 16'!$A:$AG,33,FALSE)/8),0)</f>
        <v>0</v>
      </c>
      <c r="ER64" s="321"/>
      <c r="ES64" s="321">
        <f>_xlfn.IFNA(((VLOOKUP($A64,HN!$A:$M,10,FALSE)-$U64-$AK64)/10),0)</f>
        <v>8235.9937499999996</v>
      </c>
      <c r="ET64" s="321">
        <f>_xlfn.IFNA(((VLOOKUP($A64,HN!$A:$M,13,FALSE)-$V64-$AL64)/10),0)</f>
        <v>0</v>
      </c>
      <c r="EU64" s="320">
        <f t="shared" si="89"/>
        <v>-852.82499999999993</v>
      </c>
      <c r="EV64" s="320">
        <f t="shared" si="90"/>
        <v>-4442.3356249999997</v>
      </c>
      <c r="EW64" s="321"/>
      <c r="EX64" s="321"/>
      <c r="EY64" s="321"/>
      <c r="EZ64" s="320">
        <f t="shared" si="91"/>
        <v>196139.485275777</v>
      </c>
      <c r="FA64" s="286">
        <f t="shared" si="92"/>
        <v>193198.65215077702</v>
      </c>
      <c r="FB64" s="286"/>
      <c r="FC64" s="286"/>
      <c r="FD64" s="287">
        <f>_xlfn.IFNA((VLOOKUP($A64,HN!$A:$M,8,FALSE)/12),0)</f>
        <v>0</v>
      </c>
      <c r="FE64" s="287">
        <f>_xlfn.IFNA((VLOOKUP($A64,HN!$A:$M,12,FALSE)/12),0)</f>
        <v>0</v>
      </c>
      <c r="FF64" s="287">
        <f>_xlfn.IFNA((VLOOKUP($A64,HN!$A:$M,9,FALSE)/12),0)</f>
        <v>0</v>
      </c>
      <c r="FG64" s="287">
        <f>_xlfn.IFNA((VLOOKUP($A64,'Post 16'!$A:$AG,33,FALSE)/8),0)</f>
        <v>0</v>
      </c>
      <c r="FH64" s="287"/>
      <c r="FI64" s="287">
        <f>_xlfn.IFNA(((VLOOKUP($A64,HN!$A:$M,10,FALSE)-$U64-$AK64)/10),0)</f>
        <v>8235.9937499999996</v>
      </c>
      <c r="FJ64" s="287">
        <f>_xlfn.IFNA(((VLOOKUP($A64,HN!$A:$M,13,FALSE)-$V64-$AL64)/10),0)</f>
        <v>0</v>
      </c>
      <c r="FK64" s="286">
        <f t="shared" si="93"/>
        <v>-852.82499999999993</v>
      </c>
      <c r="FL64" s="286">
        <f t="shared" si="94"/>
        <v>-4442.3356249999997</v>
      </c>
      <c r="FM64" s="287"/>
      <c r="FN64" s="287"/>
      <c r="FO64" s="287"/>
      <c r="FP64" s="286">
        <f t="shared" si="95"/>
        <v>196139.485275777</v>
      </c>
      <c r="FQ64" s="293">
        <f t="shared" si="96"/>
        <v>193198.65215077702</v>
      </c>
      <c r="FR64" s="293"/>
      <c r="FS64" s="293"/>
      <c r="FT64" s="294">
        <f>_xlfn.IFNA((VLOOKUP($A64,HN!$A:$M,8,FALSE)/12),0)</f>
        <v>0</v>
      </c>
      <c r="FU64" s="294">
        <f>_xlfn.IFNA((VLOOKUP($A64,HN!$A:$M,12,FALSE)/12),0)</f>
        <v>0</v>
      </c>
      <c r="FV64" s="294">
        <f>_xlfn.IFNA((VLOOKUP($A64,HN!$A:$M,9,FALSE)/12),0)</f>
        <v>0</v>
      </c>
      <c r="FW64" s="294">
        <f>_xlfn.IFNA((VLOOKUP($A64,'Post 16'!$A:$AG,33,FALSE)/8),0)</f>
        <v>0</v>
      </c>
      <c r="FX64" s="294"/>
      <c r="FY64" s="294">
        <f>_xlfn.IFNA(((VLOOKUP($A64,HN!$A:$M,10,FALSE)-$U64-$AK64)/10),0)</f>
        <v>8235.9937499999996</v>
      </c>
      <c r="FZ64" s="294">
        <f>_xlfn.IFNA(((VLOOKUP($A64,HN!$A:$M,13,FALSE)-$V64-$AL64)/10),0)</f>
        <v>0</v>
      </c>
      <c r="GA64" s="293">
        <f t="shared" si="97"/>
        <v>-852.82499999999993</v>
      </c>
      <c r="GB64" s="293">
        <f t="shared" si="98"/>
        <v>-4442.3356249999997</v>
      </c>
      <c r="GC64" s="294"/>
      <c r="GD64" s="294"/>
      <c r="GE64" s="294"/>
      <c r="GF64" s="293">
        <f t="shared" si="99"/>
        <v>196139.485275777</v>
      </c>
      <c r="GG64" s="300">
        <f t="shared" si="100"/>
        <v>193198.65215077702</v>
      </c>
      <c r="GH64" s="300"/>
      <c r="GI64" s="300"/>
      <c r="GJ64" s="301">
        <f>_xlfn.IFNA((VLOOKUP($A64,HN!$A:$M,8,FALSE)/12),0)</f>
        <v>0</v>
      </c>
      <c r="GK64" s="301">
        <f>_xlfn.IFNA((VLOOKUP($A64,HN!$A:$M,12,FALSE)/12),0)</f>
        <v>0</v>
      </c>
      <c r="GL64" s="301">
        <f>_xlfn.IFNA((VLOOKUP($A64,HN!$A:$M,9,FALSE)/12),0)</f>
        <v>0</v>
      </c>
      <c r="GM64" s="301">
        <f>_xlfn.IFNA((VLOOKUP($A64,'Post 16'!$A:$AG,33,FALSE)/8),0)</f>
        <v>0</v>
      </c>
      <c r="GN64" s="301"/>
      <c r="GO64" s="301">
        <f>_xlfn.IFNA(((VLOOKUP($A64,HN!$A:$M,10,FALSE)-$U64-$AK64)/10),0)</f>
        <v>8235.9937499999996</v>
      </c>
      <c r="GP64" s="301">
        <f>_xlfn.IFNA(((VLOOKUP($A64,HN!$A:$M,13,FALSE)-$V64-$AL64)/10),0)</f>
        <v>0</v>
      </c>
      <c r="GQ64" s="300">
        <f t="shared" si="101"/>
        <v>-852.82499999999993</v>
      </c>
      <c r="GR64" s="300">
        <f t="shared" si="102"/>
        <v>-4442.3356249999997</v>
      </c>
      <c r="GS64" s="301"/>
      <c r="GT64" s="301"/>
      <c r="GU64" s="301"/>
      <c r="GV64" s="300">
        <f t="shared" si="103"/>
        <v>196139.485275777</v>
      </c>
      <c r="GX64" s="146">
        <f t="shared" si="106"/>
        <v>2318383.8258093242</v>
      </c>
      <c r="GY64" s="146">
        <f t="shared" si="106"/>
        <v>0</v>
      </c>
      <c r="GZ64" s="146">
        <f t="shared" si="106"/>
        <v>109796.49999999997</v>
      </c>
      <c r="HA64" s="146">
        <f t="shared" si="106"/>
        <v>-10233.900000000001</v>
      </c>
      <c r="HB64" s="146">
        <f t="shared" si="106"/>
        <v>-53308.027499999997</v>
      </c>
      <c r="HC64" s="146">
        <f t="shared" si="106"/>
        <v>0</v>
      </c>
      <c r="HE64" s="146">
        <f t="shared" si="107"/>
        <v>579595.95645233104</v>
      </c>
      <c r="HF64" s="146">
        <f t="shared" si="107"/>
        <v>0</v>
      </c>
      <c r="HG64" s="146">
        <f t="shared" si="107"/>
        <v>35672.556250000001</v>
      </c>
      <c r="HH64" s="146">
        <f t="shared" si="107"/>
        <v>-2558.4749999999999</v>
      </c>
      <c r="HI64" s="146">
        <f t="shared" si="107"/>
        <v>-13327.006874999999</v>
      </c>
      <c r="HJ64" s="146">
        <f t="shared" si="107"/>
        <v>0</v>
      </c>
      <c r="HL64" s="146"/>
      <c r="HM64" s="57"/>
    </row>
    <row r="65" spans="1:221">
      <c r="A65" s="185">
        <v>2296</v>
      </c>
      <c r="B65" s="185">
        <v>103320</v>
      </c>
      <c r="C65" s="185" t="s">
        <v>153</v>
      </c>
      <c r="D65" s="2" t="s">
        <v>154</v>
      </c>
      <c r="E65" s="190" t="s">
        <v>39</v>
      </c>
      <c r="F65" s="190" t="s">
        <v>897</v>
      </c>
      <c r="H65" s="271">
        <f>_xlfn.IFNA(VLOOKUP($A65,ISB!$A$4:$BY$441,67,FALSE),0)</f>
        <v>1603205.0653998072</v>
      </c>
      <c r="I65" s="271">
        <f>_xlfn.IFNA(VLOOKUP($A65,ISB!$A$4:$BY$441,72,FALSE),0)</f>
        <v>-6523.7999999999993</v>
      </c>
      <c r="J65" s="271">
        <f>-_xlfn.IFNA(VLOOKUP($A65,ISB!$A$4:$BY$441,76,FALSE),0)</f>
        <v>-30544.059000000001</v>
      </c>
      <c r="K65" s="271">
        <f>_xlfn.IFNA(VLOOKUP($A65,ISB!$A$4:$BY$441,77,FALSE),0)</f>
        <v>1566137.2063998072</v>
      </c>
      <c r="M65" s="279">
        <f t="shared" si="56"/>
        <v>133600.42211665059</v>
      </c>
      <c r="N65" s="279"/>
      <c r="O65" s="279">
        <f>_xlfn.IFNA(VLOOKUP($A65,EY!$A:$H,8,FALSE)+(VLOOKUP($A65,EY!$A:$R,18,FALSE)-$T65),0)</f>
        <v>0</v>
      </c>
      <c r="P65" s="280">
        <f>_xlfn.IFNA((VLOOKUP($A65,HN!$A:$M,8,FALSE)/12),0)</f>
        <v>0</v>
      </c>
      <c r="Q65" s="280">
        <f>_xlfn.IFNA((VLOOKUP($A65,HN!$A:$M,12,FALSE)/12),0)</f>
        <v>0</v>
      </c>
      <c r="R65" s="280">
        <f>_xlfn.IFNA((VLOOKUP($A65,HN!$A:$M,9,FALSE)/12),0)</f>
        <v>0</v>
      </c>
      <c r="S65" s="280">
        <f>_xlfn.IFNA((VLOOKUP($A65,'Post 16'!$A:$AR,22,FALSE)/4),0)</f>
        <v>0</v>
      </c>
      <c r="T65" s="280">
        <f>_xlfn.IFNA((VLOOKUP($A65,EY!$A:$R,16,FALSE)*80%),0)</f>
        <v>0</v>
      </c>
      <c r="U65" s="280">
        <v>13672.583333333334</v>
      </c>
      <c r="V65" s="280">
        <v>0</v>
      </c>
      <c r="W65" s="279">
        <f t="shared" si="57"/>
        <v>-543.65</v>
      </c>
      <c r="X65" s="279">
        <f t="shared" si="58"/>
        <v>-2545.3382500000002</v>
      </c>
      <c r="Y65" s="280"/>
      <c r="Z65" s="280"/>
      <c r="AA65" s="280"/>
      <c r="AB65" s="279">
        <f t="shared" si="59"/>
        <v>144184.01719998394</v>
      </c>
      <c r="AC65" s="293">
        <f t="shared" si="60"/>
        <v>133600.42211665059</v>
      </c>
      <c r="AD65" s="293"/>
      <c r="AE65" s="293"/>
      <c r="AF65" s="294">
        <f>_xlfn.IFNA((VLOOKUP($A65,HN!$A:$M,8,FALSE)/12),0)</f>
        <v>0</v>
      </c>
      <c r="AG65" s="294">
        <f>_xlfn.IFNA((VLOOKUP($A65,HN!$A:$M,12,FALSE)/12),0)+_xlfn.IFNA(VLOOKUP($A65,HN!$A:$Q,17,FALSE),0)</f>
        <v>0</v>
      </c>
      <c r="AH65" s="294">
        <f>_xlfn.IFNA((VLOOKUP($A65,HN!$A:$M,9,FALSE)/12),0)</f>
        <v>0</v>
      </c>
      <c r="AI65" s="294">
        <f>_xlfn.IFNA((VLOOKUP($A65,'Post 16'!$A:$AR,22,FALSE)/4),0)</f>
        <v>0</v>
      </c>
      <c r="AJ65" s="294"/>
      <c r="AK65" s="294">
        <f>_xlfn.IFNA((VLOOKUP($A65,HN!$A:$M,10,FALSE)/12),0)</f>
        <v>8229.1666666666661</v>
      </c>
      <c r="AL65" s="294">
        <f>_xlfn.IFNA((VLOOKUP($A65,HN!$A:$M,13,FALSE)/12),0)</f>
        <v>0</v>
      </c>
      <c r="AM65" s="293">
        <f t="shared" si="61"/>
        <v>-543.65</v>
      </c>
      <c r="AN65" s="293">
        <f t="shared" si="62"/>
        <v>-2545.3382500000002</v>
      </c>
      <c r="AO65" s="294"/>
      <c r="AP65" s="294"/>
      <c r="AQ65" s="294"/>
      <c r="AR65" s="293">
        <f t="shared" si="63"/>
        <v>138740.60053331725</v>
      </c>
      <c r="AS65" s="286">
        <f t="shared" si="64"/>
        <v>133600.42211665059</v>
      </c>
      <c r="AT65" s="286"/>
      <c r="AU65" s="286">
        <f>_xlfn.IFNA(VLOOKUP(A65,EY!A:AO,40,FALSE),0)</f>
        <v>0</v>
      </c>
      <c r="AV65" s="287">
        <f>_xlfn.IFNA((VLOOKUP($A65,HN!$A:$M,8,FALSE)/12),0)</f>
        <v>0</v>
      </c>
      <c r="AW65" s="287">
        <f>_xlfn.IFNA((VLOOKUP($A65,HN!$A:$M,12,FALSE)/12),0)+_xlfn.IFNA(VLOOKUP($A65,HN!$A$8:$AU$200,19,FALSE),0)</f>
        <v>0</v>
      </c>
      <c r="AX65" s="287">
        <f>_xlfn.IFNA((VLOOKUP($A65,HN!$A:$M,9,FALSE)/12),0)</f>
        <v>0</v>
      </c>
      <c r="AY65" s="287">
        <f>_xlfn.IFNA((VLOOKUP($A65,'Post 16'!$A:$AR,22,FALSE)/4),0)</f>
        <v>0</v>
      </c>
      <c r="AZ65" s="287">
        <f>_xlfn.IFNA(VLOOKUP(A65,EY!A:AO,41,FALSE),0)</f>
        <v>0</v>
      </c>
      <c r="BA65" s="287">
        <f>_xlfn.IFNA(((VLOOKUP($A65,HN!$A:$M,10,FALSE)-$U65-$AK65)/10),0)+_xlfn.IFNA(VLOOKUP($A65,HN!$A:$R,18,FALSE),0)</f>
        <v>7684.8249999999998</v>
      </c>
      <c r="BB65" s="287">
        <f>_xlfn.IFNA(((VLOOKUP($A65,HN!$A:$M,13,FALSE)-$V65-$AL65)/10),0)+_xlfn.IFNA(VLOOKUP($A65,HN!$A$8:$AU$200,20,FALSE),0)</f>
        <v>0</v>
      </c>
      <c r="BC65" s="286">
        <f t="shared" si="65"/>
        <v>-543.65</v>
      </c>
      <c r="BD65" s="286">
        <f t="shared" si="66"/>
        <v>-2545.3382500000002</v>
      </c>
      <c r="BE65" s="287"/>
      <c r="BF65" s="287"/>
      <c r="BG65" s="287"/>
      <c r="BH65" s="286">
        <f t="shared" si="67"/>
        <v>138196.25886665061</v>
      </c>
      <c r="BI65" s="307">
        <f t="shared" si="68"/>
        <v>133600.42211665059</v>
      </c>
      <c r="BJ65" s="307">
        <f>_xlfn.IFNA(VLOOKUP(A65,'LA Deductions'!A:AH,34,FALSE),0)</f>
        <v>0</v>
      </c>
      <c r="BK65" s="307"/>
      <c r="BL65" s="308">
        <f>_xlfn.IFNA((VLOOKUP($A65,HN!$A:$M,8,FALSE)/12),0)</f>
        <v>0</v>
      </c>
      <c r="BM65" s="308">
        <f>_xlfn.IFNA((VLOOKUP($A65,HN!$A:$M,12,FALSE)/12),0)</f>
        <v>0</v>
      </c>
      <c r="BN65" s="308">
        <f>_xlfn.IFNA((VLOOKUP($A65,HN!$A:$M,9,FALSE)/12),0)</f>
        <v>0</v>
      </c>
      <c r="BO65" s="308">
        <f>_xlfn.IFNA((VLOOKUP($A65,'Post 16'!$A:$AR,22,FALSE)/4),0)</f>
        <v>0</v>
      </c>
      <c r="BP65" s="308"/>
      <c r="BQ65" s="308">
        <f>_xlfn.IFNA(((VLOOKUP($A65,HN!$A:$M,10,FALSE)-$U65-$AK65)/10),0)</f>
        <v>7684.8249999999998</v>
      </c>
      <c r="BR65" s="308">
        <f>_xlfn.IFNA(((VLOOKUP($A65,HN!$A:$M,13,FALSE)-$V65-$AL65)/10),0)</f>
        <v>0</v>
      </c>
      <c r="BS65" s="307">
        <f t="shared" si="69"/>
        <v>-543.65</v>
      </c>
      <c r="BT65" s="307">
        <f t="shared" si="70"/>
        <v>-2545.3382500000002</v>
      </c>
      <c r="BU65" s="308"/>
      <c r="BV65" s="308"/>
      <c r="BW65" s="308"/>
      <c r="BX65" s="307">
        <f t="shared" si="71"/>
        <v>138196.25886665061</v>
      </c>
      <c r="BY65" s="300">
        <f t="shared" si="72"/>
        <v>133600.42211665059</v>
      </c>
      <c r="BZ65" s="300"/>
      <c r="CA65" s="300"/>
      <c r="CB65" s="301">
        <f>_xlfn.IFNA((VLOOKUP($A65,HN!$A:$M,8,FALSE)/12),0)</f>
        <v>0</v>
      </c>
      <c r="CC65" s="301">
        <f>_xlfn.IFNA((VLOOKUP($A65,HN!$A:$M,12,FALSE)/12),0)</f>
        <v>0</v>
      </c>
      <c r="CD65" s="301">
        <f>_xlfn.IFNA((VLOOKUP($A65,HN!$A:$M,9,FALSE)/12),0)</f>
        <v>0</v>
      </c>
      <c r="CE65" s="301">
        <f>_xlfn.IFNA((VLOOKUP($A65,'Post 16'!$A:$AG,33,FALSE)/8),0)</f>
        <v>0</v>
      </c>
      <c r="CF65" s="301"/>
      <c r="CG65" s="301">
        <f>_xlfn.IFNA(((VLOOKUP($A65,HN!$A:$M,10,FALSE)-$U65-$AK65)/10),0)</f>
        <v>7684.8249999999998</v>
      </c>
      <c r="CH65" s="301">
        <f>_xlfn.IFNA(((VLOOKUP($A65,HN!$A:$M,13,FALSE)-$V65-$AL65)/10),0)</f>
        <v>0</v>
      </c>
      <c r="CI65" s="300">
        <f t="shared" si="73"/>
        <v>-543.65</v>
      </c>
      <c r="CJ65" s="300">
        <f t="shared" si="74"/>
        <v>-2545.3382500000002</v>
      </c>
      <c r="CK65" s="301"/>
      <c r="CL65" s="301"/>
      <c r="CM65" s="301"/>
      <c r="CN65" s="300">
        <f t="shared" si="75"/>
        <v>138196.25886665061</v>
      </c>
      <c r="CO65" s="332">
        <f t="shared" si="76"/>
        <v>133600.42211665059</v>
      </c>
      <c r="CP65" s="332"/>
      <c r="CQ65" s="332">
        <f>_xlfn.IFNA((VLOOKUP($A65,EY!$A:$AB,28,FALSE)-$CV65),0)</f>
        <v>0</v>
      </c>
      <c r="CR65" s="333">
        <f>_xlfn.IFNA((VLOOKUP($A65,HN!$A:$M,8,FALSE)/12),0)</f>
        <v>0</v>
      </c>
      <c r="CS65" s="333">
        <f>_xlfn.IFNA((VLOOKUP($A65,HN!$A:$M,12,FALSE)/12),0)</f>
        <v>0</v>
      </c>
      <c r="CT65" s="333">
        <f>_xlfn.IFNA((VLOOKUP($A65,HN!$A:$M,9,FALSE)/12),0)</f>
        <v>0</v>
      </c>
      <c r="CU65" s="333">
        <f>_xlfn.IFNA((VLOOKUP($A65,'Post 16'!$A:$AG,33,FALSE)/8),0)</f>
        <v>0</v>
      </c>
      <c r="CV65" s="333">
        <f>_xlfn.IFNA((VLOOKUP($A65,EY!$A:$AB,26,FALSE)*80%),0)</f>
        <v>0</v>
      </c>
      <c r="CW65" s="333">
        <f>_xlfn.IFNA(((VLOOKUP($A65,HN!$A:$M,10,FALSE)-$U65-$AK65)/10),0)</f>
        <v>7684.8249999999998</v>
      </c>
      <c r="CX65" s="333">
        <f>_xlfn.IFNA(((VLOOKUP($A65,HN!$A:$M,13,FALSE)-$V65-$AL65)/10),0)</f>
        <v>0</v>
      </c>
      <c r="CY65" s="332">
        <f t="shared" si="77"/>
        <v>-543.65</v>
      </c>
      <c r="CZ65" s="332">
        <f t="shared" si="78"/>
        <v>-2545.3382500000002</v>
      </c>
      <c r="DA65" s="333"/>
      <c r="DB65" s="333"/>
      <c r="DC65" s="333"/>
      <c r="DD65" s="332">
        <f t="shared" si="79"/>
        <v>138196.25886665061</v>
      </c>
      <c r="DE65" s="314">
        <f t="shared" si="80"/>
        <v>133600.42211665059</v>
      </c>
      <c r="DF65" s="314"/>
      <c r="DG65" s="314"/>
      <c r="DH65" s="315">
        <f>_xlfn.IFNA((VLOOKUP($A65,HN!$A:$M,8,FALSE)/12),0)</f>
        <v>0</v>
      </c>
      <c r="DI65" s="315">
        <f>_xlfn.IFNA((VLOOKUP($A65,HN!$A:$M,12,FALSE)/12),0)</f>
        <v>0</v>
      </c>
      <c r="DJ65" s="315">
        <f>_xlfn.IFNA((VLOOKUP($A65,HN!$A:$M,9,FALSE)/12),0)</f>
        <v>0</v>
      </c>
      <c r="DK65" s="315">
        <f>_xlfn.IFNA((VLOOKUP($A65,'Post 16'!$A:$AG,33,FALSE)/8),0)</f>
        <v>0</v>
      </c>
      <c r="DL65" s="315"/>
      <c r="DM65" s="315">
        <f>_xlfn.IFNA(((VLOOKUP($A65,HN!$A:$M,10,FALSE)-$U65-$AK65)/10),0)</f>
        <v>7684.8249999999998</v>
      </c>
      <c r="DN65" s="315">
        <f>_xlfn.IFNA(((VLOOKUP($A65,HN!$A:$M,13,FALSE)-$V65-$AL65)/10),0)</f>
        <v>0</v>
      </c>
      <c r="DO65" s="314">
        <f t="shared" si="81"/>
        <v>-543.65</v>
      </c>
      <c r="DP65" s="314">
        <f t="shared" si="82"/>
        <v>-2545.3382500000002</v>
      </c>
      <c r="DQ65" s="315"/>
      <c r="DR65" s="315"/>
      <c r="DS65" s="315"/>
      <c r="DT65" s="314">
        <f t="shared" si="83"/>
        <v>138196.25886665061</v>
      </c>
      <c r="DU65" s="307">
        <f t="shared" si="84"/>
        <v>133600.42211665059</v>
      </c>
      <c r="DV65" s="307"/>
      <c r="DW65" s="307"/>
      <c r="DX65" s="308">
        <f>_xlfn.IFNA((VLOOKUP($A65,HN!$A:$M,8,FALSE)/12),0)</f>
        <v>0</v>
      </c>
      <c r="DY65" s="308">
        <f>_xlfn.IFNA((VLOOKUP($A65,HN!$A:$M,12,FALSE)/12),0)</f>
        <v>0</v>
      </c>
      <c r="DZ65" s="308">
        <f>_xlfn.IFNA((VLOOKUP($A65,HN!$A:$M,9,FALSE)/12),0)</f>
        <v>0</v>
      </c>
      <c r="EA65" s="308">
        <f>_xlfn.IFNA((VLOOKUP($A65,'Post 16'!$A:$AG,33,FALSE)/8),0)</f>
        <v>0</v>
      </c>
      <c r="EB65" s="308"/>
      <c r="EC65" s="308">
        <f>_xlfn.IFNA(((VLOOKUP($A65,HN!$A:$M,10,FALSE)-$U65-$AK65)/10),0)</f>
        <v>7684.8249999999998</v>
      </c>
      <c r="ED65" s="308">
        <f>_xlfn.IFNA(((VLOOKUP($A65,HN!$A:$M,13,FALSE)-$V65-$AL65)/10),0)</f>
        <v>0</v>
      </c>
      <c r="EE65" s="307">
        <f t="shared" si="85"/>
        <v>-543.65</v>
      </c>
      <c r="EF65" s="307">
        <f t="shared" si="86"/>
        <v>-2545.3382500000002</v>
      </c>
      <c r="EG65" s="308"/>
      <c r="EH65" s="308"/>
      <c r="EI65" s="308"/>
      <c r="EJ65" s="307">
        <f t="shared" si="87"/>
        <v>138196.25886665061</v>
      </c>
      <c r="EK65" s="320">
        <f t="shared" si="88"/>
        <v>133600.42211665059</v>
      </c>
      <c r="EL65" s="320"/>
      <c r="EM65" s="320"/>
      <c r="EN65" s="321">
        <f>_xlfn.IFNA((VLOOKUP($A65,HN!$A:$M,8,FALSE)/12),0)</f>
        <v>0</v>
      </c>
      <c r="EO65" s="321">
        <f>_xlfn.IFNA((VLOOKUP($A65,HN!$A:$M,12,FALSE)/12),0)</f>
        <v>0</v>
      </c>
      <c r="EP65" s="321">
        <f>_xlfn.IFNA((VLOOKUP($A65,HN!$A:$M,9,FALSE)/12),0)</f>
        <v>0</v>
      </c>
      <c r="EQ65" s="321">
        <f>_xlfn.IFNA((VLOOKUP($A65,'Post 16'!$A:$AG,33,FALSE)/8),0)</f>
        <v>0</v>
      </c>
      <c r="ER65" s="321"/>
      <c r="ES65" s="321">
        <f>_xlfn.IFNA(((VLOOKUP($A65,HN!$A:$M,10,FALSE)-$U65-$AK65)/10),0)</f>
        <v>7684.8249999999998</v>
      </c>
      <c r="ET65" s="321">
        <f>_xlfn.IFNA(((VLOOKUP($A65,HN!$A:$M,13,FALSE)-$V65-$AL65)/10),0)</f>
        <v>0</v>
      </c>
      <c r="EU65" s="320">
        <f t="shared" si="89"/>
        <v>-543.65</v>
      </c>
      <c r="EV65" s="320">
        <f t="shared" si="90"/>
        <v>-2545.3382500000002</v>
      </c>
      <c r="EW65" s="321"/>
      <c r="EX65" s="321"/>
      <c r="EY65" s="321"/>
      <c r="EZ65" s="320">
        <f t="shared" si="91"/>
        <v>138196.25886665061</v>
      </c>
      <c r="FA65" s="286">
        <f t="shared" si="92"/>
        <v>133600.42211665059</v>
      </c>
      <c r="FB65" s="286"/>
      <c r="FC65" s="286"/>
      <c r="FD65" s="287">
        <f>_xlfn.IFNA((VLOOKUP($A65,HN!$A:$M,8,FALSE)/12),0)</f>
        <v>0</v>
      </c>
      <c r="FE65" s="287">
        <f>_xlfn.IFNA((VLOOKUP($A65,HN!$A:$M,12,FALSE)/12),0)</f>
        <v>0</v>
      </c>
      <c r="FF65" s="287">
        <f>_xlfn.IFNA((VLOOKUP($A65,HN!$A:$M,9,FALSE)/12),0)</f>
        <v>0</v>
      </c>
      <c r="FG65" s="287">
        <f>_xlfn.IFNA((VLOOKUP($A65,'Post 16'!$A:$AG,33,FALSE)/8),0)</f>
        <v>0</v>
      </c>
      <c r="FH65" s="287"/>
      <c r="FI65" s="287">
        <f>_xlfn.IFNA(((VLOOKUP($A65,HN!$A:$M,10,FALSE)-$U65-$AK65)/10),0)</f>
        <v>7684.8249999999998</v>
      </c>
      <c r="FJ65" s="287">
        <f>_xlfn.IFNA(((VLOOKUP($A65,HN!$A:$M,13,FALSE)-$V65-$AL65)/10),0)</f>
        <v>0</v>
      </c>
      <c r="FK65" s="286">
        <f t="shared" si="93"/>
        <v>-543.65</v>
      </c>
      <c r="FL65" s="286">
        <f t="shared" si="94"/>
        <v>-2545.3382500000002</v>
      </c>
      <c r="FM65" s="287"/>
      <c r="FN65" s="287"/>
      <c r="FO65" s="287"/>
      <c r="FP65" s="286">
        <f t="shared" si="95"/>
        <v>138196.25886665061</v>
      </c>
      <c r="FQ65" s="293">
        <f t="shared" si="96"/>
        <v>133600.42211665059</v>
      </c>
      <c r="FR65" s="293"/>
      <c r="FS65" s="293"/>
      <c r="FT65" s="294">
        <f>_xlfn.IFNA((VLOOKUP($A65,HN!$A:$M,8,FALSE)/12),0)</f>
        <v>0</v>
      </c>
      <c r="FU65" s="294">
        <f>_xlfn.IFNA((VLOOKUP($A65,HN!$A:$M,12,FALSE)/12),0)</f>
        <v>0</v>
      </c>
      <c r="FV65" s="294">
        <f>_xlfn.IFNA((VLOOKUP($A65,HN!$A:$M,9,FALSE)/12),0)</f>
        <v>0</v>
      </c>
      <c r="FW65" s="294">
        <f>_xlfn.IFNA((VLOOKUP($A65,'Post 16'!$A:$AG,33,FALSE)/8),0)</f>
        <v>0</v>
      </c>
      <c r="FX65" s="294"/>
      <c r="FY65" s="294">
        <f>_xlfn.IFNA(((VLOOKUP($A65,HN!$A:$M,10,FALSE)-$U65-$AK65)/10),0)</f>
        <v>7684.8249999999998</v>
      </c>
      <c r="FZ65" s="294">
        <f>_xlfn.IFNA(((VLOOKUP($A65,HN!$A:$M,13,FALSE)-$V65-$AL65)/10),0)</f>
        <v>0</v>
      </c>
      <c r="GA65" s="293">
        <f t="shared" si="97"/>
        <v>-543.65</v>
      </c>
      <c r="GB65" s="293">
        <f t="shared" si="98"/>
        <v>-2545.3382500000002</v>
      </c>
      <c r="GC65" s="294"/>
      <c r="GD65" s="294"/>
      <c r="GE65" s="294"/>
      <c r="GF65" s="293">
        <f t="shared" si="99"/>
        <v>138196.25886665061</v>
      </c>
      <c r="GG65" s="300">
        <f t="shared" si="100"/>
        <v>133600.42211665059</v>
      </c>
      <c r="GH65" s="300"/>
      <c r="GI65" s="300"/>
      <c r="GJ65" s="301">
        <f>_xlfn.IFNA((VLOOKUP($A65,HN!$A:$M,8,FALSE)/12),0)</f>
        <v>0</v>
      </c>
      <c r="GK65" s="301">
        <f>_xlfn.IFNA((VLOOKUP($A65,HN!$A:$M,12,FALSE)/12),0)</f>
        <v>0</v>
      </c>
      <c r="GL65" s="301">
        <f>_xlfn.IFNA((VLOOKUP($A65,HN!$A:$M,9,FALSE)/12),0)</f>
        <v>0</v>
      </c>
      <c r="GM65" s="301">
        <f>_xlfn.IFNA((VLOOKUP($A65,'Post 16'!$A:$AG,33,FALSE)/8),0)</f>
        <v>0</v>
      </c>
      <c r="GN65" s="301"/>
      <c r="GO65" s="301">
        <f>_xlfn.IFNA(((VLOOKUP($A65,HN!$A:$M,10,FALSE)-$U65-$AK65)/10),0)</f>
        <v>7684.8249999999998</v>
      </c>
      <c r="GP65" s="301">
        <f>_xlfn.IFNA(((VLOOKUP($A65,HN!$A:$M,13,FALSE)-$V65-$AL65)/10),0)</f>
        <v>0</v>
      </c>
      <c r="GQ65" s="300">
        <f t="shared" si="101"/>
        <v>-543.65</v>
      </c>
      <c r="GR65" s="300">
        <f t="shared" si="102"/>
        <v>-2545.3382500000002</v>
      </c>
      <c r="GS65" s="301"/>
      <c r="GT65" s="301"/>
      <c r="GU65" s="301"/>
      <c r="GV65" s="300">
        <f t="shared" si="103"/>
        <v>138196.25886665061</v>
      </c>
      <c r="GX65" s="146">
        <f t="shared" si="106"/>
        <v>1603205.0653998067</v>
      </c>
      <c r="GY65" s="146">
        <f t="shared" si="106"/>
        <v>0</v>
      </c>
      <c r="GZ65" s="146">
        <f t="shared" si="106"/>
        <v>98749.999999999985</v>
      </c>
      <c r="HA65" s="146">
        <f t="shared" si="106"/>
        <v>-6523.7999999999984</v>
      </c>
      <c r="HB65" s="146">
        <f t="shared" si="106"/>
        <v>-30544.059000000005</v>
      </c>
      <c r="HC65" s="146">
        <f t="shared" si="106"/>
        <v>0</v>
      </c>
      <c r="HE65" s="146">
        <f t="shared" si="107"/>
        <v>400801.26634995174</v>
      </c>
      <c r="HF65" s="146">
        <f t="shared" si="107"/>
        <v>0</v>
      </c>
      <c r="HG65" s="146">
        <f t="shared" si="107"/>
        <v>29586.575000000001</v>
      </c>
      <c r="HH65" s="146">
        <f t="shared" si="107"/>
        <v>-1630.9499999999998</v>
      </c>
      <c r="HI65" s="146">
        <f t="shared" si="107"/>
        <v>-7636.0147500000003</v>
      </c>
      <c r="HJ65" s="146">
        <f t="shared" si="107"/>
        <v>0</v>
      </c>
      <c r="HL65" s="146"/>
      <c r="HM65" s="57"/>
    </row>
    <row r="66" spans="1:221">
      <c r="A66" s="185">
        <v>1015</v>
      </c>
      <c r="B66" s="185">
        <v>103128</v>
      </c>
      <c r="C66" s="185" t="s">
        <v>155</v>
      </c>
      <c r="D66" s="2" t="s">
        <v>156</v>
      </c>
      <c r="E66" s="190" t="s">
        <v>36</v>
      </c>
      <c r="F66" s="190" t="s">
        <v>890</v>
      </c>
      <c r="H66" s="271">
        <f>_xlfn.IFNA(VLOOKUP($A66,ISB!$A$4:$BY$441,67,FALSE),0)</f>
        <v>0</v>
      </c>
      <c r="I66" s="271">
        <f>_xlfn.IFNA(VLOOKUP($A66,ISB!$A$4:$BY$441,72,FALSE),0)</f>
        <v>0</v>
      </c>
      <c r="J66" s="271">
        <f>-_xlfn.IFNA(VLOOKUP($A66,ISB!$A$4:$BY$441,76,FALSE),0)</f>
        <v>0</v>
      </c>
      <c r="K66" s="271">
        <f>_xlfn.IFNA(VLOOKUP($A66,ISB!$A$4:$BY$441,77,FALSE),0)</f>
        <v>0</v>
      </c>
      <c r="M66" s="279">
        <f t="shared" si="56"/>
        <v>0</v>
      </c>
      <c r="N66" s="279"/>
      <c r="O66" s="279">
        <f>_xlfn.IFNA(VLOOKUP($A66,EY!$A:$H,8,FALSE)+(VLOOKUP($A66,EY!$A:$R,18,FALSE)-$T66),0)</f>
        <v>415766.07820136833</v>
      </c>
      <c r="P66" s="280">
        <f>_xlfn.IFNA((VLOOKUP($A66,HN!$A:$M,8,FALSE)/12),0)</f>
        <v>0</v>
      </c>
      <c r="Q66" s="280">
        <f>_xlfn.IFNA((VLOOKUP($A66,HN!$A:$M,12,FALSE)/12),0)</f>
        <v>0</v>
      </c>
      <c r="R66" s="280">
        <f>_xlfn.IFNA((VLOOKUP($A66,HN!$A:$M,9,FALSE)/12),0)</f>
        <v>0</v>
      </c>
      <c r="S66" s="280">
        <f>_xlfn.IFNA((VLOOKUP($A66,'Post 16'!$A:$AR,22,FALSE)/4),0)</f>
        <v>0</v>
      </c>
      <c r="T66" s="280">
        <f>_xlfn.IFNA((VLOOKUP($A66,EY!$A:$R,16,FALSE)*80%),0)</f>
        <v>7800</v>
      </c>
      <c r="U66" s="280">
        <v>0</v>
      </c>
      <c r="V66" s="280">
        <v>0</v>
      </c>
      <c r="W66" s="279">
        <f t="shared" si="57"/>
        <v>0</v>
      </c>
      <c r="X66" s="279">
        <f t="shared" si="58"/>
        <v>0</v>
      </c>
      <c r="Y66" s="280"/>
      <c r="Z66" s="280"/>
      <c r="AA66" s="280"/>
      <c r="AB66" s="279">
        <f t="shared" si="59"/>
        <v>423566.07820136833</v>
      </c>
      <c r="AC66" s="293">
        <f t="shared" si="60"/>
        <v>0</v>
      </c>
      <c r="AD66" s="293"/>
      <c r="AE66" s="293"/>
      <c r="AF66" s="294">
        <f>_xlfn.IFNA((VLOOKUP($A66,HN!$A:$M,8,FALSE)/12),0)</f>
        <v>0</v>
      </c>
      <c r="AG66" s="294">
        <f>_xlfn.IFNA((VLOOKUP($A66,HN!$A:$M,12,FALSE)/12),0)+_xlfn.IFNA(VLOOKUP($A66,HN!$A:$Q,17,FALSE),0)</f>
        <v>0</v>
      </c>
      <c r="AH66" s="294">
        <f>_xlfn.IFNA((VLOOKUP($A66,HN!$A:$M,9,FALSE)/12),0)</f>
        <v>0</v>
      </c>
      <c r="AI66" s="294">
        <f>_xlfn.IFNA((VLOOKUP($A66,'Post 16'!$A:$AR,22,FALSE)/4),0)</f>
        <v>0</v>
      </c>
      <c r="AJ66" s="294"/>
      <c r="AK66" s="294">
        <f>_xlfn.IFNA((VLOOKUP($A66,HN!$A:$M,10,FALSE)/12),0)</f>
        <v>1107.5</v>
      </c>
      <c r="AL66" s="294">
        <f>_xlfn.IFNA((VLOOKUP($A66,HN!$A:$M,13,FALSE)/12),0)</f>
        <v>0</v>
      </c>
      <c r="AM66" s="293">
        <f t="shared" si="61"/>
        <v>0</v>
      </c>
      <c r="AN66" s="293">
        <f t="shared" si="62"/>
        <v>0</v>
      </c>
      <c r="AO66" s="294"/>
      <c r="AP66" s="294"/>
      <c r="AQ66" s="294"/>
      <c r="AR66" s="293">
        <f t="shared" si="63"/>
        <v>1107.5</v>
      </c>
      <c r="AS66" s="286">
        <f t="shared" si="64"/>
        <v>0</v>
      </c>
      <c r="AT66" s="286"/>
      <c r="AU66" s="286">
        <f>_xlfn.IFNA(VLOOKUP(A66,EY!A:AO,40,FALSE),0)</f>
        <v>39699.307617728511</v>
      </c>
      <c r="AV66" s="287">
        <f>_xlfn.IFNA((VLOOKUP($A66,HN!$A:$M,8,FALSE)/12),0)</f>
        <v>0</v>
      </c>
      <c r="AW66" s="287">
        <f>_xlfn.IFNA((VLOOKUP($A66,HN!$A:$M,12,FALSE)/12),0)+_xlfn.IFNA(VLOOKUP($A66,HN!$A$8:$AU$200,19,FALSE),0)</f>
        <v>0</v>
      </c>
      <c r="AX66" s="287">
        <f>_xlfn.IFNA((VLOOKUP($A66,HN!$A:$M,9,FALSE)/12),0)</f>
        <v>0</v>
      </c>
      <c r="AY66" s="287">
        <f>_xlfn.IFNA((VLOOKUP($A66,'Post 16'!$A:$AR,22,FALSE)/4),0)</f>
        <v>0</v>
      </c>
      <c r="AZ66" s="287">
        <f>_xlfn.IFNA(VLOOKUP(A66,EY!A:AO,41,FALSE),0)</f>
        <v>903.18227146814388</v>
      </c>
      <c r="BA66" s="287">
        <f>_xlfn.IFNA(((VLOOKUP($A66,HN!$A:$M,10,FALSE)-$U66-$AK66)/10),0)+_xlfn.IFNA(VLOOKUP($A66,HN!$A:$R,18,FALSE),0)</f>
        <v>1218.25</v>
      </c>
      <c r="BB66" s="287">
        <f>_xlfn.IFNA(((VLOOKUP($A66,HN!$A:$M,13,FALSE)-$V66-$AL66)/10),0)+_xlfn.IFNA(VLOOKUP($A66,HN!$A$8:$AU$200,20,FALSE),0)</f>
        <v>0</v>
      </c>
      <c r="BC66" s="286">
        <f t="shared" si="65"/>
        <v>0</v>
      </c>
      <c r="BD66" s="286">
        <f t="shared" si="66"/>
        <v>0</v>
      </c>
      <c r="BE66" s="287"/>
      <c r="BF66" s="287"/>
      <c r="BG66" s="287"/>
      <c r="BH66" s="286">
        <f t="shared" si="67"/>
        <v>41820.739889196659</v>
      </c>
      <c r="BI66" s="307">
        <f t="shared" si="68"/>
        <v>0</v>
      </c>
      <c r="BJ66" s="307">
        <f>_xlfn.IFNA(VLOOKUP(A66,'LA Deductions'!A:AH,34,FALSE),0)</f>
        <v>0</v>
      </c>
      <c r="BK66" s="307"/>
      <c r="BL66" s="308">
        <f>_xlfn.IFNA((VLOOKUP($A66,HN!$A:$M,8,FALSE)/12),0)</f>
        <v>0</v>
      </c>
      <c r="BM66" s="308">
        <f>_xlfn.IFNA((VLOOKUP($A66,HN!$A:$M,12,FALSE)/12),0)</f>
        <v>0</v>
      </c>
      <c r="BN66" s="308">
        <f>_xlfn.IFNA((VLOOKUP($A66,HN!$A:$M,9,FALSE)/12),0)</f>
        <v>0</v>
      </c>
      <c r="BO66" s="308">
        <f>_xlfn.IFNA((VLOOKUP($A66,'Post 16'!$A:$AR,22,FALSE)/4),0)</f>
        <v>0</v>
      </c>
      <c r="BP66" s="308"/>
      <c r="BQ66" s="308">
        <f>_xlfn.IFNA(((VLOOKUP($A66,HN!$A:$M,10,FALSE)-$U66-$AK66)/10),0)</f>
        <v>1218.25</v>
      </c>
      <c r="BR66" s="308">
        <f>_xlfn.IFNA(((VLOOKUP($A66,HN!$A:$M,13,FALSE)-$V66-$AL66)/10),0)</f>
        <v>0</v>
      </c>
      <c r="BS66" s="307">
        <f t="shared" si="69"/>
        <v>0</v>
      </c>
      <c r="BT66" s="307">
        <f t="shared" si="70"/>
        <v>0</v>
      </c>
      <c r="BU66" s="308"/>
      <c r="BV66" s="308"/>
      <c r="BW66" s="308"/>
      <c r="BX66" s="307">
        <f t="shared" si="71"/>
        <v>1218.25</v>
      </c>
      <c r="BY66" s="300">
        <f t="shared" si="72"/>
        <v>0</v>
      </c>
      <c r="BZ66" s="300"/>
      <c r="CA66" s="300"/>
      <c r="CB66" s="301">
        <f>_xlfn.IFNA((VLOOKUP($A66,HN!$A:$M,8,FALSE)/12),0)</f>
        <v>0</v>
      </c>
      <c r="CC66" s="301">
        <f>_xlfn.IFNA((VLOOKUP($A66,HN!$A:$M,12,FALSE)/12),0)</f>
        <v>0</v>
      </c>
      <c r="CD66" s="301">
        <f>_xlfn.IFNA((VLOOKUP($A66,HN!$A:$M,9,FALSE)/12),0)</f>
        <v>0</v>
      </c>
      <c r="CE66" s="301">
        <f>_xlfn.IFNA((VLOOKUP($A66,'Post 16'!$A:$AG,33,FALSE)/8),0)</f>
        <v>0</v>
      </c>
      <c r="CF66" s="301"/>
      <c r="CG66" s="301">
        <f>_xlfn.IFNA(((VLOOKUP($A66,HN!$A:$M,10,FALSE)-$U66-$AK66)/10),0)</f>
        <v>1218.25</v>
      </c>
      <c r="CH66" s="301">
        <f>_xlfn.IFNA(((VLOOKUP($A66,HN!$A:$M,13,FALSE)-$V66-$AL66)/10),0)</f>
        <v>0</v>
      </c>
      <c r="CI66" s="300">
        <f t="shared" si="73"/>
        <v>0</v>
      </c>
      <c r="CJ66" s="300">
        <f t="shared" si="74"/>
        <v>0</v>
      </c>
      <c r="CK66" s="301"/>
      <c r="CL66" s="301"/>
      <c r="CM66" s="301"/>
      <c r="CN66" s="300">
        <f t="shared" si="75"/>
        <v>1218.25</v>
      </c>
      <c r="CO66" s="332">
        <f t="shared" si="76"/>
        <v>0</v>
      </c>
      <c r="CP66" s="332"/>
      <c r="CQ66" s="332">
        <f>_xlfn.IFNA((VLOOKUP($A66,EY!$A:$AB,28,FALSE)-$CV66),0)</f>
        <v>173077.54442105262</v>
      </c>
      <c r="CR66" s="333">
        <f>_xlfn.IFNA((VLOOKUP($A66,HN!$A:$M,8,FALSE)/12),0)</f>
        <v>0</v>
      </c>
      <c r="CS66" s="333">
        <f>_xlfn.IFNA((VLOOKUP($A66,HN!$A:$M,12,FALSE)/12),0)</f>
        <v>0</v>
      </c>
      <c r="CT66" s="333">
        <f>_xlfn.IFNA((VLOOKUP($A66,HN!$A:$M,9,FALSE)/12),0)</f>
        <v>0</v>
      </c>
      <c r="CU66" s="333">
        <f>_xlfn.IFNA((VLOOKUP($A66,'Post 16'!$A:$AG,33,FALSE)/8),0)</f>
        <v>0</v>
      </c>
      <c r="CV66" s="333">
        <f>_xlfn.IFNA((VLOOKUP($A66,EY!$A:$AB,26,FALSE)*80%),0)</f>
        <v>4680</v>
      </c>
      <c r="CW66" s="333">
        <f>_xlfn.IFNA(((VLOOKUP($A66,HN!$A:$M,10,FALSE)-$U66-$AK66)/10),0)</f>
        <v>1218.25</v>
      </c>
      <c r="CX66" s="333">
        <f>_xlfn.IFNA(((VLOOKUP($A66,HN!$A:$M,13,FALSE)-$V66-$AL66)/10),0)</f>
        <v>0</v>
      </c>
      <c r="CY66" s="332">
        <f t="shared" si="77"/>
        <v>0</v>
      </c>
      <c r="CZ66" s="332">
        <f t="shared" si="78"/>
        <v>0</v>
      </c>
      <c r="DA66" s="333"/>
      <c r="DB66" s="333"/>
      <c r="DC66" s="333"/>
      <c r="DD66" s="332">
        <f t="shared" si="79"/>
        <v>178975.79442105262</v>
      </c>
      <c r="DE66" s="314">
        <f t="shared" si="80"/>
        <v>0</v>
      </c>
      <c r="DF66" s="314"/>
      <c r="DG66" s="314"/>
      <c r="DH66" s="315">
        <f>_xlfn.IFNA((VLOOKUP($A66,HN!$A:$M,8,FALSE)/12),0)</f>
        <v>0</v>
      </c>
      <c r="DI66" s="315">
        <f>_xlfn.IFNA((VLOOKUP($A66,HN!$A:$M,12,FALSE)/12),0)</f>
        <v>0</v>
      </c>
      <c r="DJ66" s="315">
        <f>_xlfn.IFNA((VLOOKUP($A66,HN!$A:$M,9,FALSE)/12),0)</f>
        <v>0</v>
      </c>
      <c r="DK66" s="315">
        <f>_xlfn.IFNA((VLOOKUP($A66,'Post 16'!$A:$AG,33,FALSE)/8),0)</f>
        <v>0</v>
      </c>
      <c r="DL66" s="315"/>
      <c r="DM66" s="315">
        <f>_xlfn.IFNA(((VLOOKUP($A66,HN!$A:$M,10,FALSE)-$U66-$AK66)/10),0)</f>
        <v>1218.25</v>
      </c>
      <c r="DN66" s="315">
        <f>_xlfn.IFNA(((VLOOKUP($A66,HN!$A:$M,13,FALSE)-$V66-$AL66)/10),0)</f>
        <v>0</v>
      </c>
      <c r="DO66" s="314">
        <f t="shared" si="81"/>
        <v>0</v>
      </c>
      <c r="DP66" s="314">
        <f t="shared" si="82"/>
        <v>0</v>
      </c>
      <c r="DQ66" s="315"/>
      <c r="DR66" s="315"/>
      <c r="DS66" s="315"/>
      <c r="DT66" s="314">
        <f t="shared" si="83"/>
        <v>1218.25</v>
      </c>
      <c r="DU66" s="307">
        <f t="shared" si="84"/>
        <v>0</v>
      </c>
      <c r="DV66" s="307"/>
      <c r="DW66" s="307"/>
      <c r="DX66" s="308">
        <f>_xlfn.IFNA((VLOOKUP($A66,HN!$A:$M,8,FALSE)/12),0)</f>
        <v>0</v>
      </c>
      <c r="DY66" s="308">
        <f>_xlfn.IFNA((VLOOKUP($A66,HN!$A:$M,12,FALSE)/12),0)</f>
        <v>0</v>
      </c>
      <c r="DZ66" s="308">
        <f>_xlfn.IFNA((VLOOKUP($A66,HN!$A:$M,9,FALSE)/12),0)</f>
        <v>0</v>
      </c>
      <c r="EA66" s="308">
        <f>_xlfn.IFNA((VLOOKUP($A66,'Post 16'!$A:$AG,33,FALSE)/8),0)</f>
        <v>0</v>
      </c>
      <c r="EB66" s="308"/>
      <c r="EC66" s="308">
        <f>_xlfn.IFNA(((VLOOKUP($A66,HN!$A:$M,10,FALSE)-$U66-$AK66)/10),0)</f>
        <v>1218.25</v>
      </c>
      <c r="ED66" s="308">
        <f>_xlfn.IFNA(((VLOOKUP($A66,HN!$A:$M,13,FALSE)-$V66-$AL66)/10),0)</f>
        <v>0</v>
      </c>
      <c r="EE66" s="307">
        <f t="shared" si="85"/>
        <v>0</v>
      </c>
      <c r="EF66" s="307">
        <f t="shared" si="86"/>
        <v>0</v>
      </c>
      <c r="EG66" s="308"/>
      <c r="EH66" s="308"/>
      <c r="EI66" s="308"/>
      <c r="EJ66" s="307">
        <f t="shared" si="87"/>
        <v>1218.25</v>
      </c>
      <c r="EK66" s="320">
        <f t="shared" si="88"/>
        <v>0</v>
      </c>
      <c r="EL66" s="320"/>
      <c r="EM66" s="320"/>
      <c r="EN66" s="321">
        <f>_xlfn.IFNA((VLOOKUP($A66,HN!$A:$M,8,FALSE)/12),0)</f>
        <v>0</v>
      </c>
      <c r="EO66" s="321">
        <f>_xlfn.IFNA((VLOOKUP($A66,HN!$A:$M,12,FALSE)/12),0)</f>
        <v>0</v>
      </c>
      <c r="EP66" s="321">
        <f>_xlfn.IFNA((VLOOKUP($A66,HN!$A:$M,9,FALSE)/12),0)</f>
        <v>0</v>
      </c>
      <c r="EQ66" s="321">
        <f>_xlfn.IFNA((VLOOKUP($A66,'Post 16'!$A:$AG,33,FALSE)/8),0)</f>
        <v>0</v>
      </c>
      <c r="ER66" s="321"/>
      <c r="ES66" s="321">
        <f>_xlfn.IFNA(((VLOOKUP($A66,HN!$A:$M,10,FALSE)-$U66-$AK66)/10),0)</f>
        <v>1218.25</v>
      </c>
      <c r="ET66" s="321">
        <f>_xlfn.IFNA(((VLOOKUP($A66,HN!$A:$M,13,FALSE)-$V66-$AL66)/10),0)</f>
        <v>0</v>
      </c>
      <c r="EU66" s="320">
        <f t="shared" si="89"/>
        <v>0</v>
      </c>
      <c r="EV66" s="320">
        <f t="shared" si="90"/>
        <v>0</v>
      </c>
      <c r="EW66" s="321"/>
      <c r="EX66" s="321"/>
      <c r="EY66" s="321"/>
      <c r="EZ66" s="320">
        <f t="shared" si="91"/>
        <v>1218.25</v>
      </c>
      <c r="FA66" s="286">
        <f t="shared" si="92"/>
        <v>0</v>
      </c>
      <c r="FB66" s="286"/>
      <c r="FC66" s="286"/>
      <c r="FD66" s="287">
        <f>_xlfn.IFNA((VLOOKUP($A66,HN!$A:$M,8,FALSE)/12),0)</f>
        <v>0</v>
      </c>
      <c r="FE66" s="287">
        <f>_xlfn.IFNA((VLOOKUP($A66,HN!$A:$M,12,FALSE)/12),0)</f>
        <v>0</v>
      </c>
      <c r="FF66" s="287">
        <f>_xlfn.IFNA((VLOOKUP($A66,HN!$A:$M,9,FALSE)/12),0)</f>
        <v>0</v>
      </c>
      <c r="FG66" s="287">
        <f>_xlfn.IFNA((VLOOKUP($A66,'Post 16'!$A:$AG,33,FALSE)/8),0)</f>
        <v>0</v>
      </c>
      <c r="FH66" s="287"/>
      <c r="FI66" s="287">
        <f>_xlfn.IFNA(((VLOOKUP($A66,HN!$A:$M,10,FALSE)-$U66-$AK66)/10),0)</f>
        <v>1218.25</v>
      </c>
      <c r="FJ66" s="287">
        <f>_xlfn.IFNA(((VLOOKUP($A66,HN!$A:$M,13,FALSE)-$V66-$AL66)/10),0)</f>
        <v>0</v>
      </c>
      <c r="FK66" s="286">
        <f t="shared" si="93"/>
        <v>0</v>
      </c>
      <c r="FL66" s="286">
        <f t="shared" si="94"/>
        <v>0</v>
      </c>
      <c r="FM66" s="287"/>
      <c r="FN66" s="287"/>
      <c r="FO66" s="287"/>
      <c r="FP66" s="286">
        <f t="shared" si="95"/>
        <v>1218.25</v>
      </c>
      <c r="FQ66" s="293">
        <f t="shared" si="96"/>
        <v>0</v>
      </c>
      <c r="FR66" s="293"/>
      <c r="FS66" s="293"/>
      <c r="FT66" s="294">
        <f>_xlfn.IFNA((VLOOKUP($A66,HN!$A:$M,8,FALSE)/12),0)</f>
        <v>0</v>
      </c>
      <c r="FU66" s="294">
        <f>_xlfn.IFNA((VLOOKUP($A66,HN!$A:$M,12,FALSE)/12),0)</f>
        <v>0</v>
      </c>
      <c r="FV66" s="294">
        <f>_xlfn.IFNA((VLOOKUP($A66,HN!$A:$M,9,FALSE)/12),0)</f>
        <v>0</v>
      </c>
      <c r="FW66" s="294">
        <f>_xlfn.IFNA((VLOOKUP($A66,'Post 16'!$A:$AG,33,FALSE)/8),0)</f>
        <v>0</v>
      </c>
      <c r="FX66" s="294"/>
      <c r="FY66" s="294">
        <f>_xlfn.IFNA(((VLOOKUP($A66,HN!$A:$M,10,FALSE)-$U66-$AK66)/10),0)</f>
        <v>1218.25</v>
      </c>
      <c r="FZ66" s="294">
        <f>_xlfn.IFNA(((VLOOKUP($A66,HN!$A:$M,13,FALSE)-$V66-$AL66)/10),0)</f>
        <v>0</v>
      </c>
      <c r="GA66" s="293">
        <f t="shared" si="97"/>
        <v>0</v>
      </c>
      <c r="GB66" s="293">
        <f t="shared" si="98"/>
        <v>0</v>
      </c>
      <c r="GC66" s="294"/>
      <c r="GD66" s="294"/>
      <c r="GE66" s="294"/>
      <c r="GF66" s="293">
        <f t="shared" si="99"/>
        <v>1218.25</v>
      </c>
      <c r="GG66" s="300">
        <f t="shared" si="100"/>
        <v>0</v>
      </c>
      <c r="GH66" s="300"/>
      <c r="GI66" s="300"/>
      <c r="GJ66" s="301">
        <f>_xlfn.IFNA((VLOOKUP($A66,HN!$A:$M,8,FALSE)/12),0)</f>
        <v>0</v>
      </c>
      <c r="GK66" s="301">
        <f>_xlfn.IFNA((VLOOKUP($A66,HN!$A:$M,12,FALSE)/12),0)</f>
        <v>0</v>
      </c>
      <c r="GL66" s="301">
        <f>_xlfn.IFNA((VLOOKUP($A66,HN!$A:$M,9,FALSE)/12),0)</f>
        <v>0</v>
      </c>
      <c r="GM66" s="301">
        <f>_xlfn.IFNA((VLOOKUP($A66,'Post 16'!$A:$AG,33,FALSE)/8),0)</f>
        <v>0</v>
      </c>
      <c r="GN66" s="301"/>
      <c r="GO66" s="301">
        <f>_xlfn.IFNA(((VLOOKUP($A66,HN!$A:$M,10,FALSE)-$U66-$AK66)/10),0)</f>
        <v>1218.25</v>
      </c>
      <c r="GP66" s="301">
        <f>_xlfn.IFNA(((VLOOKUP($A66,HN!$A:$M,13,FALSE)-$V66-$AL66)/10),0)</f>
        <v>0</v>
      </c>
      <c r="GQ66" s="300">
        <f t="shared" si="101"/>
        <v>0</v>
      </c>
      <c r="GR66" s="300">
        <f t="shared" si="102"/>
        <v>0</v>
      </c>
      <c r="GS66" s="301"/>
      <c r="GT66" s="301"/>
      <c r="GU66" s="301"/>
      <c r="GV66" s="300">
        <f t="shared" si="103"/>
        <v>1218.25</v>
      </c>
      <c r="GX66" s="146">
        <f t="shared" si="106"/>
        <v>628542.93024014938</v>
      </c>
      <c r="GY66" s="146">
        <f t="shared" si="106"/>
        <v>0</v>
      </c>
      <c r="GZ66" s="146">
        <f t="shared" si="106"/>
        <v>26673.182271468144</v>
      </c>
      <c r="HA66" s="146">
        <f t="shared" si="106"/>
        <v>0</v>
      </c>
      <c r="HB66" s="146">
        <f t="shared" si="106"/>
        <v>0</v>
      </c>
      <c r="HC66" s="146">
        <f t="shared" si="106"/>
        <v>0</v>
      </c>
      <c r="HE66" s="146">
        <f t="shared" si="107"/>
        <v>455465.38581909682</v>
      </c>
      <c r="HF66" s="146">
        <f t="shared" si="107"/>
        <v>0</v>
      </c>
      <c r="HG66" s="146">
        <f t="shared" si="107"/>
        <v>11028.932271468144</v>
      </c>
      <c r="HH66" s="146">
        <f t="shared" si="107"/>
        <v>0</v>
      </c>
      <c r="HI66" s="146">
        <f t="shared" si="107"/>
        <v>0</v>
      </c>
      <c r="HJ66" s="146">
        <f t="shared" si="107"/>
        <v>0</v>
      </c>
      <c r="HL66" s="146"/>
      <c r="HM66" s="57"/>
    </row>
    <row r="67" spans="1:221">
      <c r="A67" s="185">
        <v>1022</v>
      </c>
      <c r="B67" s="185">
        <v>103135</v>
      </c>
      <c r="C67" s="185" t="s">
        <v>157</v>
      </c>
      <c r="D67" s="2" t="s">
        <v>158</v>
      </c>
      <c r="E67" s="190" t="s">
        <v>36</v>
      </c>
      <c r="F67" s="190" t="s">
        <v>890</v>
      </c>
      <c r="H67" s="271">
        <f>_xlfn.IFNA(VLOOKUP($A67,ISB!$A$4:$BY$441,67,FALSE),0)</f>
        <v>0</v>
      </c>
      <c r="I67" s="271">
        <f>_xlfn.IFNA(VLOOKUP($A67,ISB!$A$4:$BY$441,72,FALSE),0)</f>
        <v>0</v>
      </c>
      <c r="J67" s="271">
        <f>-_xlfn.IFNA(VLOOKUP($A67,ISB!$A$4:$BY$441,76,FALSE),0)</f>
        <v>0</v>
      </c>
      <c r="K67" s="271">
        <f>_xlfn.IFNA(VLOOKUP($A67,ISB!$A$4:$BY$441,77,FALSE),0)</f>
        <v>0</v>
      </c>
      <c r="M67" s="279">
        <f t="shared" si="56"/>
        <v>0</v>
      </c>
      <c r="N67" s="279"/>
      <c r="O67" s="279">
        <f>_xlfn.IFNA(VLOOKUP($A67,EY!$A:$H,8,FALSE)+(VLOOKUP($A67,EY!$A:$R,18,FALSE)-$T67),0)</f>
        <v>358257.38389938691</v>
      </c>
      <c r="P67" s="280">
        <f>_xlfn.IFNA((VLOOKUP($A67,HN!$A:$M,8,FALSE)/12),0)</f>
        <v>0</v>
      </c>
      <c r="Q67" s="280">
        <f>_xlfn.IFNA((VLOOKUP($A67,HN!$A:$M,12,FALSE)/12),0)</f>
        <v>0</v>
      </c>
      <c r="R67" s="280">
        <f>_xlfn.IFNA((VLOOKUP($A67,HN!$A:$M,9,FALSE)/12),0)</f>
        <v>0</v>
      </c>
      <c r="S67" s="280">
        <f>_xlfn.IFNA((VLOOKUP($A67,'Post 16'!$A:$AR,22,FALSE)/4),0)</f>
        <v>0</v>
      </c>
      <c r="T67" s="280">
        <f>_xlfn.IFNA((VLOOKUP($A67,EY!$A:$R,16,FALSE)*80%),0)</f>
        <v>3900</v>
      </c>
      <c r="U67" s="280">
        <v>3215</v>
      </c>
      <c r="V67" s="280">
        <v>0</v>
      </c>
      <c r="W67" s="279">
        <f t="shared" si="57"/>
        <v>0</v>
      </c>
      <c r="X67" s="279">
        <f t="shared" si="58"/>
        <v>0</v>
      </c>
      <c r="Y67" s="280"/>
      <c r="Z67" s="280"/>
      <c r="AA67" s="280"/>
      <c r="AB67" s="279">
        <f t="shared" si="59"/>
        <v>365372.38389938691</v>
      </c>
      <c r="AC67" s="293">
        <f t="shared" si="60"/>
        <v>0</v>
      </c>
      <c r="AD67" s="293"/>
      <c r="AE67" s="293"/>
      <c r="AF67" s="294">
        <f>_xlfn.IFNA((VLOOKUP($A67,HN!$A:$M,8,FALSE)/12),0)</f>
        <v>0</v>
      </c>
      <c r="AG67" s="294">
        <f>_xlfn.IFNA((VLOOKUP($A67,HN!$A:$M,12,FALSE)/12),0)+_xlfn.IFNA(VLOOKUP($A67,HN!$A:$Q,17,FALSE),0)</f>
        <v>0</v>
      </c>
      <c r="AH67" s="294">
        <f>_xlfn.IFNA((VLOOKUP($A67,HN!$A:$M,9,FALSE)/12),0)</f>
        <v>0</v>
      </c>
      <c r="AI67" s="294">
        <f>_xlfn.IFNA((VLOOKUP($A67,'Post 16'!$A:$AR,22,FALSE)/4),0)</f>
        <v>0</v>
      </c>
      <c r="AJ67" s="294"/>
      <c r="AK67" s="294">
        <f>_xlfn.IFNA((VLOOKUP($A67,HN!$A:$M,10,FALSE)/12),0)</f>
        <v>1107.5</v>
      </c>
      <c r="AL67" s="294">
        <f>_xlfn.IFNA((VLOOKUP($A67,HN!$A:$M,13,FALSE)/12),0)</f>
        <v>0</v>
      </c>
      <c r="AM67" s="293">
        <f t="shared" si="61"/>
        <v>0</v>
      </c>
      <c r="AN67" s="293">
        <f t="shared" si="62"/>
        <v>0</v>
      </c>
      <c r="AO67" s="294"/>
      <c r="AP67" s="294"/>
      <c r="AQ67" s="294"/>
      <c r="AR67" s="293">
        <f t="shared" si="63"/>
        <v>1107.5</v>
      </c>
      <c r="AS67" s="286">
        <f t="shared" si="64"/>
        <v>0</v>
      </c>
      <c r="AT67" s="286"/>
      <c r="AU67" s="286">
        <f>_xlfn.IFNA(VLOOKUP(A67,EY!A:AO,40,FALSE),0)</f>
        <v>45451.06</v>
      </c>
      <c r="AV67" s="287">
        <f>_xlfn.IFNA((VLOOKUP($A67,HN!$A:$M,8,FALSE)/12),0)</f>
        <v>0</v>
      </c>
      <c r="AW67" s="287">
        <f>_xlfn.IFNA((VLOOKUP($A67,HN!$A:$M,12,FALSE)/12),0)+_xlfn.IFNA(VLOOKUP($A67,HN!$A$8:$AU$200,19,FALSE),0)</f>
        <v>0</v>
      </c>
      <c r="AX67" s="287">
        <f>_xlfn.IFNA((VLOOKUP($A67,HN!$A:$M,9,FALSE)/12),0)</f>
        <v>0</v>
      </c>
      <c r="AY67" s="287">
        <f>_xlfn.IFNA((VLOOKUP($A67,'Post 16'!$A:$AR,22,FALSE)/4),0)</f>
        <v>0</v>
      </c>
      <c r="AZ67" s="287">
        <f>_xlfn.IFNA(VLOOKUP(A67,EY!A:AO,41,FALSE),0)</f>
        <v>-1571.4747922437675</v>
      </c>
      <c r="BA67" s="287">
        <f>_xlfn.IFNA(((VLOOKUP($A67,HN!$A:$M,10,FALSE)-$U67-$AK67)/10),0)+_xlfn.IFNA(VLOOKUP($A67,HN!$A:$R,18,FALSE),0)</f>
        <v>896.75</v>
      </c>
      <c r="BB67" s="287">
        <f>_xlfn.IFNA(((VLOOKUP($A67,HN!$A:$M,13,FALSE)-$V67-$AL67)/10),0)+_xlfn.IFNA(VLOOKUP($A67,HN!$A$8:$AU$200,20,FALSE),0)</f>
        <v>0</v>
      </c>
      <c r="BC67" s="286">
        <f t="shared" si="65"/>
        <v>0</v>
      </c>
      <c r="BD67" s="286">
        <f t="shared" si="66"/>
        <v>0</v>
      </c>
      <c r="BE67" s="287"/>
      <c r="BF67" s="287"/>
      <c r="BG67" s="287"/>
      <c r="BH67" s="286">
        <f t="shared" si="67"/>
        <v>44776.33520775623</v>
      </c>
      <c r="BI67" s="307">
        <f t="shared" si="68"/>
        <v>0</v>
      </c>
      <c r="BJ67" s="307">
        <f>_xlfn.IFNA(VLOOKUP(A67,'LA Deductions'!A:AH,34,FALSE),0)</f>
        <v>0</v>
      </c>
      <c r="BK67" s="307"/>
      <c r="BL67" s="308">
        <f>_xlfn.IFNA((VLOOKUP($A67,HN!$A:$M,8,FALSE)/12),0)</f>
        <v>0</v>
      </c>
      <c r="BM67" s="308">
        <f>_xlfn.IFNA((VLOOKUP($A67,HN!$A:$M,12,FALSE)/12),0)</f>
        <v>0</v>
      </c>
      <c r="BN67" s="308">
        <f>_xlfn.IFNA((VLOOKUP($A67,HN!$A:$M,9,FALSE)/12),0)</f>
        <v>0</v>
      </c>
      <c r="BO67" s="308">
        <f>_xlfn.IFNA((VLOOKUP($A67,'Post 16'!$A:$AR,22,FALSE)/4),0)</f>
        <v>0</v>
      </c>
      <c r="BP67" s="308"/>
      <c r="BQ67" s="308">
        <f>_xlfn.IFNA(((VLOOKUP($A67,HN!$A:$M,10,FALSE)-$U67-$AK67)/10),0)</f>
        <v>896.75</v>
      </c>
      <c r="BR67" s="308">
        <f>_xlfn.IFNA(((VLOOKUP($A67,HN!$A:$M,13,FALSE)-$V67-$AL67)/10),0)</f>
        <v>0</v>
      </c>
      <c r="BS67" s="307">
        <f t="shared" si="69"/>
        <v>0</v>
      </c>
      <c r="BT67" s="307">
        <f t="shared" si="70"/>
        <v>0</v>
      </c>
      <c r="BU67" s="308"/>
      <c r="BV67" s="308"/>
      <c r="BW67" s="308"/>
      <c r="BX67" s="307">
        <f t="shared" si="71"/>
        <v>896.75</v>
      </c>
      <c r="BY67" s="300">
        <f t="shared" si="72"/>
        <v>0</v>
      </c>
      <c r="BZ67" s="300"/>
      <c r="CA67" s="300"/>
      <c r="CB67" s="301">
        <f>_xlfn.IFNA((VLOOKUP($A67,HN!$A:$M,8,FALSE)/12),0)</f>
        <v>0</v>
      </c>
      <c r="CC67" s="301">
        <f>_xlfn.IFNA((VLOOKUP($A67,HN!$A:$M,12,FALSE)/12),0)</f>
        <v>0</v>
      </c>
      <c r="CD67" s="301">
        <f>_xlfn.IFNA((VLOOKUP($A67,HN!$A:$M,9,FALSE)/12),0)</f>
        <v>0</v>
      </c>
      <c r="CE67" s="301">
        <f>_xlfn.IFNA((VLOOKUP($A67,'Post 16'!$A:$AG,33,FALSE)/8),0)</f>
        <v>0</v>
      </c>
      <c r="CF67" s="301"/>
      <c r="CG67" s="301">
        <f>_xlfn.IFNA(((VLOOKUP($A67,HN!$A:$M,10,FALSE)-$U67-$AK67)/10),0)</f>
        <v>896.75</v>
      </c>
      <c r="CH67" s="301">
        <f>_xlfn.IFNA(((VLOOKUP($A67,HN!$A:$M,13,FALSE)-$V67-$AL67)/10),0)</f>
        <v>0</v>
      </c>
      <c r="CI67" s="300">
        <f t="shared" si="73"/>
        <v>0</v>
      </c>
      <c r="CJ67" s="300">
        <f t="shared" si="74"/>
        <v>0</v>
      </c>
      <c r="CK67" s="301"/>
      <c r="CL67" s="301"/>
      <c r="CM67" s="301"/>
      <c r="CN67" s="300">
        <f t="shared" si="75"/>
        <v>896.75</v>
      </c>
      <c r="CO67" s="332">
        <f t="shared" si="76"/>
        <v>0</v>
      </c>
      <c r="CP67" s="332"/>
      <c r="CQ67" s="332">
        <f>_xlfn.IFNA((VLOOKUP($A67,EY!$A:$AB,28,FALSE)-$CV67),0)</f>
        <v>136124.78736842106</v>
      </c>
      <c r="CR67" s="333">
        <f>_xlfn.IFNA((VLOOKUP($A67,HN!$A:$M,8,FALSE)/12),0)</f>
        <v>0</v>
      </c>
      <c r="CS67" s="333">
        <f>_xlfn.IFNA((VLOOKUP($A67,HN!$A:$M,12,FALSE)/12),0)</f>
        <v>0</v>
      </c>
      <c r="CT67" s="333">
        <f>_xlfn.IFNA((VLOOKUP($A67,HN!$A:$M,9,FALSE)/12),0)</f>
        <v>0</v>
      </c>
      <c r="CU67" s="333">
        <f>_xlfn.IFNA((VLOOKUP($A67,'Post 16'!$A:$AG,33,FALSE)/8),0)</f>
        <v>0</v>
      </c>
      <c r="CV67" s="333">
        <f>_xlfn.IFNA((VLOOKUP($A67,EY!$A:$AB,26,FALSE)*80%),0)</f>
        <v>2340</v>
      </c>
      <c r="CW67" s="333">
        <f>_xlfn.IFNA(((VLOOKUP($A67,HN!$A:$M,10,FALSE)-$U67-$AK67)/10),0)</f>
        <v>896.75</v>
      </c>
      <c r="CX67" s="333">
        <f>_xlfn.IFNA(((VLOOKUP($A67,HN!$A:$M,13,FALSE)-$V67-$AL67)/10),0)</f>
        <v>0</v>
      </c>
      <c r="CY67" s="332">
        <f t="shared" si="77"/>
        <v>0</v>
      </c>
      <c r="CZ67" s="332">
        <f t="shared" si="78"/>
        <v>0</v>
      </c>
      <c r="DA67" s="333"/>
      <c r="DB67" s="333"/>
      <c r="DC67" s="333"/>
      <c r="DD67" s="332">
        <f t="shared" si="79"/>
        <v>139361.53736842106</v>
      </c>
      <c r="DE67" s="314">
        <f t="shared" si="80"/>
        <v>0</v>
      </c>
      <c r="DF67" s="314"/>
      <c r="DG67" s="314"/>
      <c r="DH67" s="315">
        <f>_xlfn.IFNA((VLOOKUP($A67,HN!$A:$M,8,FALSE)/12),0)</f>
        <v>0</v>
      </c>
      <c r="DI67" s="315">
        <f>_xlfn.IFNA((VLOOKUP($A67,HN!$A:$M,12,FALSE)/12),0)</f>
        <v>0</v>
      </c>
      <c r="DJ67" s="315">
        <f>_xlfn.IFNA((VLOOKUP($A67,HN!$A:$M,9,FALSE)/12),0)</f>
        <v>0</v>
      </c>
      <c r="DK67" s="315">
        <f>_xlfn.IFNA((VLOOKUP($A67,'Post 16'!$A:$AG,33,FALSE)/8),0)</f>
        <v>0</v>
      </c>
      <c r="DL67" s="315"/>
      <c r="DM67" s="315">
        <f>_xlfn.IFNA(((VLOOKUP($A67,HN!$A:$M,10,FALSE)-$U67-$AK67)/10),0)</f>
        <v>896.75</v>
      </c>
      <c r="DN67" s="315">
        <f>_xlfn.IFNA(((VLOOKUP($A67,HN!$A:$M,13,FALSE)-$V67-$AL67)/10),0)</f>
        <v>0</v>
      </c>
      <c r="DO67" s="314">
        <f t="shared" si="81"/>
        <v>0</v>
      </c>
      <c r="DP67" s="314">
        <f t="shared" si="82"/>
        <v>0</v>
      </c>
      <c r="DQ67" s="315"/>
      <c r="DR67" s="315"/>
      <c r="DS67" s="315"/>
      <c r="DT67" s="314">
        <f t="shared" si="83"/>
        <v>896.75</v>
      </c>
      <c r="DU67" s="307">
        <f t="shared" si="84"/>
        <v>0</v>
      </c>
      <c r="DV67" s="307"/>
      <c r="DW67" s="307"/>
      <c r="DX67" s="308">
        <f>_xlfn.IFNA((VLOOKUP($A67,HN!$A:$M,8,FALSE)/12),0)</f>
        <v>0</v>
      </c>
      <c r="DY67" s="308">
        <f>_xlfn.IFNA((VLOOKUP($A67,HN!$A:$M,12,FALSE)/12),0)</f>
        <v>0</v>
      </c>
      <c r="DZ67" s="308">
        <f>_xlfn.IFNA((VLOOKUP($A67,HN!$A:$M,9,FALSE)/12),0)</f>
        <v>0</v>
      </c>
      <c r="EA67" s="308">
        <f>_xlfn.IFNA((VLOOKUP($A67,'Post 16'!$A:$AG,33,FALSE)/8),0)</f>
        <v>0</v>
      </c>
      <c r="EB67" s="308"/>
      <c r="EC67" s="308">
        <f>_xlfn.IFNA(((VLOOKUP($A67,HN!$A:$M,10,FALSE)-$U67-$AK67)/10),0)</f>
        <v>896.75</v>
      </c>
      <c r="ED67" s="308">
        <f>_xlfn.IFNA(((VLOOKUP($A67,HN!$A:$M,13,FALSE)-$V67-$AL67)/10),0)</f>
        <v>0</v>
      </c>
      <c r="EE67" s="307">
        <f t="shared" si="85"/>
        <v>0</v>
      </c>
      <c r="EF67" s="307">
        <f t="shared" si="86"/>
        <v>0</v>
      </c>
      <c r="EG67" s="308"/>
      <c r="EH67" s="308"/>
      <c r="EI67" s="308"/>
      <c r="EJ67" s="307">
        <f t="shared" si="87"/>
        <v>896.75</v>
      </c>
      <c r="EK67" s="320">
        <f t="shared" si="88"/>
        <v>0</v>
      </c>
      <c r="EL67" s="320"/>
      <c r="EM67" s="320"/>
      <c r="EN67" s="321">
        <f>_xlfn.IFNA((VLOOKUP($A67,HN!$A:$M,8,FALSE)/12),0)</f>
        <v>0</v>
      </c>
      <c r="EO67" s="321">
        <f>_xlfn.IFNA((VLOOKUP($A67,HN!$A:$M,12,FALSE)/12),0)</f>
        <v>0</v>
      </c>
      <c r="EP67" s="321">
        <f>_xlfn.IFNA((VLOOKUP($A67,HN!$A:$M,9,FALSE)/12),0)</f>
        <v>0</v>
      </c>
      <c r="EQ67" s="321">
        <f>_xlfn.IFNA((VLOOKUP($A67,'Post 16'!$A:$AG,33,FALSE)/8),0)</f>
        <v>0</v>
      </c>
      <c r="ER67" s="321"/>
      <c r="ES67" s="321">
        <f>_xlfn.IFNA(((VLOOKUP($A67,HN!$A:$M,10,FALSE)-$U67-$AK67)/10),0)</f>
        <v>896.75</v>
      </c>
      <c r="ET67" s="321">
        <f>_xlfn.IFNA(((VLOOKUP($A67,HN!$A:$M,13,FALSE)-$V67-$AL67)/10),0)</f>
        <v>0</v>
      </c>
      <c r="EU67" s="320">
        <f t="shared" si="89"/>
        <v>0</v>
      </c>
      <c r="EV67" s="320">
        <f t="shared" si="90"/>
        <v>0</v>
      </c>
      <c r="EW67" s="321"/>
      <c r="EX67" s="321"/>
      <c r="EY67" s="321"/>
      <c r="EZ67" s="320">
        <f t="shared" si="91"/>
        <v>896.75</v>
      </c>
      <c r="FA67" s="286">
        <f t="shared" si="92"/>
        <v>0</v>
      </c>
      <c r="FB67" s="286"/>
      <c r="FC67" s="286"/>
      <c r="FD67" s="287">
        <f>_xlfn.IFNA((VLOOKUP($A67,HN!$A:$M,8,FALSE)/12),0)</f>
        <v>0</v>
      </c>
      <c r="FE67" s="287">
        <f>_xlfn.IFNA((VLOOKUP($A67,HN!$A:$M,12,FALSE)/12),0)</f>
        <v>0</v>
      </c>
      <c r="FF67" s="287">
        <f>_xlfn.IFNA((VLOOKUP($A67,HN!$A:$M,9,FALSE)/12),0)</f>
        <v>0</v>
      </c>
      <c r="FG67" s="287">
        <f>_xlfn.IFNA((VLOOKUP($A67,'Post 16'!$A:$AG,33,FALSE)/8),0)</f>
        <v>0</v>
      </c>
      <c r="FH67" s="287"/>
      <c r="FI67" s="287">
        <f>_xlfn.IFNA(((VLOOKUP($A67,HN!$A:$M,10,FALSE)-$U67-$AK67)/10),0)</f>
        <v>896.75</v>
      </c>
      <c r="FJ67" s="287">
        <f>_xlfn.IFNA(((VLOOKUP($A67,HN!$A:$M,13,FALSE)-$V67-$AL67)/10),0)</f>
        <v>0</v>
      </c>
      <c r="FK67" s="286">
        <f t="shared" si="93"/>
        <v>0</v>
      </c>
      <c r="FL67" s="286">
        <f t="shared" si="94"/>
        <v>0</v>
      </c>
      <c r="FM67" s="287"/>
      <c r="FN67" s="287"/>
      <c r="FO67" s="287"/>
      <c r="FP67" s="286">
        <f t="shared" si="95"/>
        <v>896.75</v>
      </c>
      <c r="FQ67" s="293">
        <f t="shared" si="96"/>
        <v>0</v>
      </c>
      <c r="FR67" s="293"/>
      <c r="FS67" s="293"/>
      <c r="FT67" s="294">
        <f>_xlfn.IFNA((VLOOKUP($A67,HN!$A:$M,8,FALSE)/12),0)</f>
        <v>0</v>
      </c>
      <c r="FU67" s="294">
        <f>_xlfn.IFNA((VLOOKUP($A67,HN!$A:$M,12,FALSE)/12),0)</f>
        <v>0</v>
      </c>
      <c r="FV67" s="294">
        <f>_xlfn.IFNA((VLOOKUP($A67,HN!$A:$M,9,FALSE)/12),0)</f>
        <v>0</v>
      </c>
      <c r="FW67" s="294">
        <f>_xlfn.IFNA((VLOOKUP($A67,'Post 16'!$A:$AG,33,FALSE)/8),0)</f>
        <v>0</v>
      </c>
      <c r="FX67" s="294"/>
      <c r="FY67" s="294">
        <f>_xlfn.IFNA(((VLOOKUP($A67,HN!$A:$M,10,FALSE)-$U67-$AK67)/10),0)</f>
        <v>896.75</v>
      </c>
      <c r="FZ67" s="294">
        <f>_xlfn.IFNA(((VLOOKUP($A67,HN!$A:$M,13,FALSE)-$V67-$AL67)/10),0)</f>
        <v>0</v>
      </c>
      <c r="GA67" s="293">
        <f t="shared" si="97"/>
        <v>0</v>
      </c>
      <c r="GB67" s="293">
        <f t="shared" si="98"/>
        <v>0</v>
      </c>
      <c r="GC67" s="294"/>
      <c r="GD67" s="294"/>
      <c r="GE67" s="294"/>
      <c r="GF67" s="293">
        <f t="shared" si="99"/>
        <v>896.75</v>
      </c>
      <c r="GG67" s="300">
        <f t="shared" si="100"/>
        <v>0</v>
      </c>
      <c r="GH67" s="300"/>
      <c r="GI67" s="300"/>
      <c r="GJ67" s="301">
        <f>_xlfn.IFNA((VLOOKUP($A67,HN!$A:$M,8,FALSE)/12),0)</f>
        <v>0</v>
      </c>
      <c r="GK67" s="301">
        <f>_xlfn.IFNA((VLOOKUP($A67,HN!$A:$M,12,FALSE)/12),0)</f>
        <v>0</v>
      </c>
      <c r="GL67" s="301">
        <f>_xlfn.IFNA((VLOOKUP($A67,HN!$A:$M,9,FALSE)/12),0)</f>
        <v>0</v>
      </c>
      <c r="GM67" s="301">
        <f>_xlfn.IFNA((VLOOKUP($A67,'Post 16'!$A:$AG,33,FALSE)/8),0)</f>
        <v>0</v>
      </c>
      <c r="GN67" s="301"/>
      <c r="GO67" s="301">
        <f>_xlfn.IFNA(((VLOOKUP($A67,HN!$A:$M,10,FALSE)-$U67-$AK67)/10),0)</f>
        <v>896.75</v>
      </c>
      <c r="GP67" s="301">
        <f>_xlfn.IFNA(((VLOOKUP($A67,HN!$A:$M,13,FALSE)-$V67-$AL67)/10),0)</f>
        <v>0</v>
      </c>
      <c r="GQ67" s="300">
        <f t="shared" si="101"/>
        <v>0</v>
      </c>
      <c r="GR67" s="300">
        <f t="shared" si="102"/>
        <v>0</v>
      </c>
      <c r="GS67" s="301"/>
      <c r="GT67" s="301"/>
      <c r="GU67" s="301"/>
      <c r="GV67" s="300">
        <f t="shared" si="103"/>
        <v>896.75</v>
      </c>
      <c r="GX67" s="146">
        <f t="shared" si="106"/>
        <v>539833.23126780801</v>
      </c>
      <c r="GY67" s="146">
        <f t="shared" si="106"/>
        <v>0</v>
      </c>
      <c r="GZ67" s="146">
        <f t="shared" si="106"/>
        <v>17958.525207756233</v>
      </c>
      <c r="HA67" s="146">
        <f t="shared" si="106"/>
        <v>0</v>
      </c>
      <c r="HB67" s="146">
        <f t="shared" si="106"/>
        <v>0</v>
      </c>
      <c r="HC67" s="146">
        <f t="shared" si="106"/>
        <v>0</v>
      </c>
      <c r="HE67" s="146">
        <f t="shared" si="107"/>
        <v>403708.44389938691</v>
      </c>
      <c r="HF67" s="146">
        <f t="shared" si="107"/>
        <v>0</v>
      </c>
      <c r="HG67" s="146">
        <f t="shared" si="107"/>
        <v>7547.7752077562327</v>
      </c>
      <c r="HH67" s="146">
        <f t="shared" si="107"/>
        <v>0</v>
      </c>
      <c r="HI67" s="146">
        <f t="shared" si="107"/>
        <v>0</v>
      </c>
      <c r="HJ67" s="146">
        <f t="shared" si="107"/>
        <v>0</v>
      </c>
      <c r="HL67" s="146"/>
      <c r="HM67" s="57"/>
    </row>
    <row r="68" spans="1:221">
      <c r="A68" s="185">
        <v>2087</v>
      </c>
      <c r="B68" s="185">
        <v>103205</v>
      </c>
      <c r="C68" s="185" t="s">
        <v>159</v>
      </c>
      <c r="D68" s="2" t="s">
        <v>160</v>
      </c>
      <c r="E68" s="190" t="s">
        <v>39</v>
      </c>
      <c r="F68" s="190" t="s">
        <v>890</v>
      </c>
      <c r="H68" s="271">
        <f>_xlfn.IFNA(VLOOKUP($A68,ISB!$A$4:$BY$441,67,FALSE),0)</f>
        <v>2042316.3345782224</v>
      </c>
      <c r="I68" s="271">
        <f>_xlfn.IFNA(VLOOKUP($A68,ISB!$A$4:$BY$441,72,FALSE),0)</f>
        <v>-7644.2999999999993</v>
      </c>
      <c r="J68" s="271">
        <f>-_xlfn.IFNA(VLOOKUP($A68,ISB!$A$4:$BY$441,76,FALSE),0)</f>
        <v>-34866.3315</v>
      </c>
      <c r="K68" s="271">
        <f>_xlfn.IFNA(VLOOKUP($A68,ISB!$A$4:$BY$441,77,FALSE),0)</f>
        <v>1999805.7030782222</v>
      </c>
      <c r="M68" s="279">
        <f t="shared" si="56"/>
        <v>170193.02788151853</v>
      </c>
      <c r="N68" s="279"/>
      <c r="O68" s="279">
        <f>_xlfn.IFNA(VLOOKUP($A68,EY!$A:$H,8,FALSE)+(VLOOKUP($A68,EY!$A:$R,18,FALSE)-$T68),0)</f>
        <v>0</v>
      </c>
      <c r="P68" s="280">
        <f>_xlfn.IFNA((VLOOKUP($A68,HN!$A:$M,8,FALSE)/12),0)</f>
        <v>0</v>
      </c>
      <c r="Q68" s="280">
        <f>_xlfn.IFNA((VLOOKUP($A68,HN!$A:$M,12,FALSE)/12),0)</f>
        <v>0</v>
      </c>
      <c r="R68" s="280">
        <f>_xlfn.IFNA((VLOOKUP($A68,HN!$A:$M,9,FALSE)/12),0)</f>
        <v>0</v>
      </c>
      <c r="S68" s="280">
        <f>_xlfn.IFNA((VLOOKUP($A68,'Post 16'!$A:$AR,22,FALSE)/4),0)</f>
        <v>0</v>
      </c>
      <c r="T68" s="280">
        <f>_xlfn.IFNA((VLOOKUP($A68,EY!$A:$R,16,FALSE)*80%),0)</f>
        <v>0</v>
      </c>
      <c r="U68" s="280">
        <v>14772.354166666666</v>
      </c>
      <c r="V68" s="280">
        <v>0</v>
      </c>
      <c r="W68" s="279">
        <f t="shared" si="57"/>
        <v>-637.02499999999998</v>
      </c>
      <c r="X68" s="279">
        <f t="shared" si="58"/>
        <v>-2905.5276250000002</v>
      </c>
      <c r="Y68" s="280"/>
      <c r="Z68" s="280"/>
      <c r="AA68" s="280"/>
      <c r="AB68" s="279">
        <f t="shared" si="59"/>
        <v>181422.82942318521</v>
      </c>
      <c r="AC68" s="293">
        <f t="shared" si="60"/>
        <v>170193.02788151853</v>
      </c>
      <c r="AD68" s="293"/>
      <c r="AE68" s="293"/>
      <c r="AF68" s="294">
        <f>_xlfn.IFNA((VLOOKUP($A68,HN!$A:$M,8,FALSE)/12),0)</f>
        <v>0</v>
      </c>
      <c r="AG68" s="294">
        <f>_xlfn.IFNA((VLOOKUP($A68,HN!$A:$M,12,FALSE)/12),0)+_xlfn.IFNA(VLOOKUP($A68,HN!$A:$Q,17,FALSE),0)</f>
        <v>0</v>
      </c>
      <c r="AH68" s="294">
        <f>_xlfn.IFNA((VLOOKUP($A68,HN!$A:$M,9,FALSE)/12),0)</f>
        <v>0</v>
      </c>
      <c r="AI68" s="294">
        <f>_xlfn.IFNA((VLOOKUP($A68,'Post 16'!$A:$AR,22,FALSE)/4),0)</f>
        <v>0</v>
      </c>
      <c r="AJ68" s="294"/>
      <c r="AK68" s="294">
        <f>_xlfn.IFNA((VLOOKUP($A68,HN!$A:$M,10,FALSE)/12),0)</f>
        <v>10445.583333333334</v>
      </c>
      <c r="AL68" s="294">
        <f>_xlfn.IFNA((VLOOKUP($A68,HN!$A:$M,13,FALSE)/12),0)</f>
        <v>0</v>
      </c>
      <c r="AM68" s="293">
        <f t="shared" si="61"/>
        <v>-637.02499999999998</v>
      </c>
      <c r="AN68" s="293">
        <f t="shared" si="62"/>
        <v>-2905.5276250000002</v>
      </c>
      <c r="AO68" s="294"/>
      <c r="AP68" s="294"/>
      <c r="AQ68" s="294"/>
      <c r="AR68" s="293">
        <f t="shared" si="63"/>
        <v>177096.05858985189</v>
      </c>
      <c r="AS68" s="286">
        <f t="shared" si="64"/>
        <v>170193.02788151853</v>
      </c>
      <c r="AT68" s="286"/>
      <c r="AU68" s="286">
        <f>_xlfn.IFNA(VLOOKUP(A68,EY!A:AO,40,FALSE),0)</f>
        <v>0</v>
      </c>
      <c r="AV68" s="287">
        <f>_xlfn.IFNA((VLOOKUP($A68,HN!$A:$M,8,FALSE)/12),0)</f>
        <v>0</v>
      </c>
      <c r="AW68" s="287">
        <f>_xlfn.IFNA((VLOOKUP($A68,HN!$A:$M,12,FALSE)/12),0)+_xlfn.IFNA(VLOOKUP($A68,HN!$A$8:$AU$200,19,FALSE),0)</f>
        <v>0</v>
      </c>
      <c r="AX68" s="287">
        <f>_xlfn.IFNA((VLOOKUP($A68,HN!$A:$M,9,FALSE)/12),0)</f>
        <v>0</v>
      </c>
      <c r="AY68" s="287">
        <f>_xlfn.IFNA((VLOOKUP($A68,'Post 16'!$A:$AR,22,FALSE)/4),0)</f>
        <v>0</v>
      </c>
      <c r="AZ68" s="287">
        <f>_xlfn.IFNA(VLOOKUP(A68,EY!A:AO,41,FALSE),0)</f>
        <v>0</v>
      </c>
      <c r="BA68" s="287">
        <f>_xlfn.IFNA(((VLOOKUP($A68,HN!$A:$M,10,FALSE)-$U68-$AK68)/10),0)+_xlfn.IFNA(VLOOKUP($A68,HN!$A:$R,18,FALSE),0)</f>
        <v>10012.90625</v>
      </c>
      <c r="BB68" s="287">
        <f>_xlfn.IFNA(((VLOOKUP($A68,HN!$A:$M,13,FALSE)-$V68-$AL68)/10),0)+_xlfn.IFNA(VLOOKUP($A68,HN!$A$8:$AU$200,20,FALSE),0)</f>
        <v>0</v>
      </c>
      <c r="BC68" s="286">
        <f t="shared" si="65"/>
        <v>-637.02499999999998</v>
      </c>
      <c r="BD68" s="286">
        <f t="shared" si="66"/>
        <v>-2905.5276250000002</v>
      </c>
      <c r="BE68" s="287"/>
      <c r="BF68" s="287"/>
      <c r="BG68" s="287"/>
      <c r="BH68" s="286">
        <f t="shared" si="67"/>
        <v>176663.38150651855</v>
      </c>
      <c r="BI68" s="307">
        <f t="shared" si="68"/>
        <v>170193.02788151853</v>
      </c>
      <c r="BJ68" s="307">
        <f>_xlfn.IFNA(VLOOKUP(A68,'LA Deductions'!A:AH,34,FALSE),0)</f>
        <v>0</v>
      </c>
      <c r="BK68" s="307"/>
      <c r="BL68" s="308">
        <f>_xlfn.IFNA((VLOOKUP($A68,HN!$A:$M,8,FALSE)/12),0)</f>
        <v>0</v>
      </c>
      <c r="BM68" s="308">
        <f>_xlfn.IFNA((VLOOKUP($A68,HN!$A:$M,12,FALSE)/12),0)</f>
        <v>0</v>
      </c>
      <c r="BN68" s="308">
        <f>_xlfn.IFNA((VLOOKUP($A68,HN!$A:$M,9,FALSE)/12),0)</f>
        <v>0</v>
      </c>
      <c r="BO68" s="308">
        <f>_xlfn.IFNA((VLOOKUP($A68,'Post 16'!$A:$AR,22,FALSE)/4),0)</f>
        <v>0</v>
      </c>
      <c r="BP68" s="308"/>
      <c r="BQ68" s="308">
        <f>_xlfn.IFNA(((VLOOKUP($A68,HN!$A:$M,10,FALSE)-$U68-$AK68)/10),0)</f>
        <v>10012.90625</v>
      </c>
      <c r="BR68" s="308">
        <f>_xlfn.IFNA(((VLOOKUP($A68,HN!$A:$M,13,FALSE)-$V68-$AL68)/10),0)</f>
        <v>0</v>
      </c>
      <c r="BS68" s="307">
        <f t="shared" si="69"/>
        <v>-637.02499999999998</v>
      </c>
      <c r="BT68" s="307">
        <f t="shared" si="70"/>
        <v>-2905.5276250000002</v>
      </c>
      <c r="BU68" s="308"/>
      <c r="BV68" s="308"/>
      <c r="BW68" s="308"/>
      <c r="BX68" s="307">
        <f t="shared" si="71"/>
        <v>176663.38150651855</v>
      </c>
      <c r="BY68" s="300">
        <f t="shared" si="72"/>
        <v>170193.02788151853</v>
      </c>
      <c r="BZ68" s="300"/>
      <c r="CA68" s="300"/>
      <c r="CB68" s="301">
        <f>_xlfn.IFNA((VLOOKUP($A68,HN!$A:$M,8,FALSE)/12),0)</f>
        <v>0</v>
      </c>
      <c r="CC68" s="301">
        <f>_xlfn.IFNA((VLOOKUP($A68,HN!$A:$M,12,FALSE)/12),0)</f>
        <v>0</v>
      </c>
      <c r="CD68" s="301">
        <f>_xlfn.IFNA((VLOOKUP($A68,HN!$A:$M,9,FALSE)/12),0)</f>
        <v>0</v>
      </c>
      <c r="CE68" s="301">
        <f>_xlfn.IFNA((VLOOKUP($A68,'Post 16'!$A:$AG,33,FALSE)/8),0)</f>
        <v>0</v>
      </c>
      <c r="CF68" s="301"/>
      <c r="CG68" s="301">
        <f>_xlfn.IFNA(((VLOOKUP($A68,HN!$A:$M,10,FALSE)-$U68-$AK68)/10),0)</f>
        <v>10012.90625</v>
      </c>
      <c r="CH68" s="301">
        <f>_xlfn.IFNA(((VLOOKUP($A68,HN!$A:$M,13,FALSE)-$V68-$AL68)/10),0)</f>
        <v>0</v>
      </c>
      <c r="CI68" s="300">
        <f t="shared" si="73"/>
        <v>-637.02499999999998</v>
      </c>
      <c r="CJ68" s="300">
        <f t="shared" si="74"/>
        <v>-2905.5276250000002</v>
      </c>
      <c r="CK68" s="301"/>
      <c r="CL68" s="301"/>
      <c r="CM68" s="301"/>
      <c r="CN68" s="300">
        <f t="shared" si="75"/>
        <v>176663.38150651855</v>
      </c>
      <c r="CO68" s="332">
        <f t="shared" si="76"/>
        <v>170193.02788151853</v>
      </c>
      <c r="CP68" s="332"/>
      <c r="CQ68" s="332">
        <f>_xlfn.IFNA((VLOOKUP($A68,EY!$A:$AB,28,FALSE)-$CV68),0)</f>
        <v>0</v>
      </c>
      <c r="CR68" s="333">
        <f>_xlfn.IFNA((VLOOKUP($A68,HN!$A:$M,8,FALSE)/12),0)</f>
        <v>0</v>
      </c>
      <c r="CS68" s="333">
        <f>_xlfn.IFNA((VLOOKUP($A68,HN!$A:$M,12,FALSE)/12),0)</f>
        <v>0</v>
      </c>
      <c r="CT68" s="333">
        <f>_xlfn.IFNA((VLOOKUP($A68,HN!$A:$M,9,FALSE)/12),0)</f>
        <v>0</v>
      </c>
      <c r="CU68" s="333">
        <f>_xlfn.IFNA((VLOOKUP($A68,'Post 16'!$A:$AG,33,FALSE)/8),0)</f>
        <v>0</v>
      </c>
      <c r="CV68" s="333">
        <f>_xlfn.IFNA((VLOOKUP($A68,EY!$A:$AB,26,FALSE)*80%),0)</f>
        <v>0</v>
      </c>
      <c r="CW68" s="333">
        <f>_xlfn.IFNA(((VLOOKUP($A68,HN!$A:$M,10,FALSE)-$U68-$AK68)/10),0)</f>
        <v>10012.90625</v>
      </c>
      <c r="CX68" s="333">
        <f>_xlfn.IFNA(((VLOOKUP($A68,HN!$A:$M,13,FALSE)-$V68-$AL68)/10),0)</f>
        <v>0</v>
      </c>
      <c r="CY68" s="332">
        <f t="shared" si="77"/>
        <v>-637.02499999999998</v>
      </c>
      <c r="CZ68" s="332">
        <f t="shared" si="78"/>
        <v>-2905.5276250000002</v>
      </c>
      <c r="DA68" s="333"/>
      <c r="DB68" s="333"/>
      <c r="DC68" s="333"/>
      <c r="DD68" s="332">
        <f t="shared" si="79"/>
        <v>176663.38150651855</v>
      </c>
      <c r="DE68" s="314">
        <f t="shared" si="80"/>
        <v>170193.02788151853</v>
      </c>
      <c r="DF68" s="314"/>
      <c r="DG68" s="314"/>
      <c r="DH68" s="315">
        <f>_xlfn.IFNA((VLOOKUP($A68,HN!$A:$M,8,FALSE)/12),0)</f>
        <v>0</v>
      </c>
      <c r="DI68" s="315">
        <f>_xlfn.IFNA((VLOOKUP($A68,HN!$A:$M,12,FALSE)/12),0)</f>
        <v>0</v>
      </c>
      <c r="DJ68" s="315">
        <f>_xlfn.IFNA((VLOOKUP($A68,HN!$A:$M,9,FALSE)/12),0)</f>
        <v>0</v>
      </c>
      <c r="DK68" s="315">
        <f>_xlfn.IFNA((VLOOKUP($A68,'Post 16'!$A:$AG,33,FALSE)/8),0)</f>
        <v>0</v>
      </c>
      <c r="DL68" s="315"/>
      <c r="DM68" s="315">
        <f>_xlfn.IFNA(((VLOOKUP($A68,HN!$A:$M,10,FALSE)-$U68-$AK68)/10),0)</f>
        <v>10012.90625</v>
      </c>
      <c r="DN68" s="315">
        <f>_xlfn.IFNA(((VLOOKUP($A68,HN!$A:$M,13,FALSE)-$V68-$AL68)/10),0)</f>
        <v>0</v>
      </c>
      <c r="DO68" s="314">
        <f t="shared" si="81"/>
        <v>-637.02499999999998</v>
      </c>
      <c r="DP68" s="314">
        <f t="shared" si="82"/>
        <v>-2905.5276250000002</v>
      </c>
      <c r="DQ68" s="315"/>
      <c r="DR68" s="315"/>
      <c r="DS68" s="315"/>
      <c r="DT68" s="314">
        <f t="shared" si="83"/>
        <v>176663.38150651855</v>
      </c>
      <c r="DU68" s="307">
        <f t="shared" si="84"/>
        <v>170193.02788151853</v>
      </c>
      <c r="DV68" s="307"/>
      <c r="DW68" s="307"/>
      <c r="DX68" s="308">
        <f>_xlfn.IFNA((VLOOKUP($A68,HN!$A:$M,8,FALSE)/12),0)</f>
        <v>0</v>
      </c>
      <c r="DY68" s="308">
        <f>_xlfn.IFNA((VLOOKUP($A68,HN!$A:$M,12,FALSE)/12),0)</f>
        <v>0</v>
      </c>
      <c r="DZ68" s="308">
        <f>_xlfn.IFNA((VLOOKUP($A68,HN!$A:$M,9,FALSE)/12),0)</f>
        <v>0</v>
      </c>
      <c r="EA68" s="308">
        <f>_xlfn.IFNA((VLOOKUP($A68,'Post 16'!$A:$AG,33,FALSE)/8),0)</f>
        <v>0</v>
      </c>
      <c r="EB68" s="308"/>
      <c r="EC68" s="308">
        <f>_xlfn.IFNA(((VLOOKUP($A68,HN!$A:$M,10,FALSE)-$U68-$AK68)/10),0)</f>
        <v>10012.90625</v>
      </c>
      <c r="ED68" s="308">
        <f>_xlfn.IFNA(((VLOOKUP($A68,HN!$A:$M,13,FALSE)-$V68-$AL68)/10),0)</f>
        <v>0</v>
      </c>
      <c r="EE68" s="307">
        <f t="shared" si="85"/>
        <v>-637.02499999999998</v>
      </c>
      <c r="EF68" s="307">
        <f t="shared" si="86"/>
        <v>-2905.5276250000002</v>
      </c>
      <c r="EG68" s="308"/>
      <c r="EH68" s="308"/>
      <c r="EI68" s="308"/>
      <c r="EJ68" s="307">
        <f t="shared" si="87"/>
        <v>176663.38150651855</v>
      </c>
      <c r="EK68" s="320">
        <f t="shared" si="88"/>
        <v>170193.02788151853</v>
      </c>
      <c r="EL68" s="320"/>
      <c r="EM68" s="320"/>
      <c r="EN68" s="321">
        <f>_xlfn.IFNA((VLOOKUP($A68,HN!$A:$M,8,FALSE)/12),0)</f>
        <v>0</v>
      </c>
      <c r="EO68" s="321">
        <f>_xlfn.IFNA((VLOOKUP($A68,HN!$A:$M,12,FALSE)/12),0)</f>
        <v>0</v>
      </c>
      <c r="EP68" s="321">
        <f>_xlfn.IFNA((VLOOKUP($A68,HN!$A:$M,9,FALSE)/12),0)</f>
        <v>0</v>
      </c>
      <c r="EQ68" s="321">
        <f>_xlfn.IFNA((VLOOKUP($A68,'Post 16'!$A:$AG,33,FALSE)/8),0)</f>
        <v>0</v>
      </c>
      <c r="ER68" s="321"/>
      <c r="ES68" s="321">
        <f>_xlfn.IFNA(((VLOOKUP($A68,HN!$A:$M,10,FALSE)-$U68-$AK68)/10),0)</f>
        <v>10012.90625</v>
      </c>
      <c r="ET68" s="321">
        <f>_xlfn.IFNA(((VLOOKUP($A68,HN!$A:$M,13,FALSE)-$V68-$AL68)/10),0)</f>
        <v>0</v>
      </c>
      <c r="EU68" s="320">
        <f t="shared" si="89"/>
        <v>-637.02499999999998</v>
      </c>
      <c r="EV68" s="320">
        <f t="shared" si="90"/>
        <v>-2905.5276250000002</v>
      </c>
      <c r="EW68" s="321"/>
      <c r="EX68" s="321"/>
      <c r="EY68" s="321"/>
      <c r="EZ68" s="320">
        <f t="shared" si="91"/>
        <v>176663.38150651855</v>
      </c>
      <c r="FA68" s="286">
        <f t="shared" si="92"/>
        <v>170193.02788151853</v>
      </c>
      <c r="FB68" s="286"/>
      <c r="FC68" s="286"/>
      <c r="FD68" s="287">
        <f>_xlfn.IFNA((VLOOKUP($A68,HN!$A:$M,8,FALSE)/12),0)</f>
        <v>0</v>
      </c>
      <c r="FE68" s="287">
        <f>_xlfn.IFNA((VLOOKUP($A68,HN!$A:$M,12,FALSE)/12),0)</f>
        <v>0</v>
      </c>
      <c r="FF68" s="287">
        <f>_xlfn.IFNA((VLOOKUP($A68,HN!$A:$M,9,FALSE)/12),0)</f>
        <v>0</v>
      </c>
      <c r="FG68" s="287">
        <f>_xlfn.IFNA((VLOOKUP($A68,'Post 16'!$A:$AG,33,FALSE)/8),0)</f>
        <v>0</v>
      </c>
      <c r="FH68" s="287"/>
      <c r="FI68" s="287">
        <f>_xlfn.IFNA(((VLOOKUP($A68,HN!$A:$M,10,FALSE)-$U68-$AK68)/10),0)</f>
        <v>10012.90625</v>
      </c>
      <c r="FJ68" s="287">
        <f>_xlfn.IFNA(((VLOOKUP($A68,HN!$A:$M,13,FALSE)-$V68-$AL68)/10),0)</f>
        <v>0</v>
      </c>
      <c r="FK68" s="286">
        <f t="shared" si="93"/>
        <v>-637.02499999999998</v>
      </c>
      <c r="FL68" s="286">
        <f t="shared" si="94"/>
        <v>-2905.5276250000002</v>
      </c>
      <c r="FM68" s="287"/>
      <c r="FN68" s="287"/>
      <c r="FO68" s="287"/>
      <c r="FP68" s="286">
        <f t="shared" si="95"/>
        <v>176663.38150651855</v>
      </c>
      <c r="FQ68" s="293">
        <f t="shared" si="96"/>
        <v>170193.02788151853</v>
      </c>
      <c r="FR68" s="293"/>
      <c r="FS68" s="293"/>
      <c r="FT68" s="294">
        <f>_xlfn.IFNA((VLOOKUP($A68,HN!$A:$M,8,FALSE)/12),0)</f>
        <v>0</v>
      </c>
      <c r="FU68" s="294">
        <f>_xlfn.IFNA((VLOOKUP($A68,HN!$A:$M,12,FALSE)/12),0)</f>
        <v>0</v>
      </c>
      <c r="FV68" s="294">
        <f>_xlfn.IFNA((VLOOKUP($A68,HN!$A:$M,9,FALSE)/12),0)</f>
        <v>0</v>
      </c>
      <c r="FW68" s="294">
        <f>_xlfn.IFNA((VLOOKUP($A68,'Post 16'!$A:$AG,33,FALSE)/8),0)</f>
        <v>0</v>
      </c>
      <c r="FX68" s="294"/>
      <c r="FY68" s="294">
        <f>_xlfn.IFNA(((VLOOKUP($A68,HN!$A:$M,10,FALSE)-$U68-$AK68)/10),0)</f>
        <v>10012.90625</v>
      </c>
      <c r="FZ68" s="294">
        <f>_xlfn.IFNA(((VLOOKUP($A68,HN!$A:$M,13,FALSE)-$V68-$AL68)/10),0)</f>
        <v>0</v>
      </c>
      <c r="GA68" s="293">
        <f t="shared" si="97"/>
        <v>-637.02499999999998</v>
      </c>
      <c r="GB68" s="293">
        <f t="shared" si="98"/>
        <v>-2905.5276250000002</v>
      </c>
      <c r="GC68" s="294"/>
      <c r="GD68" s="294"/>
      <c r="GE68" s="294"/>
      <c r="GF68" s="293">
        <f t="shared" si="99"/>
        <v>176663.38150651855</v>
      </c>
      <c r="GG68" s="300">
        <f t="shared" si="100"/>
        <v>170193.02788151853</v>
      </c>
      <c r="GH68" s="300"/>
      <c r="GI68" s="300"/>
      <c r="GJ68" s="301">
        <f>_xlfn.IFNA((VLOOKUP($A68,HN!$A:$M,8,FALSE)/12),0)</f>
        <v>0</v>
      </c>
      <c r="GK68" s="301">
        <f>_xlfn.IFNA((VLOOKUP($A68,HN!$A:$M,12,FALSE)/12),0)</f>
        <v>0</v>
      </c>
      <c r="GL68" s="301">
        <f>_xlfn.IFNA((VLOOKUP($A68,HN!$A:$M,9,FALSE)/12),0)</f>
        <v>0</v>
      </c>
      <c r="GM68" s="301">
        <f>_xlfn.IFNA((VLOOKUP($A68,'Post 16'!$A:$AG,33,FALSE)/8),0)</f>
        <v>0</v>
      </c>
      <c r="GN68" s="301"/>
      <c r="GO68" s="301">
        <f>_xlfn.IFNA(((VLOOKUP($A68,HN!$A:$M,10,FALSE)-$U68-$AK68)/10),0)</f>
        <v>10012.90625</v>
      </c>
      <c r="GP68" s="301">
        <f>_xlfn.IFNA(((VLOOKUP($A68,HN!$A:$M,13,FALSE)-$V68-$AL68)/10),0)</f>
        <v>0</v>
      </c>
      <c r="GQ68" s="300">
        <f t="shared" si="101"/>
        <v>-637.02499999999998</v>
      </c>
      <c r="GR68" s="300">
        <f t="shared" si="102"/>
        <v>-2905.5276250000002</v>
      </c>
      <c r="GS68" s="301"/>
      <c r="GT68" s="301"/>
      <c r="GU68" s="301"/>
      <c r="GV68" s="300">
        <f t="shared" si="103"/>
        <v>176663.38150651855</v>
      </c>
      <c r="GX68" s="146">
        <f t="shared" ref="GX68:HC77" si="108">SUMIFS($M68:$GV68,$M$7:$GV$7,GX$7)</f>
        <v>2042316.3345782219</v>
      </c>
      <c r="GY68" s="146">
        <f t="shared" si="108"/>
        <v>0</v>
      </c>
      <c r="GZ68" s="146">
        <f t="shared" si="108"/>
        <v>125347</v>
      </c>
      <c r="HA68" s="146">
        <f t="shared" si="108"/>
        <v>-7644.2999999999984</v>
      </c>
      <c r="HB68" s="146">
        <f t="shared" si="108"/>
        <v>-34866.331499999993</v>
      </c>
      <c r="HC68" s="146">
        <f t="shared" si="108"/>
        <v>0</v>
      </c>
      <c r="HE68" s="146">
        <f t="shared" ref="HE68:HJ77" si="109">SUMIFS($M68:$GV68,$M$7:$GV$7,HE$7,$M$4:$GV$4,$HE$6)</f>
        <v>510579.08364455559</v>
      </c>
      <c r="HF68" s="146">
        <f t="shared" si="109"/>
        <v>0</v>
      </c>
      <c r="HG68" s="146">
        <f t="shared" si="109"/>
        <v>35230.84375</v>
      </c>
      <c r="HH68" s="146">
        <f t="shared" si="109"/>
        <v>-1911.0749999999998</v>
      </c>
      <c r="HI68" s="146">
        <f t="shared" si="109"/>
        <v>-8716.5828750000001</v>
      </c>
      <c r="HJ68" s="146">
        <f t="shared" si="109"/>
        <v>0</v>
      </c>
      <c r="HL68" s="146"/>
      <c r="HM68" s="57"/>
    </row>
    <row r="69" spans="1:221">
      <c r="A69" s="185">
        <v>2466</v>
      </c>
      <c r="B69" s="185">
        <v>103392</v>
      </c>
      <c r="C69" s="185" t="s">
        <v>161</v>
      </c>
      <c r="D69" s="2" t="s">
        <v>162</v>
      </c>
      <c r="E69" s="190" t="s">
        <v>39</v>
      </c>
      <c r="F69" s="190" t="s">
        <v>890</v>
      </c>
      <c r="H69" s="271">
        <f>_xlfn.IFNA(VLOOKUP($A69,ISB!$A$4:$BY$441,67,FALSE),0)</f>
        <v>3702772.9427154511</v>
      </c>
      <c r="I69" s="271">
        <f>_xlfn.IFNA(VLOOKUP($A69,ISB!$A$4:$BY$441,72,FALSE),0)</f>
        <v>-14193</v>
      </c>
      <c r="J69" s="271">
        <f>-_xlfn.IFNA(VLOOKUP($A69,ISB!$A$4:$BY$441,76,FALSE),0)</f>
        <v>-40053.058499999999</v>
      </c>
      <c r="K69" s="271">
        <f>_xlfn.IFNA(VLOOKUP($A69,ISB!$A$4:$BY$441,77,FALSE),0)</f>
        <v>3648526.8842154513</v>
      </c>
      <c r="M69" s="279">
        <f t="shared" si="56"/>
        <v>308564.41189295426</v>
      </c>
      <c r="N69" s="279"/>
      <c r="O69" s="279">
        <f>_xlfn.IFNA(VLOOKUP($A69,EY!$A:$H,8,FALSE)+(VLOOKUP($A69,EY!$A:$R,18,FALSE)-$T69),0)</f>
        <v>53631.239999999991</v>
      </c>
      <c r="P69" s="280">
        <f>_xlfn.IFNA((VLOOKUP($A69,HN!$A:$M,8,FALSE)/12),0)</f>
        <v>0</v>
      </c>
      <c r="Q69" s="280">
        <f>_xlfn.IFNA((VLOOKUP($A69,HN!$A:$M,12,FALSE)/12),0)</f>
        <v>0</v>
      </c>
      <c r="R69" s="280">
        <f>_xlfn.IFNA((VLOOKUP($A69,HN!$A:$M,9,FALSE)/12),0)</f>
        <v>0</v>
      </c>
      <c r="S69" s="280">
        <f>_xlfn.IFNA((VLOOKUP($A69,'Post 16'!$A:$AR,22,FALSE)/4),0)</f>
        <v>0</v>
      </c>
      <c r="T69" s="280">
        <f>_xlfn.IFNA((VLOOKUP($A69,EY!$A:$R,16,FALSE)*80%),0)</f>
        <v>0</v>
      </c>
      <c r="U69" s="280">
        <v>8384.375</v>
      </c>
      <c r="V69" s="280">
        <v>0</v>
      </c>
      <c r="W69" s="279">
        <f t="shared" si="57"/>
        <v>-1182.75</v>
      </c>
      <c r="X69" s="279">
        <f t="shared" si="58"/>
        <v>-3337.7548750000001</v>
      </c>
      <c r="Y69" s="280"/>
      <c r="Z69" s="280"/>
      <c r="AA69" s="280"/>
      <c r="AB69" s="279">
        <f t="shared" si="59"/>
        <v>366059.52201795427</v>
      </c>
      <c r="AC69" s="293">
        <f t="shared" si="60"/>
        <v>308564.41189295426</v>
      </c>
      <c r="AD69" s="293"/>
      <c r="AE69" s="293"/>
      <c r="AF69" s="294">
        <f>_xlfn.IFNA((VLOOKUP($A69,HN!$A:$M,8,FALSE)/12),0)</f>
        <v>0</v>
      </c>
      <c r="AG69" s="294">
        <f>_xlfn.IFNA((VLOOKUP($A69,HN!$A:$M,12,FALSE)/12),0)+_xlfn.IFNA(VLOOKUP($A69,HN!$A:$Q,17,FALSE),0)</f>
        <v>0</v>
      </c>
      <c r="AH69" s="294">
        <f>_xlfn.IFNA((VLOOKUP($A69,HN!$A:$M,9,FALSE)/12),0)</f>
        <v>0</v>
      </c>
      <c r="AI69" s="294">
        <f>_xlfn.IFNA((VLOOKUP($A69,'Post 16'!$A:$AR,22,FALSE)/4),0)</f>
        <v>0</v>
      </c>
      <c r="AJ69" s="294"/>
      <c r="AK69" s="294">
        <f>_xlfn.IFNA((VLOOKUP($A69,HN!$A:$M,10,FALSE)/12),0)</f>
        <v>5820.6941666666671</v>
      </c>
      <c r="AL69" s="294">
        <f>_xlfn.IFNA((VLOOKUP($A69,HN!$A:$M,13,FALSE)/12),0)</f>
        <v>0</v>
      </c>
      <c r="AM69" s="293">
        <f t="shared" si="61"/>
        <v>-1182.75</v>
      </c>
      <c r="AN69" s="293">
        <f t="shared" si="62"/>
        <v>-3337.7548750000001</v>
      </c>
      <c r="AO69" s="294"/>
      <c r="AP69" s="294"/>
      <c r="AQ69" s="294"/>
      <c r="AR69" s="293">
        <f t="shared" si="63"/>
        <v>309864.60118462093</v>
      </c>
      <c r="AS69" s="286">
        <f t="shared" si="64"/>
        <v>308564.41189295426</v>
      </c>
      <c r="AT69" s="286"/>
      <c r="AU69" s="286">
        <f>_xlfn.IFNA(VLOOKUP(A69,EY!A:AO,40,FALSE),0)</f>
        <v>4288.7380055401491</v>
      </c>
      <c r="AV69" s="287">
        <f>_xlfn.IFNA((VLOOKUP($A69,HN!$A:$M,8,FALSE)/12),0)</f>
        <v>0</v>
      </c>
      <c r="AW69" s="287">
        <f>_xlfn.IFNA((VLOOKUP($A69,HN!$A:$M,12,FALSE)/12),0)+_xlfn.IFNA(VLOOKUP($A69,HN!$A$8:$AU$200,19,FALSE),0)</f>
        <v>0</v>
      </c>
      <c r="AX69" s="287">
        <f>_xlfn.IFNA((VLOOKUP($A69,HN!$A:$M,9,FALSE)/12),0)</f>
        <v>0</v>
      </c>
      <c r="AY69" s="287">
        <f>_xlfn.IFNA((VLOOKUP($A69,'Post 16'!$A:$AR,22,FALSE)/4),0)</f>
        <v>0</v>
      </c>
      <c r="AZ69" s="287">
        <f>_xlfn.IFNA(VLOOKUP(A69,EY!A:AO,41,FALSE),0)</f>
        <v>0</v>
      </c>
      <c r="BA69" s="287">
        <f>_xlfn.IFNA(((VLOOKUP($A69,HN!$A:$M,10,FALSE)-$U69-$AK69)/10),0)+_xlfn.IFNA(VLOOKUP($A69,HN!$A:$R,18,FALSE),0)</f>
        <v>5564.3260833333334</v>
      </c>
      <c r="BB69" s="287">
        <f>_xlfn.IFNA(((VLOOKUP($A69,HN!$A:$M,13,FALSE)-$V69-$AL69)/10),0)+_xlfn.IFNA(VLOOKUP($A69,HN!$A$8:$AU$200,20,FALSE),0)</f>
        <v>0</v>
      </c>
      <c r="BC69" s="286">
        <f t="shared" si="65"/>
        <v>-1182.75</v>
      </c>
      <c r="BD69" s="286">
        <f t="shared" si="66"/>
        <v>-3337.7548750000001</v>
      </c>
      <c r="BE69" s="287"/>
      <c r="BF69" s="287"/>
      <c r="BG69" s="287"/>
      <c r="BH69" s="286">
        <f t="shared" si="67"/>
        <v>313896.97110682778</v>
      </c>
      <c r="BI69" s="307">
        <f t="shared" si="68"/>
        <v>308564.41189295426</v>
      </c>
      <c r="BJ69" s="307">
        <f>_xlfn.IFNA(VLOOKUP(A69,'LA Deductions'!A:AH,34,FALSE),0)</f>
        <v>0</v>
      </c>
      <c r="BK69" s="307"/>
      <c r="BL69" s="308">
        <f>_xlfn.IFNA((VLOOKUP($A69,HN!$A:$M,8,FALSE)/12),0)</f>
        <v>0</v>
      </c>
      <c r="BM69" s="308">
        <f>_xlfn.IFNA((VLOOKUP($A69,HN!$A:$M,12,FALSE)/12),0)</f>
        <v>0</v>
      </c>
      <c r="BN69" s="308">
        <f>_xlfn.IFNA((VLOOKUP($A69,HN!$A:$M,9,FALSE)/12),0)</f>
        <v>0</v>
      </c>
      <c r="BO69" s="308">
        <f>_xlfn.IFNA((VLOOKUP($A69,'Post 16'!$A:$AR,22,FALSE)/4),0)</f>
        <v>0</v>
      </c>
      <c r="BP69" s="308"/>
      <c r="BQ69" s="308">
        <f>_xlfn.IFNA(((VLOOKUP($A69,HN!$A:$M,10,FALSE)-$U69-$AK69)/10),0)</f>
        <v>5564.3260833333334</v>
      </c>
      <c r="BR69" s="308">
        <f>_xlfn.IFNA(((VLOOKUP($A69,HN!$A:$M,13,FALSE)-$V69-$AL69)/10),0)</f>
        <v>0</v>
      </c>
      <c r="BS69" s="307">
        <f t="shared" si="69"/>
        <v>-1182.75</v>
      </c>
      <c r="BT69" s="307">
        <f t="shared" si="70"/>
        <v>-3337.7548750000001</v>
      </c>
      <c r="BU69" s="308"/>
      <c r="BV69" s="308"/>
      <c r="BW69" s="308"/>
      <c r="BX69" s="307">
        <f t="shared" si="71"/>
        <v>309608.23310128762</v>
      </c>
      <c r="BY69" s="300">
        <f t="shared" si="72"/>
        <v>308564.41189295426</v>
      </c>
      <c r="BZ69" s="300"/>
      <c r="CA69" s="300"/>
      <c r="CB69" s="301">
        <f>_xlfn.IFNA((VLOOKUP($A69,HN!$A:$M,8,FALSE)/12),0)</f>
        <v>0</v>
      </c>
      <c r="CC69" s="301">
        <f>_xlfn.IFNA((VLOOKUP($A69,HN!$A:$M,12,FALSE)/12),0)</f>
        <v>0</v>
      </c>
      <c r="CD69" s="301">
        <f>_xlfn.IFNA((VLOOKUP($A69,HN!$A:$M,9,FALSE)/12),0)</f>
        <v>0</v>
      </c>
      <c r="CE69" s="301">
        <f>_xlfn.IFNA((VLOOKUP($A69,'Post 16'!$A:$AG,33,FALSE)/8),0)</f>
        <v>0</v>
      </c>
      <c r="CF69" s="301"/>
      <c r="CG69" s="301">
        <f>_xlfn.IFNA(((VLOOKUP($A69,HN!$A:$M,10,FALSE)-$U69-$AK69)/10),0)</f>
        <v>5564.3260833333334</v>
      </c>
      <c r="CH69" s="301">
        <f>_xlfn.IFNA(((VLOOKUP($A69,HN!$A:$M,13,FALSE)-$V69-$AL69)/10),0)</f>
        <v>0</v>
      </c>
      <c r="CI69" s="300">
        <f t="shared" si="73"/>
        <v>-1182.75</v>
      </c>
      <c r="CJ69" s="300">
        <f t="shared" si="74"/>
        <v>-3337.7548750000001</v>
      </c>
      <c r="CK69" s="301"/>
      <c r="CL69" s="301"/>
      <c r="CM69" s="301"/>
      <c r="CN69" s="300">
        <f t="shared" si="75"/>
        <v>309608.23310128762</v>
      </c>
      <c r="CO69" s="332">
        <f t="shared" si="76"/>
        <v>308564.41189295426</v>
      </c>
      <c r="CP69" s="332"/>
      <c r="CQ69" s="332">
        <f>_xlfn.IFNA((VLOOKUP($A69,EY!$A:$AB,28,FALSE)-$CV69),0)</f>
        <v>44034.536000000007</v>
      </c>
      <c r="CR69" s="333">
        <f>_xlfn.IFNA((VLOOKUP($A69,HN!$A:$M,8,FALSE)/12),0)</f>
        <v>0</v>
      </c>
      <c r="CS69" s="333">
        <f>_xlfn.IFNA((VLOOKUP($A69,HN!$A:$M,12,FALSE)/12),0)</f>
        <v>0</v>
      </c>
      <c r="CT69" s="333">
        <f>_xlfn.IFNA((VLOOKUP($A69,HN!$A:$M,9,FALSE)/12),0)</f>
        <v>0</v>
      </c>
      <c r="CU69" s="333">
        <f>_xlfn.IFNA((VLOOKUP($A69,'Post 16'!$A:$AG,33,FALSE)/8),0)</f>
        <v>0</v>
      </c>
      <c r="CV69" s="333">
        <f>_xlfn.IFNA((VLOOKUP($A69,EY!$A:$AB,26,FALSE)*80%),0)</f>
        <v>0</v>
      </c>
      <c r="CW69" s="333">
        <f>_xlfn.IFNA(((VLOOKUP($A69,HN!$A:$M,10,FALSE)-$U69-$AK69)/10),0)</f>
        <v>5564.3260833333334</v>
      </c>
      <c r="CX69" s="333">
        <f>_xlfn.IFNA(((VLOOKUP($A69,HN!$A:$M,13,FALSE)-$V69-$AL69)/10),0)</f>
        <v>0</v>
      </c>
      <c r="CY69" s="332">
        <f t="shared" si="77"/>
        <v>-1182.75</v>
      </c>
      <c r="CZ69" s="332">
        <f t="shared" si="78"/>
        <v>-3337.7548750000001</v>
      </c>
      <c r="DA69" s="333"/>
      <c r="DB69" s="333"/>
      <c r="DC69" s="333"/>
      <c r="DD69" s="332">
        <f t="shared" si="79"/>
        <v>353642.76910128765</v>
      </c>
      <c r="DE69" s="314">
        <f t="shared" si="80"/>
        <v>308564.41189295426</v>
      </c>
      <c r="DF69" s="314"/>
      <c r="DG69" s="314"/>
      <c r="DH69" s="315">
        <f>_xlfn.IFNA((VLOOKUP($A69,HN!$A:$M,8,FALSE)/12),0)</f>
        <v>0</v>
      </c>
      <c r="DI69" s="315">
        <f>_xlfn.IFNA((VLOOKUP($A69,HN!$A:$M,12,FALSE)/12),0)</f>
        <v>0</v>
      </c>
      <c r="DJ69" s="315">
        <f>_xlfn.IFNA((VLOOKUP($A69,HN!$A:$M,9,FALSE)/12),0)</f>
        <v>0</v>
      </c>
      <c r="DK69" s="315">
        <f>_xlfn.IFNA((VLOOKUP($A69,'Post 16'!$A:$AG,33,FALSE)/8),0)</f>
        <v>0</v>
      </c>
      <c r="DL69" s="315"/>
      <c r="DM69" s="315">
        <f>_xlfn.IFNA(((VLOOKUP($A69,HN!$A:$M,10,FALSE)-$U69-$AK69)/10),0)</f>
        <v>5564.3260833333334</v>
      </c>
      <c r="DN69" s="315">
        <f>_xlfn.IFNA(((VLOOKUP($A69,HN!$A:$M,13,FALSE)-$V69-$AL69)/10),0)</f>
        <v>0</v>
      </c>
      <c r="DO69" s="314">
        <f t="shared" si="81"/>
        <v>-1182.75</v>
      </c>
      <c r="DP69" s="314">
        <f t="shared" si="82"/>
        <v>-3337.7548750000001</v>
      </c>
      <c r="DQ69" s="315"/>
      <c r="DR69" s="315"/>
      <c r="DS69" s="315"/>
      <c r="DT69" s="314">
        <f t="shared" si="83"/>
        <v>309608.23310128762</v>
      </c>
      <c r="DU69" s="307">
        <f t="shared" si="84"/>
        <v>308564.41189295426</v>
      </c>
      <c r="DV69" s="307"/>
      <c r="DW69" s="307"/>
      <c r="DX69" s="308">
        <f>_xlfn.IFNA((VLOOKUP($A69,HN!$A:$M,8,FALSE)/12),0)</f>
        <v>0</v>
      </c>
      <c r="DY69" s="308">
        <f>_xlfn.IFNA((VLOOKUP($A69,HN!$A:$M,12,FALSE)/12),0)</f>
        <v>0</v>
      </c>
      <c r="DZ69" s="308">
        <f>_xlfn.IFNA((VLOOKUP($A69,HN!$A:$M,9,FALSE)/12),0)</f>
        <v>0</v>
      </c>
      <c r="EA69" s="308">
        <f>_xlfn.IFNA((VLOOKUP($A69,'Post 16'!$A:$AG,33,FALSE)/8),0)</f>
        <v>0</v>
      </c>
      <c r="EB69" s="308"/>
      <c r="EC69" s="308">
        <f>_xlfn.IFNA(((VLOOKUP($A69,HN!$A:$M,10,FALSE)-$U69-$AK69)/10),0)</f>
        <v>5564.3260833333334</v>
      </c>
      <c r="ED69" s="308">
        <f>_xlfn.IFNA(((VLOOKUP($A69,HN!$A:$M,13,FALSE)-$V69-$AL69)/10),0)</f>
        <v>0</v>
      </c>
      <c r="EE69" s="307">
        <f t="shared" si="85"/>
        <v>-1182.75</v>
      </c>
      <c r="EF69" s="307">
        <f t="shared" si="86"/>
        <v>-3337.7548750000001</v>
      </c>
      <c r="EG69" s="308"/>
      <c r="EH69" s="308"/>
      <c r="EI69" s="308"/>
      <c r="EJ69" s="307">
        <f t="shared" si="87"/>
        <v>309608.23310128762</v>
      </c>
      <c r="EK69" s="320">
        <f t="shared" si="88"/>
        <v>308564.41189295426</v>
      </c>
      <c r="EL69" s="320"/>
      <c r="EM69" s="320"/>
      <c r="EN69" s="321">
        <f>_xlfn.IFNA((VLOOKUP($A69,HN!$A:$M,8,FALSE)/12),0)</f>
        <v>0</v>
      </c>
      <c r="EO69" s="321">
        <f>_xlfn.IFNA((VLOOKUP($A69,HN!$A:$M,12,FALSE)/12),0)</f>
        <v>0</v>
      </c>
      <c r="EP69" s="321">
        <f>_xlfn.IFNA((VLOOKUP($A69,HN!$A:$M,9,FALSE)/12),0)</f>
        <v>0</v>
      </c>
      <c r="EQ69" s="321">
        <f>_xlfn.IFNA((VLOOKUP($A69,'Post 16'!$A:$AG,33,FALSE)/8),0)</f>
        <v>0</v>
      </c>
      <c r="ER69" s="321"/>
      <c r="ES69" s="321">
        <f>_xlfn.IFNA(((VLOOKUP($A69,HN!$A:$M,10,FALSE)-$U69-$AK69)/10),0)</f>
        <v>5564.3260833333334</v>
      </c>
      <c r="ET69" s="321">
        <f>_xlfn.IFNA(((VLOOKUP($A69,HN!$A:$M,13,FALSE)-$V69-$AL69)/10),0)</f>
        <v>0</v>
      </c>
      <c r="EU69" s="320">
        <f t="shared" si="89"/>
        <v>-1182.75</v>
      </c>
      <c r="EV69" s="320">
        <f t="shared" si="90"/>
        <v>-3337.7548750000001</v>
      </c>
      <c r="EW69" s="321"/>
      <c r="EX69" s="321"/>
      <c r="EY69" s="321"/>
      <c r="EZ69" s="320">
        <f t="shared" si="91"/>
        <v>309608.23310128762</v>
      </c>
      <c r="FA69" s="286">
        <f t="shared" si="92"/>
        <v>308564.41189295426</v>
      </c>
      <c r="FB69" s="286"/>
      <c r="FC69" s="286"/>
      <c r="FD69" s="287">
        <f>_xlfn.IFNA((VLOOKUP($A69,HN!$A:$M,8,FALSE)/12),0)</f>
        <v>0</v>
      </c>
      <c r="FE69" s="287">
        <f>_xlfn.IFNA((VLOOKUP($A69,HN!$A:$M,12,FALSE)/12),0)</f>
        <v>0</v>
      </c>
      <c r="FF69" s="287">
        <f>_xlfn.IFNA((VLOOKUP($A69,HN!$A:$M,9,FALSE)/12),0)</f>
        <v>0</v>
      </c>
      <c r="FG69" s="287">
        <f>_xlfn.IFNA((VLOOKUP($A69,'Post 16'!$A:$AG,33,FALSE)/8),0)</f>
        <v>0</v>
      </c>
      <c r="FH69" s="287"/>
      <c r="FI69" s="287">
        <f>_xlfn.IFNA(((VLOOKUP($A69,HN!$A:$M,10,FALSE)-$U69-$AK69)/10),0)</f>
        <v>5564.3260833333334</v>
      </c>
      <c r="FJ69" s="287">
        <f>_xlfn.IFNA(((VLOOKUP($A69,HN!$A:$M,13,FALSE)-$V69-$AL69)/10),0)</f>
        <v>0</v>
      </c>
      <c r="FK69" s="286">
        <f t="shared" si="93"/>
        <v>-1182.75</v>
      </c>
      <c r="FL69" s="286">
        <f t="shared" si="94"/>
        <v>-3337.7548750000001</v>
      </c>
      <c r="FM69" s="287"/>
      <c r="FN69" s="287"/>
      <c r="FO69" s="287"/>
      <c r="FP69" s="286">
        <f t="shared" si="95"/>
        <v>309608.23310128762</v>
      </c>
      <c r="FQ69" s="293">
        <f t="shared" si="96"/>
        <v>308564.41189295426</v>
      </c>
      <c r="FR69" s="293"/>
      <c r="FS69" s="293"/>
      <c r="FT69" s="294">
        <f>_xlfn.IFNA((VLOOKUP($A69,HN!$A:$M,8,FALSE)/12),0)</f>
        <v>0</v>
      </c>
      <c r="FU69" s="294">
        <f>_xlfn.IFNA((VLOOKUP($A69,HN!$A:$M,12,FALSE)/12),0)</f>
        <v>0</v>
      </c>
      <c r="FV69" s="294">
        <f>_xlfn.IFNA((VLOOKUP($A69,HN!$A:$M,9,FALSE)/12),0)</f>
        <v>0</v>
      </c>
      <c r="FW69" s="294">
        <f>_xlfn.IFNA((VLOOKUP($A69,'Post 16'!$A:$AG,33,FALSE)/8),0)</f>
        <v>0</v>
      </c>
      <c r="FX69" s="294"/>
      <c r="FY69" s="294">
        <f>_xlfn.IFNA(((VLOOKUP($A69,HN!$A:$M,10,FALSE)-$U69-$AK69)/10),0)</f>
        <v>5564.3260833333334</v>
      </c>
      <c r="FZ69" s="294">
        <f>_xlfn.IFNA(((VLOOKUP($A69,HN!$A:$M,13,FALSE)-$V69-$AL69)/10),0)</f>
        <v>0</v>
      </c>
      <c r="GA69" s="293">
        <f t="shared" si="97"/>
        <v>-1182.75</v>
      </c>
      <c r="GB69" s="293">
        <f t="shared" si="98"/>
        <v>-3337.7548750000001</v>
      </c>
      <c r="GC69" s="294"/>
      <c r="GD69" s="294"/>
      <c r="GE69" s="294"/>
      <c r="GF69" s="293">
        <f t="shared" si="99"/>
        <v>309608.23310128762</v>
      </c>
      <c r="GG69" s="300">
        <f t="shared" si="100"/>
        <v>308564.41189295426</v>
      </c>
      <c r="GH69" s="300"/>
      <c r="GI69" s="300"/>
      <c r="GJ69" s="301">
        <f>_xlfn.IFNA((VLOOKUP($A69,HN!$A:$M,8,FALSE)/12),0)</f>
        <v>0</v>
      </c>
      <c r="GK69" s="301">
        <f>_xlfn.IFNA((VLOOKUP($A69,HN!$A:$M,12,FALSE)/12),0)</f>
        <v>0</v>
      </c>
      <c r="GL69" s="301">
        <f>_xlfn.IFNA((VLOOKUP($A69,HN!$A:$M,9,FALSE)/12),0)</f>
        <v>0</v>
      </c>
      <c r="GM69" s="301">
        <f>_xlfn.IFNA((VLOOKUP($A69,'Post 16'!$A:$AG,33,FALSE)/8),0)</f>
        <v>0</v>
      </c>
      <c r="GN69" s="301"/>
      <c r="GO69" s="301">
        <f>_xlfn.IFNA(((VLOOKUP($A69,HN!$A:$M,10,FALSE)-$U69-$AK69)/10),0)</f>
        <v>5564.3260833333334</v>
      </c>
      <c r="GP69" s="301">
        <f>_xlfn.IFNA(((VLOOKUP($A69,HN!$A:$M,13,FALSE)-$V69-$AL69)/10),0)</f>
        <v>0</v>
      </c>
      <c r="GQ69" s="300">
        <f t="shared" si="101"/>
        <v>-1182.75</v>
      </c>
      <c r="GR69" s="300">
        <f t="shared" si="102"/>
        <v>-3337.7548750000001</v>
      </c>
      <c r="GS69" s="301"/>
      <c r="GT69" s="301"/>
      <c r="GU69" s="301"/>
      <c r="GV69" s="300">
        <f t="shared" si="103"/>
        <v>309608.23310128762</v>
      </c>
      <c r="GX69" s="146">
        <f t="shared" si="108"/>
        <v>3804727.4567209911</v>
      </c>
      <c r="GY69" s="146">
        <f t="shared" si="108"/>
        <v>0</v>
      </c>
      <c r="GZ69" s="146">
        <f t="shared" si="108"/>
        <v>69848.33</v>
      </c>
      <c r="HA69" s="146">
        <f t="shared" si="108"/>
        <v>-14193</v>
      </c>
      <c r="HB69" s="146">
        <f t="shared" si="108"/>
        <v>-40053.058499999992</v>
      </c>
      <c r="HC69" s="146">
        <f t="shared" si="108"/>
        <v>0</v>
      </c>
      <c r="HE69" s="146">
        <f t="shared" si="109"/>
        <v>983613.21368440287</v>
      </c>
      <c r="HF69" s="146">
        <f t="shared" si="109"/>
        <v>0</v>
      </c>
      <c r="HG69" s="146">
        <f t="shared" si="109"/>
        <v>19769.395250000001</v>
      </c>
      <c r="HH69" s="146">
        <f t="shared" si="109"/>
        <v>-3548.25</v>
      </c>
      <c r="HI69" s="146">
        <f t="shared" si="109"/>
        <v>-10013.264625</v>
      </c>
      <c r="HJ69" s="146">
        <f t="shared" si="109"/>
        <v>0</v>
      </c>
      <c r="HL69" s="146"/>
      <c r="HM69" s="57"/>
    </row>
    <row r="70" spans="1:221">
      <c r="A70" s="185">
        <v>2091</v>
      </c>
      <c r="B70" s="185">
        <v>103208</v>
      </c>
      <c r="C70" s="185" t="s">
        <v>163</v>
      </c>
      <c r="D70" s="2" t="s">
        <v>164</v>
      </c>
      <c r="E70" s="190" t="s">
        <v>39</v>
      </c>
      <c r="F70" s="190" t="s">
        <v>890</v>
      </c>
      <c r="H70" s="271">
        <f>_xlfn.IFNA(VLOOKUP($A70,ISB!$A$4:$BY$441,67,FALSE),0)</f>
        <v>1299510.6361004051</v>
      </c>
      <c r="I70" s="271">
        <f>_xlfn.IFNA(VLOOKUP($A70,ISB!$A$4:$BY$441,72,FALSE),0)</f>
        <v>-4706.0999999999995</v>
      </c>
      <c r="J70" s="271">
        <f>-_xlfn.IFNA(VLOOKUP($A70,ISB!$A$4:$BY$441,76,FALSE),0)</f>
        <v>-21594.4745</v>
      </c>
      <c r="K70" s="271">
        <f>_xlfn.IFNA(VLOOKUP($A70,ISB!$A$4:$BY$441,77,FALSE),0)</f>
        <v>1273210.061600405</v>
      </c>
      <c r="M70" s="279">
        <f t="shared" si="56"/>
        <v>108292.55300836709</v>
      </c>
      <c r="N70" s="279"/>
      <c r="O70" s="279">
        <f>_xlfn.IFNA(VLOOKUP($A70,EY!$A:$H,8,FALSE)+(VLOOKUP($A70,EY!$A:$R,18,FALSE)-$T70),0)</f>
        <v>0</v>
      </c>
      <c r="P70" s="280">
        <f>_xlfn.IFNA((VLOOKUP($A70,HN!$A:$M,8,FALSE)/12),0)</f>
        <v>0</v>
      </c>
      <c r="Q70" s="280">
        <f>_xlfn.IFNA((VLOOKUP($A70,HN!$A:$M,12,FALSE)/12),0)</f>
        <v>0</v>
      </c>
      <c r="R70" s="280">
        <f>_xlfn.IFNA((VLOOKUP($A70,HN!$A:$M,9,FALSE)/12),0)</f>
        <v>0</v>
      </c>
      <c r="S70" s="280">
        <f>_xlfn.IFNA((VLOOKUP($A70,'Post 16'!$A:$AR,22,FALSE)/4),0)</f>
        <v>0</v>
      </c>
      <c r="T70" s="280">
        <f>_xlfn.IFNA((VLOOKUP($A70,EY!$A:$R,16,FALSE)*80%),0)</f>
        <v>0</v>
      </c>
      <c r="U70" s="280">
        <v>10627.166666666666</v>
      </c>
      <c r="V70" s="280">
        <v>0</v>
      </c>
      <c r="W70" s="279">
        <f t="shared" si="57"/>
        <v>-392.17499999999995</v>
      </c>
      <c r="X70" s="279">
        <f t="shared" si="58"/>
        <v>-1799.5395416666668</v>
      </c>
      <c r="Y70" s="280"/>
      <c r="Z70" s="280"/>
      <c r="AA70" s="280"/>
      <c r="AB70" s="279">
        <f t="shared" si="59"/>
        <v>116728.00513336709</v>
      </c>
      <c r="AC70" s="293">
        <f t="shared" si="60"/>
        <v>108292.55300836709</v>
      </c>
      <c r="AD70" s="293"/>
      <c r="AE70" s="293"/>
      <c r="AF70" s="294">
        <f>_xlfn.IFNA((VLOOKUP($A70,HN!$A:$M,8,FALSE)/12),0)</f>
        <v>0</v>
      </c>
      <c r="AG70" s="294">
        <f>_xlfn.IFNA((VLOOKUP($A70,HN!$A:$M,12,FALSE)/12),0)+_xlfn.IFNA(VLOOKUP($A70,HN!$A:$Q,17,FALSE),0)</f>
        <v>0</v>
      </c>
      <c r="AH70" s="294">
        <f>_xlfn.IFNA((VLOOKUP($A70,HN!$A:$M,9,FALSE)/12),0)</f>
        <v>0</v>
      </c>
      <c r="AI70" s="294">
        <f>_xlfn.IFNA((VLOOKUP($A70,'Post 16'!$A:$AR,22,FALSE)/4),0)</f>
        <v>0</v>
      </c>
      <c r="AJ70" s="294"/>
      <c r="AK70" s="294">
        <f>_xlfn.IFNA((VLOOKUP($A70,HN!$A:$M,10,FALSE)/12),0)</f>
        <v>10324.770833333334</v>
      </c>
      <c r="AL70" s="294">
        <f>_xlfn.IFNA((VLOOKUP($A70,HN!$A:$M,13,FALSE)/12),0)</f>
        <v>0</v>
      </c>
      <c r="AM70" s="293">
        <f t="shared" si="61"/>
        <v>-392.17499999999995</v>
      </c>
      <c r="AN70" s="293">
        <f t="shared" si="62"/>
        <v>-1799.5395416666668</v>
      </c>
      <c r="AO70" s="294"/>
      <c r="AP70" s="294"/>
      <c r="AQ70" s="294"/>
      <c r="AR70" s="293">
        <f t="shared" si="63"/>
        <v>116425.60930003374</v>
      </c>
      <c r="AS70" s="286">
        <f t="shared" si="64"/>
        <v>108292.55300836709</v>
      </c>
      <c r="AT70" s="286"/>
      <c r="AU70" s="286">
        <f>_xlfn.IFNA(VLOOKUP(A70,EY!A:AO,40,FALSE),0)</f>
        <v>0</v>
      </c>
      <c r="AV70" s="287">
        <f>_xlfn.IFNA((VLOOKUP($A70,HN!$A:$M,8,FALSE)/12),0)</f>
        <v>0</v>
      </c>
      <c r="AW70" s="287">
        <f>_xlfn.IFNA((VLOOKUP($A70,HN!$A:$M,12,FALSE)/12),0)+_xlfn.IFNA(VLOOKUP($A70,HN!$A$8:$AU$200,19,FALSE),0)</f>
        <v>0</v>
      </c>
      <c r="AX70" s="287">
        <f>_xlfn.IFNA((VLOOKUP($A70,HN!$A:$M,9,FALSE)/12),0)</f>
        <v>0</v>
      </c>
      <c r="AY70" s="287">
        <f>_xlfn.IFNA((VLOOKUP($A70,'Post 16'!$A:$AR,22,FALSE)/4),0)</f>
        <v>0</v>
      </c>
      <c r="AZ70" s="287">
        <f>_xlfn.IFNA(VLOOKUP(A70,EY!A:AO,41,FALSE),0)</f>
        <v>0</v>
      </c>
      <c r="BA70" s="287">
        <f>_xlfn.IFNA(((VLOOKUP($A70,HN!$A:$M,10,FALSE)-$U70-$AK70)/10),0)+_xlfn.IFNA(VLOOKUP($A70,HN!$A:$R,18,FALSE),0)</f>
        <v>10294.53125</v>
      </c>
      <c r="BB70" s="287">
        <f>_xlfn.IFNA(((VLOOKUP($A70,HN!$A:$M,13,FALSE)-$V70-$AL70)/10),0)+_xlfn.IFNA(VLOOKUP($A70,HN!$A$8:$AU$200,20,FALSE),0)</f>
        <v>0</v>
      </c>
      <c r="BC70" s="286">
        <f t="shared" si="65"/>
        <v>-392.17499999999995</v>
      </c>
      <c r="BD70" s="286">
        <f t="shared" si="66"/>
        <v>-1799.5395416666668</v>
      </c>
      <c r="BE70" s="287"/>
      <c r="BF70" s="287"/>
      <c r="BG70" s="287"/>
      <c r="BH70" s="286">
        <f t="shared" si="67"/>
        <v>116395.36971670041</v>
      </c>
      <c r="BI70" s="307">
        <f t="shared" si="68"/>
        <v>108292.55300836709</v>
      </c>
      <c r="BJ70" s="307">
        <f>_xlfn.IFNA(VLOOKUP(A70,'LA Deductions'!A:AH,34,FALSE),0)</f>
        <v>0</v>
      </c>
      <c r="BK70" s="307"/>
      <c r="BL70" s="308">
        <f>_xlfn.IFNA((VLOOKUP($A70,HN!$A:$M,8,FALSE)/12),0)</f>
        <v>0</v>
      </c>
      <c r="BM70" s="308">
        <f>_xlfn.IFNA((VLOOKUP($A70,HN!$A:$M,12,FALSE)/12),0)</f>
        <v>0</v>
      </c>
      <c r="BN70" s="308">
        <f>_xlfn.IFNA((VLOOKUP($A70,HN!$A:$M,9,FALSE)/12),0)</f>
        <v>0</v>
      </c>
      <c r="BO70" s="308">
        <f>_xlfn.IFNA((VLOOKUP($A70,'Post 16'!$A:$AR,22,FALSE)/4),0)</f>
        <v>0</v>
      </c>
      <c r="BP70" s="308"/>
      <c r="BQ70" s="308">
        <f>_xlfn.IFNA(((VLOOKUP($A70,HN!$A:$M,10,FALSE)-$U70-$AK70)/10),0)</f>
        <v>10294.53125</v>
      </c>
      <c r="BR70" s="308">
        <f>_xlfn.IFNA(((VLOOKUP($A70,HN!$A:$M,13,FALSE)-$V70-$AL70)/10),0)</f>
        <v>0</v>
      </c>
      <c r="BS70" s="307">
        <f t="shared" si="69"/>
        <v>-392.17499999999995</v>
      </c>
      <c r="BT70" s="307">
        <f t="shared" si="70"/>
        <v>-1799.5395416666668</v>
      </c>
      <c r="BU70" s="308"/>
      <c r="BV70" s="308"/>
      <c r="BW70" s="308"/>
      <c r="BX70" s="307">
        <f t="shared" si="71"/>
        <v>116395.36971670041</v>
      </c>
      <c r="BY70" s="300">
        <f t="shared" si="72"/>
        <v>108292.55300836709</v>
      </c>
      <c r="BZ70" s="300"/>
      <c r="CA70" s="300"/>
      <c r="CB70" s="301">
        <f>_xlfn.IFNA((VLOOKUP($A70,HN!$A:$M,8,FALSE)/12),0)</f>
        <v>0</v>
      </c>
      <c r="CC70" s="301">
        <f>_xlfn.IFNA((VLOOKUP($A70,HN!$A:$M,12,FALSE)/12),0)</f>
        <v>0</v>
      </c>
      <c r="CD70" s="301">
        <f>_xlfn.IFNA((VLOOKUP($A70,HN!$A:$M,9,FALSE)/12),0)</f>
        <v>0</v>
      </c>
      <c r="CE70" s="301">
        <f>_xlfn.IFNA((VLOOKUP($A70,'Post 16'!$A:$AG,33,FALSE)/8),0)</f>
        <v>0</v>
      </c>
      <c r="CF70" s="301"/>
      <c r="CG70" s="301">
        <f>_xlfn.IFNA(((VLOOKUP($A70,HN!$A:$M,10,FALSE)-$U70-$AK70)/10),0)</f>
        <v>10294.53125</v>
      </c>
      <c r="CH70" s="301">
        <f>_xlfn.IFNA(((VLOOKUP($A70,HN!$A:$M,13,FALSE)-$V70-$AL70)/10),0)</f>
        <v>0</v>
      </c>
      <c r="CI70" s="300">
        <f t="shared" si="73"/>
        <v>-392.17499999999995</v>
      </c>
      <c r="CJ70" s="300">
        <f t="shared" si="74"/>
        <v>-1799.5395416666668</v>
      </c>
      <c r="CK70" s="301"/>
      <c r="CL70" s="301"/>
      <c r="CM70" s="301"/>
      <c r="CN70" s="300">
        <f t="shared" si="75"/>
        <v>116395.36971670041</v>
      </c>
      <c r="CO70" s="332">
        <f t="shared" si="76"/>
        <v>108292.55300836709</v>
      </c>
      <c r="CP70" s="332"/>
      <c r="CQ70" s="332">
        <f>_xlfn.IFNA((VLOOKUP($A70,EY!$A:$AB,28,FALSE)-$CV70),0)</f>
        <v>0</v>
      </c>
      <c r="CR70" s="333">
        <f>_xlfn.IFNA((VLOOKUP($A70,HN!$A:$M,8,FALSE)/12),0)</f>
        <v>0</v>
      </c>
      <c r="CS70" s="333">
        <f>_xlfn.IFNA((VLOOKUP($A70,HN!$A:$M,12,FALSE)/12),0)</f>
        <v>0</v>
      </c>
      <c r="CT70" s="333">
        <f>_xlfn.IFNA((VLOOKUP($A70,HN!$A:$M,9,FALSE)/12),0)</f>
        <v>0</v>
      </c>
      <c r="CU70" s="333">
        <f>_xlfn.IFNA((VLOOKUP($A70,'Post 16'!$A:$AG,33,FALSE)/8),0)</f>
        <v>0</v>
      </c>
      <c r="CV70" s="333">
        <f>_xlfn.IFNA((VLOOKUP($A70,EY!$A:$AB,26,FALSE)*80%),0)</f>
        <v>0</v>
      </c>
      <c r="CW70" s="333">
        <f>_xlfn.IFNA(((VLOOKUP($A70,HN!$A:$M,10,FALSE)-$U70-$AK70)/10),0)</f>
        <v>10294.53125</v>
      </c>
      <c r="CX70" s="333">
        <f>_xlfn.IFNA(((VLOOKUP($A70,HN!$A:$M,13,FALSE)-$V70-$AL70)/10),0)</f>
        <v>0</v>
      </c>
      <c r="CY70" s="332">
        <f t="shared" si="77"/>
        <v>-392.17499999999995</v>
      </c>
      <c r="CZ70" s="332">
        <f t="shared" si="78"/>
        <v>-1799.5395416666668</v>
      </c>
      <c r="DA70" s="333"/>
      <c r="DB70" s="333"/>
      <c r="DC70" s="333"/>
      <c r="DD70" s="332">
        <f t="shared" si="79"/>
        <v>116395.36971670041</v>
      </c>
      <c r="DE70" s="314">
        <f t="shared" si="80"/>
        <v>108292.55300836709</v>
      </c>
      <c r="DF70" s="314"/>
      <c r="DG70" s="314"/>
      <c r="DH70" s="315">
        <f>_xlfn.IFNA((VLOOKUP($A70,HN!$A:$M,8,FALSE)/12),0)</f>
        <v>0</v>
      </c>
      <c r="DI70" s="315">
        <f>_xlfn.IFNA((VLOOKUP($A70,HN!$A:$M,12,FALSE)/12),0)</f>
        <v>0</v>
      </c>
      <c r="DJ70" s="315">
        <f>_xlfn.IFNA((VLOOKUP($A70,HN!$A:$M,9,FALSE)/12),0)</f>
        <v>0</v>
      </c>
      <c r="DK70" s="315">
        <f>_xlfn.IFNA((VLOOKUP($A70,'Post 16'!$A:$AG,33,FALSE)/8),0)</f>
        <v>0</v>
      </c>
      <c r="DL70" s="315"/>
      <c r="DM70" s="315">
        <f>_xlfn.IFNA(((VLOOKUP($A70,HN!$A:$M,10,FALSE)-$U70-$AK70)/10),0)</f>
        <v>10294.53125</v>
      </c>
      <c r="DN70" s="315">
        <f>_xlfn.IFNA(((VLOOKUP($A70,HN!$A:$M,13,FALSE)-$V70-$AL70)/10),0)</f>
        <v>0</v>
      </c>
      <c r="DO70" s="314">
        <f t="shared" si="81"/>
        <v>-392.17499999999995</v>
      </c>
      <c r="DP70" s="314">
        <f t="shared" si="82"/>
        <v>-1799.5395416666668</v>
      </c>
      <c r="DQ70" s="315"/>
      <c r="DR70" s="315"/>
      <c r="DS70" s="315"/>
      <c r="DT70" s="314">
        <f t="shared" si="83"/>
        <v>116395.36971670041</v>
      </c>
      <c r="DU70" s="307">
        <f t="shared" si="84"/>
        <v>108292.55300836709</v>
      </c>
      <c r="DV70" s="307"/>
      <c r="DW70" s="307"/>
      <c r="DX70" s="308">
        <f>_xlfn.IFNA((VLOOKUP($A70,HN!$A:$M,8,FALSE)/12),0)</f>
        <v>0</v>
      </c>
      <c r="DY70" s="308">
        <f>_xlfn.IFNA((VLOOKUP($A70,HN!$A:$M,12,FALSE)/12),0)</f>
        <v>0</v>
      </c>
      <c r="DZ70" s="308">
        <f>_xlfn.IFNA((VLOOKUP($A70,HN!$A:$M,9,FALSE)/12),0)</f>
        <v>0</v>
      </c>
      <c r="EA70" s="308">
        <f>_xlfn.IFNA((VLOOKUP($A70,'Post 16'!$A:$AG,33,FALSE)/8),0)</f>
        <v>0</v>
      </c>
      <c r="EB70" s="308"/>
      <c r="EC70" s="308">
        <f>_xlfn.IFNA(((VLOOKUP($A70,HN!$A:$M,10,FALSE)-$U70-$AK70)/10),0)</f>
        <v>10294.53125</v>
      </c>
      <c r="ED70" s="308">
        <f>_xlfn.IFNA(((VLOOKUP($A70,HN!$A:$M,13,FALSE)-$V70-$AL70)/10),0)</f>
        <v>0</v>
      </c>
      <c r="EE70" s="307">
        <f t="shared" si="85"/>
        <v>-392.17499999999995</v>
      </c>
      <c r="EF70" s="307">
        <f t="shared" si="86"/>
        <v>-1799.5395416666668</v>
      </c>
      <c r="EG70" s="308"/>
      <c r="EH70" s="308"/>
      <c r="EI70" s="308"/>
      <c r="EJ70" s="307">
        <f t="shared" si="87"/>
        <v>116395.36971670041</v>
      </c>
      <c r="EK70" s="320">
        <f t="shared" si="88"/>
        <v>108292.55300836709</v>
      </c>
      <c r="EL70" s="320"/>
      <c r="EM70" s="320"/>
      <c r="EN70" s="321">
        <f>_xlfn.IFNA((VLOOKUP($A70,HN!$A:$M,8,FALSE)/12),0)</f>
        <v>0</v>
      </c>
      <c r="EO70" s="321">
        <f>_xlfn.IFNA((VLOOKUP($A70,HN!$A:$M,12,FALSE)/12),0)</f>
        <v>0</v>
      </c>
      <c r="EP70" s="321">
        <f>_xlfn.IFNA((VLOOKUP($A70,HN!$A:$M,9,FALSE)/12),0)</f>
        <v>0</v>
      </c>
      <c r="EQ70" s="321">
        <f>_xlfn.IFNA((VLOOKUP($A70,'Post 16'!$A:$AG,33,FALSE)/8),0)</f>
        <v>0</v>
      </c>
      <c r="ER70" s="321"/>
      <c r="ES70" s="321">
        <f>_xlfn.IFNA(((VLOOKUP($A70,HN!$A:$M,10,FALSE)-$U70-$AK70)/10),0)</f>
        <v>10294.53125</v>
      </c>
      <c r="ET70" s="321">
        <f>_xlfn.IFNA(((VLOOKUP($A70,HN!$A:$M,13,FALSE)-$V70-$AL70)/10),0)</f>
        <v>0</v>
      </c>
      <c r="EU70" s="320">
        <f t="shared" si="89"/>
        <v>-392.17499999999995</v>
      </c>
      <c r="EV70" s="320">
        <f t="shared" si="90"/>
        <v>-1799.5395416666668</v>
      </c>
      <c r="EW70" s="321"/>
      <c r="EX70" s="321"/>
      <c r="EY70" s="321"/>
      <c r="EZ70" s="320">
        <f t="shared" si="91"/>
        <v>116395.36971670041</v>
      </c>
      <c r="FA70" s="286">
        <f t="shared" si="92"/>
        <v>108292.55300836709</v>
      </c>
      <c r="FB70" s="286"/>
      <c r="FC70" s="286"/>
      <c r="FD70" s="287">
        <f>_xlfn.IFNA((VLOOKUP($A70,HN!$A:$M,8,FALSE)/12),0)</f>
        <v>0</v>
      </c>
      <c r="FE70" s="287">
        <f>_xlfn.IFNA((VLOOKUP($A70,HN!$A:$M,12,FALSE)/12),0)</f>
        <v>0</v>
      </c>
      <c r="FF70" s="287">
        <f>_xlfn.IFNA((VLOOKUP($A70,HN!$A:$M,9,FALSE)/12),0)</f>
        <v>0</v>
      </c>
      <c r="FG70" s="287">
        <f>_xlfn.IFNA((VLOOKUP($A70,'Post 16'!$A:$AG,33,FALSE)/8),0)</f>
        <v>0</v>
      </c>
      <c r="FH70" s="287"/>
      <c r="FI70" s="287">
        <f>_xlfn.IFNA(((VLOOKUP($A70,HN!$A:$M,10,FALSE)-$U70-$AK70)/10),0)</f>
        <v>10294.53125</v>
      </c>
      <c r="FJ70" s="287">
        <f>_xlfn.IFNA(((VLOOKUP($A70,HN!$A:$M,13,FALSE)-$V70-$AL70)/10),0)</f>
        <v>0</v>
      </c>
      <c r="FK70" s="286">
        <f t="shared" si="93"/>
        <v>-392.17499999999995</v>
      </c>
      <c r="FL70" s="286">
        <f t="shared" si="94"/>
        <v>-1799.5395416666668</v>
      </c>
      <c r="FM70" s="287"/>
      <c r="FN70" s="287"/>
      <c r="FO70" s="287"/>
      <c r="FP70" s="286">
        <f t="shared" si="95"/>
        <v>116395.36971670041</v>
      </c>
      <c r="FQ70" s="293">
        <f t="shared" si="96"/>
        <v>108292.55300836709</v>
      </c>
      <c r="FR70" s="293"/>
      <c r="FS70" s="293"/>
      <c r="FT70" s="294">
        <f>_xlfn.IFNA((VLOOKUP($A70,HN!$A:$M,8,FALSE)/12),0)</f>
        <v>0</v>
      </c>
      <c r="FU70" s="294">
        <f>_xlfn.IFNA((VLOOKUP($A70,HN!$A:$M,12,FALSE)/12),0)</f>
        <v>0</v>
      </c>
      <c r="FV70" s="294">
        <f>_xlfn.IFNA((VLOOKUP($A70,HN!$A:$M,9,FALSE)/12),0)</f>
        <v>0</v>
      </c>
      <c r="FW70" s="294">
        <f>_xlfn.IFNA((VLOOKUP($A70,'Post 16'!$A:$AG,33,FALSE)/8),0)</f>
        <v>0</v>
      </c>
      <c r="FX70" s="294"/>
      <c r="FY70" s="294">
        <f>_xlfn.IFNA(((VLOOKUP($A70,HN!$A:$M,10,FALSE)-$U70-$AK70)/10),0)</f>
        <v>10294.53125</v>
      </c>
      <c r="FZ70" s="294">
        <f>_xlfn.IFNA(((VLOOKUP($A70,HN!$A:$M,13,FALSE)-$V70-$AL70)/10),0)</f>
        <v>0</v>
      </c>
      <c r="GA70" s="293">
        <f t="shared" si="97"/>
        <v>-392.17499999999995</v>
      </c>
      <c r="GB70" s="293">
        <f t="shared" si="98"/>
        <v>-1799.5395416666668</v>
      </c>
      <c r="GC70" s="294"/>
      <c r="GD70" s="294"/>
      <c r="GE70" s="294"/>
      <c r="GF70" s="293">
        <f t="shared" si="99"/>
        <v>116395.36971670041</v>
      </c>
      <c r="GG70" s="300">
        <f t="shared" si="100"/>
        <v>108292.55300836709</v>
      </c>
      <c r="GH70" s="300"/>
      <c r="GI70" s="300"/>
      <c r="GJ70" s="301">
        <f>_xlfn.IFNA((VLOOKUP($A70,HN!$A:$M,8,FALSE)/12),0)</f>
        <v>0</v>
      </c>
      <c r="GK70" s="301">
        <f>_xlfn.IFNA((VLOOKUP($A70,HN!$A:$M,12,FALSE)/12),0)</f>
        <v>0</v>
      </c>
      <c r="GL70" s="301">
        <f>_xlfn.IFNA((VLOOKUP($A70,HN!$A:$M,9,FALSE)/12),0)</f>
        <v>0</v>
      </c>
      <c r="GM70" s="301">
        <f>_xlfn.IFNA((VLOOKUP($A70,'Post 16'!$A:$AG,33,FALSE)/8),0)</f>
        <v>0</v>
      </c>
      <c r="GN70" s="301"/>
      <c r="GO70" s="301">
        <f>_xlfn.IFNA(((VLOOKUP($A70,HN!$A:$M,10,FALSE)-$U70-$AK70)/10),0)</f>
        <v>10294.53125</v>
      </c>
      <c r="GP70" s="301">
        <f>_xlfn.IFNA(((VLOOKUP($A70,HN!$A:$M,13,FALSE)-$V70-$AL70)/10),0)</f>
        <v>0</v>
      </c>
      <c r="GQ70" s="300">
        <f t="shared" si="101"/>
        <v>-392.17499999999995</v>
      </c>
      <c r="GR70" s="300">
        <f t="shared" si="102"/>
        <v>-1799.5395416666668</v>
      </c>
      <c r="GS70" s="301"/>
      <c r="GT70" s="301"/>
      <c r="GU70" s="301"/>
      <c r="GV70" s="300">
        <f t="shared" si="103"/>
        <v>116395.36971670041</v>
      </c>
      <c r="GX70" s="146">
        <f t="shared" si="108"/>
        <v>1299510.6361004051</v>
      </c>
      <c r="GY70" s="146">
        <f t="shared" si="108"/>
        <v>0</v>
      </c>
      <c r="GZ70" s="146">
        <f t="shared" si="108"/>
        <v>123897.25</v>
      </c>
      <c r="HA70" s="146">
        <f t="shared" si="108"/>
        <v>-4706.1000000000004</v>
      </c>
      <c r="HB70" s="146">
        <f t="shared" si="108"/>
        <v>-21594.474499999997</v>
      </c>
      <c r="HC70" s="146">
        <f t="shared" si="108"/>
        <v>0</v>
      </c>
      <c r="HE70" s="146">
        <f t="shared" si="109"/>
        <v>324877.65902510128</v>
      </c>
      <c r="HF70" s="146">
        <f t="shared" si="109"/>
        <v>0</v>
      </c>
      <c r="HG70" s="146">
        <f t="shared" si="109"/>
        <v>31246.46875</v>
      </c>
      <c r="HH70" s="146">
        <f t="shared" si="109"/>
        <v>-1176.5249999999999</v>
      </c>
      <c r="HI70" s="146">
        <f t="shared" si="109"/>
        <v>-5398.6186250000001</v>
      </c>
      <c r="HJ70" s="146">
        <f t="shared" si="109"/>
        <v>0</v>
      </c>
      <c r="HL70" s="146"/>
      <c r="HM70" s="57"/>
    </row>
    <row r="71" spans="1:221">
      <c r="A71" s="185">
        <v>2093</v>
      </c>
      <c r="B71" s="185">
        <v>103210</v>
      </c>
      <c r="C71" s="185" t="s">
        <v>165</v>
      </c>
      <c r="D71" s="2" t="s">
        <v>166</v>
      </c>
      <c r="E71" s="190" t="s">
        <v>39</v>
      </c>
      <c r="F71" s="190" t="s">
        <v>890</v>
      </c>
      <c r="H71" s="271">
        <f>_xlfn.IFNA(VLOOKUP($A71,ISB!$A$4:$BY$441,67,FALSE),0)</f>
        <v>2020646.0714053567</v>
      </c>
      <c r="I71" s="271">
        <f>_xlfn.IFNA(VLOOKUP($A71,ISB!$A$4:$BY$441,72,FALSE),0)</f>
        <v>-8914.1999999999989</v>
      </c>
      <c r="J71" s="271">
        <f>-_xlfn.IFNA(VLOOKUP($A71,ISB!$A$4:$BY$441,76,FALSE),0)</f>
        <v>-23174.558000000001</v>
      </c>
      <c r="K71" s="271">
        <f>_xlfn.IFNA(VLOOKUP($A71,ISB!$A$4:$BY$441,77,FALSE),0)</f>
        <v>1988557.3134053568</v>
      </c>
      <c r="M71" s="279">
        <f t="shared" si="56"/>
        <v>168387.17261711307</v>
      </c>
      <c r="N71" s="279"/>
      <c r="O71" s="279">
        <f>_xlfn.IFNA(VLOOKUP($A71,EY!$A:$H,8,FALSE)+(VLOOKUP($A71,EY!$A:$R,18,FALSE)-$T71),0)</f>
        <v>53727.960000000014</v>
      </c>
      <c r="P71" s="280">
        <f>_xlfn.IFNA((VLOOKUP($A71,HN!$A:$M,8,FALSE)/12),0)</f>
        <v>0</v>
      </c>
      <c r="Q71" s="280">
        <f>_xlfn.IFNA((VLOOKUP($A71,HN!$A:$M,12,FALSE)/12),0)</f>
        <v>0</v>
      </c>
      <c r="R71" s="280">
        <f>_xlfn.IFNA((VLOOKUP($A71,HN!$A:$M,9,FALSE)/12),0)</f>
        <v>0</v>
      </c>
      <c r="S71" s="280">
        <f>_xlfn.IFNA((VLOOKUP($A71,'Post 16'!$A:$AR,22,FALSE)/4),0)</f>
        <v>0</v>
      </c>
      <c r="T71" s="280">
        <f>_xlfn.IFNA((VLOOKUP($A71,EY!$A:$R,16,FALSE)*80%),0)</f>
        <v>0</v>
      </c>
      <c r="U71" s="280">
        <v>13165.055833333332</v>
      </c>
      <c r="V71" s="280">
        <v>0</v>
      </c>
      <c r="W71" s="279">
        <f t="shared" si="57"/>
        <v>-742.84999999999991</v>
      </c>
      <c r="X71" s="279">
        <f t="shared" si="58"/>
        <v>-1931.2131666666667</v>
      </c>
      <c r="Y71" s="280"/>
      <c r="Z71" s="280"/>
      <c r="AA71" s="280"/>
      <c r="AB71" s="279">
        <f t="shared" si="59"/>
        <v>232606.12528377975</v>
      </c>
      <c r="AC71" s="293">
        <f t="shared" si="60"/>
        <v>168387.17261711307</v>
      </c>
      <c r="AD71" s="293"/>
      <c r="AE71" s="293"/>
      <c r="AF71" s="294">
        <f>_xlfn.IFNA((VLOOKUP($A71,HN!$A:$M,8,FALSE)/12),0)</f>
        <v>0</v>
      </c>
      <c r="AG71" s="294">
        <f>_xlfn.IFNA((VLOOKUP($A71,HN!$A:$M,12,FALSE)/12),0)+_xlfn.IFNA(VLOOKUP($A71,HN!$A:$Q,17,FALSE),0)</f>
        <v>0</v>
      </c>
      <c r="AH71" s="294">
        <f>_xlfn.IFNA((VLOOKUP($A71,HN!$A:$M,9,FALSE)/12),0)</f>
        <v>0</v>
      </c>
      <c r="AI71" s="294">
        <f>_xlfn.IFNA((VLOOKUP($A71,'Post 16'!$A:$AR,22,FALSE)/4),0)</f>
        <v>0</v>
      </c>
      <c r="AJ71" s="294"/>
      <c r="AK71" s="294">
        <f>_xlfn.IFNA((VLOOKUP($A71,HN!$A:$M,10,FALSE)/12),0)</f>
        <v>6718.104166666667</v>
      </c>
      <c r="AL71" s="294">
        <f>_xlfn.IFNA((VLOOKUP($A71,HN!$A:$M,13,FALSE)/12),0)</f>
        <v>0</v>
      </c>
      <c r="AM71" s="293">
        <f t="shared" si="61"/>
        <v>-742.84999999999991</v>
      </c>
      <c r="AN71" s="293">
        <f t="shared" si="62"/>
        <v>-1931.2131666666667</v>
      </c>
      <c r="AO71" s="294"/>
      <c r="AP71" s="294"/>
      <c r="AQ71" s="294"/>
      <c r="AR71" s="293">
        <f t="shared" si="63"/>
        <v>172431.21361711307</v>
      </c>
      <c r="AS71" s="286">
        <f t="shared" si="64"/>
        <v>168387.17261711307</v>
      </c>
      <c r="AT71" s="286"/>
      <c r="AU71" s="286">
        <f>_xlfn.IFNA(VLOOKUP(A71,EY!A:AO,40,FALSE),0)</f>
        <v>5912.3130193905872</v>
      </c>
      <c r="AV71" s="287">
        <f>_xlfn.IFNA((VLOOKUP($A71,HN!$A:$M,8,FALSE)/12),0)</f>
        <v>0</v>
      </c>
      <c r="AW71" s="287">
        <f>_xlfn.IFNA((VLOOKUP($A71,HN!$A:$M,12,FALSE)/12),0)+_xlfn.IFNA(VLOOKUP($A71,HN!$A$8:$AU$200,19,FALSE),0)</f>
        <v>0</v>
      </c>
      <c r="AX71" s="287">
        <f>_xlfn.IFNA((VLOOKUP($A71,HN!$A:$M,9,FALSE)/12),0)</f>
        <v>0</v>
      </c>
      <c r="AY71" s="287">
        <f>_xlfn.IFNA((VLOOKUP($A71,'Post 16'!$A:$AR,22,FALSE)/4),0)</f>
        <v>0</v>
      </c>
      <c r="AZ71" s="287">
        <f>_xlfn.IFNA(VLOOKUP(A71,EY!A:AO,41,FALSE),0)</f>
        <v>0</v>
      </c>
      <c r="BA71" s="287">
        <f>_xlfn.IFNA(((VLOOKUP($A71,HN!$A:$M,10,FALSE)-$U71-$AK71)/10),0)+_xlfn.IFNA(VLOOKUP($A71,HN!$A:$R,18,FALSE),0)</f>
        <v>6073.4090000000006</v>
      </c>
      <c r="BB71" s="287">
        <f>_xlfn.IFNA(((VLOOKUP($A71,HN!$A:$M,13,FALSE)-$V71-$AL71)/10),0)+_xlfn.IFNA(VLOOKUP($A71,HN!$A$8:$AU$200,20,FALSE),0)</f>
        <v>0</v>
      </c>
      <c r="BC71" s="286">
        <f t="shared" si="65"/>
        <v>-742.84999999999991</v>
      </c>
      <c r="BD71" s="286">
        <f t="shared" si="66"/>
        <v>-1931.2131666666667</v>
      </c>
      <c r="BE71" s="287"/>
      <c r="BF71" s="287"/>
      <c r="BG71" s="287"/>
      <c r="BH71" s="286">
        <f t="shared" si="67"/>
        <v>177698.83146983702</v>
      </c>
      <c r="BI71" s="307">
        <f t="shared" si="68"/>
        <v>168387.17261711307</v>
      </c>
      <c r="BJ71" s="307">
        <f>_xlfn.IFNA(VLOOKUP(A71,'LA Deductions'!A:AH,34,FALSE),0)</f>
        <v>0</v>
      </c>
      <c r="BK71" s="307"/>
      <c r="BL71" s="308">
        <f>_xlfn.IFNA((VLOOKUP($A71,HN!$A:$M,8,FALSE)/12),0)</f>
        <v>0</v>
      </c>
      <c r="BM71" s="308">
        <f>_xlfn.IFNA((VLOOKUP($A71,HN!$A:$M,12,FALSE)/12),0)</f>
        <v>0</v>
      </c>
      <c r="BN71" s="308">
        <f>_xlfn.IFNA((VLOOKUP($A71,HN!$A:$M,9,FALSE)/12),0)</f>
        <v>0</v>
      </c>
      <c r="BO71" s="308">
        <f>_xlfn.IFNA((VLOOKUP($A71,'Post 16'!$A:$AR,22,FALSE)/4),0)</f>
        <v>0</v>
      </c>
      <c r="BP71" s="308"/>
      <c r="BQ71" s="308">
        <f>_xlfn.IFNA(((VLOOKUP($A71,HN!$A:$M,10,FALSE)-$U71-$AK71)/10),0)</f>
        <v>6073.4090000000006</v>
      </c>
      <c r="BR71" s="308">
        <f>_xlfn.IFNA(((VLOOKUP($A71,HN!$A:$M,13,FALSE)-$V71-$AL71)/10),0)</f>
        <v>0</v>
      </c>
      <c r="BS71" s="307">
        <f t="shared" si="69"/>
        <v>-742.84999999999991</v>
      </c>
      <c r="BT71" s="307">
        <f t="shared" si="70"/>
        <v>-1931.2131666666667</v>
      </c>
      <c r="BU71" s="308"/>
      <c r="BV71" s="308"/>
      <c r="BW71" s="308"/>
      <c r="BX71" s="307">
        <f t="shared" si="71"/>
        <v>171786.51845044643</v>
      </c>
      <c r="BY71" s="300">
        <f t="shared" si="72"/>
        <v>168387.17261711307</v>
      </c>
      <c r="BZ71" s="300"/>
      <c r="CA71" s="300"/>
      <c r="CB71" s="301">
        <f>_xlfn.IFNA((VLOOKUP($A71,HN!$A:$M,8,FALSE)/12),0)</f>
        <v>0</v>
      </c>
      <c r="CC71" s="301">
        <f>_xlfn.IFNA((VLOOKUP($A71,HN!$A:$M,12,FALSE)/12),0)</f>
        <v>0</v>
      </c>
      <c r="CD71" s="301">
        <f>_xlfn.IFNA((VLOOKUP($A71,HN!$A:$M,9,FALSE)/12),0)</f>
        <v>0</v>
      </c>
      <c r="CE71" s="301">
        <f>_xlfn.IFNA((VLOOKUP($A71,'Post 16'!$A:$AG,33,FALSE)/8),0)</f>
        <v>0</v>
      </c>
      <c r="CF71" s="301"/>
      <c r="CG71" s="301">
        <f>_xlfn.IFNA(((VLOOKUP($A71,HN!$A:$M,10,FALSE)-$U71-$AK71)/10),0)</f>
        <v>6073.4090000000006</v>
      </c>
      <c r="CH71" s="301">
        <f>_xlfn.IFNA(((VLOOKUP($A71,HN!$A:$M,13,FALSE)-$V71-$AL71)/10),0)</f>
        <v>0</v>
      </c>
      <c r="CI71" s="300">
        <f t="shared" si="73"/>
        <v>-742.84999999999991</v>
      </c>
      <c r="CJ71" s="300">
        <f t="shared" si="74"/>
        <v>-1931.2131666666667</v>
      </c>
      <c r="CK71" s="301"/>
      <c r="CL71" s="301"/>
      <c r="CM71" s="301"/>
      <c r="CN71" s="300">
        <f t="shared" si="75"/>
        <v>171786.51845044643</v>
      </c>
      <c r="CO71" s="332">
        <f t="shared" si="76"/>
        <v>168387.17261711307</v>
      </c>
      <c r="CP71" s="332"/>
      <c r="CQ71" s="332">
        <f>_xlfn.IFNA((VLOOKUP($A71,EY!$A:$AB,28,FALSE)-$CV71),0)</f>
        <v>51443.184000000008</v>
      </c>
      <c r="CR71" s="333">
        <f>_xlfn.IFNA((VLOOKUP($A71,HN!$A:$M,8,FALSE)/12),0)</f>
        <v>0</v>
      </c>
      <c r="CS71" s="333">
        <f>_xlfn.IFNA((VLOOKUP($A71,HN!$A:$M,12,FALSE)/12),0)</f>
        <v>0</v>
      </c>
      <c r="CT71" s="333">
        <f>_xlfn.IFNA((VLOOKUP($A71,HN!$A:$M,9,FALSE)/12),0)</f>
        <v>0</v>
      </c>
      <c r="CU71" s="333">
        <f>_xlfn.IFNA((VLOOKUP($A71,'Post 16'!$A:$AG,33,FALSE)/8),0)</f>
        <v>0</v>
      </c>
      <c r="CV71" s="333">
        <f>_xlfn.IFNA((VLOOKUP($A71,EY!$A:$AB,26,FALSE)*80%),0)</f>
        <v>0</v>
      </c>
      <c r="CW71" s="333">
        <f>_xlfn.IFNA(((VLOOKUP($A71,HN!$A:$M,10,FALSE)-$U71-$AK71)/10),0)</f>
        <v>6073.4090000000006</v>
      </c>
      <c r="CX71" s="333">
        <f>_xlfn.IFNA(((VLOOKUP($A71,HN!$A:$M,13,FALSE)-$V71-$AL71)/10),0)</f>
        <v>0</v>
      </c>
      <c r="CY71" s="332">
        <f t="shared" si="77"/>
        <v>-742.84999999999991</v>
      </c>
      <c r="CZ71" s="332">
        <f t="shared" si="78"/>
        <v>-1931.2131666666667</v>
      </c>
      <c r="DA71" s="333"/>
      <c r="DB71" s="333"/>
      <c r="DC71" s="333"/>
      <c r="DD71" s="332">
        <f t="shared" si="79"/>
        <v>223229.70245044644</v>
      </c>
      <c r="DE71" s="314">
        <f t="shared" si="80"/>
        <v>168387.17261711307</v>
      </c>
      <c r="DF71" s="314"/>
      <c r="DG71" s="314"/>
      <c r="DH71" s="315">
        <f>_xlfn.IFNA((VLOOKUP($A71,HN!$A:$M,8,FALSE)/12),0)</f>
        <v>0</v>
      </c>
      <c r="DI71" s="315">
        <f>_xlfn.IFNA((VLOOKUP($A71,HN!$A:$M,12,FALSE)/12),0)</f>
        <v>0</v>
      </c>
      <c r="DJ71" s="315">
        <f>_xlfn.IFNA((VLOOKUP($A71,HN!$A:$M,9,FALSE)/12),0)</f>
        <v>0</v>
      </c>
      <c r="DK71" s="315">
        <f>_xlfn.IFNA((VLOOKUP($A71,'Post 16'!$A:$AG,33,FALSE)/8),0)</f>
        <v>0</v>
      </c>
      <c r="DL71" s="315"/>
      <c r="DM71" s="315">
        <f>_xlfn.IFNA(((VLOOKUP($A71,HN!$A:$M,10,FALSE)-$U71-$AK71)/10),0)</f>
        <v>6073.4090000000006</v>
      </c>
      <c r="DN71" s="315">
        <f>_xlfn.IFNA(((VLOOKUP($A71,HN!$A:$M,13,FALSE)-$V71-$AL71)/10),0)</f>
        <v>0</v>
      </c>
      <c r="DO71" s="314">
        <f t="shared" si="81"/>
        <v>-742.84999999999991</v>
      </c>
      <c r="DP71" s="314">
        <f t="shared" si="82"/>
        <v>-1931.2131666666667</v>
      </c>
      <c r="DQ71" s="315"/>
      <c r="DR71" s="315"/>
      <c r="DS71" s="315"/>
      <c r="DT71" s="314">
        <f t="shared" si="83"/>
        <v>171786.51845044643</v>
      </c>
      <c r="DU71" s="307">
        <f t="shared" si="84"/>
        <v>168387.17261711307</v>
      </c>
      <c r="DV71" s="307"/>
      <c r="DW71" s="307"/>
      <c r="DX71" s="308">
        <f>_xlfn.IFNA((VLOOKUP($A71,HN!$A:$M,8,FALSE)/12),0)</f>
        <v>0</v>
      </c>
      <c r="DY71" s="308">
        <f>_xlfn.IFNA((VLOOKUP($A71,HN!$A:$M,12,FALSE)/12),0)</f>
        <v>0</v>
      </c>
      <c r="DZ71" s="308">
        <f>_xlfn.IFNA((VLOOKUP($A71,HN!$A:$M,9,FALSE)/12),0)</f>
        <v>0</v>
      </c>
      <c r="EA71" s="308">
        <f>_xlfn.IFNA((VLOOKUP($A71,'Post 16'!$A:$AG,33,FALSE)/8),0)</f>
        <v>0</v>
      </c>
      <c r="EB71" s="308"/>
      <c r="EC71" s="308">
        <f>_xlfn.IFNA(((VLOOKUP($A71,HN!$A:$M,10,FALSE)-$U71-$AK71)/10),0)</f>
        <v>6073.4090000000006</v>
      </c>
      <c r="ED71" s="308">
        <f>_xlfn.IFNA(((VLOOKUP($A71,HN!$A:$M,13,FALSE)-$V71-$AL71)/10),0)</f>
        <v>0</v>
      </c>
      <c r="EE71" s="307">
        <f t="shared" si="85"/>
        <v>-742.84999999999991</v>
      </c>
      <c r="EF71" s="307">
        <f t="shared" si="86"/>
        <v>-1931.2131666666667</v>
      </c>
      <c r="EG71" s="308"/>
      <c r="EH71" s="308"/>
      <c r="EI71" s="308"/>
      <c r="EJ71" s="307">
        <f t="shared" si="87"/>
        <v>171786.51845044643</v>
      </c>
      <c r="EK71" s="320">
        <f t="shared" si="88"/>
        <v>168387.17261711307</v>
      </c>
      <c r="EL71" s="320"/>
      <c r="EM71" s="320"/>
      <c r="EN71" s="321">
        <f>_xlfn.IFNA((VLOOKUP($A71,HN!$A:$M,8,FALSE)/12),0)</f>
        <v>0</v>
      </c>
      <c r="EO71" s="321">
        <f>_xlfn.IFNA((VLOOKUP($A71,HN!$A:$M,12,FALSE)/12),0)</f>
        <v>0</v>
      </c>
      <c r="EP71" s="321">
        <f>_xlfn.IFNA((VLOOKUP($A71,HN!$A:$M,9,FALSE)/12),0)</f>
        <v>0</v>
      </c>
      <c r="EQ71" s="321">
        <f>_xlfn.IFNA((VLOOKUP($A71,'Post 16'!$A:$AG,33,FALSE)/8),0)</f>
        <v>0</v>
      </c>
      <c r="ER71" s="321"/>
      <c r="ES71" s="321">
        <f>_xlfn.IFNA(((VLOOKUP($A71,HN!$A:$M,10,FALSE)-$U71-$AK71)/10),0)</f>
        <v>6073.4090000000006</v>
      </c>
      <c r="ET71" s="321">
        <f>_xlfn.IFNA(((VLOOKUP($A71,HN!$A:$M,13,FALSE)-$V71-$AL71)/10),0)</f>
        <v>0</v>
      </c>
      <c r="EU71" s="320">
        <f t="shared" si="89"/>
        <v>-742.84999999999991</v>
      </c>
      <c r="EV71" s="320">
        <f t="shared" si="90"/>
        <v>-1931.2131666666667</v>
      </c>
      <c r="EW71" s="321"/>
      <c r="EX71" s="321"/>
      <c r="EY71" s="321"/>
      <c r="EZ71" s="320">
        <f t="shared" si="91"/>
        <v>171786.51845044643</v>
      </c>
      <c r="FA71" s="286">
        <f t="shared" si="92"/>
        <v>168387.17261711307</v>
      </c>
      <c r="FB71" s="286"/>
      <c r="FC71" s="286"/>
      <c r="FD71" s="287">
        <f>_xlfn.IFNA((VLOOKUP($A71,HN!$A:$M,8,FALSE)/12),0)</f>
        <v>0</v>
      </c>
      <c r="FE71" s="287">
        <f>_xlfn.IFNA((VLOOKUP($A71,HN!$A:$M,12,FALSE)/12),0)</f>
        <v>0</v>
      </c>
      <c r="FF71" s="287">
        <f>_xlfn.IFNA((VLOOKUP($A71,HN!$A:$M,9,FALSE)/12),0)</f>
        <v>0</v>
      </c>
      <c r="FG71" s="287">
        <f>_xlfn.IFNA((VLOOKUP($A71,'Post 16'!$A:$AG,33,FALSE)/8),0)</f>
        <v>0</v>
      </c>
      <c r="FH71" s="287"/>
      <c r="FI71" s="287">
        <f>_xlfn.IFNA(((VLOOKUP($A71,HN!$A:$M,10,FALSE)-$U71-$AK71)/10),0)</f>
        <v>6073.4090000000006</v>
      </c>
      <c r="FJ71" s="287">
        <f>_xlfn.IFNA(((VLOOKUP($A71,HN!$A:$M,13,FALSE)-$V71-$AL71)/10),0)</f>
        <v>0</v>
      </c>
      <c r="FK71" s="286">
        <f t="shared" si="93"/>
        <v>-742.84999999999991</v>
      </c>
      <c r="FL71" s="286">
        <f t="shared" si="94"/>
        <v>-1931.2131666666667</v>
      </c>
      <c r="FM71" s="287"/>
      <c r="FN71" s="287"/>
      <c r="FO71" s="287"/>
      <c r="FP71" s="286">
        <f t="shared" si="95"/>
        <v>171786.51845044643</v>
      </c>
      <c r="FQ71" s="293">
        <f t="shared" si="96"/>
        <v>168387.17261711307</v>
      </c>
      <c r="FR71" s="293"/>
      <c r="FS71" s="293"/>
      <c r="FT71" s="294">
        <f>_xlfn.IFNA((VLOOKUP($A71,HN!$A:$M,8,FALSE)/12),0)</f>
        <v>0</v>
      </c>
      <c r="FU71" s="294">
        <f>_xlfn.IFNA((VLOOKUP($A71,HN!$A:$M,12,FALSE)/12),0)</f>
        <v>0</v>
      </c>
      <c r="FV71" s="294">
        <f>_xlfn.IFNA((VLOOKUP($A71,HN!$A:$M,9,FALSE)/12),0)</f>
        <v>0</v>
      </c>
      <c r="FW71" s="294">
        <f>_xlfn.IFNA((VLOOKUP($A71,'Post 16'!$A:$AG,33,FALSE)/8),0)</f>
        <v>0</v>
      </c>
      <c r="FX71" s="294"/>
      <c r="FY71" s="294">
        <f>_xlfn.IFNA(((VLOOKUP($A71,HN!$A:$M,10,FALSE)-$U71-$AK71)/10),0)</f>
        <v>6073.4090000000006</v>
      </c>
      <c r="FZ71" s="294">
        <f>_xlfn.IFNA(((VLOOKUP($A71,HN!$A:$M,13,FALSE)-$V71-$AL71)/10),0)</f>
        <v>0</v>
      </c>
      <c r="GA71" s="293">
        <f t="shared" si="97"/>
        <v>-742.84999999999991</v>
      </c>
      <c r="GB71" s="293">
        <f t="shared" si="98"/>
        <v>-1931.2131666666667</v>
      </c>
      <c r="GC71" s="294"/>
      <c r="GD71" s="294"/>
      <c r="GE71" s="294"/>
      <c r="GF71" s="293">
        <f t="shared" si="99"/>
        <v>171786.51845044643</v>
      </c>
      <c r="GG71" s="300">
        <f t="shared" si="100"/>
        <v>168387.17261711307</v>
      </c>
      <c r="GH71" s="300"/>
      <c r="GI71" s="300"/>
      <c r="GJ71" s="301">
        <f>_xlfn.IFNA((VLOOKUP($A71,HN!$A:$M,8,FALSE)/12),0)</f>
        <v>0</v>
      </c>
      <c r="GK71" s="301">
        <f>_xlfn.IFNA((VLOOKUP($A71,HN!$A:$M,12,FALSE)/12),0)</f>
        <v>0</v>
      </c>
      <c r="GL71" s="301">
        <f>_xlfn.IFNA((VLOOKUP($A71,HN!$A:$M,9,FALSE)/12),0)</f>
        <v>0</v>
      </c>
      <c r="GM71" s="301">
        <f>_xlfn.IFNA((VLOOKUP($A71,'Post 16'!$A:$AG,33,FALSE)/8),0)</f>
        <v>0</v>
      </c>
      <c r="GN71" s="301"/>
      <c r="GO71" s="301">
        <f>_xlfn.IFNA(((VLOOKUP($A71,HN!$A:$M,10,FALSE)-$U71-$AK71)/10),0)</f>
        <v>6073.4090000000006</v>
      </c>
      <c r="GP71" s="301">
        <f>_xlfn.IFNA(((VLOOKUP($A71,HN!$A:$M,13,FALSE)-$V71-$AL71)/10),0)</f>
        <v>0</v>
      </c>
      <c r="GQ71" s="300">
        <f t="shared" si="101"/>
        <v>-742.84999999999991</v>
      </c>
      <c r="GR71" s="300">
        <f t="shared" si="102"/>
        <v>-1931.2131666666667</v>
      </c>
      <c r="GS71" s="301"/>
      <c r="GT71" s="301"/>
      <c r="GU71" s="301"/>
      <c r="GV71" s="300">
        <f t="shared" si="103"/>
        <v>171786.51845044643</v>
      </c>
      <c r="GX71" s="146">
        <f t="shared" si="108"/>
        <v>2131729.5284247468</v>
      </c>
      <c r="GY71" s="146">
        <f t="shared" si="108"/>
        <v>0</v>
      </c>
      <c r="GZ71" s="146">
        <f t="shared" si="108"/>
        <v>80617.25</v>
      </c>
      <c r="HA71" s="146">
        <f t="shared" si="108"/>
        <v>-8914.2000000000007</v>
      </c>
      <c r="HB71" s="146">
        <f t="shared" si="108"/>
        <v>-23174.558000000005</v>
      </c>
      <c r="HC71" s="146">
        <f t="shared" si="108"/>
        <v>0</v>
      </c>
      <c r="HE71" s="146">
        <f t="shared" si="109"/>
        <v>564801.79087072983</v>
      </c>
      <c r="HF71" s="146">
        <f t="shared" si="109"/>
        <v>0</v>
      </c>
      <c r="HG71" s="146">
        <f t="shared" si="109"/>
        <v>25956.569</v>
      </c>
      <c r="HH71" s="146">
        <f t="shared" si="109"/>
        <v>-2228.5499999999997</v>
      </c>
      <c r="HI71" s="146">
        <f t="shared" si="109"/>
        <v>-5793.6395000000002</v>
      </c>
      <c r="HJ71" s="146">
        <f t="shared" si="109"/>
        <v>0</v>
      </c>
      <c r="HL71" s="146"/>
      <c r="HM71" s="57"/>
    </row>
    <row r="72" spans="1:221">
      <c r="A72" s="185">
        <v>2092</v>
      </c>
      <c r="B72" s="185">
        <v>103209</v>
      </c>
      <c r="C72" s="185" t="s">
        <v>167</v>
      </c>
      <c r="D72" s="2" t="s">
        <v>168</v>
      </c>
      <c r="E72" s="190" t="s">
        <v>39</v>
      </c>
      <c r="F72" s="190" t="s">
        <v>890</v>
      </c>
      <c r="H72" s="271">
        <f>_xlfn.IFNA(VLOOKUP($A72,ISB!$A$4:$BY$441,67,FALSE),0)</f>
        <v>2662542.0497983</v>
      </c>
      <c r="I72" s="271">
        <f>_xlfn.IFNA(VLOOKUP($A72,ISB!$A$4:$BY$441,72,FALSE),0)</f>
        <v>-12101.4</v>
      </c>
      <c r="J72" s="271">
        <f>-_xlfn.IFNA(VLOOKUP($A72,ISB!$A$4:$BY$441,76,FALSE),0)</f>
        <v>-32561.119500000001</v>
      </c>
      <c r="K72" s="271">
        <f>_xlfn.IFNA(VLOOKUP($A72,ISB!$A$4:$BY$441,77,FALSE),0)</f>
        <v>2617879.5302983001</v>
      </c>
      <c r="M72" s="279">
        <f t="shared" ref="M72:M103" si="110">$H72/12</f>
        <v>221878.50414985835</v>
      </c>
      <c r="N72" s="279"/>
      <c r="O72" s="279">
        <f>_xlfn.IFNA(VLOOKUP($A72,EY!$A:$H,8,FALSE)+(VLOOKUP($A72,EY!$A:$R,18,FALSE)-$T72),0)</f>
        <v>0</v>
      </c>
      <c r="P72" s="280">
        <f>_xlfn.IFNA((VLOOKUP($A72,HN!$A:$M,8,FALSE)/12),0)</f>
        <v>0</v>
      </c>
      <c r="Q72" s="280">
        <f>_xlfn.IFNA((VLOOKUP($A72,HN!$A:$M,12,FALSE)/12),0)</f>
        <v>0</v>
      </c>
      <c r="R72" s="280">
        <f>_xlfn.IFNA((VLOOKUP($A72,HN!$A:$M,9,FALSE)/12),0)</f>
        <v>0</v>
      </c>
      <c r="S72" s="280">
        <f>_xlfn.IFNA((VLOOKUP($A72,'Post 16'!$A:$AR,22,FALSE)/4),0)</f>
        <v>0</v>
      </c>
      <c r="T72" s="280">
        <f>_xlfn.IFNA((VLOOKUP($A72,EY!$A:$R,16,FALSE)*80%),0)</f>
        <v>0</v>
      </c>
      <c r="U72" s="280">
        <v>11406.784999999998</v>
      </c>
      <c r="V72" s="280">
        <v>0</v>
      </c>
      <c r="W72" s="279">
        <f t="shared" ref="W72:W103" si="111">$I72/12</f>
        <v>-1008.4499999999999</v>
      </c>
      <c r="X72" s="279">
        <f t="shared" ref="X72:X103" si="112">$J72/12</f>
        <v>-2713.4266250000001</v>
      </c>
      <c r="Y72" s="280"/>
      <c r="Z72" s="280"/>
      <c r="AA72" s="280"/>
      <c r="AB72" s="279">
        <f t="shared" ref="AB72:AB103" si="113">SUM(M72:AA72)</f>
        <v>229563.41252485834</v>
      </c>
      <c r="AC72" s="293">
        <f t="shared" ref="AC72:AC103" si="114">$H72/12</f>
        <v>221878.50414985835</v>
      </c>
      <c r="AD72" s="293"/>
      <c r="AE72" s="293"/>
      <c r="AF72" s="294">
        <f>_xlfn.IFNA((VLOOKUP($A72,HN!$A:$M,8,FALSE)/12),0)</f>
        <v>0</v>
      </c>
      <c r="AG72" s="294">
        <f>_xlfn.IFNA((VLOOKUP($A72,HN!$A:$M,12,FALSE)/12),0)+_xlfn.IFNA(VLOOKUP($A72,HN!$A:$Q,17,FALSE),0)</f>
        <v>0</v>
      </c>
      <c r="AH72" s="294">
        <f>_xlfn.IFNA((VLOOKUP($A72,HN!$A:$M,9,FALSE)/12),0)</f>
        <v>0</v>
      </c>
      <c r="AI72" s="294">
        <f>_xlfn.IFNA((VLOOKUP($A72,'Post 16'!$A:$AR,22,FALSE)/4),0)</f>
        <v>0</v>
      </c>
      <c r="AJ72" s="294"/>
      <c r="AK72" s="294">
        <f>_xlfn.IFNA((VLOOKUP($A72,HN!$A:$M,10,FALSE)/12),0)</f>
        <v>6613.5275000000001</v>
      </c>
      <c r="AL72" s="294">
        <f>_xlfn.IFNA((VLOOKUP($A72,HN!$A:$M,13,FALSE)/12),0)</f>
        <v>0</v>
      </c>
      <c r="AM72" s="293">
        <f t="shared" ref="AM72:AM103" si="115">$I72/12</f>
        <v>-1008.4499999999999</v>
      </c>
      <c r="AN72" s="293">
        <f t="shared" ref="AN72:AN103" si="116">$J72/12</f>
        <v>-2713.4266250000001</v>
      </c>
      <c r="AO72" s="294"/>
      <c r="AP72" s="294"/>
      <c r="AQ72" s="294"/>
      <c r="AR72" s="293">
        <f t="shared" ref="AR72:AR103" si="117">SUM(AC72:AQ72)</f>
        <v>224770.15502485834</v>
      </c>
      <c r="AS72" s="286">
        <f t="shared" ref="AS72:AS103" si="118">$H72/12</f>
        <v>221878.50414985835</v>
      </c>
      <c r="AT72" s="286"/>
      <c r="AU72" s="286">
        <f>_xlfn.IFNA(VLOOKUP(A72,EY!A:AO,40,FALSE),0)</f>
        <v>0</v>
      </c>
      <c r="AV72" s="287">
        <f>_xlfn.IFNA((VLOOKUP($A72,HN!$A:$M,8,FALSE)/12),0)</f>
        <v>0</v>
      </c>
      <c r="AW72" s="287">
        <f>_xlfn.IFNA((VLOOKUP($A72,HN!$A:$M,12,FALSE)/12),0)+_xlfn.IFNA(VLOOKUP($A72,HN!$A$8:$AU$200,19,FALSE),0)</f>
        <v>0</v>
      </c>
      <c r="AX72" s="287">
        <f>_xlfn.IFNA((VLOOKUP($A72,HN!$A:$M,9,FALSE)/12),0)</f>
        <v>0</v>
      </c>
      <c r="AY72" s="287">
        <f>_xlfn.IFNA((VLOOKUP($A72,'Post 16'!$A:$AR,22,FALSE)/4),0)</f>
        <v>0</v>
      </c>
      <c r="AZ72" s="287">
        <f>_xlfn.IFNA(VLOOKUP(A72,EY!A:AO,41,FALSE),0)</f>
        <v>0</v>
      </c>
      <c r="BA72" s="287">
        <f>_xlfn.IFNA(((VLOOKUP($A72,HN!$A:$M,10,FALSE)-$U72-$AK72)/10),0)+_xlfn.IFNA(VLOOKUP($A72,HN!$A:$R,18,FALSE),0)</f>
        <v>6134.2017500000002</v>
      </c>
      <c r="BB72" s="287">
        <f>_xlfn.IFNA(((VLOOKUP($A72,HN!$A:$M,13,FALSE)-$V72-$AL72)/10),0)+_xlfn.IFNA(VLOOKUP($A72,HN!$A$8:$AU$200,20,FALSE),0)</f>
        <v>0</v>
      </c>
      <c r="BC72" s="286">
        <f t="shared" ref="BC72:BC103" si="119">$I72/12</f>
        <v>-1008.4499999999999</v>
      </c>
      <c r="BD72" s="286">
        <f t="shared" ref="BD72:BD103" si="120">$J72/12</f>
        <v>-2713.4266250000001</v>
      </c>
      <c r="BE72" s="287"/>
      <c r="BF72" s="287"/>
      <c r="BG72" s="287"/>
      <c r="BH72" s="286">
        <f t="shared" ref="BH72:BH103" si="121">SUM(AS72:BG72)</f>
        <v>224290.82927485835</v>
      </c>
      <c r="BI72" s="307">
        <f t="shared" ref="BI72:BI103" si="122">$H72/12</f>
        <v>221878.50414985835</v>
      </c>
      <c r="BJ72" s="307">
        <f>_xlfn.IFNA(VLOOKUP(A72,'LA Deductions'!A:AH,34,FALSE),0)</f>
        <v>0</v>
      </c>
      <c r="BK72" s="307"/>
      <c r="BL72" s="308">
        <f>_xlfn.IFNA((VLOOKUP($A72,HN!$A:$M,8,FALSE)/12),0)</f>
        <v>0</v>
      </c>
      <c r="BM72" s="308">
        <f>_xlfn.IFNA((VLOOKUP($A72,HN!$A:$M,12,FALSE)/12),0)</f>
        <v>0</v>
      </c>
      <c r="BN72" s="308">
        <f>_xlfn.IFNA((VLOOKUP($A72,HN!$A:$M,9,FALSE)/12),0)</f>
        <v>0</v>
      </c>
      <c r="BO72" s="308">
        <f>_xlfn.IFNA((VLOOKUP($A72,'Post 16'!$A:$AR,22,FALSE)/4),0)</f>
        <v>0</v>
      </c>
      <c r="BP72" s="308"/>
      <c r="BQ72" s="308">
        <f>_xlfn.IFNA(((VLOOKUP($A72,HN!$A:$M,10,FALSE)-$U72-$AK72)/10),0)</f>
        <v>6134.2017500000002</v>
      </c>
      <c r="BR72" s="308">
        <f>_xlfn.IFNA(((VLOOKUP($A72,HN!$A:$M,13,FALSE)-$V72-$AL72)/10),0)</f>
        <v>0</v>
      </c>
      <c r="BS72" s="307">
        <f t="shared" ref="BS72:BS103" si="123">$I72/12</f>
        <v>-1008.4499999999999</v>
      </c>
      <c r="BT72" s="307">
        <f t="shared" ref="BT72:BT103" si="124">$J72/12</f>
        <v>-2713.4266250000001</v>
      </c>
      <c r="BU72" s="308"/>
      <c r="BV72" s="308"/>
      <c r="BW72" s="308"/>
      <c r="BX72" s="307">
        <f t="shared" ref="BX72:BX103" si="125">SUM(BI72:BW72)</f>
        <v>224290.82927485835</v>
      </c>
      <c r="BY72" s="300">
        <f t="shared" ref="BY72:BY103" si="126">$H72/12</f>
        <v>221878.50414985835</v>
      </c>
      <c r="BZ72" s="300"/>
      <c r="CA72" s="300"/>
      <c r="CB72" s="301">
        <f>_xlfn.IFNA((VLOOKUP($A72,HN!$A:$M,8,FALSE)/12),0)</f>
        <v>0</v>
      </c>
      <c r="CC72" s="301">
        <f>_xlfn.IFNA((VLOOKUP($A72,HN!$A:$M,12,FALSE)/12),0)</f>
        <v>0</v>
      </c>
      <c r="CD72" s="301">
        <f>_xlfn.IFNA((VLOOKUP($A72,HN!$A:$M,9,FALSE)/12),0)</f>
        <v>0</v>
      </c>
      <c r="CE72" s="301">
        <f>_xlfn.IFNA((VLOOKUP($A72,'Post 16'!$A:$AG,33,FALSE)/8),0)</f>
        <v>0</v>
      </c>
      <c r="CF72" s="301"/>
      <c r="CG72" s="301">
        <f>_xlfn.IFNA(((VLOOKUP($A72,HN!$A:$M,10,FALSE)-$U72-$AK72)/10),0)</f>
        <v>6134.2017500000002</v>
      </c>
      <c r="CH72" s="301">
        <f>_xlfn.IFNA(((VLOOKUP($A72,HN!$A:$M,13,FALSE)-$V72-$AL72)/10),0)</f>
        <v>0</v>
      </c>
      <c r="CI72" s="300">
        <f t="shared" ref="CI72:CI103" si="127">$I72/12</f>
        <v>-1008.4499999999999</v>
      </c>
      <c r="CJ72" s="300">
        <f t="shared" ref="CJ72:CJ103" si="128">$J72/12</f>
        <v>-2713.4266250000001</v>
      </c>
      <c r="CK72" s="301"/>
      <c r="CL72" s="301"/>
      <c r="CM72" s="301"/>
      <c r="CN72" s="300">
        <f t="shared" ref="CN72:CN103" si="129">SUM(BY72:CM72)</f>
        <v>224290.82927485835</v>
      </c>
      <c r="CO72" s="332">
        <f t="shared" ref="CO72:CO103" si="130">$H72/12</f>
        <v>221878.50414985835</v>
      </c>
      <c r="CP72" s="332"/>
      <c r="CQ72" s="332">
        <f>_xlfn.IFNA((VLOOKUP($A72,EY!$A:$AB,28,FALSE)-$CV72),0)</f>
        <v>0</v>
      </c>
      <c r="CR72" s="333">
        <f>_xlfn.IFNA((VLOOKUP($A72,HN!$A:$M,8,FALSE)/12),0)</f>
        <v>0</v>
      </c>
      <c r="CS72" s="333">
        <f>_xlfn.IFNA((VLOOKUP($A72,HN!$A:$M,12,FALSE)/12),0)</f>
        <v>0</v>
      </c>
      <c r="CT72" s="333">
        <f>_xlfn.IFNA((VLOOKUP($A72,HN!$A:$M,9,FALSE)/12),0)</f>
        <v>0</v>
      </c>
      <c r="CU72" s="333">
        <f>_xlfn.IFNA((VLOOKUP($A72,'Post 16'!$A:$AG,33,FALSE)/8),0)</f>
        <v>0</v>
      </c>
      <c r="CV72" s="333">
        <f>_xlfn.IFNA((VLOOKUP($A72,EY!$A:$AB,26,FALSE)*80%),0)</f>
        <v>0</v>
      </c>
      <c r="CW72" s="333">
        <f>_xlfn.IFNA(((VLOOKUP($A72,HN!$A:$M,10,FALSE)-$U72-$AK72)/10),0)</f>
        <v>6134.2017500000002</v>
      </c>
      <c r="CX72" s="333">
        <f>_xlfn.IFNA(((VLOOKUP($A72,HN!$A:$M,13,FALSE)-$V72-$AL72)/10),0)</f>
        <v>0</v>
      </c>
      <c r="CY72" s="332">
        <f t="shared" ref="CY72:CY103" si="131">$I72/12</f>
        <v>-1008.4499999999999</v>
      </c>
      <c r="CZ72" s="332">
        <f t="shared" ref="CZ72:CZ103" si="132">$J72/12</f>
        <v>-2713.4266250000001</v>
      </c>
      <c r="DA72" s="333"/>
      <c r="DB72" s="333"/>
      <c r="DC72" s="333"/>
      <c r="DD72" s="332">
        <f t="shared" ref="DD72:DD103" si="133">SUM(CO72:DC72)</f>
        <v>224290.82927485835</v>
      </c>
      <c r="DE72" s="314">
        <f t="shared" ref="DE72:DE103" si="134">$H72/12</f>
        <v>221878.50414985835</v>
      </c>
      <c r="DF72" s="314"/>
      <c r="DG72" s="314"/>
      <c r="DH72" s="315">
        <f>_xlfn.IFNA((VLOOKUP($A72,HN!$A:$M,8,FALSE)/12),0)</f>
        <v>0</v>
      </c>
      <c r="DI72" s="315">
        <f>_xlfn.IFNA((VLOOKUP($A72,HN!$A:$M,12,FALSE)/12),0)</f>
        <v>0</v>
      </c>
      <c r="DJ72" s="315">
        <f>_xlfn.IFNA((VLOOKUP($A72,HN!$A:$M,9,FALSE)/12),0)</f>
        <v>0</v>
      </c>
      <c r="DK72" s="315">
        <f>_xlfn.IFNA((VLOOKUP($A72,'Post 16'!$A:$AG,33,FALSE)/8),0)</f>
        <v>0</v>
      </c>
      <c r="DL72" s="315"/>
      <c r="DM72" s="315">
        <f>_xlfn.IFNA(((VLOOKUP($A72,HN!$A:$M,10,FALSE)-$U72-$AK72)/10),0)</f>
        <v>6134.2017500000002</v>
      </c>
      <c r="DN72" s="315">
        <f>_xlfn.IFNA(((VLOOKUP($A72,HN!$A:$M,13,FALSE)-$V72-$AL72)/10),0)</f>
        <v>0</v>
      </c>
      <c r="DO72" s="314">
        <f t="shared" ref="DO72:DO103" si="135">$I72/12</f>
        <v>-1008.4499999999999</v>
      </c>
      <c r="DP72" s="314">
        <f t="shared" ref="DP72:DP103" si="136">$J72/12</f>
        <v>-2713.4266250000001</v>
      </c>
      <c r="DQ72" s="315"/>
      <c r="DR72" s="315"/>
      <c r="DS72" s="315"/>
      <c r="DT72" s="314">
        <f t="shared" ref="DT72:DT103" si="137">SUM(DE72:DS72)</f>
        <v>224290.82927485835</v>
      </c>
      <c r="DU72" s="307">
        <f t="shared" ref="DU72:DU103" si="138">$H72/12</f>
        <v>221878.50414985835</v>
      </c>
      <c r="DV72" s="307"/>
      <c r="DW72" s="307"/>
      <c r="DX72" s="308">
        <f>_xlfn.IFNA((VLOOKUP($A72,HN!$A:$M,8,FALSE)/12),0)</f>
        <v>0</v>
      </c>
      <c r="DY72" s="308">
        <f>_xlfn.IFNA((VLOOKUP($A72,HN!$A:$M,12,FALSE)/12),0)</f>
        <v>0</v>
      </c>
      <c r="DZ72" s="308">
        <f>_xlfn.IFNA((VLOOKUP($A72,HN!$A:$M,9,FALSE)/12),0)</f>
        <v>0</v>
      </c>
      <c r="EA72" s="308">
        <f>_xlfn.IFNA((VLOOKUP($A72,'Post 16'!$A:$AG,33,FALSE)/8),0)</f>
        <v>0</v>
      </c>
      <c r="EB72" s="308"/>
      <c r="EC72" s="308">
        <f>_xlfn.IFNA(((VLOOKUP($A72,HN!$A:$M,10,FALSE)-$U72-$AK72)/10),0)</f>
        <v>6134.2017500000002</v>
      </c>
      <c r="ED72" s="308">
        <f>_xlfn.IFNA(((VLOOKUP($A72,HN!$A:$M,13,FALSE)-$V72-$AL72)/10),0)</f>
        <v>0</v>
      </c>
      <c r="EE72" s="307">
        <f t="shared" ref="EE72:EE103" si="139">$I72/12</f>
        <v>-1008.4499999999999</v>
      </c>
      <c r="EF72" s="307">
        <f t="shared" ref="EF72:EF103" si="140">$J72/12</f>
        <v>-2713.4266250000001</v>
      </c>
      <c r="EG72" s="308"/>
      <c r="EH72" s="308"/>
      <c r="EI72" s="308"/>
      <c r="EJ72" s="307">
        <f t="shared" ref="EJ72:EJ103" si="141">SUM(DU72:EH72)</f>
        <v>224290.82927485835</v>
      </c>
      <c r="EK72" s="320">
        <f t="shared" ref="EK72:EK103" si="142">$H72/12</f>
        <v>221878.50414985835</v>
      </c>
      <c r="EL72" s="320"/>
      <c r="EM72" s="320"/>
      <c r="EN72" s="321">
        <f>_xlfn.IFNA((VLOOKUP($A72,HN!$A:$M,8,FALSE)/12),0)</f>
        <v>0</v>
      </c>
      <c r="EO72" s="321">
        <f>_xlfn.IFNA((VLOOKUP($A72,HN!$A:$M,12,FALSE)/12),0)</f>
        <v>0</v>
      </c>
      <c r="EP72" s="321">
        <f>_xlfn.IFNA((VLOOKUP($A72,HN!$A:$M,9,FALSE)/12),0)</f>
        <v>0</v>
      </c>
      <c r="EQ72" s="321">
        <f>_xlfn.IFNA((VLOOKUP($A72,'Post 16'!$A:$AG,33,FALSE)/8),0)</f>
        <v>0</v>
      </c>
      <c r="ER72" s="321"/>
      <c r="ES72" s="321">
        <f>_xlfn.IFNA(((VLOOKUP($A72,HN!$A:$M,10,FALSE)-$U72-$AK72)/10),0)</f>
        <v>6134.2017500000002</v>
      </c>
      <c r="ET72" s="321">
        <f>_xlfn.IFNA(((VLOOKUP($A72,HN!$A:$M,13,FALSE)-$V72-$AL72)/10),0)</f>
        <v>0</v>
      </c>
      <c r="EU72" s="320">
        <f t="shared" ref="EU72:EU103" si="143">$I72/12</f>
        <v>-1008.4499999999999</v>
      </c>
      <c r="EV72" s="320">
        <f t="shared" ref="EV72:EV103" si="144">$J72/12</f>
        <v>-2713.4266250000001</v>
      </c>
      <c r="EW72" s="321"/>
      <c r="EX72" s="321"/>
      <c r="EY72" s="321"/>
      <c r="EZ72" s="320">
        <f t="shared" ref="EZ72:EZ103" si="145">SUM(EK72:EY72)</f>
        <v>224290.82927485835</v>
      </c>
      <c r="FA72" s="286">
        <f t="shared" ref="FA72:FA103" si="146">$H72/12</f>
        <v>221878.50414985835</v>
      </c>
      <c r="FB72" s="286"/>
      <c r="FC72" s="286"/>
      <c r="FD72" s="287">
        <f>_xlfn.IFNA((VLOOKUP($A72,HN!$A:$M,8,FALSE)/12),0)</f>
        <v>0</v>
      </c>
      <c r="FE72" s="287">
        <f>_xlfn.IFNA((VLOOKUP($A72,HN!$A:$M,12,FALSE)/12),0)</f>
        <v>0</v>
      </c>
      <c r="FF72" s="287">
        <f>_xlfn.IFNA((VLOOKUP($A72,HN!$A:$M,9,FALSE)/12),0)</f>
        <v>0</v>
      </c>
      <c r="FG72" s="287">
        <f>_xlfn.IFNA((VLOOKUP($A72,'Post 16'!$A:$AG,33,FALSE)/8),0)</f>
        <v>0</v>
      </c>
      <c r="FH72" s="287"/>
      <c r="FI72" s="287">
        <f>_xlfn.IFNA(((VLOOKUP($A72,HN!$A:$M,10,FALSE)-$U72-$AK72)/10),0)</f>
        <v>6134.2017500000002</v>
      </c>
      <c r="FJ72" s="287">
        <f>_xlfn.IFNA(((VLOOKUP($A72,HN!$A:$M,13,FALSE)-$V72-$AL72)/10),0)</f>
        <v>0</v>
      </c>
      <c r="FK72" s="286">
        <f t="shared" ref="FK72:FK103" si="147">$I72/12</f>
        <v>-1008.4499999999999</v>
      </c>
      <c r="FL72" s="286">
        <f t="shared" ref="FL72:FL103" si="148">$J72/12</f>
        <v>-2713.4266250000001</v>
      </c>
      <c r="FM72" s="287"/>
      <c r="FN72" s="287"/>
      <c r="FO72" s="287"/>
      <c r="FP72" s="286">
        <f t="shared" ref="FP72:FP103" si="149">SUM(FA72:FO72)</f>
        <v>224290.82927485835</v>
      </c>
      <c r="FQ72" s="293">
        <f t="shared" ref="FQ72:FQ103" si="150">$H72/12</f>
        <v>221878.50414985835</v>
      </c>
      <c r="FR72" s="293"/>
      <c r="FS72" s="293"/>
      <c r="FT72" s="294">
        <f>_xlfn.IFNA((VLOOKUP($A72,HN!$A:$M,8,FALSE)/12),0)</f>
        <v>0</v>
      </c>
      <c r="FU72" s="294">
        <f>_xlfn.IFNA((VLOOKUP($A72,HN!$A:$M,12,FALSE)/12),0)</f>
        <v>0</v>
      </c>
      <c r="FV72" s="294">
        <f>_xlfn.IFNA((VLOOKUP($A72,HN!$A:$M,9,FALSE)/12),0)</f>
        <v>0</v>
      </c>
      <c r="FW72" s="294">
        <f>_xlfn.IFNA((VLOOKUP($A72,'Post 16'!$A:$AG,33,FALSE)/8),0)</f>
        <v>0</v>
      </c>
      <c r="FX72" s="294"/>
      <c r="FY72" s="294">
        <f>_xlfn.IFNA(((VLOOKUP($A72,HN!$A:$M,10,FALSE)-$U72-$AK72)/10),0)</f>
        <v>6134.2017500000002</v>
      </c>
      <c r="FZ72" s="294">
        <f>_xlfn.IFNA(((VLOOKUP($A72,HN!$A:$M,13,FALSE)-$V72-$AL72)/10),0)</f>
        <v>0</v>
      </c>
      <c r="GA72" s="293">
        <f t="shared" ref="GA72:GA103" si="151">$I72/12</f>
        <v>-1008.4499999999999</v>
      </c>
      <c r="GB72" s="293">
        <f t="shared" ref="GB72:GB103" si="152">$J72/12</f>
        <v>-2713.4266250000001</v>
      </c>
      <c r="GC72" s="294"/>
      <c r="GD72" s="294"/>
      <c r="GE72" s="294"/>
      <c r="GF72" s="293">
        <f t="shared" ref="GF72:GF103" si="153">SUM(FQ72:GE72)</f>
        <v>224290.82927485835</v>
      </c>
      <c r="GG72" s="300">
        <f t="shared" ref="GG72:GG103" si="154">$H72/12</f>
        <v>221878.50414985835</v>
      </c>
      <c r="GH72" s="300"/>
      <c r="GI72" s="300"/>
      <c r="GJ72" s="301">
        <f>_xlfn.IFNA((VLOOKUP($A72,HN!$A:$M,8,FALSE)/12),0)</f>
        <v>0</v>
      </c>
      <c r="GK72" s="301">
        <f>_xlfn.IFNA((VLOOKUP($A72,HN!$A:$M,12,FALSE)/12),0)</f>
        <v>0</v>
      </c>
      <c r="GL72" s="301">
        <f>_xlfn.IFNA((VLOOKUP($A72,HN!$A:$M,9,FALSE)/12),0)</f>
        <v>0</v>
      </c>
      <c r="GM72" s="301">
        <f>_xlfn.IFNA((VLOOKUP($A72,'Post 16'!$A:$AG,33,FALSE)/8),0)</f>
        <v>0</v>
      </c>
      <c r="GN72" s="301"/>
      <c r="GO72" s="301">
        <f>_xlfn.IFNA(((VLOOKUP($A72,HN!$A:$M,10,FALSE)-$U72-$AK72)/10),0)</f>
        <v>6134.2017500000002</v>
      </c>
      <c r="GP72" s="301">
        <f>_xlfn.IFNA(((VLOOKUP($A72,HN!$A:$M,13,FALSE)-$V72-$AL72)/10),0)</f>
        <v>0</v>
      </c>
      <c r="GQ72" s="300">
        <f t="shared" ref="GQ72:GQ103" si="155">$I72/12</f>
        <v>-1008.4499999999999</v>
      </c>
      <c r="GR72" s="300">
        <f t="shared" ref="GR72:GR103" si="156">$J72/12</f>
        <v>-2713.4266250000001</v>
      </c>
      <c r="GS72" s="301"/>
      <c r="GT72" s="301"/>
      <c r="GU72" s="301"/>
      <c r="GV72" s="300">
        <f t="shared" ref="GV72:GV103" si="157">SUM(GG72:GU72)</f>
        <v>224290.82927485835</v>
      </c>
      <c r="GX72" s="146">
        <f t="shared" si="108"/>
        <v>2662542.0497983</v>
      </c>
      <c r="GY72" s="146">
        <f t="shared" si="108"/>
        <v>0</v>
      </c>
      <c r="GZ72" s="146">
        <f t="shared" si="108"/>
        <v>79362.330000000016</v>
      </c>
      <c r="HA72" s="146">
        <f t="shared" si="108"/>
        <v>-12101.400000000001</v>
      </c>
      <c r="HB72" s="146">
        <f t="shared" si="108"/>
        <v>-32561.119500000001</v>
      </c>
      <c r="HC72" s="146">
        <f t="shared" si="108"/>
        <v>0</v>
      </c>
      <c r="HE72" s="146">
        <f t="shared" si="109"/>
        <v>665635.51244957501</v>
      </c>
      <c r="HF72" s="146">
        <f t="shared" si="109"/>
        <v>0</v>
      </c>
      <c r="HG72" s="146">
        <f t="shared" si="109"/>
        <v>24154.51425</v>
      </c>
      <c r="HH72" s="146">
        <f t="shared" si="109"/>
        <v>-3025.35</v>
      </c>
      <c r="HI72" s="146">
        <f t="shared" si="109"/>
        <v>-8140.2798750000002</v>
      </c>
      <c r="HJ72" s="146">
        <f t="shared" si="109"/>
        <v>0</v>
      </c>
      <c r="HL72" s="146"/>
      <c r="HM72" s="57"/>
    </row>
    <row r="73" spans="1:221">
      <c r="A73" s="185">
        <v>7006</v>
      </c>
      <c r="B73" s="185">
        <v>103600</v>
      </c>
      <c r="C73" s="185" t="s">
        <v>169</v>
      </c>
      <c r="D73" s="2" t="s">
        <v>170</v>
      </c>
      <c r="E73" s="190" t="s">
        <v>56</v>
      </c>
      <c r="F73" s="190" t="s">
        <v>890</v>
      </c>
      <c r="H73" s="271">
        <f>_xlfn.IFNA(VLOOKUP($A73,ISB!$A$4:$BY$441,67,FALSE),0)</f>
        <v>0</v>
      </c>
      <c r="I73" s="271">
        <f>_xlfn.IFNA(VLOOKUP($A73,ISB!$A$4:$BY$441,72,FALSE),0)</f>
        <v>0</v>
      </c>
      <c r="J73" s="271">
        <f>-_xlfn.IFNA(VLOOKUP($A73,ISB!$A$4:$BY$441,76,FALSE),0)</f>
        <v>0</v>
      </c>
      <c r="K73" s="271">
        <f>_xlfn.IFNA(VLOOKUP($A73,ISB!$A$4:$BY$441,77,FALSE),0)</f>
        <v>0</v>
      </c>
      <c r="M73" s="279">
        <f t="shared" si="110"/>
        <v>0</v>
      </c>
      <c r="N73" s="279"/>
      <c r="O73" s="279">
        <f>_xlfn.IFNA(VLOOKUP($A73,EY!$A:$H,8,FALSE)+(VLOOKUP($A73,EY!$A:$R,18,FALSE)-$T73),0)</f>
        <v>0</v>
      </c>
      <c r="P73" s="280">
        <f>_xlfn.IFNA((VLOOKUP($A73,HN!$A:$M,8,FALSE)/12),0)</f>
        <v>177500</v>
      </c>
      <c r="Q73" s="280">
        <f>_xlfn.IFNA((VLOOKUP($A73,HN!$A:$M,12,FALSE)/12),0)</f>
        <v>0</v>
      </c>
      <c r="R73" s="280">
        <f>_xlfn.IFNA((VLOOKUP($A73,HN!$A:$M,9,FALSE)/12),0)</f>
        <v>0</v>
      </c>
      <c r="S73" s="280">
        <f>_xlfn.IFNA((VLOOKUP($A73,'Post 16'!$A:$AR,22,FALSE)/4),0)</f>
        <v>0</v>
      </c>
      <c r="T73" s="280">
        <f>_xlfn.IFNA((VLOOKUP($A73,EY!$A:$R,16,FALSE)*80%),0)</f>
        <v>0</v>
      </c>
      <c r="U73" s="280">
        <v>302082.30666666664</v>
      </c>
      <c r="V73" s="280">
        <v>0</v>
      </c>
      <c r="W73" s="279">
        <f t="shared" si="111"/>
        <v>0</v>
      </c>
      <c r="X73" s="279">
        <f t="shared" si="112"/>
        <v>0</v>
      </c>
      <c r="Y73" s="280"/>
      <c r="Z73" s="280"/>
      <c r="AA73" s="280"/>
      <c r="AB73" s="279">
        <f t="shared" si="113"/>
        <v>479582.30666666664</v>
      </c>
      <c r="AC73" s="293">
        <f t="shared" si="114"/>
        <v>0</v>
      </c>
      <c r="AD73" s="293"/>
      <c r="AE73" s="293"/>
      <c r="AF73" s="294">
        <f>_xlfn.IFNA((VLOOKUP($A73,HN!$A:$M,8,FALSE)/12),0)</f>
        <v>177500</v>
      </c>
      <c r="AG73" s="294">
        <f>_xlfn.IFNA((VLOOKUP($A73,HN!$A:$M,12,FALSE)/12),0)+_xlfn.IFNA(VLOOKUP($A73,HN!$A:$Q,17,FALSE),0)</f>
        <v>0</v>
      </c>
      <c r="AH73" s="294">
        <f>_xlfn.IFNA((VLOOKUP($A73,HN!$A:$M,9,FALSE)/12),0)</f>
        <v>0</v>
      </c>
      <c r="AI73" s="294">
        <f>_xlfn.IFNA((VLOOKUP($A73,'Post 16'!$A:$AR,22,FALSE)/4),0)</f>
        <v>0</v>
      </c>
      <c r="AJ73" s="294"/>
      <c r="AK73" s="294">
        <f>_xlfn.IFNA((VLOOKUP($A73,HN!$A:$M,10,FALSE)/12),0)</f>
        <v>302082.30666666664</v>
      </c>
      <c r="AL73" s="294">
        <f>_xlfn.IFNA((VLOOKUP($A73,HN!$A:$M,13,FALSE)/12),0)</f>
        <v>0</v>
      </c>
      <c r="AM73" s="293">
        <f t="shared" si="115"/>
        <v>0</v>
      </c>
      <c r="AN73" s="293">
        <f t="shared" si="116"/>
        <v>0</v>
      </c>
      <c r="AO73" s="294"/>
      <c r="AP73" s="294"/>
      <c r="AQ73" s="294"/>
      <c r="AR73" s="293">
        <f t="shared" si="117"/>
        <v>479582.30666666664</v>
      </c>
      <c r="AS73" s="286">
        <f t="shared" si="118"/>
        <v>0</v>
      </c>
      <c r="AT73" s="286"/>
      <c r="AU73" s="286">
        <f>_xlfn.IFNA(VLOOKUP(A73,EY!A:AO,40,FALSE),0)</f>
        <v>0</v>
      </c>
      <c r="AV73" s="287">
        <f>_xlfn.IFNA((VLOOKUP($A73,HN!$A:$M,8,FALSE)/12),0)</f>
        <v>177500</v>
      </c>
      <c r="AW73" s="287">
        <f>_xlfn.IFNA((VLOOKUP($A73,HN!$A:$M,12,FALSE)/12),0)+_xlfn.IFNA(VLOOKUP($A73,HN!$A$8:$AU$200,19,FALSE),0)</f>
        <v>0</v>
      </c>
      <c r="AX73" s="287">
        <f>_xlfn.IFNA((VLOOKUP($A73,HN!$A:$M,9,FALSE)/12),0)</f>
        <v>0</v>
      </c>
      <c r="AY73" s="287">
        <f>_xlfn.IFNA((VLOOKUP($A73,'Post 16'!$A:$AR,22,FALSE)/4),0)</f>
        <v>0</v>
      </c>
      <c r="AZ73" s="287">
        <f>_xlfn.IFNA(VLOOKUP(A73,EY!A:AO,41,FALSE),0)</f>
        <v>0</v>
      </c>
      <c r="BA73" s="287">
        <f>_xlfn.IFNA(((VLOOKUP($A73,HN!$A:$M,10,FALSE)-$U73-$AK73)/10),0)+_xlfn.IFNA(VLOOKUP($A73,HN!$A:$R,18,FALSE),0)</f>
        <v>302082.30666666664</v>
      </c>
      <c r="BB73" s="287">
        <f>_xlfn.IFNA(((VLOOKUP($A73,HN!$A:$M,13,FALSE)-$V73-$AL73)/10),0)+_xlfn.IFNA(VLOOKUP($A73,HN!$A$8:$AU$200,20,FALSE),0)</f>
        <v>0</v>
      </c>
      <c r="BC73" s="286">
        <f t="shared" si="119"/>
        <v>0</v>
      </c>
      <c r="BD73" s="286">
        <f t="shared" si="120"/>
        <v>0</v>
      </c>
      <c r="BE73" s="287"/>
      <c r="BF73" s="287"/>
      <c r="BG73" s="287"/>
      <c r="BH73" s="286">
        <f t="shared" si="121"/>
        <v>479582.30666666664</v>
      </c>
      <c r="BI73" s="307">
        <f t="shared" si="122"/>
        <v>0</v>
      </c>
      <c r="BJ73" s="307">
        <f>_xlfn.IFNA(VLOOKUP(A73,'LA Deductions'!A:AH,34,FALSE),0)</f>
        <v>0</v>
      </c>
      <c r="BK73" s="307"/>
      <c r="BL73" s="308">
        <f>_xlfn.IFNA((VLOOKUP($A73,HN!$A:$M,8,FALSE)/12),0)</f>
        <v>177500</v>
      </c>
      <c r="BM73" s="308">
        <f>_xlfn.IFNA((VLOOKUP($A73,HN!$A:$M,12,FALSE)/12),0)</f>
        <v>0</v>
      </c>
      <c r="BN73" s="308">
        <f>_xlfn.IFNA((VLOOKUP($A73,HN!$A:$M,9,FALSE)/12),0)</f>
        <v>0</v>
      </c>
      <c r="BO73" s="308">
        <f>_xlfn.IFNA((VLOOKUP($A73,'Post 16'!$A:$AR,22,FALSE)/4),0)</f>
        <v>0</v>
      </c>
      <c r="BP73" s="308"/>
      <c r="BQ73" s="308">
        <f>_xlfn.IFNA(((VLOOKUP($A73,HN!$A:$M,10,FALSE)-$U73-$AK73)/10),0)</f>
        <v>302082.30666666664</v>
      </c>
      <c r="BR73" s="308">
        <f>_xlfn.IFNA(((VLOOKUP($A73,HN!$A:$M,13,FALSE)-$V73-$AL73)/10),0)</f>
        <v>0</v>
      </c>
      <c r="BS73" s="307">
        <f t="shared" si="123"/>
        <v>0</v>
      </c>
      <c r="BT73" s="307">
        <f t="shared" si="124"/>
        <v>0</v>
      </c>
      <c r="BU73" s="308"/>
      <c r="BV73" s="308"/>
      <c r="BW73" s="308"/>
      <c r="BX73" s="307">
        <f t="shared" si="125"/>
        <v>479582.30666666664</v>
      </c>
      <c r="BY73" s="300">
        <f t="shared" si="126"/>
        <v>0</v>
      </c>
      <c r="BZ73" s="300"/>
      <c r="CA73" s="300"/>
      <c r="CB73" s="301">
        <f>_xlfn.IFNA((VLOOKUP($A73,HN!$A:$M,8,FALSE)/12),0)</f>
        <v>177500</v>
      </c>
      <c r="CC73" s="301">
        <f>_xlfn.IFNA((VLOOKUP($A73,HN!$A:$M,12,FALSE)/12),0)</f>
        <v>0</v>
      </c>
      <c r="CD73" s="301">
        <f>_xlfn.IFNA((VLOOKUP($A73,HN!$A:$M,9,FALSE)/12),0)</f>
        <v>0</v>
      </c>
      <c r="CE73" s="301">
        <f>_xlfn.IFNA((VLOOKUP($A73,'Post 16'!$A:$AG,33,FALSE)/8),0)</f>
        <v>0</v>
      </c>
      <c r="CF73" s="301"/>
      <c r="CG73" s="301">
        <f>_xlfn.IFNA(((VLOOKUP($A73,HN!$A:$M,10,FALSE)-$U73-$AK73)/10),0)</f>
        <v>302082.30666666664</v>
      </c>
      <c r="CH73" s="301">
        <f>_xlfn.IFNA(((VLOOKUP($A73,HN!$A:$M,13,FALSE)-$V73-$AL73)/10),0)</f>
        <v>0</v>
      </c>
      <c r="CI73" s="300">
        <f t="shared" si="127"/>
        <v>0</v>
      </c>
      <c r="CJ73" s="300">
        <f t="shared" si="128"/>
        <v>0</v>
      </c>
      <c r="CK73" s="301"/>
      <c r="CL73" s="301"/>
      <c r="CM73" s="301"/>
      <c r="CN73" s="300">
        <f t="shared" si="129"/>
        <v>479582.30666666664</v>
      </c>
      <c r="CO73" s="332">
        <f t="shared" si="130"/>
        <v>0</v>
      </c>
      <c r="CP73" s="332"/>
      <c r="CQ73" s="332">
        <f>_xlfn.IFNA((VLOOKUP($A73,EY!$A:$AB,28,FALSE)-$CV73),0)</f>
        <v>0</v>
      </c>
      <c r="CR73" s="333">
        <f>_xlfn.IFNA((VLOOKUP($A73,HN!$A:$M,8,FALSE)/12),0)</f>
        <v>177500</v>
      </c>
      <c r="CS73" s="333">
        <f>_xlfn.IFNA((VLOOKUP($A73,HN!$A:$M,12,FALSE)/12),0)</f>
        <v>0</v>
      </c>
      <c r="CT73" s="333">
        <f>_xlfn.IFNA((VLOOKUP($A73,HN!$A:$M,9,FALSE)/12),0)</f>
        <v>0</v>
      </c>
      <c r="CU73" s="333">
        <f>_xlfn.IFNA((VLOOKUP($A73,'Post 16'!$A:$AG,33,FALSE)/8),0)</f>
        <v>0</v>
      </c>
      <c r="CV73" s="333">
        <f>_xlfn.IFNA((VLOOKUP($A73,EY!$A:$AB,26,FALSE)*80%),0)</f>
        <v>0</v>
      </c>
      <c r="CW73" s="333">
        <f>_xlfn.IFNA(((VLOOKUP($A73,HN!$A:$M,10,FALSE)-$U73-$AK73)/10),0)</f>
        <v>302082.30666666664</v>
      </c>
      <c r="CX73" s="333">
        <f>_xlfn.IFNA(((VLOOKUP($A73,HN!$A:$M,13,FALSE)-$V73-$AL73)/10),0)</f>
        <v>0</v>
      </c>
      <c r="CY73" s="332">
        <f t="shared" si="131"/>
        <v>0</v>
      </c>
      <c r="CZ73" s="332">
        <f t="shared" si="132"/>
        <v>0</v>
      </c>
      <c r="DA73" s="333"/>
      <c r="DB73" s="333"/>
      <c r="DC73" s="333"/>
      <c r="DD73" s="332">
        <f t="shared" si="133"/>
        <v>479582.30666666664</v>
      </c>
      <c r="DE73" s="314">
        <f t="shared" si="134"/>
        <v>0</v>
      </c>
      <c r="DF73" s="314"/>
      <c r="DG73" s="314"/>
      <c r="DH73" s="315">
        <f>_xlfn.IFNA((VLOOKUP($A73,HN!$A:$M,8,FALSE)/12),0)</f>
        <v>177500</v>
      </c>
      <c r="DI73" s="315">
        <f>_xlfn.IFNA((VLOOKUP($A73,HN!$A:$M,12,FALSE)/12),0)</f>
        <v>0</v>
      </c>
      <c r="DJ73" s="315">
        <f>_xlfn.IFNA((VLOOKUP($A73,HN!$A:$M,9,FALSE)/12),0)</f>
        <v>0</v>
      </c>
      <c r="DK73" s="315">
        <f>_xlfn.IFNA((VLOOKUP($A73,'Post 16'!$A:$AG,33,FALSE)/8),0)</f>
        <v>0</v>
      </c>
      <c r="DL73" s="315"/>
      <c r="DM73" s="315">
        <f>_xlfn.IFNA(((VLOOKUP($A73,HN!$A:$M,10,FALSE)-$U73-$AK73)/10),0)</f>
        <v>302082.30666666664</v>
      </c>
      <c r="DN73" s="315">
        <f>_xlfn.IFNA(((VLOOKUP($A73,HN!$A:$M,13,FALSE)-$V73-$AL73)/10),0)</f>
        <v>0</v>
      </c>
      <c r="DO73" s="314">
        <f t="shared" si="135"/>
        <v>0</v>
      </c>
      <c r="DP73" s="314">
        <f t="shared" si="136"/>
        <v>0</v>
      </c>
      <c r="DQ73" s="315"/>
      <c r="DR73" s="315"/>
      <c r="DS73" s="315"/>
      <c r="DT73" s="314">
        <f t="shared" si="137"/>
        <v>479582.30666666664</v>
      </c>
      <c r="DU73" s="307">
        <f t="shared" si="138"/>
        <v>0</v>
      </c>
      <c r="DV73" s="307"/>
      <c r="DW73" s="307"/>
      <c r="DX73" s="308">
        <f>_xlfn.IFNA((VLOOKUP($A73,HN!$A:$M,8,FALSE)/12),0)</f>
        <v>177500</v>
      </c>
      <c r="DY73" s="308">
        <f>_xlfn.IFNA((VLOOKUP($A73,HN!$A:$M,12,FALSE)/12),0)</f>
        <v>0</v>
      </c>
      <c r="DZ73" s="308">
        <f>_xlfn.IFNA((VLOOKUP($A73,HN!$A:$M,9,FALSE)/12),0)</f>
        <v>0</v>
      </c>
      <c r="EA73" s="308">
        <f>_xlfn.IFNA((VLOOKUP($A73,'Post 16'!$A:$AG,33,FALSE)/8),0)</f>
        <v>0</v>
      </c>
      <c r="EB73" s="308"/>
      <c r="EC73" s="308">
        <f>_xlfn.IFNA(((VLOOKUP($A73,HN!$A:$M,10,FALSE)-$U73-$AK73)/10),0)</f>
        <v>302082.30666666664</v>
      </c>
      <c r="ED73" s="308">
        <f>_xlfn.IFNA(((VLOOKUP($A73,HN!$A:$M,13,FALSE)-$V73-$AL73)/10),0)</f>
        <v>0</v>
      </c>
      <c r="EE73" s="307">
        <f t="shared" si="139"/>
        <v>0</v>
      </c>
      <c r="EF73" s="307">
        <f t="shared" si="140"/>
        <v>0</v>
      </c>
      <c r="EG73" s="308"/>
      <c r="EH73" s="308"/>
      <c r="EI73" s="308"/>
      <c r="EJ73" s="307">
        <f t="shared" si="141"/>
        <v>479582.30666666664</v>
      </c>
      <c r="EK73" s="320">
        <f t="shared" si="142"/>
        <v>0</v>
      </c>
      <c r="EL73" s="320"/>
      <c r="EM73" s="320"/>
      <c r="EN73" s="321">
        <f>_xlfn.IFNA((VLOOKUP($A73,HN!$A:$M,8,FALSE)/12),0)</f>
        <v>177500</v>
      </c>
      <c r="EO73" s="321">
        <f>_xlfn.IFNA((VLOOKUP($A73,HN!$A:$M,12,FALSE)/12),0)</f>
        <v>0</v>
      </c>
      <c r="EP73" s="321">
        <f>_xlfn.IFNA((VLOOKUP($A73,HN!$A:$M,9,FALSE)/12),0)</f>
        <v>0</v>
      </c>
      <c r="EQ73" s="321">
        <f>_xlfn.IFNA((VLOOKUP($A73,'Post 16'!$A:$AG,33,FALSE)/8),0)</f>
        <v>0</v>
      </c>
      <c r="ER73" s="321"/>
      <c r="ES73" s="321">
        <f>_xlfn.IFNA(((VLOOKUP($A73,HN!$A:$M,10,FALSE)-$U73-$AK73)/10),0)</f>
        <v>302082.30666666664</v>
      </c>
      <c r="ET73" s="321">
        <f>_xlfn.IFNA(((VLOOKUP($A73,HN!$A:$M,13,FALSE)-$V73-$AL73)/10),0)</f>
        <v>0</v>
      </c>
      <c r="EU73" s="320">
        <f t="shared" si="143"/>
        <v>0</v>
      </c>
      <c r="EV73" s="320">
        <f t="shared" si="144"/>
        <v>0</v>
      </c>
      <c r="EW73" s="321"/>
      <c r="EX73" s="321"/>
      <c r="EY73" s="321"/>
      <c r="EZ73" s="320">
        <f t="shared" si="145"/>
        <v>479582.30666666664</v>
      </c>
      <c r="FA73" s="286">
        <f t="shared" si="146"/>
        <v>0</v>
      </c>
      <c r="FB73" s="286"/>
      <c r="FC73" s="286"/>
      <c r="FD73" s="287">
        <f>_xlfn.IFNA((VLOOKUP($A73,HN!$A:$M,8,FALSE)/12),0)</f>
        <v>177500</v>
      </c>
      <c r="FE73" s="287">
        <f>_xlfn.IFNA((VLOOKUP($A73,HN!$A:$M,12,FALSE)/12),0)</f>
        <v>0</v>
      </c>
      <c r="FF73" s="287">
        <f>_xlfn.IFNA((VLOOKUP($A73,HN!$A:$M,9,FALSE)/12),0)</f>
        <v>0</v>
      </c>
      <c r="FG73" s="287">
        <f>_xlfn.IFNA((VLOOKUP($A73,'Post 16'!$A:$AG,33,FALSE)/8),0)</f>
        <v>0</v>
      </c>
      <c r="FH73" s="287"/>
      <c r="FI73" s="287">
        <f>_xlfn.IFNA(((VLOOKUP($A73,HN!$A:$M,10,FALSE)-$U73-$AK73)/10),0)</f>
        <v>302082.30666666664</v>
      </c>
      <c r="FJ73" s="287">
        <f>_xlfn.IFNA(((VLOOKUP($A73,HN!$A:$M,13,FALSE)-$V73-$AL73)/10),0)</f>
        <v>0</v>
      </c>
      <c r="FK73" s="286">
        <f t="shared" si="147"/>
        <v>0</v>
      </c>
      <c r="FL73" s="286">
        <f t="shared" si="148"/>
        <v>0</v>
      </c>
      <c r="FM73" s="287"/>
      <c r="FN73" s="287"/>
      <c r="FO73" s="287"/>
      <c r="FP73" s="286">
        <f t="shared" si="149"/>
        <v>479582.30666666664</v>
      </c>
      <c r="FQ73" s="293">
        <f t="shared" si="150"/>
        <v>0</v>
      </c>
      <c r="FR73" s="293"/>
      <c r="FS73" s="293"/>
      <c r="FT73" s="294">
        <f>_xlfn.IFNA((VLOOKUP($A73,HN!$A:$M,8,FALSE)/12),0)</f>
        <v>177500</v>
      </c>
      <c r="FU73" s="294">
        <f>_xlfn.IFNA((VLOOKUP($A73,HN!$A:$M,12,FALSE)/12),0)</f>
        <v>0</v>
      </c>
      <c r="FV73" s="294">
        <f>_xlfn.IFNA((VLOOKUP($A73,HN!$A:$M,9,FALSE)/12),0)</f>
        <v>0</v>
      </c>
      <c r="FW73" s="294">
        <f>_xlfn.IFNA((VLOOKUP($A73,'Post 16'!$A:$AG,33,FALSE)/8),0)</f>
        <v>0</v>
      </c>
      <c r="FX73" s="294"/>
      <c r="FY73" s="294">
        <f>_xlfn.IFNA(((VLOOKUP($A73,HN!$A:$M,10,FALSE)-$U73-$AK73)/10),0)</f>
        <v>302082.30666666664</v>
      </c>
      <c r="FZ73" s="294">
        <f>_xlfn.IFNA(((VLOOKUP($A73,HN!$A:$M,13,FALSE)-$V73-$AL73)/10),0)</f>
        <v>0</v>
      </c>
      <c r="GA73" s="293">
        <f t="shared" si="151"/>
        <v>0</v>
      </c>
      <c r="GB73" s="293">
        <f t="shared" si="152"/>
        <v>0</v>
      </c>
      <c r="GC73" s="294"/>
      <c r="GD73" s="294"/>
      <c r="GE73" s="294"/>
      <c r="GF73" s="293">
        <f t="shared" si="153"/>
        <v>479582.30666666664</v>
      </c>
      <c r="GG73" s="300">
        <f t="shared" si="154"/>
        <v>0</v>
      </c>
      <c r="GH73" s="300"/>
      <c r="GI73" s="300"/>
      <c r="GJ73" s="301">
        <f>_xlfn.IFNA((VLOOKUP($A73,HN!$A:$M,8,FALSE)/12),0)</f>
        <v>177500</v>
      </c>
      <c r="GK73" s="301">
        <f>_xlfn.IFNA((VLOOKUP($A73,HN!$A:$M,12,FALSE)/12),0)</f>
        <v>0</v>
      </c>
      <c r="GL73" s="301">
        <f>_xlfn.IFNA((VLOOKUP($A73,HN!$A:$M,9,FALSE)/12),0)</f>
        <v>0</v>
      </c>
      <c r="GM73" s="301">
        <f>_xlfn.IFNA((VLOOKUP($A73,'Post 16'!$A:$AG,33,FALSE)/8),0)</f>
        <v>0</v>
      </c>
      <c r="GN73" s="301"/>
      <c r="GO73" s="301">
        <f>_xlfn.IFNA(((VLOOKUP($A73,HN!$A:$M,10,FALSE)-$U73-$AK73)/10),0)</f>
        <v>302082.30666666664</v>
      </c>
      <c r="GP73" s="301">
        <f>_xlfn.IFNA(((VLOOKUP($A73,HN!$A:$M,13,FALSE)-$V73-$AL73)/10),0)</f>
        <v>0</v>
      </c>
      <c r="GQ73" s="300">
        <f t="shared" si="155"/>
        <v>0</v>
      </c>
      <c r="GR73" s="300">
        <f t="shared" si="156"/>
        <v>0</v>
      </c>
      <c r="GS73" s="301"/>
      <c r="GT73" s="301"/>
      <c r="GU73" s="301"/>
      <c r="GV73" s="300">
        <f t="shared" si="157"/>
        <v>479582.30666666664</v>
      </c>
      <c r="GX73" s="146">
        <f t="shared" si="108"/>
        <v>2130000</v>
      </c>
      <c r="GY73" s="146">
        <f t="shared" si="108"/>
        <v>0</v>
      </c>
      <c r="GZ73" s="146">
        <f t="shared" si="108"/>
        <v>3624987.6799999997</v>
      </c>
      <c r="HA73" s="146">
        <f t="shared" si="108"/>
        <v>0</v>
      </c>
      <c r="HB73" s="146">
        <f t="shared" si="108"/>
        <v>0</v>
      </c>
      <c r="HC73" s="146">
        <f t="shared" si="108"/>
        <v>0</v>
      </c>
      <c r="HE73" s="146">
        <f t="shared" si="109"/>
        <v>532500</v>
      </c>
      <c r="HF73" s="146">
        <f t="shared" si="109"/>
        <v>0</v>
      </c>
      <c r="HG73" s="146">
        <f t="shared" si="109"/>
        <v>906246.91999999993</v>
      </c>
      <c r="HH73" s="146">
        <f t="shared" si="109"/>
        <v>0</v>
      </c>
      <c r="HI73" s="146">
        <f t="shared" si="109"/>
        <v>0</v>
      </c>
      <c r="HJ73" s="146">
        <f t="shared" si="109"/>
        <v>0</v>
      </c>
      <c r="HL73" s="146"/>
      <c r="HM73" s="57"/>
    </row>
    <row r="74" spans="1:221">
      <c r="A74" s="185">
        <v>2477</v>
      </c>
      <c r="B74" s="185">
        <v>132261</v>
      </c>
      <c r="C74" s="185" t="s">
        <v>171</v>
      </c>
      <c r="D74" s="2" t="s">
        <v>172</v>
      </c>
      <c r="E74" s="190" t="s">
        <v>39</v>
      </c>
      <c r="F74" s="190" t="s">
        <v>890</v>
      </c>
      <c r="H74" s="271">
        <f>_xlfn.IFNA(VLOOKUP($A74,ISB!$A$4:$BY$441,67,FALSE),0)</f>
        <v>4255401.8629999999</v>
      </c>
      <c r="I74" s="271">
        <f>_xlfn.IFNA(VLOOKUP($A74,ISB!$A$4:$BY$441,72,FALSE),0)</f>
        <v>-20094.3</v>
      </c>
      <c r="J74" s="271">
        <f>-_xlfn.IFNA(VLOOKUP($A74,ISB!$A$4:$BY$441,76,FALSE),0)</f>
        <v>-46680.542999999998</v>
      </c>
      <c r="K74" s="271">
        <f>_xlfn.IFNA(VLOOKUP($A74,ISB!$A$4:$BY$441,77,FALSE),0)</f>
        <v>4188627.02</v>
      </c>
      <c r="M74" s="279">
        <f t="shared" si="110"/>
        <v>354616.82191666664</v>
      </c>
      <c r="N74" s="279"/>
      <c r="O74" s="279">
        <f>_xlfn.IFNA(VLOOKUP($A74,EY!$A:$H,8,FALSE)+(VLOOKUP($A74,EY!$A:$R,18,FALSE)-$T74),0)</f>
        <v>0</v>
      </c>
      <c r="P74" s="280">
        <f>_xlfn.IFNA((VLOOKUP($A74,HN!$A:$M,8,FALSE)/12),0)</f>
        <v>0</v>
      </c>
      <c r="Q74" s="280">
        <f>_xlfn.IFNA((VLOOKUP($A74,HN!$A:$M,12,FALSE)/12),0)</f>
        <v>0</v>
      </c>
      <c r="R74" s="280">
        <f>_xlfn.IFNA((VLOOKUP($A74,HN!$A:$M,9,FALSE)/12),0)</f>
        <v>0</v>
      </c>
      <c r="S74" s="280">
        <f>_xlfn.IFNA((VLOOKUP($A74,'Post 16'!$A:$AR,22,FALSE)/4),0)</f>
        <v>0</v>
      </c>
      <c r="T74" s="280">
        <f>_xlfn.IFNA((VLOOKUP($A74,EY!$A:$R,16,FALSE)*80%),0)</f>
        <v>0</v>
      </c>
      <c r="U74" s="280">
        <v>20185.6325</v>
      </c>
      <c r="V74" s="280">
        <v>0</v>
      </c>
      <c r="W74" s="279">
        <f t="shared" si="111"/>
        <v>-1674.5249999999999</v>
      </c>
      <c r="X74" s="279">
        <f t="shared" si="112"/>
        <v>-3890.0452499999997</v>
      </c>
      <c r="Y74" s="280"/>
      <c r="Z74" s="280"/>
      <c r="AA74" s="280"/>
      <c r="AB74" s="279">
        <f t="shared" si="113"/>
        <v>369237.8841666666</v>
      </c>
      <c r="AC74" s="293">
        <f t="shared" si="114"/>
        <v>354616.82191666664</v>
      </c>
      <c r="AD74" s="293"/>
      <c r="AE74" s="293"/>
      <c r="AF74" s="294">
        <f>_xlfn.IFNA((VLOOKUP($A74,HN!$A:$M,8,FALSE)/12),0)</f>
        <v>0</v>
      </c>
      <c r="AG74" s="294">
        <f>_xlfn.IFNA((VLOOKUP($A74,HN!$A:$M,12,FALSE)/12),0)+_xlfn.IFNA(VLOOKUP($A74,HN!$A:$Q,17,FALSE),0)</f>
        <v>0</v>
      </c>
      <c r="AH74" s="294">
        <f>_xlfn.IFNA((VLOOKUP($A74,HN!$A:$M,9,FALSE)/12),0)</f>
        <v>0</v>
      </c>
      <c r="AI74" s="294">
        <f>_xlfn.IFNA((VLOOKUP($A74,'Post 16'!$A:$AR,22,FALSE)/4),0)</f>
        <v>0</v>
      </c>
      <c r="AJ74" s="294"/>
      <c r="AK74" s="294">
        <f>_xlfn.IFNA((VLOOKUP($A74,HN!$A:$M,10,FALSE)/12),0)</f>
        <v>11525.055833333332</v>
      </c>
      <c r="AL74" s="294">
        <f>_xlfn.IFNA((VLOOKUP($A74,HN!$A:$M,13,FALSE)/12),0)</f>
        <v>0</v>
      </c>
      <c r="AM74" s="293">
        <f t="shared" si="115"/>
        <v>-1674.5249999999999</v>
      </c>
      <c r="AN74" s="293">
        <f t="shared" si="116"/>
        <v>-3890.0452499999997</v>
      </c>
      <c r="AO74" s="294"/>
      <c r="AP74" s="294"/>
      <c r="AQ74" s="294"/>
      <c r="AR74" s="293">
        <f t="shared" si="117"/>
        <v>360577.30749999994</v>
      </c>
      <c r="AS74" s="286">
        <f t="shared" si="118"/>
        <v>354616.82191666664</v>
      </c>
      <c r="AT74" s="286"/>
      <c r="AU74" s="286">
        <f>_xlfn.IFNA(VLOOKUP(A74,EY!A:AO,40,FALSE),0)</f>
        <v>0</v>
      </c>
      <c r="AV74" s="287">
        <f>_xlfn.IFNA((VLOOKUP($A74,HN!$A:$M,8,FALSE)/12),0)</f>
        <v>0</v>
      </c>
      <c r="AW74" s="287">
        <f>_xlfn.IFNA((VLOOKUP($A74,HN!$A:$M,12,FALSE)/12),0)+_xlfn.IFNA(VLOOKUP($A74,HN!$A$8:$AU$200,19,FALSE),0)</f>
        <v>0</v>
      </c>
      <c r="AX74" s="287">
        <f>_xlfn.IFNA((VLOOKUP($A74,HN!$A:$M,9,FALSE)/12),0)</f>
        <v>0</v>
      </c>
      <c r="AY74" s="287">
        <f>_xlfn.IFNA((VLOOKUP($A74,'Post 16'!$A:$AR,22,FALSE)/4),0)</f>
        <v>0</v>
      </c>
      <c r="AZ74" s="287">
        <f>_xlfn.IFNA(VLOOKUP(A74,EY!A:AO,41,FALSE),0)</f>
        <v>0</v>
      </c>
      <c r="BA74" s="287">
        <f>_xlfn.IFNA(((VLOOKUP($A74,HN!$A:$M,10,FALSE)-$U74-$AK74)/10),0)+_xlfn.IFNA(VLOOKUP($A74,HN!$A:$R,18,FALSE),0)</f>
        <v>10658.998166666664</v>
      </c>
      <c r="BB74" s="287">
        <f>_xlfn.IFNA(((VLOOKUP($A74,HN!$A:$M,13,FALSE)-$V74-$AL74)/10),0)+_xlfn.IFNA(VLOOKUP($A74,HN!$A$8:$AU$200,20,FALSE),0)</f>
        <v>0</v>
      </c>
      <c r="BC74" s="286">
        <f t="shared" si="119"/>
        <v>-1674.5249999999999</v>
      </c>
      <c r="BD74" s="286">
        <f t="shared" si="120"/>
        <v>-3890.0452499999997</v>
      </c>
      <c r="BE74" s="287"/>
      <c r="BF74" s="287"/>
      <c r="BG74" s="287"/>
      <c r="BH74" s="286">
        <f t="shared" si="121"/>
        <v>359711.24983333325</v>
      </c>
      <c r="BI74" s="307">
        <f t="shared" si="122"/>
        <v>354616.82191666664</v>
      </c>
      <c r="BJ74" s="307">
        <f>_xlfn.IFNA(VLOOKUP(A74,'LA Deductions'!A:AH,34,FALSE),0)</f>
        <v>0</v>
      </c>
      <c r="BK74" s="307"/>
      <c r="BL74" s="308">
        <f>_xlfn.IFNA((VLOOKUP($A74,HN!$A:$M,8,FALSE)/12),0)</f>
        <v>0</v>
      </c>
      <c r="BM74" s="308">
        <f>_xlfn.IFNA((VLOOKUP($A74,HN!$A:$M,12,FALSE)/12),0)</f>
        <v>0</v>
      </c>
      <c r="BN74" s="308">
        <f>_xlfn.IFNA((VLOOKUP($A74,HN!$A:$M,9,FALSE)/12),0)</f>
        <v>0</v>
      </c>
      <c r="BO74" s="308">
        <f>_xlfn.IFNA((VLOOKUP($A74,'Post 16'!$A:$AR,22,FALSE)/4),0)</f>
        <v>0</v>
      </c>
      <c r="BP74" s="308"/>
      <c r="BQ74" s="308">
        <f>_xlfn.IFNA(((VLOOKUP($A74,HN!$A:$M,10,FALSE)-$U74-$AK74)/10),0)</f>
        <v>10658.998166666664</v>
      </c>
      <c r="BR74" s="308">
        <f>_xlfn.IFNA(((VLOOKUP($A74,HN!$A:$M,13,FALSE)-$V74-$AL74)/10),0)</f>
        <v>0</v>
      </c>
      <c r="BS74" s="307">
        <f t="shared" si="123"/>
        <v>-1674.5249999999999</v>
      </c>
      <c r="BT74" s="307">
        <f t="shared" si="124"/>
        <v>-3890.0452499999997</v>
      </c>
      <c r="BU74" s="308"/>
      <c r="BV74" s="308"/>
      <c r="BW74" s="308"/>
      <c r="BX74" s="307">
        <f t="shared" si="125"/>
        <v>359711.24983333325</v>
      </c>
      <c r="BY74" s="300">
        <f t="shared" si="126"/>
        <v>354616.82191666664</v>
      </c>
      <c r="BZ74" s="300"/>
      <c r="CA74" s="300"/>
      <c r="CB74" s="301">
        <f>_xlfn.IFNA((VLOOKUP($A74,HN!$A:$M,8,FALSE)/12),0)</f>
        <v>0</v>
      </c>
      <c r="CC74" s="301">
        <f>_xlfn.IFNA((VLOOKUP($A74,HN!$A:$M,12,FALSE)/12),0)</f>
        <v>0</v>
      </c>
      <c r="CD74" s="301">
        <f>_xlfn.IFNA((VLOOKUP($A74,HN!$A:$M,9,FALSE)/12),0)</f>
        <v>0</v>
      </c>
      <c r="CE74" s="301">
        <f>_xlfn.IFNA((VLOOKUP($A74,'Post 16'!$A:$AG,33,FALSE)/8),0)</f>
        <v>0</v>
      </c>
      <c r="CF74" s="301"/>
      <c r="CG74" s="301">
        <f>_xlfn.IFNA(((VLOOKUP($A74,HN!$A:$M,10,FALSE)-$U74-$AK74)/10),0)</f>
        <v>10658.998166666664</v>
      </c>
      <c r="CH74" s="301">
        <f>_xlfn.IFNA(((VLOOKUP($A74,HN!$A:$M,13,FALSE)-$V74-$AL74)/10),0)</f>
        <v>0</v>
      </c>
      <c r="CI74" s="300">
        <f t="shared" si="127"/>
        <v>-1674.5249999999999</v>
      </c>
      <c r="CJ74" s="300">
        <f t="shared" si="128"/>
        <v>-3890.0452499999997</v>
      </c>
      <c r="CK74" s="301"/>
      <c r="CL74" s="301"/>
      <c r="CM74" s="301"/>
      <c r="CN74" s="300">
        <f t="shared" si="129"/>
        <v>359711.24983333325</v>
      </c>
      <c r="CO74" s="332">
        <f t="shared" si="130"/>
        <v>354616.82191666664</v>
      </c>
      <c r="CP74" s="332"/>
      <c r="CQ74" s="332">
        <f>_xlfn.IFNA((VLOOKUP($A74,EY!$A:$AB,28,FALSE)-$CV74),0)</f>
        <v>0</v>
      </c>
      <c r="CR74" s="333">
        <f>_xlfn.IFNA((VLOOKUP($A74,HN!$A:$M,8,FALSE)/12),0)</f>
        <v>0</v>
      </c>
      <c r="CS74" s="333">
        <f>_xlfn.IFNA((VLOOKUP($A74,HN!$A:$M,12,FALSE)/12),0)</f>
        <v>0</v>
      </c>
      <c r="CT74" s="333">
        <f>_xlfn.IFNA((VLOOKUP($A74,HN!$A:$M,9,FALSE)/12),0)</f>
        <v>0</v>
      </c>
      <c r="CU74" s="333">
        <f>_xlfn.IFNA((VLOOKUP($A74,'Post 16'!$A:$AG,33,FALSE)/8),0)</f>
        <v>0</v>
      </c>
      <c r="CV74" s="333">
        <f>_xlfn.IFNA((VLOOKUP($A74,EY!$A:$AB,26,FALSE)*80%),0)</f>
        <v>0</v>
      </c>
      <c r="CW74" s="333">
        <f>_xlfn.IFNA(((VLOOKUP($A74,HN!$A:$M,10,FALSE)-$U74-$AK74)/10),0)</f>
        <v>10658.998166666664</v>
      </c>
      <c r="CX74" s="333">
        <f>_xlfn.IFNA(((VLOOKUP($A74,HN!$A:$M,13,FALSE)-$V74-$AL74)/10),0)</f>
        <v>0</v>
      </c>
      <c r="CY74" s="332">
        <f t="shared" si="131"/>
        <v>-1674.5249999999999</v>
      </c>
      <c r="CZ74" s="332">
        <f t="shared" si="132"/>
        <v>-3890.0452499999997</v>
      </c>
      <c r="DA74" s="333"/>
      <c r="DB74" s="333"/>
      <c r="DC74" s="333"/>
      <c r="DD74" s="332">
        <f t="shared" si="133"/>
        <v>359711.24983333325</v>
      </c>
      <c r="DE74" s="314">
        <f t="shared" si="134"/>
        <v>354616.82191666664</v>
      </c>
      <c r="DF74" s="314"/>
      <c r="DG74" s="314"/>
      <c r="DH74" s="315">
        <f>_xlfn.IFNA((VLOOKUP($A74,HN!$A:$M,8,FALSE)/12),0)</f>
        <v>0</v>
      </c>
      <c r="DI74" s="315">
        <f>_xlfn.IFNA((VLOOKUP($A74,HN!$A:$M,12,FALSE)/12),0)</f>
        <v>0</v>
      </c>
      <c r="DJ74" s="315">
        <f>_xlfn.IFNA((VLOOKUP($A74,HN!$A:$M,9,FALSE)/12),0)</f>
        <v>0</v>
      </c>
      <c r="DK74" s="315">
        <f>_xlfn.IFNA((VLOOKUP($A74,'Post 16'!$A:$AG,33,FALSE)/8),0)</f>
        <v>0</v>
      </c>
      <c r="DL74" s="315"/>
      <c r="DM74" s="315">
        <f>_xlfn.IFNA(((VLOOKUP($A74,HN!$A:$M,10,FALSE)-$U74-$AK74)/10),0)</f>
        <v>10658.998166666664</v>
      </c>
      <c r="DN74" s="315">
        <f>_xlfn.IFNA(((VLOOKUP($A74,HN!$A:$M,13,FALSE)-$V74-$AL74)/10),0)</f>
        <v>0</v>
      </c>
      <c r="DO74" s="314">
        <f t="shared" si="135"/>
        <v>-1674.5249999999999</v>
      </c>
      <c r="DP74" s="314">
        <f t="shared" si="136"/>
        <v>-3890.0452499999997</v>
      </c>
      <c r="DQ74" s="315"/>
      <c r="DR74" s="315"/>
      <c r="DS74" s="315"/>
      <c r="DT74" s="314">
        <f t="shared" si="137"/>
        <v>359711.24983333325</v>
      </c>
      <c r="DU74" s="307">
        <f t="shared" si="138"/>
        <v>354616.82191666664</v>
      </c>
      <c r="DV74" s="307"/>
      <c r="DW74" s="307"/>
      <c r="DX74" s="308">
        <f>_xlfn.IFNA((VLOOKUP($A74,HN!$A:$M,8,FALSE)/12),0)</f>
        <v>0</v>
      </c>
      <c r="DY74" s="308">
        <f>_xlfn.IFNA((VLOOKUP($A74,HN!$A:$M,12,FALSE)/12),0)</f>
        <v>0</v>
      </c>
      <c r="DZ74" s="308">
        <f>_xlfn.IFNA((VLOOKUP($A74,HN!$A:$M,9,FALSE)/12),0)</f>
        <v>0</v>
      </c>
      <c r="EA74" s="308">
        <f>_xlfn.IFNA((VLOOKUP($A74,'Post 16'!$A:$AG,33,FALSE)/8),0)</f>
        <v>0</v>
      </c>
      <c r="EB74" s="308"/>
      <c r="EC74" s="308">
        <f>_xlfn.IFNA(((VLOOKUP($A74,HN!$A:$M,10,FALSE)-$U74-$AK74)/10),0)</f>
        <v>10658.998166666664</v>
      </c>
      <c r="ED74" s="308">
        <f>_xlfn.IFNA(((VLOOKUP($A74,HN!$A:$M,13,FALSE)-$V74-$AL74)/10),0)</f>
        <v>0</v>
      </c>
      <c r="EE74" s="307">
        <f t="shared" si="139"/>
        <v>-1674.5249999999999</v>
      </c>
      <c r="EF74" s="307">
        <f t="shared" si="140"/>
        <v>-3890.0452499999997</v>
      </c>
      <c r="EG74" s="308"/>
      <c r="EH74" s="308"/>
      <c r="EI74" s="308"/>
      <c r="EJ74" s="307">
        <f t="shared" si="141"/>
        <v>359711.24983333325</v>
      </c>
      <c r="EK74" s="320">
        <f t="shared" si="142"/>
        <v>354616.82191666664</v>
      </c>
      <c r="EL74" s="320"/>
      <c r="EM74" s="320"/>
      <c r="EN74" s="321">
        <f>_xlfn.IFNA((VLOOKUP($A74,HN!$A:$M,8,FALSE)/12),0)</f>
        <v>0</v>
      </c>
      <c r="EO74" s="321">
        <f>_xlfn.IFNA((VLOOKUP($A74,HN!$A:$M,12,FALSE)/12),0)</f>
        <v>0</v>
      </c>
      <c r="EP74" s="321">
        <f>_xlfn.IFNA((VLOOKUP($A74,HN!$A:$M,9,FALSE)/12),0)</f>
        <v>0</v>
      </c>
      <c r="EQ74" s="321">
        <f>_xlfn.IFNA((VLOOKUP($A74,'Post 16'!$A:$AG,33,FALSE)/8),0)</f>
        <v>0</v>
      </c>
      <c r="ER74" s="321"/>
      <c r="ES74" s="321">
        <f>_xlfn.IFNA(((VLOOKUP($A74,HN!$A:$M,10,FALSE)-$U74-$AK74)/10),0)</f>
        <v>10658.998166666664</v>
      </c>
      <c r="ET74" s="321">
        <f>_xlfn.IFNA(((VLOOKUP($A74,HN!$A:$M,13,FALSE)-$V74-$AL74)/10),0)</f>
        <v>0</v>
      </c>
      <c r="EU74" s="320">
        <f t="shared" si="143"/>
        <v>-1674.5249999999999</v>
      </c>
      <c r="EV74" s="320">
        <f t="shared" si="144"/>
        <v>-3890.0452499999997</v>
      </c>
      <c r="EW74" s="321"/>
      <c r="EX74" s="321"/>
      <c r="EY74" s="321"/>
      <c r="EZ74" s="320">
        <f t="shared" si="145"/>
        <v>359711.24983333325</v>
      </c>
      <c r="FA74" s="286">
        <f t="shared" si="146"/>
        <v>354616.82191666664</v>
      </c>
      <c r="FB74" s="286"/>
      <c r="FC74" s="286"/>
      <c r="FD74" s="287">
        <f>_xlfn.IFNA((VLOOKUP($A74,HN!$A:$M,8,FALSE)/12),0)</f>
        <v>0</v>
      </c>
      <c r="FE74" s="287">
        <f>_xlfn.IFNA((VLOOKUP($A74,HN!$A:$M,12,FALSE)/12),0)</f>
        <v>0</v>
      </c>
      <c r="FF74" s="287">
        <f>_xlfn.IFNA((VLOOKUP($A74,HN!$A:$M,9,FALSE)/12),0)</f>
        <v>0</v>
      </c>
      <c r="FG74" s="287">
        <f>_xlfn.IFNA((VLOOKUP($A74,'Post 16'!$A:$AG,33,FALSE)/8),0)</f>
        <v>0</v>
      </c>
      <c r="FH74" s="287"/>
      <c r="FI74" s="287">
        <f>_xlfn.IFNA(((VLOOKUP($A74,HN!$A:$M,10,FALSE)-$U74-$AK74)/10),0)</f>
        <v>10658.998166666664</v>
      </c>
      <c r="FJ74" s="287">
        <f>_xlfn.IFNA(((VLOOKUP($A74,HN!$A:$M,13,FALSE)-$V74-$AL74)/10),0)</f>
        <v>0</v>
      </c>
      <c r="FK74" s="286">
        <f t="shared" si="147"/>
        <v>-1674.5249999999999</v>
      </c>
      <c r="FL74" s="286">
        <f t="shared" si="148"/>
        <v>-3890.0452499999997</v>
      </c>
      <c r="FM74" s="287"/>
      <c r="FN74" s="287"/>
      <c r="FO74" s="287"/>
      <c r="FP74" s="286">
        <f t="shared" si="149"/>
        <v>359711.24983333325</v>
      </c>
      <c r="FQ74" s="293">
        <f t="shared" si="150"/>
        <v>354616.82191666664</v>
      </c>
      <c r="FR74" s="293"/>
      <c r="FS74" s="293"/>
      <c r="FT74" s="294">
        <f>_xlfn.IFNA((VLOOKUP($A74,HN!$A:$M,8,FALSE)/12),0)</f>
        <v>0</v>
      </c>
      <c r="FU74" s="294">
        <f>_xlfn.IFNA((VLOOKUP($A74,HN!$A:$M,12,FALSE)/12),0)</f>
        <v>0</v>
      </c>
      <c r="FV74" s="294">
        <f>_xlfn.IFNA((VLOOKUP($A74,HN!$A:$M,9,FALSE)/12),0)</f>
        <v>0</v>
      </c>
      <c r="FW74" s="294">
        <f>_xlfn.IFNA((VLOOKUP($A74,'Post 16'!$A:$AG,33,FALSE)/8),0)</f>
        <v>0</v>
      </c>
      <c r="FX74" s="294"/>
      <c r="FY74" s="294">
        <f>_xlfn.IFNA(((VLOOKUP($A74,HN!$A:$M,10,FALSE)-$U74-$AK74)/10),0)</f>
        <v>10658.998166666664</v>
      </c>
      <c r="FZ74" s="294">
        <f>_xlfn.IFNA(((VLOOKUP($A74,HN!$A:$M,13,FALSE)-$V74-$AL74)/10),0)</f>
        <v>0</v>
      </c>
      <c r="GA74" s="293">
        <f t="shared" si="151"/>
        <v>-1674.5249999999999</v>
      </c>
      <c r="GB74" s="293">
        <f t="shared" si="152"/>
        <v>-3890.0452499999997</v>
      </c>
      <c r="GC74" s="294"/>
      <c r="GD74" s="294"/>
      <c r="GE74" s="294"/>
      <c r="GF74" s="293">
        <f t="shared" si="153"/>
        <v>359711.24983333325</v>
      </c>
      <c r="GG74" s="300">
        <f t="shared" si="154"/>
        <v>354616.82191666664</v>
      </c>
      <c r="GH74" s="300"/>
      <c r="GI74" s="300"/>
      <c r="GJ74" s="301">
        <f>_xlfn.IFNA((VLOOKUP($A74,HN!$A:$M,8,FALSE)/12),0)</f>
        <v>0</v>
      </c>
      <c r="GK74" s="301">
        <f>_xlfn.IFNA((VLOOKUP($A74,HN!$A:$M,12,FALSE)/12),0)</f>
        <v>0</v>
      </c>
      <c r="GL74" s="301">
        <f>_xlfn.IFNA((VLOOKUP($A74,HN!$A:$M,9,FALSE)/12),0)</f>
        <v>0</v>
      </c>
      <c r="GM74" s="301">
        <f>_xlfn.IFNA((VLOOKUP($A74,'Post 16'!$A:$AG,33,FALSE)/8),0)</f>
        <v>0</v>
      </c>
      <c r="GN74" s="301"/>
      <c r="GO74" s="301">
        <f>_xlfn.IFNA(((VLOOKUP($A74,HN!$A:$M,10,FALSE)-$U74-$AK74)/10),0)</f>
        <v>10658.998166666664</v>
      </c>
      <c r="GP74" s="301">
        <f>_xlfn.IFNA(((VLOOKUP($A74,HN!$A:$M,13,FALSE)-$V74-$AL74)/10),0)</f>
        <v>0</v>
      </c>
      <c r="GQ74" s="300">
        <f t="shared" si="155"/>
        <v>-1674.5249999999999</v>
      </c>
      <c r="GR74" s="300">
        <f t="shared" si="156"/>
        <v>-3890.0452499999997</v>
      </c>
      <c r="GS74" s="301"/>
      <c r="GT74" s="301"/>
      <c r="GU74" s="301"/>
      <c r="GV74" s="300">
        <f t="shared" si="157"/>
        <v>359711.24983333325</v>
      </c>
      <c r="GX74" s="146">
        <f t="shared" si="108"/>
        <v>4255401.8630000008</v>
      </c>
      <c r="GY74" s="146">
        <f t="shared" si="108"/>
        <v>0</v>
      </c>
      <c r="GZ74" s="146">
        <f t="shared" si="108"/>
        <v>138300.66999999993</v>
      </c>
      <c r="HA74" s="146">
        <f t="shared" si="108"/>
        <v>-20094.300000000003</v>
      </c>
      <c r="HB74" s="146">
        <f t="shared" si="108"/>
        <v>-46680.543000000005</v>
      </c>
      <c r="HC74" s="146">
        <f t="shared" si="108"/>
        <v>0</v>
      </c>
      <c r="HE74" s="146">
        <f t="shared" si="109"/>
        <v>1063850.46575</v>
      </c>
      <c r="HF74" s="146">
        <f t="shared" si="109"/>
        <v>0</v>
      </c>
      <c r="HG74" s="146">
        <f t="shared" si="109"/>
        <v>42369.686499999996</v>
      </c>
      <c r="HH74" s="146">
        <f t="shared" si="109"/>
        <v>-5023.5749999999998</v>
      </c>
      <c r="HI74" s="146">
        <f t="shared" si="109"/>
        <v>-11670.135749999999</v>
      </c>
      <c r="HJ74" s="146">
        <f t="shared" si="109"/>
        <v>0</v>
      </c>
      <c r="HL74" s="146"/>
      <c r="HM74" s="57"/>
    </row>
    <row r="75" spans="1:221">
      <c r="A75" s="185">
        <v>3436</v>
      </c>
      <c r="B75" s="185">
        <v>136440</v>
      </c>
      <c r="C75" s="185" t="s">
        <v>173</v>
      </c>
      <c r="D75" s="2" t="s">
        <v>174</v>
      </c>
      <c r="E75" s="190" t="s">
        <v>39</v>
      </c>
      <c r="F75" s="190" t="s">
        <v>890</v>
      </c>
      <c r="H75" s="271">
        <f>_xlfn.IFNA(VLOOKUP($A75,ISB!$A$4:$BY$441,67,FALSE),0)</f>
        <v>980710.44858604029</v>
      </c>
      <c r="I75" s="271">
        <f>_xlfn.IFNA(VLOOKUP($A75,ISB!$A$4:$BY$441,72,FALSE),0)</f>
        <v>-3486</v>
      </c>
      <c r="J75" s="271">
        <f>-_xlfn.IFNA(VLOOKUP($A75,ISB!$A$4:$BY$441,76,FALSE),0)</f>
        <v>-4134.5518000000002</v>
      </c>
      <c r="K75" s="271">
        <f>_xlfn.IFNA(VLOOKUP($A75,ISB!$A$4:$BY$441,77,FALSE),0)</f>
        <v>973089.89678604028</v>
      </c>
      <c r="M75" s="279">
        <f t="shared" si="110"/>
        <v>81725.870715503363</v>
      </c>
      <c r="N75" s="279"/>
      <c r="O75" s="279">
        <f>_xlfn.IFNA(VLOOKUP($A75,EY!$A:$H,8,FALSE)+(VLOOKUP($A75,EY!$A:$R,18,FALSE)-$T75),0)</f>
        <v>0</v>
      </c>
      <c r="P75" s="280">
        <f>_xlfn.IFNA((VLOOKUP($A75,HN!$A:$M,8,FALSE)/12),0)</f>
        <v>0</v>
      </c>
      <c r="Q75" s="280">
        <f>_xlfn.IFNA((VLOOKUP($A75,HN!$A:$M,12,FALSE)/12),0)</f>
        <v>0</v>
      </c>
      <c r="R75" s="280">
        <f>_xlfn.IFNA((VLOOKUP($A75,HN!$A:$M,9,FALSE)/12),0)</f>
        <v>0</v>
      </c>
      <c r="S75" s="280">
        <f>_xlfn.IFNA((VLOOKUP($A75,'Post 16'!$A:$AR,22,FALSE)/4),0)</f>
        <v>0</v>
      </c>
      <c r="T75" s="280">
        <f>_xlfn.IFNA((VLOOKUP($A75,EY!$A:$R,16,FALSE)*80%),0)</f>
        <v>0</v>
      </c>
      <c r="U75" s="280">
        <v>6820</v>
      </c>
      <c r="V75" s="280">
        <v>0</v>
      </c>
      <c r="W75" s="279">
        <f t="shared" si="111"/>
        <v>-290.5</v>
      </c>
      <c r="X75" s="279">
        <f t="shared" si="112"/>
        <v>-344.54598333333337</v>
      </c>
      <c r="Y75" s="280"/>
      <c r="Z75" s="280"/>
      <c r="AA75" s="280"/>
      <c r="AB75" s="279">
        <f t="shared" si="113"/>
        <v>87910.824732170033</v>
      </c>
      <c r="AC75" s="293">
        <f t="shared" si="114"/>
        <v>81725.870715503363</v>
      </c>
      <c r="AD75" s="293"/>
      <c r="AE75" s="293"/>
      <c r="AF75" s="294">
        <f>_xlfn.IFNA((VLOOKUP($A75,HN!$A:$M,8,FALSE)/12),0)</f>
        <v>0</v>
      </c>
      <c r="AG75" s="294">
        <f>_xlfn.IFNA((VLOOKUP($A75,HN!$A:$M,12,FALSE)/12),0)+_xlfn.IFNA(VLOOKUP($A75,HN!$A:$Q,17,FALSE),0)</f>
        <v>0</v>
      </c>
      <c r="AH75" s="294">
        <f>_xlfn.IFNA((VLOOKUP($A75,HN!$A:$M,9,FALSE)/12),0)</f>
        <v>0</v>
      </c>
      <c r="AI75" s="294">
        <f>_xlfn.IFNA((VLOOKUP($A75,'Post 16'!$A:$AR,22,FALSE)/4),0)</f>
        <v>0</v>
      </c>
      <c r="AJ75" s="294"/>
      <c r="AK75" s="294">
        <f>_xlfn.IFNA((VLOOKUP($A75,HN!$A:$M,10,FALSE)/12),0)</f>
        <v>3609.8333333333335</v>
      </c>
      <c r="AL75" s="294">
        <f>_xlfn.IFNA((VLOOKUP($A75,HN!$A:$M,13,FALSE)/12),0)</f>
        <v>0</v>
      </c>
      <c r="AM75" s="293">
        <f t="shared" si="115"/>
        <v>-290.5</v>
      </c>
      <c r="AN75" s="293">
        <f t="shared" si="116"/>
        <v>-344.54598333333337</v>
      </c>
      <c r="AO75" s="294"/>
      <c r="AP75" s="294"/>
      <c r="AQ75" s="294"/>
      <c r="AR75" s="293">
        <f t="shared" si="117"/>
        <v>84700.658065503361</v>
      </c>
      <c r="AS75" s="286">
        <f t="shared" si="118"/>
        <v>81725.870715503363</v>
      </c>
      <c r="AT75" s="286"/>
      <c r="AU75" s="286">
        <f>_xlfn.IFNA(VLOOKUP(A75,EY!A:AO,40,FALSE),0)</f>
        <v>0</v>
      </c>
      <c r="AV75" s="287">
        <f>_xlfn.IFNA((VLOOKUP($A75,HN!$A:$M,8,FALSE)/12),0)</f>
        <v>0</v>
      </c>
      <c r="AW75" s="287">
        <f>_xlfn.IFNA((VLOOKUP($A75,HN!$A:$M,12,FALSE)/12),0)+_xlfn.IFNA(VLOOKUP($A75,HN!$A$8:$AU$200,19,FALSE),0)</f>
        <v>0</v>
      </c>
      <c r="AX75" s="287">
        <f>_xlfn.IFNA((VLOOKUP($A75,HN!$A:$M,9,FALSE)/12),0)</f>
        <v>0</v>
      </c>
      <c r="AY75" s="287">
        <f>_xlfn.IFNA((VLOOKUP($A75,'Post 16'!$A:$AR,22,FALSE)/4),0)</f>
        <v>0</v>
      </c>
      <c r="AZ75" s="287">
        <f>_xlfn.IFNA(VLOOKUP(A75,EY!A:AO,41,FALSE),0)</f>
        <v>0</v>
      </c>
      <c r="BA75" s="287">
        <f>_xlfn.IFNA(((VLOOKUP($A75,HN!$A:$M,10,FALSE)-$U75-$AK75)/10),0)+_xlfn.IFNA(VLOOKUP($A75,HN!$A:$R,18,FALSE),0)</f>
        <v>3288.8166666666666</v>
      </c>
      <c r="BB75" s="287">
        <f>_xlfn.IFNA(((VLOOKUP($A75,HN!$A:$M,13,FALSE)-$V75-$AL75)/10),0)+_xlfn.IFNA(VLOOKUP($A75,HN!$A$8:$AU$200,20,FALSE),0)</f>
        <v>0</v>
      </c>
      <c r="BC75" s="286">
        <f t="shared" si="119"/>
        <v>-290.5</v>
      </c>
      <c r="BD75" s="286">
        <f t="shared" si="120"/>
        <v>-344.54598333333337</v>
      </c>
      <c r="BE75" s="287"/>
      <c r="BF75" s="287"/>
      <c r="BG75" s="287"/>
      <c r="BH75" s="286">
        <f t="shared" si="121"/>
        <v>84379.641398836698</v>
      </c>
      <c r="BI75" s="307">
        <f t="shared" si="122"/>
        <v>81725.870715503363</v>
      </c>
      <c r="BJ75" s="307">
        <f>_xlfn.IFNA(VLOOKUP(A75,'LA Deductions'!A:AH,34,FALSE),0)</f>
        <v>0</v>
      </c>
      <c r="BK75" s="307"/>
      <c r="BL75" s="308">
        <f>_xlfn.IFNA((VLOOKUP($A75,HN!$A:$M,8,FALSE)/12),0)</f>
        <v>0</v>
      </c>
      <c r="BM75" s="308">
        <f>_xlfn.IFNA((VLOOKUP($A75,HN!$A:$M,12,FALSE)/12),0)</f>
        <v>0</v>
      </c>
      <c r="BN75" s="308">
        <f>_xlfn.IFNA((VLOOKUP($A75,HN!$A:$M,9,FALSE)/12),0)</f>
        <v>0</v>
      </c>
      <c r="BO75" s="308">
        <f>_xlfn.IFNA((VLOOKUP($A75,'Post 16'!$A:$AR,22,FALSE)/4),0)</f>
        <v>0</v>
      </c>
      <c r="BP75" s="308"/>
      <c r="BQ75" s="308">
        <f>_xlfn.IFNA(((VLOOKUP($A75,HN!$A:$M,10,FALSE)-$U75-$AK75)/10),0)</f>
        <v>3288.8166666666666</v>
      </c>
      <c r="BR75" s="308">
        <f>_xlfn.IFNA(((VLOOKUP($A75,HN!$A:$M,13,FALSE)-$V75-$AL75)/10),0)</f>
        <v>0</v>
      </c>
      <c r="BS75" s="307">
        <f t="shared" si="123"/>
        <v>-290.5</v>
      </c>
      <c r="BT75" s="307">
        <f t="shared" si="124"/>
        <v>-344.54598333333337</v>
      </c>
      <c r="BU75" s="308"/>
      <c r="BV75" s="308"/>
      <c r="BW75" s="308"/>
      <c r="BX75" s="307">
        <f t="shared" si="125"/>
        <v>84379.641398836698</v>
      </c>
      <c r="BY75" s="300">
        <f t="shared" si="126"/>
        <v>81725.870715503363</v>
      </c>
      <c r="BZ75" s="300"/>
      <c r="CA75" s="300"/>
      <c r="CB75" s="301">
        <f>_xlfn.IFNA((VLOOKUP($A75,HN!$A:$M,8,FALSE)/12),0)</f>
        <v>0</v>
      </c>
      <c r="CC75" s="301">
        <f>_xlfn.IFNA((VLOOKUP($A75,HN!$A:$M,12,FALSE)/12),0)</f>
        <v>0</v>
      </c>
      <c r="CD75" s="301">
        <f>_xlfn.IFNA((VLOOKUP($A75,HN!$A:$M,9,FALSE)/12),0)</f>
        <v>0</v>
      </c>
      <c r="CE75" s="301">
        <f>_xlfn.IFNA((VLOOKUP($A75,'Post 16'!$A:$AG,33,FALSE)/8),0)</f>
        <v>0</v>
      </c>
      <c r="CF75" s="301"/>
      <c r="CG75" s="301">
        <f>_xlfn.IFNA(((VLOOKUP($A75,HN!$A:$M,10,FALSE)-$U75-$AK75)/10),0)</f>
        <v>3288.8166666666666</v>
      </c>
      <c r="CH75" s="301">
        <f>_xlfn.IFNA(((VLOOKUP($A75,HN!$A:$M,13,FALSE)-$V75-$AL75)/10),0)</f>
        <v>0</v>
      </c>
      <c r="CI75" s="300">
        <f t="shared" si="127"/>
        <v>-290.5</v>
      </c>
      <c r="CJ75" s="300">
        <f t="shared" si="128"/>
        <v>-344.54598333333337</v>
      </c>
      <c r="CK75" s="301"/>
      <c r="CL75" s="301"/>
      <c r="CM75" s="301"/>
      <c r="CN75" s="300">
        <f t="shared" si="129"/>
        <v>84379.641398836698</v>
      </c>
      <c r="CO75" s="332">
        <f t="shared" si="130"/>
        <v>81725.870715503363</v>
      </c>
      <c r="CP75" s="332"/>
      <c r="CQ75" s="332">
        <f>_xlfn.IFNA((VLOOKUP($A75,EY!$A:$AB,28,FALSE)-$CV75),0)</f>
        <v>0</v>
      </c>
      <c r="CR75" s="333">
        <f>_xlfn.IFNA((VLOOKUP($A75,HN!$A:$M,8,FALSE)/12),0)</f>
        <v>0</v>
      </c>
      <c r="CS75" s="333">
        <f>_xlfn.IFNA((VLOOKUP($A75,HN!$A:$M,12,FALSE)/12),0)</f>
        <v>0</v>
      </c>
      <c r="CT75" s="333">
        <f>_xlfn.IFNA((VLOOKUP($A75,HN!$A:$M,9,FALSE)/12),0)</f>
        <v>0</v>
      </c>
      <c r="CU75" s="333">
        <f>_xlfn.IFNA((VLOOKUP($A75,'Post 16'!$A:$AG,33,FALSE)/8),0)</f>
        <v>0</v>
      </c>
      <c r="CV75" s="333">
        <f>_xlfn.IFNA((VLOOKUP($A75,EY!$A:$AB,26,FALSE)*80%),0)</f>
        <v>0</v>
      </c>
      <c r="CW75" s="333">
        <f>_xlfn.IFNA(((VLOOKUP($A75,HN!$A:$M,10,FALSE)-$U75-$AK75)/10),0)</f>
        <v>3288.8166666666666</v>
      </c>
      <c r="CX75" s="333">
        <f>_xlfn.IFNA(((VLOOKUP($A75,HN!$A:$M,13,FALSE)-$V75-$AL75)/10),0)</f>
        <v>0</v>
      </c>
      <c r="CY75" s="332">
        <f t="shared" si="131"/>
        <v>-290.5</v>
      </c>
      <c r="CZ75" s="332">
        <f t="shared" si="132"/>
        <v>-344.54598333333337</v>
      </c>
      <c r="DA75" s="333"/>
      <c r="DB75" s="333"/>
      <c r="DC75" s="333"/>
      <c r="DD75" s="332">
        <f t="shared" si="133"/>
        <v>84379.641398836698</v>
      </c>
      <c r="DE75" s="314">
        <f t="shared" si="134"/>
        <v>81725.870715503363</v>
      </c>
      <c r="DF75" s="314"/>
      <c r="DG75" s="314"/>
      <c r="DH75" s="315">
        <f>_xlfn.IFNA((VLOOKUP($A75,HN!$A:$M,8,FALSE)/12),0)</f>
        <v>0</v>
      </c>
      <c r="DI75" s="315">
        <f>_xlfn.IFNA((VLOOKUP($A75,HN!$A:$M,12,FALSE)/12),0)</f>
        <v>0</v>
      </c>
      <c r="DJ75" s="315">
        <f>_xlfn.IFNA((VLOOKUP($A75,HN!$A:$M,9,FALSE)/12),0)</f>
        <v>0</v>
      </c>
      <c r="DK75" s="315">
        <f>_xlfn.IFNA((VLOOKUP($A75,'Post 16'!$A:$AG,33,FALSE)/8),0)</f>
        <v>0</v>
      </c>
      <c r="DL75" s="315"/>
      <c r="DM75" s="315">
        <f>_xlfn.IFNA(((VLOOKUP($A75,HN!$A:$M,10,FALSE)-$U75-$AK75)/10),0)</f>
        <v>3288.8166666666666</v>
      </c>
      <c r="DN75" s="315">
        <f>_xlfn.IFNA(((VLOOKUP($A75,HN!$A:$M,13,FALSE)-$V75-$AL75)/10),0)</f>
        <v>0</v>
      </c>
      <c r="DO75" s="314">
        <f t="shared" si="135"/>
        <v>-290.5</v>
      </c>
      <c r="DP75" s="314">
        <f t="shared" si="136"/>
        <v>-344.54598333333337</v>
      </c>
      <c r="DQ75" s="315"/>
      <c r="DR75" s="315"/>
      <c r="DS75" s="315"/>
      <c r="DT75" s="314">
        <f t="shared" si="137"/>
        <v>84379.641398836698</v>
      </c>
      <c r="DU75" s="307">
        <f t="shared" si="138"/>
        <v>81725.870715503363</v>
      </c>
      <c r="DV75" s="307"/>
      <c r="DW75" s="307"/>
      <c r="DX75" s="308">
        <f>_xlfn.IFNA((VLOOKUP($A75,HN!$A:$M,8,FALSE)/12),0)</f>
        <v>0</v>
      </c>
      <c r="DY75" s="308">
        <f>_xlfn.IFNA((VLOOKUP($A75,HN!$A:$M,12,FALSE)/12),0)</f>
        <v>0</v>
      </c>
      <c r="DZ75" s="308">
        <f>_xlfn.IFNA((VLOOKUP($A75,HN!$A:$M,9,FALSE)/12),0)</f>
        <v>0</v>
      </c>
      <c r="EA75" s="308">
        <f>_xlfn.IFNA((VLOOKUP($A75,'Post 16'!$A:$AG,33,FALSE)/8),0)</f>
        <v>0</v>
      </c>
      <c r="EB75" s="308"/>
      <c r="EC75" s="308">
        <f>_xlfn.IFNA(((VLOOKUP($A75,HN!$A:$M,10,FALSE)-$U75-$AK75)/10),0)</f>
        <v>3288.8166666666666</v>
      </c>
      <c r="ED75" s="308">
        <f>_xlfn.IFNA(((VLOOKUP($A75,HN!$A:$M,13,FALSE)-$V75-$AL75)/10),0)</f>
        <v>0</v>
      </c>
      <c r="EE75" s="307">
        <f t="shared" si="139"/>
        <v>-290.5</v>
      </c>
      <c r="EF75" s="307">
        <f t="shared" si="140"/>
        <v>-344.54598333333337</v>
      </c>
      <c r="EG75" s="308"/>
      <c r="EH75" s="308"/>
      <c r="EI75" s="308"/>
      <c r="EJ75" s="307">
        <f t="shared" si="141"/>
        <v>84379.641398836698</v>
      </c>
      <c r="EK75" s="320">
        <f t="shared" si="142"/>
        <v>81725.870715503363</v>
      </c>
      <c r="EL75" s="320"/>
      <c r="EM75" s="320"/>
      <c r="EN75" s="321">
        <f>_xlfn.IFNA((VLOOKUP($A75,HN!$A:$M,8,FALSE)/12),0)</f>
        <v>0</v>
      </c>
      <c r="EO75" s="321">
        <f>_xlfn.IFNA((VLOOKUP($A75,HN!$A:$M,12,FALSE)/12),0)</f>
        <v>0</v>
      </c>
      <c r="EP75" s="321">
        <f>_xlfn.IFNA((VLOOKUP($A75,HN!$A:$M,9,FALSE)/12),0)</f>
        <v>0</v>
      </c>
      <c r="EQ75" s="321">
        <f>_xlfn.IFNA((VLOOKUP($A75,'Post 16'!$A:$AG,33,FALSE)/8),0)</f>
        <v>0</v>
      </c>
      <c r="ER75" s="321"/>
      <c r="ES75" s="321">
        <f>_xlfn.IFNA(((VLOOKUP($A75,HN!$A:$M,10,FALSE)-$U75-$AK75)/10),0)</f>
        <v>3288.8166666666666</v>
      </c>
      <c r="ET75" s="321">
        <f>_xlfn.IFNA(((VLOOKUP($A75,HN!$A:$M,13,FALSE)-$V75-$AL75)/10),0)</f>
        <v>0</v>
      </c>
      <c r="EU75" s="320">
        <f t="shared" si="143"/>
        <v>-290.5</v>
      </c>
      <c r="EV75" s="320">
        <f t="shared" si="144"/>
        <v>-344.54598333333337</v>
      </c>
      <c r="EW75" s="321"/>
      <c r="EX75" s="321"/>
      <c r="EY75" s="321"/>
      <c r="EZ75" s="320">
        <f t="shared" si="145"/>
        <v>84379.641398836698</v>
      </c>
      <c r="FA75" s="286">
        <f t="shared" si="146"/>
        <v>81725.870715503363</v>
      </c>
      <c r="FB75" s="286"/>
      <c r="FC75" s="286"/>
      <c r="FD75" s="287">
        <f>_xlfn.IFNA((VLOOKUP($A75,HN!$A:$M,8,FALSE)/12),0)</f>
        <v>0</v>
      </c>
      <c r="FE75" s="287">
        <f>_xlfn.IFNA((VLOOKUP($A75,HN!$A:$M,12,FALSE)/12),0)</f>
        <v>0</v>
      </c>
      <c r="FF75" s="287">
        <f>_xlfn.IFNA((VLOOKUP($A75,HN!$A:$M,9,FALSE)/12),0)</f>
        <v>0</v>
      </c>
      <c r="FG75" s="287">
        <f>_xlfn.IFNA((VLOOKUP($A75,'Post 16'!$A:$AG,33,FALSE)/8),0)</f>
        <v>0</v>
      </c>
      <c r="FH75" s="287"/>
      <c r="FI75" s="287">
        <f>_xlfn.IFNA(((VLOOKUP($A75,HN!$A:$M,10,FALSE)-$U75-$AK75)/10),0)</f>
        <v>3288.8166666666666</v>
      </c>
      <c r="FJ75" s="287">
        <f>_xlfn.IFNA(((VLOOKUP($A75,HN!$A:$M,13,FALSE)-$V75-$AL75)/10),0)</f>
        <v>0</v>
      </c>
      <c r="FK75" s="286">
        <f t="shared" si="147"/>
        <v>-290.5</v>
      </c>
      <c r="FL75" s="286">
        <f t="shared" si="148"/>
        <v>-344.54598333333337</v>
      </c>
      <c r="FM75" s="287"/>
      <c r="FN75" s="287"/>
      <c r="FO75" s="287"/>
      <c r="FP75" s="286">
        <f t="shared" si="149"/>
        <v>84379.641398836698</v>
      </c>
      <c r="FQ75" s="293">
        <f t="shared" si="150"/>
        <v>81725.870715503363</v>
      </c>
      <c r="FR75" s="293"/>
      <c r="FS75" s="293"/>
      <c r="FT75" s="294">
        <f>_xlfn.IFNA((VLOOKUP($A75,HN!$A:$M,8,FALSE)/12),0)</f>
        <v>0</v>
      </c>
      <c r="FU75" s="294">
        <f>_xlfn.IFNA((VLOOKUP($A75,HN!$A:$M,12,FALSE)/12),0)</f>
        <v>0</v>
      </c>
      <c r="FV75" s="294">
        <f>_xlfn.IFNA((VLOOKUP($A75,HN!$A:$M,9,FALSE)/12),0)</f>
        <v>0</v>
      </c>
      <c r="FW75" s="294">
        <f>_xlfn.IFNA((VLOOKUP($A75,'Post 16'!$A:$AG,33,FALSE)/8),0)</f>
        <v>0</v>
      </c>
      <c r="FX75" s="294"/>
      <c r="FY75" s="294">
        <f>_xlfn.IFNA(((VLOOKUP($A75,HN!$A:$M,10,FALSE)-$U75-$AK75)/10),0)</f>
        <v>3288.8166666666666</v>
      </c>
      <c r="FZ75" s="294">
        <f>_xlfn.IFNA(((VLOOKUP($A75,HN!$A:$M,13,FALSE)-$V75-$AL75)/10),0)</f>
        <v>0</v>
      </c>
      <c r="GA75" s="293">
        <f t="shared" si="151"/>
        <v>-290.5</v>
      </c>
      <c r="GB75" s="293">
        <f t="shared" si="152"/>
        <v>-344.54598333333337</v>
      </c>
      <c r="GC75" s="294"/>
      <c r="GD75" s="294"/>
      <c r="GE75" s="294"/>
      <c r="GF75" s="293">
        <f t="shared" si="153"/>
        <v>84379.641398836698</v>
      </c>
      <c r="GG75" s="300">
        <f t="shared" si="154"/>
        <v>81725.870715503363</v>
      </c>
      <c r="GH75" s="300"/>
      <c r="GI75" s="300"/>
      <c r="GJ75" s="301">
        <f>_xlfn.IFNA((VLOOKUP($A75,HN!$A:$M,8,FALSE)/12),0)</f>
        <v>0</v>
      </c>
      <c r="GK75" s="301">
        <f>_xlfn.IFNA((VLOOKUP($A75,HN!$A:$M,12,FALSE)/12),0)</f>
        <v>0</v>
      </c>
      <c r="GL75" s="301">
        <f>_xlfn.IFNA((VLOOKUP($A75,HN!$A:$M,9,FALSE)/12),0)</f>
        <v>0</v>
      </c>
      <c r="GM75" s="301">
        <f>_xlfn.IFNA((VLOOKUP($A75,'Post 16'!$A:$AG,33,FALSE)/8),0)</f>
        <v>0</v>
      </c>
      <c r="GN75" s="301"/>
      <c r="GO75" s="301">
        <f>_xlfn.IFNA(((VLOOKUP($A75,HN!$A:$M,10,FALSE)-$U75-$AK75)/10),0)</f>
        <v>3288.8166666666666</v>
      </c>
      <c r="GP75" s="301">
        <f>_xlfn.IFNA(((VLOOKUP($A75,HN!$A:$M,13,FALSE)-$V75-$AL75)/10),0)</f>
        <v>0</v>
      </c>
      <c r="GQ75" s="300">
        <f t="shared" si="155"/>
        <v>-290.5</v>
      </c>
      <c r="GR75" s="300">
        <f t="shared" si="156"/>
        <v>-344.54598333333337</v>
      </c>
      <c r="GS75" s="301"/>
      <c r="GT75" s="301"/>
      <c r="GU75" s="301"/>
      <c r="GV75" s="300">
        <f t="shared" si="157"/>
        <v>84379.641398836698</v>
      </c>
      <c r="GX75" s="146">
        <f t="shared" si="108"/>
        <v>980710.44858604029</v>
      </c>
      <c r="GY75" s="146">
        <f t="shared" si="108"/>
        <v>0</v>
      </c>
      <c r="GZ75" s="146">
        <f t="shared" si="108"/>
        <v>43317.999999999993</v>
      </c>
      <c r="HA75" s="146">
        <f t="shared" si="108"/>
        <v>-3486</v>
      </c>
      <c r="HB75" s="146">
        <f t="shared" si="108"/>
        <v>-4134.5518000000002</v>
      </c>
      <c r="HC75" s="146">
        <f t="shared" si="108"/>
        <v>0</v>
      </c>
      <c r="HE75" s="146">
        <f t="shared" si="109"/>
        <v>245177.6121465101</v>
      </c>
      <c r="HF75" s="146">
        <f t="shared" si="109"/>
        <v>0</v>
      </c>
      <c r="HG75" s="146">
        <f t="shared" si="109"/>
        <v>13718.650000000001</v>
      </c>
      <c r="HH75" s="146">
        <f t="shared" si="109"/>
        <v>-871.5</v>
      </c>
      <c r="HI75" s="146">
        <f t="shared" si="109"/>
        <v>-1033.63795</v>
      </c>
      <c r="HJ75" s="146">
        <f t="shared" si="109"/>
        <v>0</v>
      </c>
      <c r="HL75" s="146"/>
      <c r="HM75" s="57"/>
    </row>
    <row r="76" spans="1:221">
      <c r="A76" s="185">
        <v>2099</v>
      </c>
      <c r="B76" s="185">
        <v>103214</v>
      </c>
      <c r="C76" s="185" t="s">
        <v>175</v>
      </c>
      <c r="D76" s="2" t="s">
        <v>176</v>
      </c>
      <c r="E76" s="190" t="s">
        <v>39</v>
      </c>
      <c r="F76" s="190" t="s">
        <v>890</v>
      </c>
      <c r="H76" s="271">
        <f>_xlfn.IFNA(VLOOKUP($A76,ISB!$A$4:$BY$441,67,FALSE),0)</f>
        <v>1468103.1397365001</v>
      </c>
      <c r="I76" s="271">
        <f>_xlfn.IFNA(VLOOKUP($A76,ISB!$A$4:$BY$441,72,FALSE),0)</f>
        <v>-5204.0999999999995</v>
      </c>
      <c r="J76" s="271">
        <f>-_xlfn.IFNA(VLOOKUP($A76,ISB!$A$4:$BY$441,76,FALSE),0)</f>
        <v>-20936.106400000001</v>
      </c>
      <c r="K76" s="271">
        <f>_xlfn.IFNA(VLOOKUP($A76,ISB!$A$4:$BY$441,77,FALSE),0)</f>
        <v>1441962.9333365001</v>
      </c>
      <c r="M76" s="279">
        <f t="shared" si="110"/>
        <v>122341.92831137501</v>
      </c>
      <c r="N76" s="279"/>
      <c r="O76" s="279">
        <f>_xlfn.IFNA(VLOOKUP($A76,EY!$A:$H,8,FALSE)+(VLOOKUP($A76,EY!$A:$R,18,FALSE)-$T76),0)</f>
        <v>27958.320000000007</v>
      </c>
      <c r="P76" s="280">
        <f>_xlfn.IFNA((VLOOKUP($A76,HN!$A:$M,8,FALSE)/12),0)</f>
        <v>0</v>
      </c>
      <c r="Q76" s="280">
        <f>_xlfn.IFNA((VLOOKUP($A76,HN!$A:$M,12,FALSE)/12),0)</f>
        <v>6000</v>
      </c>
      <c r="R76" s="280">
        <f>_xlfn.IFNA((VLOOKUP($A76,HN!$A:$M,9,FALSE)/12),0)</f>
        <v>0</v>
      </c>
      <c r="S76" s="280">
        <f>_xlfn.IFNA((VLOOKUP($A76,'Post 16'!$A:$AR,22,FALSE)/4),0)</f>
        <v>0</v>
      </c>
      <c r="T76" s="280">
        <f>_xlfn.IFNA((VLOOKUP($A76,EY!$A:$R,16,FALSE)*80%),0)</f>
        <v>0</v>
      </c>
      <c r="U76" s="280">
        <v>0</v>
      </c>
      <c r="V76" s="280">
        <v>14012.63</v>
      </c>
      <c r="W76" s="279">
        <f t="shared" si="111"/>
        <v>-433.67499999999995</v>
      </c>
      <c r="X76" s="279">
        <f t="shared" si="112"/>
        <v>-1744.6755333333333</v>
      </c>
      <c r="Y76" s="280"/>
      <c r="Z76" s="280"/>
      <c r="AA76" s="280"/>
      <c r="AB76" s="279">
        <f t="shared" si="113"/>
        <v>168134.52777804172</v>
      </c>
      <c r="AC76" s="293">
        <f t="shared" si="114"/>
        <v>122341.92831137501</v>
      </c>
      <c r="AD76" s="293"/>
      <c r="AE76" s="293"/>
      <c r="AF76" s="294">
        <f>_xlfn.IFNA((VLOOKUP($A76,HN!$A:$M,8,FALSE)/12),0)</f>
        <v>0</v>
      </c>
      <c r="AG76" s="294">
        <f>_xlfn.IFNA((VLOOKUP($A76,HN!$A:$M,12,FALSE)/12),0)+_xlfn.IFNA(VLOOKUP($A76,HN!$A:$Q,17,FALSE),0)</f>
        <v>6000</v>
      </c>
      <c r="AH76" s="294">
        <f>_xlfn.IFNA((VLOOKUP($A76,HN!$A:$M,9,FALSE)/12),0)</f>
        <v>0</v>
      </c>
      <c r="AI76" s="294">
        <f>_xlfn.IFNA((VLOOKUP($A76,'Post 16'!$A:$AR,22,FALSE)/4),0)</f>
        <v>0</v>
      </c>
      <c r="AJ76" s="294"/>
      <c r="AK76" s="294">
        <f>_xlfn.IFNA((VLOOKUP($A76,HN!$A:$M,10,FALSE)/12),0)</f>
        <v>0</v>
      </c>
      <c r="AL76" s="294">
        <f>_xlfn.IFNA((VLOOKUP($A76,HN!$A:$M,13,FALSE)/12),0)</f>
        <v>11992.594999999999</v>
      </c>
      <c r="AM76" s="293">
        <f t="shared" si="115"/>
        <v>-433.67499999999995</v>
      </c>
      <c r="AN76" s="293">
        <f t="shared" si="116"/>
        <v>-1744.6755333333333</v>
      </c>
      <c r="AO76" s="294"/>
      <c r="AP76" s="294"/>
      <c r="AQ76" s="294"/>
      <c r="AR76" s="293">
        <f t="shared" si="117"/>
        <v>138156.17277804168</v>
      </c>
      <c r="AS76" s="286">
        <f t="shared" si="118"/>
        <v>122341.92831137501</v>
      </c>
      <c r="AT76" s="286"/>
      <c r="AU76" s="286">
        <f>_xlfn.IFNA(VLOOKUP(A76,EY!A:AO,40,FALSE),0)</f>
        <v>-4266.0248476454262</v>
      </c>
      <c r="AV76" s="287">
        <f>_xlfn.IFNA((VLOOKUP($A76,HN!$A:$M,8,FALSE)/12),0)</f>
        <v>0</v>
      </c>
      <c r="AW76" s="287">
        <f>_xlfn.IFNA((VLOOKUP($A76,HN!$A:$M,12,FALSE)/12),0)+_xlfn.IFNA(VLOOKUP($A76,HN!$A$8:$AU$200,19,FALSE),0)</f>
        <v>6000</v>
      </c>
      <c r="AX76" s="287">
        <f>_xlfn.IFNA((VLOOKUP($A76,HN!$A:$M,9,FALSE)/12),0)</f>
        <v>0</v>
      </c>
      <c r="AY76" s="287">
        <f>_xlfn.IFNA((VLOOKUP($A76,'Post 16'!$A:$AR,22,FALSE)/4),0)</f>
        <v>0</v>
      </c>
      <c r="AZ76" s="287">
        <f>_xlfn.IFNA(VLOOKUP(A76,EY!A:AO,41,FALSE),0)</f>
        <v>0</v>
      </c>
      <c r="BA76" s="287">
        <f>_xlfn.IFNA(((VLOOKUP($A76,HN!$A:$M,10,FALSE)-$U76-$AK76)/10),0)+_xlfn.IFNA(VLOOKUP($A76,HN!$A:$R,18,FALSE),0)</f>
        <v>0</v>
      </c>
      <c r="BB76" s="287">
        <f>_xlfn.IFNA(((VLOOKUP($A76,HN!$A:$M,13,FALSE)-$V76-$AL76)/10),0)+_xlfn.IFNA(VLOOKUP($A76,HN!$A$8:$AU$200,20,FALSE),0)</f>
        <v>11790.591499999999</v>
      </c>
      <c r="BC76" s="286">
        <f t="shared" si="119"/>
        <v>-433.67499999999995</v>
      </c>
      <c r="BD76" s="286">
        <f t="shared" si="120"/>
        <v>-1744.6755333333333</v>
      </c>
      <c r="BE76" s="287"/>
      <c r="BF76" s="287"/>
      <c r="BG76" s="287"/>
      <c r="BH76" s="286">
        <f t="shared" si="121"/>
        <v>133688.14443039626</v>
      </c>
      <c r="BI76" s="307">
        <f t="shared" si="122"/>
        <v>122341.92831137501</v>
      </c>
      <c r="BJ76" s="307">
        <f>_xlfn.IFNA(VLOOKUP(A76,'LA Deductions'!A:AH,34,FALSE),0)</f>
        <v>-2800</v>
      </c>
      <c r="BK76" s="307"/>
      <c r="BL76" s="308">
        <f>_xlfn.IFNA((VLOOKUP($A76,HN!$A:$M,8,FALSE)/12),0)</f>
        <v>0</v>
      </c>
      <c r="BM76" s="308">
        <f>_xlfn.IFNA((VLOOKUP($A76,HN!$A:$M,12,FALSE)/12),0)</f>
        <v>6000</v>
      </c>
      <c r="BN76" s="308">
        <f>_xlfn.IFNA((VLOOKUP($A76,HN!$A:$M,9,FALSE)/12),0)</f>
        <v>0</v>
      </c>
      <c r="BO76" s="308">
        <f>_xlfn.IFNA((VLOOKUP($A76,'Post 16'!$A:$AR,22,FALSE)/4),0)</f>
        <v>0</v>
      </c>
      <c r="BP76" s="308"/>
      <c r="BQ76" s="308">
        <f>_xlfn.IFNA(((VLOOKUP($A76,HN!$A:$M,10,FALSE)-$U76-$AK76)/10),0)</f>
        <v>0</v>
      </c>
      <c r="BR76" s="308">
        <f>_xlfn.IFNA(((VLOOKUP($A76,HN!$A:$M,13,FALSE)-$V76-$AL76)/10),0)</f>
        <v>11790.591499999999</v>
      </c>
      <c r="BS76" s="307">
        <f t="shared" si="123"/>
        <v>-433.67499999999995</v>
      </c>
      <c r="BT76" s="307">
        <f t="shared" si="124"/>
        <v>-1744.6755333333333</v>
      </c>
      <c r="BU76" s="308"/>
      <c r="BV76" s="308"/>
      <c r="BW76" s="308"/>
      <c r="BX76" s="307">
        <f t="shared" si="125"/>
        <v>135154.16927804169</v>
      </c>
      <c r="BY76" s="300">
        <f t="shared" si="126"/>
        <v>122341.92831137501</v>
      </c>
      <c r="BZ76" s="300"/>
      <c r="CA76" s="300"/>
      <c r="CB76" s="301">
        <f>_xlfn.IFNA((VLOOKUP($A76,HN!$A:$M,8,FALSE)/12),0)</f>
        <v>0</v>
      </c>
      <c r="CC76" s="301">
        <f>_xlfn.IFNA((VLOOKUP($A76,HN!$A:$M,12,FALSE)/12),0)</f>
        <v>6000</v>
      </c>
      <c r="CD76" s="301">
        <f>_xlfn.IFNA((VLOOKUP($A76,HN!$A:$M,9,FALSE)/12),0)</f>
        <v>0</v>
      </c>
      <c r="CE76" s="301">
        <f>_xlfn.IFNA((VLOOKUP($A76,'Post 16'!$A:$AG,33,FALSE)/8),0)</f>
        <v>0</v>
      </c>
      <c r="CF76" s="301"/>
      <c r="CG76" s="301">
        <f>_xlfn.IFNA(((VLOOKUP($A76,HN!$A:$M,10,FALSE)-$U76-$AK76)/10),0)</f>
        <v>0</v>
      </c>
      <c r="CH76" s="301">
        <f>_xlfn.IFNA(((VLOOKUP($A76,HN!$A:$M,13,FALSE)-$V76-$AL76)/10),0)</f>
        <v>11790.591499999999</v>
      </c>
      <c r="CI76" s="300">
        <f t="shared" si="127"/>
        <v>-433.67499999999995</v>
      </c>
      <c r="CJ76" s="300">
        <f t="shared" si="128"/>
        <v>-1744.6755333333333</v>
      </c>
      <c r="CK76" s="301"/>
      <c r="CL76" s="301"/>
      <c r="CM76" s="301"/>
      <c r="CN76" s="300">
        <f t="shared" si="129"/>
        <v>137954.16927804169</v>
      </c>
      <c r="CO76" s="332">
        <f t="shared" si="130"/>
        <v>122341.92831137501</v>
      </c>
      <c r="CP76" s="332"/>
      <c r="CQ76" s="332">
        <f>_xlfn.IFNA((VLOOKUP($A76,EY!$A:$AB,28,FALSE)-$CV76),0)</f>
        <v>13605.280000000002</v>
      </c>
      <c r="CR76" s="333">
        <f>_xlfn.IFNA((VLOOKUP($A76,HN!$A:$M,8,FALSE)/12),0)</f>
        <v>0</v>
      </c>
      <c r="CS76" s="333">
        <f>_xlfn.IFNA((VLOOKUP($A76,HN!$A:$M,12,FALSE)/12),0)</f>
        <v>6000</v>
      </c>
      <c r="CT76" s="333">
        <f>_xlfn.IFNA((VLOOKUP($A76,HN!$A:$M,9,FALSE)/12),0)</f>
        <v>0</v>
      </c>
      <c r="CU76" s="333">
        <f>_xlfn.IFNA((VLOOKUP($A76,'Post 16'!$A:$AG,33,FALSE)/8),0)</f>
        <v>0</v>
      </c>
      <c r="CV76" s="333">
        <f>_xlfn.IFNA((VLOOKUP($A76,EY!$A:$AB,26,FALSE)*80%),0)</f>
        <v>0</v>
      </c>
      <c r="CW76" s="333">
        <f>_xlfn.IFNA(((VLOOKUP($A76,HN!$A:$M,10,FALSE)-$U76-$AK76)/10),0)</f>
        <v>0</v>
      </c>
      <c r="CX76" s="333">
        <f>_xlfn.IFNA(((VLOOKUP($A76,HN!$A:$M,13,FALSE)-$V76-$AL76)/10),0)</f>
        <v>11790.591499999999</v>
      </c>
      <c r="CY76" s="332">
        <f t="shared" si="131"/>
        <v>-433.67499999999995</v>
      </c>
      <c r="CZ76" s="332">
        <f t="shared" si="132"/>
        <v>-1744.6755333333333</v>
      </c>
      <c r="DA76" s="333"/>
      <c r="DB76" s="333"/>
      <c r="DC76" s="333"/>
      <c r="DD76" s="332">
        <f t="shared" si="133"/>
        <v>151559.44927804172</v>
      </c>
      <c r="DE76" s="314">
        <f t="shared" si="134"/>
        <v>122341.92831137501</v>
      </c>
      <c r="DF76" s="314"/>
      <c r="DG76" s="314"/>
      <c r="DH76" s="315">
        <f>_xlfn.IFNA((VLOOKUP($A76,HN!$A:$M,8,FALSE)/12),0)</f>
        <v>0</v>
      </c>
      <c r="DI76" s="315">
        <f>_xlfn.IFNA((VLOOKUP($A76,HN!$A:$M,12,FALSE)/12),0)</f>
        <v>6000</v>
      </c>
      <c r="DJ76" s="315">
        <f>_xlfn.IFNA((VLOOKUP($A76,HN!$A:$M,9,FALSE)/12),0)</f>
        <v>0</v>
      </c>
      <c r="DK76" s="315">
        <f>_xlfn.IFNA((VLOOKUP($A76,'Post 16'!$A:$AG,33,FALSE)/8),0)</f>
        <v>0</v>
      </c>
      <c r="DL76" s="315"/>
      <c r="DM76" s="315">
        <f>_xlfn.IFNA(((VLOOKUP($A76,HN!$A:$M,10,FALSE)-$U76-$AK76)/10),0)</f>
        <v>0</v>
      </c>
      <c r="DN76" s="315">
        <f>_xlfn.IFNA(((VLOOKUP($A76,HN!$A:$M,13,FALSE)-$V76-$AL76)/10),0)</f>
        <v>11790.591499999999</v>
      </c>
      <c r="DO76" s="314">
        <f t="shared" si="135"/>
        <v>-433.67499999999995</v>
      </c>
      <c r="DP76" s="314">
        <f t="shared" si="136"/>
        <v>-1744.6755333333333</v>
      </c>
      <c r="DQ76" s="315"/>
      <c r="DR76" s="315"/>
      <c r="DS76" s="315"/>
      <c r="DT76" s="314">
        <f t="shared" si="137"/>
        <v>137954.16927804169</v>
      </c>
      <c r="DU76" s="307">
        <f t="shared" si="138"/>
        <v>122341.92831137501</v>
      </c>
      <c r="DV76" s="307"/>
      <c r="DW76" s="307"/>
      <c r="DX76" s="308">
        <f>_xlfn.IFNA((VLOOKUP($A76,HN!$A:$M,8,FALSE)/12),0)</f>
        <v>0</v>
      </c>
      <c r="DY76" s="308">
        <f>_xlfn.IFNA((VLOOKUP($A76,HN!$A:$M,12,FALSE)/12),0)</f>
        <v>6000</v>
      </c>
      <c r="DZ76" s="308">
        <f>_xlfn.IFNA((VLOOKUP($A76,HN!$A:$M,9,FALSE)/12),0)</f>
        <v>0</v>
      </c>
      <c r="EA76" s="308">
        <f>_xlfn.IFNA((VLOOKUP($A76,'Post 16'!$A:$AG,33,FALSE)/8),0)</f>
        <v>0</v>
      </c>
      <c r="EB76" s="308"/>
      <c r="EC76" s="308">
        <f>_xlfn.IFNA(((VLOOKUP($A76,HN!$A:$M,10,FALSE)-$U76-$AK76)/10),0)</f>
        <v>0</v>
      </c>
      <c r="ED76" s="308">
        <f>_xlfn.IFNA(((VLOOKUP($A76,HN!$A:$M,13,FALSE)-$V76-$AL76)/10),0)</f>
        <v>11790.591499999999</v>
      </c>
      <c r="EE76" s="307">
        <f t="shared" si="139"/>
        <v>-433.67499999999995</v>
      </c>
      <c r="EF76" s="307">
        <f t="shared" si="140"/>
        <v>-1744.6755333333333</v>
      </c>
      <c r="EG76" s="308"/>
      <c r="EH76" s="308"/>
      <c r="EI76" s="308"/>
      <c r="EJ76" s="307">
        <f t="shared" si="141"/>
        <v>137954.16927804169</v>
      </c>
      <c r="EK76" s="320">
        <f t="shared" si="142"/>
        <v>122341.92831137501</v>
      </c>
      <c r="EL76" s="320"/>
      <c r="EM76" s="320"/>
      <c r="EN76" s="321">
        <f>_xlfn.IFNA((VLOOKUP($A76,HN!$A:$M,8,FALSE)/12),0)</f>
        <v>0</v>
      </c>
      <c r="EO76" s="321">
        <f>_xlfn.IFNA((VLOOKUP($A76,HN!$A:$M,12,FALSE)/12),0)</f>
        <v>6000</v>
      </c>
      <c r="EP76" s="321">
        <f>_xlfn.IFNA((VLOOKUP($A76,HN!$A:$M,9,FALSE)/12),0)</f>
        <v>0</v>
      </c>
      <c r="EQ76" s="321">
        <f>_xlfn.IFNA((VLOOKUP($A76,'Post 16'!$A:$AG,33,FALSE)/8),0)</f>
        <v>0</v>
      </c>
      <c r="ER76" s="321"/>
      <c r="ES76" s="321">
        <f>_xlfn.IFNA(((VLOOKUP($A76,HN!$A:$M,10,FALSE)-$U76-$AK76)/10),0)</f>
        <v>0</v>
      </c>
      <c r="ET76" s="321">
        <f>_xlfn.IFNA(((VLOOKUP($A76,HN!$A:$M,13,FALSE)-$V76-$AL76)/10),0)</f>
        <v>11790.591499999999</v>
      </c>
      <c r="EU76" s="320">
        <f t="shared" si="143"/>
        <v>-433.67499999999995</v>
      </c>
      <c r="EV76" s="320">
        <f t="shared" si="144"/>
        <v>-1744.6755333333333</v>
      </c>
      <c r="EW76" s="321"/>
      <c r="EX76" s="321"/>
      <c r="EY76" s="321"/>
      <c r="EZ76" s="320">
        <f t="shared" si="145"/>
        <v>137954.16927804169</v>
      </c>
      <c r="FA76" s="286">
        <f t="shared" si="146"/>
        <v>122341.92831137501</v>
      </c>
      <c r="FB76" s="286"/>
      <c r="FC76" s="286"/>
      <c r="FD76" s="287">
        <f>_xlfn.IFNA((VLOOKUP($A76,HN!$A:$M,8,FALSE)/12),0)</f>
        <v>0</v>
      </c>
      <c r="FE76" s="287">
        <f>_xlfn.IFNA((VLOOKUP($A76,HN!$A:$M,12,FALSE)/12),0)</f>
        <v>6000</v>
      </c>
      <c r="FF76" s="287">
        <f>_xlfn.IFNA((VLOOKUP($A76,HN!$A:$M,9,FALSE)/12),0)</f>
        <v>0</v>
      </c>
      <c r="FG76" s="287">
        <f>_xlfn.IFNA((VLOOKUP($A76,'Post 16'!$A:$AG,33,FALSE)/8),0)</f>
        <v>0</v>
      </c>
      <c r="FH76" s="287"/>
      <c r="FI76" s="287">
        <f>_xlfn.IFNA(((VLOOKUP($A76,HN!$A:$M,10,FALSE)-$U76-$AK76)/10),0)</f>
        <v>0</v>
      </c>
      <c r="FJ76" s="287">
        <f>_xlfn.IFNA(((VLOOKUP($A76,HN!$A:$M,13,FALSE)-$V76-$AL76)/10),0)</f>
        <v>11790.591499999999</v>
      </c>
      <c r="FK76" s="286">
        <f t="shared" si="147"/>
        <v>-433.67499999999995</v>
      </c>
      <c r="FL76" s="286">
        <f t="shared" si="148"/>
        <v>-1744.6755333333333</v>
      </c>
      <c r="FM76" s="287"/>
      <c r="FN76" s="287"/>
      <c r="FO76" s="287"/>
      <c r="FP76" s="286">
        <f t="shared" si="149"/>
        <v>137954.16927804169</v>
      </c>
      <c r="FQ76" s="293">
        <f t="shared" si="150"/>
        <v>122341.92831137501</v>
      </c>
      <c r="FR76" s="293"/>
      <c r="FS76" s="293"/>
      <c r="FT76" s="294">
        <f>_xlfn.IFNA((VLOOKUP($A76,HN!$A:$M,8,FALSE)/12),0)</f>
        <v>0</v>
      </c>
      <c r="FU76" s="294">
        <f>_xlfn.IFNA((VLOOKUP($A76,HN!$A:$M,12,FALSE)/12),0)</f>
        <v>6000</v>
      </c>
      <c r="FV76" s="294">
        <f>_xlfn.IFNA((VLOOKUP($A76,HN!$A:$M,9,FALSE)/12),0)</f>
        <v>0</v>
      </c>
      <c r="FW76" s="294">
        <f>_xlfn.IFNA((VLOOKUP($A76,'Post 16'!$A:$AG,33,FALSE)/8),0)</f>
        <v>0</v>
      </c>
      <c r="FX76" s="294"/>
      <c r="FY76" s="294">
        <f>_xlfn.IFNA(((VLOOKUP($A76,HN!$A:$M,10,FALSE)-$U76-$AK76)/10),0)</f>
        <v>0</v>
      </c>
      <c r="FZ76" s="294">
        <f>_xlfn.IFNA(((VLOOKUP($A76,HN!$A:$M,13,FALSE)-$V76-$AL76)/10),0)</f>
        <v>11790.591499999999</v>
      </c>
      <c r="GA76" s="293">
        <f t="shared" si="151"/>
        <v>-433.67499999999995</v>
      </c>
      <c r="GB76" s="293">
        <f t="shared" si="152"/>
        <v>-1744.6755333333333</v>
      </c>
      <c r="GC76" s="294"/>
      <c r="GD76" s="294"/>
      <c r="GE76" s="294"/>
      <c r="GF76" s="293">
        <f t="shared" si="153"/>
        <v>137954.16927804169</v>
      </c>
      <c r="GG76" s="300">
        <f t="shared" si="154"/>
        <v>122341.92831137501</v>
      </c>
      <c r="GH76" s="300"/>
      <c r="GI76" s="300"/>
      <c r="GJ76" s="301">
        <f>_xlfn.IFNA((VLOOKUP($A76,HN!$A:$M,8,FALSE)/12),0)</f>
        <v>0</v>
      </c>
      <c r="GK76" s="301">
        <f>_xlfn.IFNA((VLOOKUP($A76,HN!$A:$M,12,FALSE)/12),0)</f>
        <v>6000</v>
      </c>
      <c r="GL76" s="301">
        <f>_xlfn.IFNA((VLOOKUP($A76,HN!$A:$M,9,FALSE)/12),0)</f>
        <v>0</v>
      </c>
      <c r="GM76" s="301">
        <f>_xlfn.IFNA((VLOOKUP($A76,'Post 16'!$A:$AG,33,FALSE)/8),0)</f>
        <v>0</v>
      </c>
      <c r="GN76" s="301"/>
      <c r="GO76" s="301">
        <f>_xlfn.IFNA(((VLOOKUP($A76,HN!$A:$M,10,FALSE)-$U76-$AK76)/10),0)</f>
        <v>0</v>
      </c>
      <c r="GP76" s="301">
        <f>_xlfn.IFNA(((VLOOKUP($A76,HN!$A:$M,13,FALSE)-$V76-$AL76)/10),0)</f>
        <v>11790.591499999999</v>
      </c>
      <c r="GQ76" s="300">
        <f t="shared" si="155"/>
        <v>-433.67499999999995</v>
      </c>
      <c r="GR76" s="300">
        <f t="shared" si="156"/>
        <v>-1744.6755333333333</v>
      </c>
      <c r="GS76" s="301"/>
      <c r="GT76" s="301"/>
      <c r="GU76" s="301"/>
      <c r="GV76" s="300">
        <f t="shared" si="157"/>
        <v>137954.16927804169</v>
      </c>
      <c r="GX76" s="146">
        <f t="shared" si="108"/>
        <v>1574600.7148888544</v>
      </c>
      <c r="GY76" s="146">
        <f t="shared" si="108"/>
        <v>0</v>
      </c>
      <c r="GZ76" s="146">
        <f t="shared" si="108"/>
        <v>143911.13999999998</v>
      </c>
      <c r="HA76" s="146">
        <f t="shared" si="108"/>
        <v>-5204.1000000000013</v>
      </c>
      <c r="HB76" s="146">
        <f t="shared" si="108"/>
        <v>-20936.106400000004</v>
      </c>
      <c r="HC76" s="146">
        <f t="shared" si="108"/>
        <v>0</v>
      </c>
      <c r="HE76" s="146">
        <f t="shared" si="109"/>
        <v>408718.08008647966</v>
      </c>
      <c r="HF76" s="146">
        <f t="shared" si="109"/>
        <v>0</v>
      </c>
      <c r="HG76" s="146">
        <f t="shared" si="109"/>
        <v>37795.816500000001</v>
      </c>
      <c r="HH76" s="146">
        <f t="shared" si="109"/>
        <v>-1301.0249999999999</v>
      </c>
      <c r="HI76" s="146">
        <f t="shared" si="109"/>
        <v>-5234.0266000000001</v>
      </c>
      <c r="HJ76" s="146">
        <f t="shared" si="109"/>
        <v>0</v>
      </c>
      <c r="HL76" s="146"/>
      <c r="HM76" s="57"/>
    </row>
    <row r="77" spans="1:221">
      <c r="A77" s="185">
        <v>1010</v>
      </c>
      <c r="B77" s="185">
        <v>103125</v>
      </c>
      <c r="C77" s="185" t="s">
        <v>177</v>
      </c>
      <c r="D77" s="2" t="s">
        <v>178</v>
      </c>
      <c r="E77" s="190" t="s">
        <v>36</v>
      </c>
      <c r="F77" s="190" t="s">
        <v>890</v>
      </c>
      <c r="H77" s="271">
        <f>_xlfn.IFNA(VLOOKUP($A77,ISB!$A$4:$BY$441,67,FALSE),0)</f>
        <v>0</v>
      </c>
      <c r="I77" s="271">
        <f>_xlfn.IFNA(VLOOKUP($A77,ISB!$A$4:$BY$441,72,FALSE),0)</f>
        <v>0</v>
      </c>
      <c r="J77" s="271">
        <f>-_xlfn.IFNA(VLOOKUP($A77,ISB!$A$4:$BY$441,76,FALSE),0)</f>
        <v>0</v>
      </c>
      <c r="K77" s="271">
        <f>_xlfn.IFNA(VLOOKUP($A77,ISB!$A$4:$BY$441,77,FALSE),0)</f>
        <v>0</v>
      </c>
      <c r="M77" s="279">
        <f t="shared" si="110"/>
        <v>0</v>
      </c>
      <c r="N77" s="279"/>
      <c r="O77" s="279">
        <f>_xlfn.IFNA(VLOOKUP($A77,EY!$A:$H,8,FALSE)+(VLOOKUP($A77,EY!$A:$R,18,FALSE)-$T77),0)</f>
        <v>527331.24645141477</v>
      </c>
      <c r="P77" s="280">
        <f>_xlfn.IFNA((VLOOKUP($A77,HN!$A:$M,8,FALSE)/12),0)</f>
        <v>0</v>
      </c>
      <c r="Q77" s="280">
        <f>_xlfn.IFNA((VLOOKUP($A77,HN!$A:$M,12,FALSE)/12),0)</f>
        <v>0</v>
      </c>
      <c r="R77" s="280">
        <f>_xlfn.IFNA((VLOOKUP($A77,HN!$A:$M,9,FALSE)/12),0)</f>
        <v>0</v>
      </c>
      <c r="S77" s="280">
        <f>_xlfn.IFNA((VLOOKUP($A77,'Post 16'!$A:$AR,22,FALSE)/4),0)</f>
        <v>0</v>
      </c>
      <c r="T77" s="280">
        <f>_xlfn.IFNA((VLOOKUP($A77,EY!$A:$R,16,FALSE)*80%),0)</f>
        <v>8580</v>
      </c>
      <c r="U77" s="280">
        <v>7250.583333333333</v>
      </c>
      <c r="V77" s="280">
        <v>0</v>
      </c>
      <c r="W77" s="279">
        <f t="shared" si="111"/>
        <v>0</v>
      </c>
      <c r="X77" s="279">
        <f t="shared" si="112"/>
        <v>0</v>
      </c>
      <c r="Y77" s="280"/>
      <c r="Z77" s="280"/>
      <c r="AA77" s="280"/>
      <c r="AB77" s="279">
        <f t="shared" si="113"/>
        <v>543161.82978474814</v>
      </c>
      <c r="AC77" s="293">
        <f t="shared" si="114"/>
        <v>0</v>
      </c>
      <c r="AD77" s="293"/>
      <c r="AE77" s="293"/>
      <c r="AF77" s="294">
        <f>_xlfn.IFNA((VLOOKUP($A77,HN!$A:$M,8,FALSE)/12),0)</f>
        <v>0</v>
      </c>
      <c r="AG77" s="294">
        <f>_xlfn.IFNA((VLOOKUP($A77,HN!$A:$M,12,FALSE)/12),0)+_xlfn.IFNA(VLOOKUP($A77,HN!$A:$Q,17,FALSE),0)</f>
        <v>0</v>
      </c>
      <c r="AH77" s="294">
        <f>_xlfn.IFNA((VLOOKUP($A77,HN!$A:$M,9,FALSE)/12),0)</f>
        <v>0</v>
      </c>
      <c r="AI77" s="294">
        <f>_xlfn.IFNA((VLOOKUP($A77,'Post 16'!$A:$AR,22,FALSE)/4),0)</f>
        <v>0</v>
      </c>
      <c r="AJ77" s="294"/>
      <c r="AK77" s="294">
        <f>_xlfn.IFNA((VLOOKUP($A77,HN!$A:$M,10,FALSE)/12),0)</f>
        <v>886</v>
      </c>
      <c r="AL77" s="294">
        <f>_xlfn.IFNA((VLOOKUP($A77,HN!$A:$M,13,FALSE)/12),0)</f>
        <v>0</v>
      </c>
      <c r="AM77" s="293">
        <f t="shared" si="115"/>
        <v>0</v>
      </c>
      <c r="AN77" s="293">
        <f t="shared" si="116"/>
        <v>0</v>
      </c>
      <c r="AO77" s="294"/>
      <c r="AP77" s="294"/>
      <c r="AQ77" s="294"/>
      <c r="AR77" s="293">
        <f t="shared" si="117"/>
        <v>886</v>
      </c>
      <c r="AS77" s="286">
        <f t="shared" si="118"/>
        <v>0</v>
      </c>
      <c r="AT77" s="286"/>
      <c r="AU77" s="286">
        <f>_xlfn.IFNA(VLOOKUP(A77,EY!A:AO,40,FALSE),0)</f>
        <v>53470.768836565097</v>
      </c>
      <c r="AV77" s="287">
        <f>_xlfn.IFNA((VLOOKUP($A77,HN!$A:$M,8,FALSE)/12),0)</f>
        <v>0</v>
      </c>
      <c r="AW77" s="287">
        <f>_xlfn.IFNA((VLOOKUP($A77,HN!$A:$M,12,FALSE)/12),0)+_xlfn.IFNA(VLOOKUP($A77,HN!$A$8:$AU$200,19,FALSE),0)</f>
        <v>0</v>
      </c>
      <c r="AX77" s="287">
        <f>_xlfn.IFNA((VLOOKUP($A77,HN!$A:$M,9,FALSE)/12),0)</f>
        <v>0</v>
      </c>
      <c r="AY77" s="287">
        <f>_xlfn.IFNA((VLOOKUP($A77,'Post 16'!$A:$AR,22,FALSE)/4),0)</f>
        <v>0</v>
      </c>
      <c r="AZ77" s="287">
        <f>_xlfn.IFNA(VLOOKUP(A77,EY!A:AO,41,FALSE),0)</f>
        <v>154.86094182825468</v>
      </c>
      <c r="BA77" s="287">
        <f>_xlfn.IFNA(((VLOOKUP($A77,HN!$A:$M,10,FALSE)-$U77-$AK77)/10),0)+_xlfn.IFNA(VLOOKUP($A77,HN!$A:$R,18,FALSE),0)</f>
        <v>249.54166666666669</v>
      </c>
      <c r="BB77" s="287">
        <f>_xlfn.IFNA(((VLOOKUP($A77,HN!$A:$M,13,FALSE)-$V77-$AL77)/10),0)+_xlfn.IFNA(VLOOKUP($A77,HN!$A$8:$AU$200,20,FALSE),0)</f>
        <v>0</v>
      </c>
      <c r="BC77" s="286">
        <f t="shared" si="119"/>
        <v>0</v>
      </c>
      <c r="BD77" s="286">
        <f t="shared" si="120"/>
        <v>0</v>
      </c>
      <c r="BE77" s="287"/>
      <c r="BF77" s="287"/>
      <c r="BG77" s="287"/>
      <c r="BH77" s="286">
        <f t="shared" si="121"/>
        <v>53875.171445060019</v>
      </c>
      <c r="BI77" s="307">
        <f t="shared" si="122"/>
        <v>0</v>
      </c>
      <c r="BJ77" s="307">
        <f>_xlfn.IFNA(VLOOKUP(A77,'LA Deductions'!A:AH,34,FALSE),0)</f>
        <v>0</v>
      </c>
      <c r="BK77" s="307"/>
      <c r="BL77" s="308">
        <f>_xlfn.IFNA((VLOOKUP($A77,HN!$A:$M,8,FALSE)/12),0)</f>
        <v>0</v>
      </c>
      <c r="BM77" s="308">
        <f>_xlfn.IFNA((VLOOKUP($A77,HN!$A:$M,12,FALSE)/12),0)</f>
        <v>0</v>
      </c>
      <c r="BN77" s="308">
        <f>_xlfn.IFNA((VLOOKUP($A77,HN!$A:$M,9,FALSE)/12),0)</f>
        <v>0</v>
      </c>
      <c r="BO77" s="308">
        <f>_xlfn.IFNA((VLOOKUP($A77,'Post 16'!$A:$AR,22,FALSE)/4),0)</f>
        <v>0</v>
      </c>
      <c r="BP77" s="308"/>
      <c r="BQ77" s="308">
        <f>_xlfn.IFNA(((VLOOKUP($A77,HN!$A:$M,10,FALSE)-$U77-$AK77)/10),0)</f>
        <v>249.54166666666669</v>
      </c>
      <c r="BR77" s="308">
        <f>_xlfn.IFNA(((VLOOKUP($A77,HN!$A:$M,13,FALSE)-$V77-$AL77)/10),0)</f>
        <v>0</v>
      </c>
      <c r="BS77" s="307">
        <f t="shared" si="123"/>
        <v>0</v>
      </c>
      <c r="BT77" s="307">
        <f t="shared" si="124"/>
        <v>0</v>
      </c>
      <c r="BU77" s="308"/>
      <c r="BV77" s="308"/>
      <c r="BW77" s="308"/>
      <c r="BX77" s="307">
        <f t="shared" si="125"/>
        <v>249.54166666666669</v>
      </c>
      <c r="BY77" s="300">
        <f t="shared" si="126"/>
        <v>0</v>
      </c>
      <c r="BZ77" s="300"/>
      <c r="CA77" s="300"/>
      <c r="CB77" s="301">
        <f>_xlfn.IFNA((VLOOKUP($A77,HN!$A:$M,8,FALSE)/12),0)</f>
        <v>0</v>
      </c>
      <c r="CC77" s="301">
        <f>_xlfn.IFNA((VLOOKUP($A77,HN!$A:$M,12,FALSE)/12),0)</f>
        <v>0</v>
      </c>
      <c r="CD77" s="301">
        <f>_xlfn.IFNA((VLOOKUP($A77,HN!$A:$M,9,FALSE)/12),0)</f>
        <v>0</v>
      </c>
      <c r="CE77" s="301">
        <f>_xlfn.IFNA((VLOOKUP($A77,'Post 16'!$A:$AG,33,FALSE)/8),0)</f>
        <v>0</v>
      </c>
      <c r="CF77" s="301"/>
      <c r="CG77" s="301">
        <f>_xlfn.IFNA(((VLOOKUP($A77,HN!$A:$M,10,FALSE)-$U77-$AK77)/10),0)</f>
        <v>249.54166666666669</v>
      </c>
      <c r="CH77" s="301">
        <f>_xlfn.IFNA(((VLOOKUP($A77,HN!$A:$M,13,FALSE)-$V77-$AL77)/10),0)</f>
        <v>0</v>
      </c>
      <c r="CI77" s="300">
        <f t="shared" si="127"/>
        <v>0</v>
      </c>
      <c r="CJ77" s="300">
        <f t="shared" si="128"/>
        <v>0</v>
      </c>
      <c r="CK77" s="301"/>
      <c r="CL77" s="301"/>
      <c r="CM77" s="301"/>
      <c r="CN77" s="300">
        <f t="shared" si="129"/>
        <v>249.54166666666669</v>
      </c>
      <c r="CO77" s="332">
        <f t="shared" si="130"/>
        <v>0</v>
      </c>
      <c r="CP77" s="332"/>
      <c r="CQ77" s="332">
        <f>_xlfn.IFNA((VLOOKUP($A77,EY!$A:$AB,28,FALSE)-$CV77),0)</f>
        <v>176587.63747368427</v>
      </c>
      <c r="CR77" s="333">
        <f>_xlfn.IFNA((VLOOKUP($A77,HN!$A:$M,8,FALSE)/12),0)</f>
        <v>0</v>
      </c>
      <c r="CS77" s="333">
        <f>_xlfn.IFNA((VLOOKUP($A77,HN!$A:$M,12,FALSE)/12),0)</f>
        <v>0</v>
      </c>
      <c r="CT77" s="333">
        <f>_xlfn.IFNA((VLOOKUP($A77,HN!$A:$M,9,FALSE)/12),0)</f>
        <v>0</v>
      </c>
      <c r="CU77" s="333">
        <f>_xlfn.IFNA((VLOOKUP($A77,'Post 16'!$A:$AG,33,FALSE)/8),0)</f>
        <v>0</v>
      </c>
      <c r="CV77" s="333">
        <f>_xlfn.IFNA((VLOOKUP($A77,EY!$A:$AB,26,FALSE)*80%),0)</f>
        <v>3120</v>
      </c>
      <c r="CW77" s="333">
        <f>_xlfn.IFNA(((VLOOKUP($A77,HN!$A:$M,10,FALSE)-$U77-$AK77)/10),0)</f>
        <v>249.54166666666669</v>
      </c>
      <c r="CX77" s="333">
        <f>_xlfn.IFNA(((VLOOKUP($A77,HN!$A:$M,13,FALSE)-$V77-$AL77)/10),0)</f>
        <v>0</v>
      </c>
      <c r="CY77" s="332">
        <f t="shared" si="131"/>
        <v>0</v>
      </c>
      <c r="CZ77" s="332">
        <f t="shared" si="132"/>
        <v>0</v>
      </c>
      <c r="DA77" s="333"/>
      <c r="DB77" s="333"/>
      <c r="DC77" s="333"/>
      <c r="DD77" s="332">
        <f t="shared" si="133"/>
        <v>179957.17914035093</v>
      </c>
      <c r="DE77" s="314">
        <f t="shared" si="134"/>
        <v>0</v>
      </c>
      <c r="DF77" s="314"/>
      <c r="DG77" s="314"/>
      <c r="DH77" s="315">
        <f>_xlfn.IFNA((VLOOKUP($A77,HN!$A:$M,8,FALSE)/12),0)</f>
        <v>0</v>
      </c>
      <c r="DI77" s="315">
        <f>_xlfn.IFNA((VLOOKUP($A77,HN!$A:$M,12,FALSE)/12),0)</f>
        <v>0</v>
      </c>
      <c r="DJ77" s="315">
        <f>_xlfn.IFNA((VLOOKUP($A77,HN!$A:$M,9,FALSE)/12),0)</f>
        <v>0</v>
      </c>
      <c r="DK77" s="315">
        <f>_xlfn.IFNA((VLOOKUP($A77,'Post 16'!$A:$AG,33,FALSE)/8),0)</f>
        <v>0</v>
      </c>
      <c r="DL77" s="315"/>
      <c r="DM77" s="315">
        <f>_xlfn.IFNA(((VLOOKUP($A77,HN!$A:$M,10,FALSE)-$U77-$AK77)/10),0)</f>
        <v>249.54166666666669</v>
      </c>
      <c r="DN77" s="315">
        <f>_xlfn.IFNA(((VLOOKUP($A77,HN!$A:$M,13,FALSE)-$V77-$AL77)/10),0)</f>
        <v>0</v>
      </c>
      <c r="DO77" s="314">
        <f t="shared" si="135"/>
        <v>0</v>
      </c>
      <c r="DP77" s="314">
        <f t="shared" si="136"/>
        <v>0</v>
      </c>
      <c r="DQ77" s="315"/>
      <c r="DR77" s="315"/>
      <c r="DS77" s="315"/>
      <c r="DT77" s="314">
        <f t="shared" si="137"/>
        <v>249.54166666666669</v>
      </c>
      <c r="DU77" s="307">
        <f t="shared" si="138"/>
        <v>0</v>
      </c>
      <c r="DV77" s="307"/>
      <c r="DW77" s="307"/>
      <c r="DX77" s="308">
        <f>_xlfn.IFNA((VLOOKUP($A77,HN!$A:$M,8,FALSE)/12),0)</f>
        <v>0</v>
      </c>
      <c r="DY77" s="308">
        <f>_xlfn.IFNA((VLOOKUP($A77,HN!$A:$M,12,FALSE)/12),0)</f>
        <v>0</v>
      </c>
      <c r="DZ77" s="308">
        <f>_xlfn.IFNA((VLOOKUP($A77,HN!$A:$M,9,FALSE)/12),0)</f>
        <v>0</v>
      </c>
      <c r="EA77" s="308">
        <f>_xlfn.IFNA((VLOOKUP($A77,'Post 16'!$A:$AG,33,FALSE)/8),0)</f>
        <v>0</v>
      </c>
      <c r="EB77" s="308"/>
      <c r="EC77" s="308">
        <f>_xlfn.IFNA(((VLOOKUP($A77,HN!$A:$M,10,FALSE)-$U77-$AK77)/10),0)</f>
        <v>249.54166666666669</v>
      </c>
      <c r="ED77" s="308">
        <f>_xlfn.IFNA(((VLOOKUP($A77,HN!$A:$M,13,FALSE)-$V77-$AL77)/10),0)</f>
        <v>0</v>
      </c>
      <c r="EE77" s="307">
        <f t="shared" si="139"/>
        <v>0</v>
      </c>
      <c r="EF77" s="307">
        <f t="shared" si="140"/>
        <v>0</v>
      </c>
      <c r="EG77" s="308"/>
      <c r="EH77" s="308"/>
      <c r="EI77" s="308"/>
      <c r="EJ77" s="307">
        <f t="shared" si="141"/>
        <v>249.54166666666669</v>
      </c>
      <c r="EK77" s="320">
        <f t="shared" si="142"/>
        <v>0</v>
      </c>
      <c r="EL77" s="320"/>
      <c r="EM77" s="320"/>
      <c r="EN77" s="321">
        <f>_xlfn.IFNA((VLOOKUP($A77,HN!$A:$M,8,FALSE)/12),0)</f>
        <v>0</v>
      </c>
      <c r="EO77" s="321">
        <f>_xlfn.IFNA((VLOOKUP($A77,HN!$A:$M,12,FALSE)/12),0)</f>
        <v>0</v>
      </c>
      <c r="EP77" s="321">
        <f>_xlfn.IFNA((VLOOKUP($A77,HN!$A:$M,9,FALSE)/12),0)</f>
        <v>0</v>
      </c>
      <c r="EQ77" s="321">
        <f>_xlfn.IFNA((VLOOKUP($A77,'Post 16'!$A:$AG,33,FALSE)/8),0)</f>
        <v>0</v>
      </c>
      <c r="ER77" s="321"/>
      <c r="ES77" s="321">
        <f>_xlfn.IFNA(((VLOOKUP($A77,HN!$A:$M,10,FALSE)-$U77-$AK77)/10),0)</f>
        <v>249.54166666666669</v>
      </c>
      <c r="ET77" s="321">
        <f>_xlfn.IFNA(((VLOOKUP($A77,HN!$A:$M,13,FALSE)-$V77-$AL77)/10),0)</f>
        <v>0</v>
      </c>
      <c r="EU77" s="320">
        <f t="shared" si="143"/>
        <v>0</v>
      </c>
      <c r="EV77" s="320">
        <f t="shared" si="144"/>
        <v>0</v>
      </c>
      <c r="EW77" s="321"/>
      <c r="EX77" s="321"/>
      <c r="EY77" s="321"/>
      <c r="EZ77" s="320">
        <f t="shared" si="145"/>
        <v>249.54166666666669</v>
      </c>
      <c r="FA77" s="286">
        <f t="shared" si="146"/>
        <v>0</v>
      </c>
      <c r="FB77" s="286"/>
      <c r="FC77" s="286"/>
      <c r="FD77" s="287">
        <f>_xlfn.IFNA((VLOOKUP($A77,HN!$A:$M,8,FALSE)/12),0)</f>
        <v>0</v>
      </c>
      <c r="FE77" s="287">
        <f>_xlfn.IFNA((VLOOKUP($A77,HN!$A:$M,12,FALSE)/12),0)</f>
        <v>0</v>
      </c>
      <c r="FF77" s="287">
        <f>_xlfn.IFNA((VLOOKUP($A77,HN!$A:$M,9,FALSE)/12),0)</f>
        <v>0</v>
      </c>
      <c r="FG77" s="287">
        <f>_xlfn.IFNA((VLOOKUP($A77,'Post 16'!$A:$AG,33,FALSE)/8),0)</f>
        <v>0</v>
      </c>
      <c r="FH77" s="287"/>
      <c r="FI77" s="287">
        <f>_xlfn.IFNA(((VLOOKUP($A77,HN!$A:$M,10,FALSE)-$U77-$AK77)/10),0)</f>
        <v>249.54166666666669</v>
      </c>
      <c r="FJ77" s="287">
        <f>_xlfn.IFNA(((VLOOKUP($A77,HN!$A:$M,13,FALSE)-$V77-$AL77)/10),0)</f>
        <v>0</v>
      </c>
      <c r="FK77" s="286">
        <f t="shared" si="147"/>
        <v>0</v>
      </c>
      <c r="FL77" s="286">
        <f t="shared" si="148"/>
        <v>0</v>
      </c>
      <c r="FM77" s="287"/>
      <c r="FN77" s="287"/>
      <c r="FO77" s="287"/>
      <c r="FP77" s="286">
        <f t="shared" si="149"/>
        <v>249.54166666666669</v>
      </c>
      <c r="FQ77" s="293">
        <f t="shared" si="150"/>
        <v>0</v>
      </c>
      <c r="FR77" s="293"/>
      <c r="FS77" s="293"/>
      <c r="FT77" s="294">
        <f>_xlfn.IFNA((VLOOKUP($A77,HN!$A:$M,8,FALSE)/12),0)</f>
        <v>0</v>
      </c>
      <c r="FU77" s="294">
        <f>_xlfn.IFNA((VLOOKUP($A77,HN!$A:$M,12,FALSE)/12),0)</f>
        <v>0</v>
      </c>
      <c r="FV77" s="294">
        <f>_xlfn.IFNA((VLOOKUP($A77,HN!$A:$M,9,FALSE)/12),0)</f>
        <v>0</v>
      </c>
      <c r="FW77" s="294">
        <f>_xlfn.IFNA((VLOOKUP($A77,'Post 16'!$A:$AG,33,FALSE)/8),0)</f>
        <v>0</v>
      </c>
      <c r="FX77" s="294"/>
      <c r="FY77" s="294">
        <f>_xlfn.IFNA(((VLOOKUP($A77,HN!$A:$M,10,FALSE)-$U77-$AK77)/10),0)</f>
        <v>249.54166666666669</v>
      </c>
      <c r="FZ77" s="294">
        <f>_xlfn.IFNA(((VLOOKUP($A77,HN!$A:$M,13,FALSE)-$V77-$AL77)/10),0)</f>
        <v>0</v>
      </c>
      <c r="GA77" s="293">
        <f t="shared" si="151"/>
        <v>0</v>
      </c>
      <c r="GB77" s="293">
        <f t="shared" si="152"/>
        <v>0</v>
      </c>
      <c r="GC77" s="294"/>
      <c r="GD77" s="294"/>
      <c r="GE77" s="294"/>
      <c r="GF77" s="293">
        <f t="shared" si="153"/>
        <v>249.54166666666669</v>
      </c>
      <c r="GG77" s="300">
        <f t="shared" si="154"/>
        <v>0</v>
      </c>
      <c r="GH77" s="300"/>
      <c r="GI77" s="300"/>
      <c r="GJ77" s="301">
        <f>_xlfn.IFNA((VLOOKUP($A77,HN!$A:$M,8,FALSE)/12),0)</f>
        <v>0</v>
      </c>
      <c r="GK77" s="301">
        <f>_xlfn.IFNA((VLOOKUP($A77,HN!$A:$M,12,FALSE)/12),0)</f>
        <v>0</v>
      </c>
      <c r="GL77" s="301">
        <f>_xlfn.IFNA((VLOOKUP($A77,HN!$A:$M,9,FALSE)/12),0)</f>
        <v>0</v>
      </c>
      <c r="GM77" s="301">
        <f>_xlfn.IFNA((VLOOKUP($A77,'Post 16'!$A:$AG,33,FALSE)/8),0)</f>
        <v>0</v>
      </c>
      <c r="GN77" s="301"/>
      <c r="GO77" s="301">
        <f>_xlfn.IFNA(((VLOOKUP($A77,HN!$A:$M,10,FALSE)-$U77-$AK77)/10),0)</f>
        <v>249.54166666666669</v>
      </c>
      <c r="GP77" s="301">
        <f>_xlfn.IFNA(((VLOOKUP($A77,HN!$A:$M,13,FALSE)-$V77-$AL77)/10),0)</f>
        <v>0</v>
      </c>
      <c r="GQ77" s="300">
        <f t="shared" si="155"/>
        <v>0</v>
      </c>
      <c r="GR77" s="300">
        <f t="shared" si="156"/>
        <v>0</v>
      </c>
      <c r="GS77" s="301"/>
      <c r="GT77" s="301"/>
      <c r="GU77" s="301"/>
      <c r="GV77" s="300">
        <f t="shared" si="157"/>
        <v>249.54166666666669</v>
      </c>
      <c r="GX77" s="146">
        <f t="shared" si="108"/>
        <v>757389.65276166413</v>
      </c>
      <c r="GY77" s="146">
        <f t="shared" si="108"/>
        <v>0</v>
      </c>
      <c r="GZ77" s="146">
        <f t="shared" si="108"/>
        <v>22486.860941828265</v>
      </c>
      <c r="HA77" s="146">
        <f t="shared" si="108"/>
        <v>0</v>
      </c>
      <c r="HB77" s="146">
        <f t="shared" si="108"/>
        <v>0</v>
      </c>
      <c r="HC77" s="146">
        <f t="shared" si="108"/>
        <v>0</v>
      </c>
      <c r="HE77" s="146">
        <f t="shared" si="109"/>
        <v>580802.01528797986</v>
      </c>
      <c r="HF77" s="146">
        <f t="shared" si="109"/>
        <v>0</v>
      </c>
      <c r="HG77" s="146">
        <f t="shared" si="109"/>
        <v>17120.985941828254</v>
      </c>
      <c r="HH77" s="146">
        <f t="shared" si="109"/>
        <v>0</v>
      </c>
      <c r="HI77" s="146">
        <f t="shared" si="109"/>
        <v>0</v>
      </c>
      <c r="HJ77" s="146">
        <f t="shared" si="109"/>
        <v>0</v>
      </c>
      <c r="HL77" s="146"/>
      <c r="HM77" s="57"/>
    </row>
    <row r="78" spans="1:221">
      <c r="A78" s="185">
        <v>1021</v>
      </c>
      <c r="B78" s="185">
        <v>103134</v>
      </c>
      <c r="C78" s="185" t="s">
        <v>179</v>
      </c>
      <c r="D78" s="2" t="s">
        <v>180</v>
      </c>
      <c r="E78" s="190" t="s">
        <v>36</v>
      </c>
      <c r="F78" s="190" t="s">
        <v>890</v>
      </c>
      <c r="H78" s="271">
        <f>_xlfn.IFNA(VLOOKUP($A78,ISB!$A$4:$BY$441,67,FALSE),0)</f>
        <v>0</v>
      </c>
      <c r="I78" s="271">
        <f>_xlfn.IFNA(VLOOKUP($A78,ISB!$A$4:$BY$441,72,FALSE),0)</f>
        <v>0</v>
      </c>
      <c r="J78" s="271">
        <f>-_xlfn.IFNA(VLOOKUP($A78,ISB!$A$4:$BY$441,76,FALSE),0)</f>
        <v>0</v>
      </c>
      <c r="K78" s="271">
        <f>_xlfn.IFNA(VLOOKUP($A78,ISB!$A$4:$BY$441,77,FALSE),0)</f>
        <v>0</v>
      </c>
      <c r="M78" s="279">
        <f t="shared" si="110"/>
        <v>0</v>
      </c>
      <c r="N78" s="279"/>
      <c r="O78" s="279">
        <f>_xlfn.IFNA(VLOOKUP($A78,EY!$A:$H,8,FALSE)+(VLOOKUP($A78,EY!$A:$R,18,FALSE)-$T78),0)</f>
        <v>269309.78747125668</v>
      </c>
      <c r="P78" s="280">
        <f>_xlfn.IFNA((VLOOKUP($A78,HN!$A:$M,8,FALSE)/12),0)</f>
        <v>0</v>
      </c>
      <c r="Q78" s="280">
        <f>_xlfn.IFNA((VLOOKUP($A78,HN!$A:$M,12,FALSE)/12),0)</f>
        <v>0</v>
      </c>
      <c r="R78" s="280">
        <f>_xlfn.IFNA((VLOOKUP($A78,HN!$A:$M,9,FALSE)/12),0)</f>
        <v>0</v>
      </c>
      <c r="S78" s="280">
        <f>_xlfn.IFNA((VLOOKUP($A78,'Post 16'!$A:$AR,22,FALSE)/4),0)</f>
        <v>0</v>
      </c>
      <c r="T78" s="280">
        <f>_xlfn.IFNA((VLOOKUP($A78,EY!$A:$R,16,FALSE)*80%),0)</f>
        <v>0</v>
      </c>
      <c r="U78" s="280">
        <v>1651.25</v>
      </c>
      <c r="V78" s="280">
        <v>0</v>
      </c>
      <c r="W78" s="279">
        <f t="shared" si="111"/>
        <v>0</v>
      </c>
      <c r="X78" s="279">
        <f t="shared" si="112"/>
        <v>0</v>
      </c>
      <c r="Y78" s="280"/>
      <c r="Z78" s="280"/>
      <c r="AA78" s="280"/>
      <c r="AB78" s="279">
        <f t="shared" si="113"/>
        <v>270961.03747125668</v>
      </c>
      <c r="AC78" s="293">
        <f t="shared" si="114"/>
        <v>0</v>
      </c>
      <c r="AD78" s="293"/>
      <c r="AE78" s="293"/>
      <c r="AF78" s="294">
        <f>_xlfn.IFNA((VLOOKUP($A78,HN!$A:$M,8,FALSE)/12),0)</f>
        <v>0</v>
      </c>
      <c r="AG78" s="294">
        <f>_xlfn.IFNA((VLOOKUP($A78,HN!$A:$M,12,FALSE)/12),0)+_xlfn.IFNA(VLOOKUP($A78,HN!$A:$Q,17,FALSE),0)</f>
        <v>0</v>
      </c>
      <c r="AH78" s="294">
        <f>_xlfn.IFNA((VLOOKUP($A78,HN!$A:$M,9,FALSE)/12),0)</f>
        <v>0</v>
      </c>
      <c r="AI78" s="294">
        <f>_xlfn.IFNA((VLOOKUP($A78,'Post 16'!$A:$AR,22,FALSE)/4),0)</f>
        <v>0</v>
      </c>
      <c r="AJ78" s="294"/>
      <c r="AK78" s="294">
        <f>_xlfn.IFNA((VLOOKUP($A78,HN!$A:$M,10,FALSE)/12),0)</f>
        <v>443</v>
      </c>
      <c r="AL78" s="294">
        <f>_xlfn.IFNA((VLOOKUP($A78,HN!$A:$M,13,FALSE)/12),0)</f>
        <v>0</v>
      </c>
      <c r="AM78" s="293">
        <f t="shared" si="115"/>
        <v>0</v>
      </c>
      <c r="AN78" s="293">
        <f t="shared" si="116"/>
        <v>0</v>
      </c>
      <c r="AO78" s="294"/>
      <c r="AP78" s="294"/>
      <c r="AQ78" s="294"/>
      <c r="AR78" s="293">
        <f t="shared" si="117"/>
        <v>443</v>
      </c>
      <c r="AS78" s="286">
        <f t="shared" si="118"/>
        <v>0</v>
      </c>
      <c r="AT78" s="286"/>
      <c r="AU78" s="286">
        <f>_xlfn.IFNA(VLOOKUP(A78,EY!A:AO,40,FALSE),0)</f>
        <v>44412.544265927987</v>
      </c>
      <c r="AV78" s="287">
        <f>_xlfn.IFNA((VLOOKUP($A78,HN!$A:$M,8,FALSE)/12),0)</f>
        <v>0</v>
      </c>
      <c r="AW78" s="287">
        <f>_xlfn.IFNA((VLOOKUP($A78,HN!$A:$M,12,FALSE)/12),0)+_xlfn.IFNA(VLOOKUP($A78,HN!$A$8:$AU$200,19,FALSE),0)</f>
        <v>0</v>
      </c>
      <c r="AX78" s="287">
        <f>_xlfn.IFNA((VLOOKUP($A78,HN!$A:$M,9,FALSE)/12),0)</f>
        <v>0</v>
      </c>
      <c r="AY78" s="287">
        <f>_xlfn.IFNA((VLOOKUP($A78,'Post 16'!$A:$AR,22,FALSE)/4),0)</f>
        <v>0</v>
      </c>
      <c r="AZ78" s="287">
        <f>_xlfn.IFNA(VLOOKUP(A78,EY!A:AO,41,FALSE),0)</f>
        <v>1876</v>
      </c>
      <c r="BA78" s="287">
        <f>_xlfn.IFNA(((VLOOKUP($A78,HN!$A:$M,10,FALSE)-$U78-$AK78)/10),0)+_xlfn.IFNA(VLOOKUP($A78,HN!$A:$R,18,FALSE),0)</f>
        <v>322.17500000000001</v>
      </c>
      <c r="BB78" s="287">
        <f>_xlfn.IFNA(((VLOOKUP($A78,HN!$A:$M,13,FALSE)-$V78-$AL78)/10),0)+_xlfn.IFNA(VLOOKUP($A78,HN!$A$8:$AU$200,20,FALSE),0)</f>
        <v>0</v>
      </c>
      <c r="BC78" s="286">
        <f t="shared" si="119"/>
        <v>0</v>
      </c>
      <c r="BD78" s="286">
        <f t="shared" si="120"/>
        <v>0</v>
      </c>
      <c r="BE78" s="287"/>
      <c r="BF78" s="287"/>
      <c r="BG78" s="287"/>
      <c r="BH78" s="286">
        <f t="shared" si="121"/>
        <v>46610.71926592799</v>
      </c>
      <c r="BI78" s="307">
        <f t="shared" si="122"/>
        <v>0</v>
      </c>
      <c r="BJ78" s="307">
        <f>_xlfn.IFNA(VLOOKUP(A78,'LA Deductions'!A:AH,34,FALSE),0)</f>
        <v>0</v>
      </c>
      <c r="BK78" s="307"/>
      <c r="BL78" s="308">
        <f>_xlfn.IFNA((VLOOKUP($A78,HN!$A:$M,8,FALSE)/12),0)</f>
        <v>0</v>
      </c>
      <c r="BM78" s="308">
        <f>_xlfn.IFNA((VLOOKUP($A78,HN!$A:$M,12,FALSE)/12),0)</f>
        <v>0</v>
      </c>
      <c r="BN78" s="308">
        <f>_xlfn.IFNA((VLOOKUP($A78,HN!$A:$M,9,FALSE)/12),0)</f>
        <v>0</v>
      </c>
      <c r="BO78" s="308">
        <f>_xlfn.IFNA((VLOOKUP($A78,'Post 16'!$A:$AR,22,FALSE)/4),0)</f>
        <v>0</v>
      </c>
      <c r="BP78" s="308"/>
      <c r="BQ78" s="308">
        <f>_xlfn.IFNA(((VLOOKUP($A78,HN!$A:$M,10,FALSE)-$U78-$AK78)/10),0)</f>
        <v>322.17500000000001</v>
      </c>
      <c r="BR78" s="308">
        <f>_xlfn.IFNA(((VLOOKUP($A78,HN!$A:$M,13,FALSE)-$V78-$AL78)/10),0)</f>
        <v>0</v>
      </c>
      <c r="BS78" s="307">
        <f t="shared" si="123"/>
        <v>0</v>
      </c>
      <c r="BT78" s="307">
        <f t="shared" si="124"/>
        <v>0</v>
      </c>
      <c r="BU78" s="308"/>
      <c r="BV78" s="308"/>
      <c r="BW78" s="308"/>
      <c r="BX78" s="307">
        <f t="shared" si="125"/>
        <v>322.17500000000001</v>
      </c>
      <c r="BY78" s="300">
        <f t="shared" si="126"/>
        <v>0</v>
      </c>
      <c r="BZ78" s="300"/>
      <c r="CA78" s="300"/>
      <c r="CB78" s="301">
        <f>_xlfn.IFNA((VLOOKUP($A78,HN!$A:$M,8,FALSE)/12),0)</f>
        <v>0</v>
      </c>
      <c r="CC78" s="301">
        <f>_xlfn.IFNA((VLOOKUP($A78,HN!$A:$M,12,FALSE)/12),0)</f>
        <v>0</v>
      </c>
      <c r="CD78" s="301">
        <f>_xlfn.IFNA((VLOOKUP($A78,HN!$A:$M,9,FALSE)/12),0)</f>
        <v>0</v>
      </c>
      <c r="CE78" s="301">
        <f>_xlfn.IFNA((VLOOKUP($A78,'Post 16'!$A:$AG,33,FALSE)/8),0)</f>
        <v>0</v>
      </c>
      <c r="CF78" s="301"/>
      <c r="CG78" s="301">
        <f>_xlfn.IFNA(((VLOOKUP($A78,HN!$A:$M,10,FALSE)-$U78-$AK78)/10),0)</f>
        <v>322.17500000000001</v>
      </c>
      <c r="CH78" s="301">
        <f>_xlfn.IFNA(((VLOOKUP($A78,HN!$A:$M,13,FALSE)-$V78-$AL78)/10),0)</f>
        <v>0</v>
      </c>
      <c r="CI78" s="300">
        <f t="shared" si="127"/>
        <v>0</v>
      </c>
      <c r="CJ78" s="300">
        <f t="shared" si="128"/>
        <v>0</v>
      </c>
      <c r="CK78" s="301"/>
      <c r="CL78" s="301"/>
      <c r="CM78" s="301"/>
      <c r="CN78" s="300">
        <f t="shared" si="129"/>
        <v>322.17500000000001</v>
      </c>
      <c r="CO78" s="332">
        <f t="shared" si="130"/>
        <v>0</v>
      </c>
      <c r="CP78" s="332"/>
      <c r="CQ78" s="332">
        <f>_xlfn.IFNA((VLOOKUP($A78,EY!$A:$AB,28,FALSE)-$CV78),0)</f>
        <v>96925.443789473691</v>
      </c>
      <c r="CR78" s="333">
        <f>_xlfn.IFNA((VLOOKUP($A78,HN!$A:$M,8,FALSE)/12),0)</f>
        <v>0</v>
      </c>
      <c r="CS78" s="333">
        <f>_xlfn.IFNA((VLOOKUP($A78,HN!$A:$M,12,FALSE)/12),0)</f>
        <v>0</v>
      </c>
      <c r="CT78" s="333">
        <f>_xlfn.IFNA((VLOOKUP($A78,HN!$A:$M,9,FALSE)/12),0)</f>
        <v>0</v>
      </c>
      <c r="CU78" s="333">
        <f>_xlfn.IFNA((VLOOKUP($A78,'Post 16'!$A:$AG,33,FALSE)/8),0)</f>
        <v>0</v>
      </c>
      <c r="CV78" s="333">
        <f>_xlfn.IFNA((VLOOKUP($A78,EY!$A:$AB,26,FALSE)*80%),0)</f>
        <v>780</v>
      </c>
      <c r="CW78" s="333">
        <f>_xlfn.IFNA(((VLOOKUP($A78,HN!$A:$M,10,FALSE)-$U78-$AK78)/10),0)</f>
        <v>322.17500000000001</v>
      </c>
      <c r="CX78" s="333">
        <f>_xlfn.IFNA(((VLOOKUP($A78,HN!$A:$M,13,FALSE)-$V78-$AL78)/10),0)</f>
        <v>0</v>
      </c>
      <c r="CY78" s="332">
        <f t="shared" si="131"/>
        <v>0</v>
      </c>
      <c r="CZ78" s="332">
        <f t="shared" si="132"/>
        <v>0</v>
      </c>
      <c r="DA78" s="333"/>
      <c r="DB78" s="333"/>
      <c r="DC78" s="333"/>
      <c r="DD78" s="332">
        <f t="shared" si="133"/>
        <v>98027.618789473694</v>
      </c>
      <c r="DE78" s="314">
        <f t="shared" si="134"/>
        <v>0</v>
      </c>
      <c r="DF78" s="314"/>
      <c r="DG78" s="314"/>
      <c r="DH78" s="315">
        <f>_xlfn.IFNA((VLOOKUP($A78,HN!$A:$M,8,FALSE)/12),0)</f>
        <v>0</v>
      </c>
      <c r="DI78" s="315">
        <f>_xlfn.IFNA((VLOOKUP($A78,HN!$A:$M,12,FALSE)/12),0)</f>
        <v>0</v>
      </c>
      <c r="DJ78" s="315">
        <f>_xlfn.IFNA((VLOOKUP($A78,HN!$A:$M,9,FALSE)/12),0)</f>
        <v>0</v>
      </c>
      <c r="DK78" s="315">
        <f>_xlfn.IFNA((VLOOKUP($A78,'Post 16'!$A:$AG,33,FALSE)/8),0)</f>
        <v>0</v>
      </c>
      <c r="DL78" s="315"/>
      <c r="DM78" s="315">
        <f>_xlfn.IFNA(((VLOOKUP($A78,HN!$A:$M,10,FALSE)-$U78-$AK78)/10),0)</f>
        <v>322.17500000000001</v>
      </c>
      <c r="DN78" s="315">
        <f>_xlfn.IFNA(((VLOOKUP($A78,HN!$A:$M,13,FALSE)-$V78-$AL78)/10),0)</f>
        <v>0</v>
      </c>
      <c r="DO78" s="314">
        <f t="shared" si="135"/>
        <v>0</v>
      </c>
      <c r="DP78" s="314">
        <f t="shared" si="136"/>
        <v>0</v>
      </c>
      <c r="DQ78" s="315"/>
      <c r="DR78" s="315"/>
      <c r="DS78" s="315"/>
      <c r="DT78" s="314">
        <f t="shared" si="137"/>
        <v>322.17500000000001</v>
      </c>
      <c r="DU78" s="307">
        <f t="shared" si="138"/>
        <v>0</v>
      </c>
      <c r="DV78" s="307"/>
      <c r="DW78" s="307"/>
      <c r="DX78" s="308">
        <f>_xlfn.IFNA((VLOOKUP($A78,HN!$A:$M,8,FALSE)/12),0)</f>
        <v>0</v>
      </c>
      <c r="DY78" s="308">
        <f>_xlfn.IFNA((VLOOKUP($A78,HN!$A:$M,12,FALSE)/12),0)</f>
        <v>0</v>
      </c>
      <c r="DZ78" s="308">
        <f>_xlfn.IFNA((VLOOKUP($A78,HN!$A:$M,9,FALSE)/12),0)</f>
        <v>0</v>
      </c>
      <c r="EA78" s="308">
        <f>_xlfn.IFNA((VLOOKUP($A78,'Post 16'!$A:$AG,33,FALSE)/8),0)</f>
        <v>0</v>
      </c>
      <c r="EB78" s="308"/>
      <c r="EC78" s="308">
        <f>_xlfn.IFNA(((VLOOKUP($A78,HN!$A:$M,10,FALSE)-$U78-$AK78)/10),0)</f>
        <v>322.17500000000001</v>
      </c>
      <c r="ED78" s="308">
        <f>_xlfn.IFNA(((VLOOKUP($A78,HN!$A:$M,13,FALSE)-$V78-$AL78)/10),0)</f>
        <v>0</v>
      </c>
      <c r="EE78" s="307">
        <f t="shared" si="139"/>
        <v>0</v>
      </c>
      <c r="EF78" s="307">
        <f t="shared" si="140"/>
        <v>0</v>
      </c>
      <c r="EG78" s="308"/>
      <c r="EH78" s="308"/>
      <c r="EI78" s="308"/>
      <c r="EJ78" s="307">
        <f t="shared" si="141"/>
        <v>322.17500000000001</v>
      </c>
      <c r="EK78" s="320">
        <f t="shared" si="142"/>
        <v>0</v>
      </c>
      <c r="EL78" s="320"/>
      <c r="EM78" s="320"/>
      <c r="EN78" s="321">
        <f>_xlfn.IFNA((VLOOKUP($A78,HN!$A:$M,8,FALSE)/12),0)</f>
        <v>0</v>
      </c>
      <c r="EO78" s="321">
        <f>_xlfn.IFNA((VLOOKUP($A78,HN!$A:$M,12,FALSE)/12),0)</f>
        <v>0</v>
      </c>
      <c r="EP78" s="321">
        <f>_xlfn.IFNA((VLOOKUP($A78,HN!$A:$M,9,FALSE)/12),0)</f>
        <v>0</v>
      </c>
      <c r="EQ78" s="321">
        <f>_xlfn.IFNA((VLOOKUP($A78,'Post 16'!$A:$AG,33,FALSE)/8),0)</f>
        <v>0</v>
      </c>
      <c r="ER78" s="321"/>
      <c r="ES78" s="321">
        <f>_xlfn.IFNA(((VLOOKUP($A78,HN!$A:$M,10,FALSE)-$U78-$AK78)/10),0)</f>
        <v>322.17500000000001</v>
      </c>
      <c r="ET78" s="321">
        <f>_xlfn.IFNA(((VLOOKUP($A78,HN!$A:$M,13,FALSE)-$V78-$AL78)/10),0)</f>
        <v>0</v>
      </c>
      <c r="EU78" s="320">
        <f t="shared" si="143"/>
        <v>0</v>
      </c>
      <c r="EV78" s="320">
        <f t="shared" si="144"/>
        <v>0</v>
      </c>
      <c r="EW78" s="321"/>
      <c r="EX78" s="321"/>
      <c r="EY78" s="321"/>
      <c r="EZ78" s="320">
        <f t="shared" si="145"/>
        <v>322.17500000000001</v>
      </c>
      <c r="FA78" s="286">
        <f t="shared" si="146"/>
        <v>0</v>
      </c>
      <c r="FB78" s="286"/>
      <c r="FC78" s="286"/>
      <c r="FD78" s="287">
        <f>_xlfn.IFNA((VLOOKUP($A78,HN!$A:$M,8,FALSE)/12),0)</f>
        <v>0</v>
      </c>
      <c r="FE78" s="287">
        <f>_xlfn.IFNA((VLOOKUP($A78,HN!$A:$M,12,FALSE)/12),0)</f>
        <v>0</v>
      </c>
      <c r="FF78" s="287">
        <f>_xlfn.IFNA((VLOOKUP($A78,HN!$A:$M,9,FALSE)/12),0)</f>
        <v>0</v>
      </c>
      <c r="FG78" s="287">
        <f>_xlfn.IFNA((VLOOKUP($A78,'Post 16'!$A:$AG,33,FALSE)/8),0)</f>
        <v>0</v>
      </c>
      <c r="FH78" s="287"/>
      <c r="FI78" s="287">
        <f>_xlfn.IFNA(((VLOOKUP($A78,HN!$A:$M,10,FALSE)-$U78-$AK78)/10),0)</f>
        <v>322.17500000000001</v>
      </c>
      <c r="FJ78" s="287">
        <f>_xlfn.IFNA(((VLOOKUP($A78,HN!$A:$M,13,FALSE)-$V78-$AL78)/10),0)</f>
        <v>0</v>
      </c>
      <c r="FK78" s="286">
        <f t="shared" si="147"/>
        <v>0</v>
      </c>
      <c r="FL78" s="286">
        <f t="shared" si="148"/>
        <v>0</v>
      </c>
      <c r="FM78" s="287"/>
      <c r="FN78" s="287"/>
      <c r="FO78" s="287"/>
      <c r="FP78" s="286">
        <f t="shared" si="149"/>
        <v>322.17500000000001</v>
      </c>
      <c r="FQ78" s="293">
        <f t="shared" si="150"/>
        <v>0</v>
      </c>
      <c r="FR78" s="293"/>
      <c r="FS78" s="293"/>
      <c r="FT78" s="294">
        <f>_xlfn.IFNA((VLOOKUP($A78,HN!$A:$M,8,FALSE)/12),0)</f>
        <v>0</v>
      </c>
      <c r="FU78" s="294">
        <f>_xlfn.IFNA((VLOOKUP($A78,HN!$A:$M,12,FALSE)/12),0)</f>
        <v>0</v>
      </c>
      <c r="FV78" s="294">
        <f>_xlfn.IFNA((VLOOKUP($A78,HN!$A:$M,9,FALSE)/12),0)</f>
        <v>0</v>
      </c>
      <c r="FW78" s="294">
        <f>_xlfn.IFNA((VLOOKUP($A78,'Post 16'!$A:$AG,33,FALSE)/8),0)</f>
        <v>0</v>
      </c>
      <c r="FX78" s="294"/>
      <c r="FY78" s="294">
        <f>_xlfn.IFNA(((VLOOKUP($A78,HN!$A:$M,10,FALSE)-$U78-$AK78)/10),0)</f>
        <v>322.17500000000001</v>
      </c>
      <c r="FZ78" s="294">
        <f>_xlfn.IFNA(((VLOOKUP($A78,HN!$A:$M,13,FALSE)-$V78-$AL78)/10),0)</f>
        <v>0</v>
      </c>
      <c r="GA78" s="293">
        <f t="shared" si="151"/>
        <v>0</v>
      </c>
      <c r="GB78" s="293">
        <f t="shared" si="152"/>
        <v>0</v>
      </c>
      <c r="GC78" s="294"/>
      <c r="GD78" s="294"/>
      <c r="GE78" s="294"/>
      <c r="GF78" s="293">
        <f t="shared" si="153"/>
        <v>322.17500000000001</v>
      </c>
      <c r="GG78" s="300">
        <f t="shared" si="154"/>
        <v>0</v>
      </c>
      <c r="GH78" s="300"/>
      <c r="GI78" s="300"/>
      <c r="GJ78" s="301">
        <f>_xlfn.IFNA((VLOOKUP($A78,HN!$A:$M,8,FALSE)/12),0)</f>
        <v>0</v>
      </c>
      <c r="GK78" s="301">
        <f>_xlfn.IFNA((VLOOKUP($A78,HN!$A:$M,12,FALSE)/12),0)</f>
        <v>0</v>
      </c>
      <c r="GL78" s="301">
        <f>_xlfn.IFNA((VLOOKUP($A78,HN!$A:$M,9,FALSE)/12),0)</f>
        <v>0</v>
      </c>
      <c r="GM78" s="301">
        <f>_xlfn.IFNA((VLOOKUP($A78,'Post 16'!$A:$AG,33,FALSE)/8),0)</f>
        <v>0</v>
      </c>
      <c r="GN78" s="301"/>
      <c r="GO78" s="301">
        <f>_xlfn.IFNA(((VLOOKUP($A78,HN!$A:$M,10,FALSE)-$U78-$AK78)/10),0)</f>
        <v>322.17500000000001</v>
      </c>
      <c r="GP78" s="301">
        <f>_xlfn.IFNA(((VLOOKUP($A78,HN!$A:$M,13,FALSE)-$V78-$AL78)/10),0)</f>
        <v>0</v>
      </c>
      <c r="GQ78" s="300">
        <f t="shared" si="155"/>
        <v>0</v>
      </c>
      <c r="GR78" s="300">
        <f t="shared" si="156"/>
        <v>0</v>
      </c>
      <c r="GS78" s="301"/>
      <c r="GT78" s="301"/>
      <c r="GU78" s="301"/>
      <c r="GV78" s="300">
        <f t="shared" si="157"/>
        <v>322.17500000000001</v>
      </c>
      <c r="GX78" s="146">
        <f t="shared" ref="GX78:HC87" si="158">SUMIFS($M78:$GV78,$M$7:$GV$7,GX$7)</f>
        <v>410647.77552665834</v>
      </c>
      <c r="GY78" s="146">
        <f t="shared" si="158"/>
        <v>0</v>
      </c>
      <c r="GZ78" s="146">
        <f t="shared" si="158"/>
        <v>7972.0000000000018</v>
      </c>
      <c r="HA78" s="146">
        <f t="shared" si="158"/>
        <v>0</v>
      </c>
      <c r="HB78" s="146">
        <f t="shared" si="158"/>
        <v>0</v>
      </c>
      <c r="HC78" s="146">
        <f t="shared" si="158"/>
        <v>0</v>
      </c>
      <c r="HE78" s="146">
        <f t="shared" ref="HE78:HJ87" si="159">SUMIFS($M78:$GV78,$M$7:$GV$7,HE$7,$M$4:$GV$4,$HE$6)</f>
        <v>313722.33173718466</v>
      </c>
      <c r="HF78" s="146">
        <f t="shared" si="159"/>
        <v>0</v>
      </c>
      <c r="HG78" s="146">
        <f t="shared" si="159"/>
        <v>4292.4250000000002</v>
      </c>
      <c r="HH78" s="146">
        <f t="shared" si="159"/>
        <v>0</v>
      </c>
      <c r="HI78" s="146">
        <f t="shared" si="159"/>
        <v>0</v>
      </c>
      <c r="HJ78" s="146">
        <f t="shared" si="159"/>
        <v>0</v>
      </c>
      <c r="HL78" s="146"/>
      <c r="HM78" s="57"/>
    </row>
    <row r="79" spans="1:221">
      <c r="A79" s="185">
        <v>4201</v>
      </c>
      <c r="B79" s="185">
        <v>103503</v>
      </c>
      <c r="C79" s="185" t="s">
        <v>181</v>
      </c>
      <c r="D79" s="2" t="s">
        <v>182</v>
      </c>
      <c r="E79" s="190" t="s">
        <v>71</v>
      </c>
      <c r="F79" s="190" t="s">
        <v>890</v>
      </c>
      <c r="H79" s="271">
        <f>_xlfn.IFNA(VLOOKUP($A79,ISB!$A$4:$BY$441,67,FALSE),0)</f>
        <v>10032993.510530381</v>
      </c>
      <c r="I79" s="271">
        <f>_xlfn.IFNA(VLOOKUP($A79,ISB!$A$4:$BY$441,72,FALSE),0)</f>
        <v>-23127</v>
      </c>
      <c r="J79" s="271">
        <f>-_xlfn.IFNA(VLOOKUP($A79,ISB!$A$4:$BY$441,76,FALSE),0)</f>
        <v>-148398.02249999999</v>
      </c>
      <c r="K79" s="271">
        <f>_xlfn.IFNA(VLOOKUP($A79,ISB!$A$4:$BY$441,77,FALSE),0)</f>
        <v>9861468.4880303796</v>
      </c>
      <c r="M79" s="279">
        <f t="shared" si="110"/>
        <v>836082.79254419834</v>
      </c>
      <c r="N79" s="279"/>
      <c r="O79" s="279">
        <f>_xlfn.IFNA(VLOOKUP($A79,EY!$A:$H,8,FALSE)+(VLOOKUP($A79,EY!$A:$R,18,FALSE)-$T79),0)</f>
        <v>0</v>
      </c>
      <c r="P79" s="280">
        <f>_xlfn.IFNA((VLOOKUP($A79,HN!$A:$M,8,FALSE)/12),0)</f>
        <v>0</v>
      </c>
      <c r="Q79" s="280">
        <f>_xlfn.IFNA((VLOOKUP($A79,HN!$A:$M,12,FALSE)/12),0)</f>
        <v>0</v>
      </c>
      <c r="R79" s="280">
        <f>_xlfn.IFNA((VLOOKUP($A79,HN!$A:$M,9,FALSE)/12),0)</f>
        <v>0</v>
      </c>
      <c r="S79" s="280">
        <f>_xlfn.IFNA((VLOOKUP($A79,'Post 16'!$A:$AR,22,FALSE)/4),0)</f>
        <v>0</v>
      </c>
      <c r="T79" s="280">
        <f>_xlfn.IFNA((VLOOKUP($A79,EY!$A:$R,16,FALSE)*80%),0)</f>
        <v>0</v>
      </c>
      <c r="U79" s="280">
        <v>12079.777500000002</v>
      </c>
      <c r="V79" s="280">
        <v>0</v>
      </c>
      <c r="W79" s="279">
        <f t="shared" si="111"/>
        <v>-1927.25</v>
      </c>
      <c r="X79" s="279">
        <f t="shared" si="112"/>
        <v>-12366.501875</v>
      </c>
      <c r="Y79" s="280"/>
      <c r="Z79" s="280"/>
      <c r="AA79" s="280"/>
      <c r="AB79" s="279">
        <f t="shared" si="113"/>
        <v>833868.81816919835</v>
      </c>
      <c r="AC79" s="293">
        <f t="shared" si="114"/>
        <v>836082.79254419834</v>
      </c>
      <c r="AD79" s="293"/>
      <c r="AE79" s="293"/>
      <c r="AF79" s="294">
        <f>_xlfn.IFNA((VLOOKUP($A79,HN!$A:$M,8,FALSE)/12),0)</f>
        <v>0</v>
      </c>
      <c r="AG79" s="294">
        <f>_xlfn.IFNA((VLOOKUP($A79,HN!$A:$M,12,FALSE)/12),0)+_xlfn.IFNA(VLOOKUP($A79,HN!$A:$Q,17,FALSE),0)</f>
        <v>0</v>
      </c>
      <c r="AH79" s="294">
        <f>_xlfn.IFNA((VLOOKUP($A79,HN!$A:$M,9,FALSE)/12),0)</f>
        <v>0</v>
      </c>
      <c r="AI79" s="294">
        <f>_xlfn.IFNA((VLOOKUP($A79,'Post 16'!$A:$AR,22,FALSE)/4),0)</f>
        <v>0</v>
      </c>
      <c r="AJ79" s="294"/>
      <c r="AK79" s="294">
        <f>_xlfn.IFNA((VLOOKUP($A79,HN!$A:$M,10,FALSE)/12),0)</f>
        <v>9058.1741666666658</v>
      </c>
      <c r="AL79" s="294">
        <f>_xlfn.IFNA((VLOOKUP($A79,HN!$A:$M,13,FALSE)/12),0)</f>
        <v>0</v>
      </c>
      <c r="AM79" s="293">
        <f t="shared" si="115"/>
        <v>-1927.25</v>
      </c>
      <c r="AN79" s="293">
        <f t="shared" si="116"/>
        <v>-12366.501875</v>
      </c>
      <c r="AO79" s="294"/>
      <c r="AP79" s="294"/>
      <c r="AQ79" s="294"/>
      <c r="AR79" s="293">
        <f t="shared" si="117"/>
        <v>830847.21483586507</v>
      </c>
      <c r="AS79" s="286">
        <f t="shared" si="118"/>
        <v>836082.79254419834</v>
      </c>
      <c r="AT79" s="286"/>
      <c r="AU79" s="286">
        <f>_xlfn.IFNA(VLOOKUP(A79,EY!A:AO,40,FALSE),0)</f>
        <v>0</v>
      </c>
      <c r="AV79" s="287">
        <f>_xlfn.IFNA((VLOOKUP($A79,HN!$A:$M,8,FALSE)/12),0)</f>
        <v>0</v>
      </c>
      <c r="AW79" s="287">
        <f>_xlfn.IFNA((VLOOKUP($A79,HN!$A:$M,12,FALSE)/12),0)+_xlfn.IFNA(VLOOKUP($A79,HN!$A$8:$AU$200,19,FALSE),0)</f>
        <v>0</v>
      </c>
      <c r="AX79" s="287">
        <f>_xlfn.IFNA((VLOOKUP($A79,HN!$A:$M,9,FALSE)/12),0)</f>
        <v>0</v>
      </c>
      <c r="AY79" s="287">
        <f>_xlfn.IFNA((VLOOKUP($A79,'Post 16'!$A:$AR,22,FALSE)/4),0)</f>
        <v>0</v>
      </c>
      <c r="AZ79" s="287">
        <f>_xlfn.IFNA(VLOOKUP(A79,EY!A:AO,41,FALSE),0)</f>
        <v>0</v>
      </c>
      <c r="BA79" s="287">
        <f>_xlfn.IFNA(((VLOOKUP($A79,HN!$A:$M,10,FALSE)-$U79-$AK79)/10),0)+_xlfn.IFNA(VLOOKUP($A79,HN!$A:$R,18,FALSE),0)</f>
        <v>8756.0138333333343</v>
      </c>
      <c r="BB79" s="287">
        <f>_xlfn.IFNA(((VLOOKUP($A79,HN!$A:$M,13,FALSE)-$V79-$AL79)/10),0)+_xlfn.IFNA(VLOOKUP($A79,HN!$A$8:$AU$200,20,FALSE),0)</f>
        <v>0</v>
      </c>
      <c r="BC79" s="286">
        <f t="shared" si="119"/>
        <v>-1927.25</v>
      </c>
      <c r="BD79" s="286">
        <f t="shared" si="120"/>
        <v>-12366.501875</v>
      </c>
      <c r="BE79" s="287"/>
      <c r="BF79" s="287"/>
      <c r="BG79" s="287"/>
      <c r="BH79" s="286">
        <f t="shared" si="121"/>
        <v>830545.05450253177</v>
      </c>
      <c r="BI79" s="307">
        <f t="shared" si="122"/>
        <v>836082.79254419834</v>
      </c>
      <c r="BJ79" s="307">
        <f>_xlfn.IFNA(VLOOKUP(A79,'LA Deductions'!A:AH,34,FALSE),0)</f>
        <v>-5370</v>
      </c>
      <c r="BK79" s="307"/>
      <c r="BL79" s="308">
        <f>_xlfn.IFNA((VLOOKUP($A79,HN!$A:$M,8,FALSE)/12),0)</f>
        <v>0</v>
      </c>
      <c r="BM79" s="308">
        <f>_xlfn.IFNA((VLOOKUP($A79,HN!$A:$M,12,FALSE)/12),0)</f>
        <v>0</v>
      </c>
      <c r="BN79" s="308">
        <f>_xlfn.IFNA((VLOOKUP($A79,HN!$A:$M,9,FALSE)/12),0)</f>
        <v>0</v>
      </c>
      <c r="BO79" s="308">
        <f>_xlfn.IFNA((VLOOKUP($A79,'Post 16'!$A:$AR,22,FALSE)/4),0)</f>
        <v>0</v>
      </c>
      <c r="BP79" s="308"/>
      <c r="BQ79" s="308">
        <f>_xlfn.IFNA(((VLOOKUP($A79,HN!$A:$M,10,FALSE)-$U79-$AK79)/10),0)</f>
        <v>8756.0138333333343</v>
      </c>
      <c r="BR79" s="308">
        <f>_xlfn.IFNA(((VLOOKUP($A79,HN!$A:$M,13,FALSE)-$V79-$AL79)/10),0)</f>
        <v>0</v>
      </c>
      <c r="BS79" s="307">
        <f t="shared" si="123"/>
        <v>-1927.25</v>
      </c>
      <c r="BT79" s="307">
        <f t="shared" si="124"/>
        <v>-12366.501875</v>
      </c>
      <c r="BU79" s="308"/>
      <c r="BV79" s="308"/>
      <c r="BW79" s="308"/>
      <c r="BX79" s="307">
        <f t="shared" si="125"/>
        <v>825175.05450253177</v>
      </c>
      <c r="BY79" s="300">
        <f t="shared" si="126"/>
        <v>836082.79254419834</v>
      </c>
      <c r="BZ79" s="300"/>
      <c r="CA79" s="300"/>
      <c r="CB79" s="301">
        <f>_xlfn.IFNA((VLOOKUP($A79,HN!$A:$M,8,FALSE)/12),0)</f>
        <v>0</v>
      </c>
      <c r="CC79" s="301">
        <f>_xlfn.IFNA((VLOOKUP($A79,HN!$A:$M,12,FALSE)/12),0)</f>
        <v>0</v>
      </c>
      <c r="CD79" s="301">
        <f>_xlfn.IFNA((VLOOKUP($A79,HN!$A:$M,9,FALSE)/12),0)</f>
        <v>0</v>
      </c>
      <c r="CE79" s="301">
        <f>_xlfn.IFNA((VLOOKUP($A79,'Post 16'!$A:$AG,33,FALSE)/8),0)</f>
        <v>0</v>
      </c>
      <c r="CF79" s="301"/>
      <c r="CG79" s="301">
        <f>_xlfn.IFNA(((VLOOKUP($A79,HN!$A:$M,10,FALSE)-$U79-$AK79)/10),0)</f>
        <v>8756.0138333333343</v>
      </c>
      <c r="CH79" s="301">
        <f>_xlfn.IFNA(((VLOOKUP($A79,HN!$A:$M,13,FALSE)-$V79-$AL79)/10),0)</f>
        <v>0</v>
      </c>
      <c r="CI79" s="300">
        <f t="shared" si="127"/>
        <v>-1927.25</v>
      </c>
      <c r="CJ79" s="300">
        <f t="shared" si="128"/>
        <v>-12366.501875</v>
      </c>
      <c r="CK79" s="301"/>
      <c r="CL79" s="301"/>
      <c r="CM79" s="301"/>
      <c r="CN79" s="300">
        <f t="shared" si="129"/>
        <v>830545.05450253177</v>
      </c>
      <c r="CO79" s="332">
        <f t="shared" si="130"/>
        <v>836082.79254419834</v>
      </c>
      <c r="CP79" s="332"/>
      <c r="CQ79" s="332">
        <f>_xlfn.IFNA((VLOOKUP($A79,EY!$A:$AB,28,FALSE)-$CV79),0)</f>
        <v>0</v>
      </c>
      <c r="CR79" s="333">
        <f>_xlfn.IFNA((VLOOKUP($A79,HN!$A:$M,8,FALSE)/12),0)</f>
        <v>0</v>
      </c>
      <c r="CS79" s="333">
        <f>_xlfn.IFNA((VLOOKUP($A79,HN!$A:$M,12,FALSE)/12),0)</f>
        <v>0</v>
      </c>
      <c r="CT79" s="333">
        <f>_xlfn.IFNA((VLOOKUP($A79,HN!$A:$M,9,FALSE)/12),0)</f>
        <v>0</v>
      </c>
      <c r="CU79" s="333">
        <f>_xlfn.IFNA((VLOOKUP($A79,'Post 16'!$A:$AG,33,FALSE)/8),0)</f>
        <v>0</v>
      </c>
      <c r="CV79" s="333">
        <f>_xlfn.IFNA((VLOOKUP($A79,EY!$A:$AB,26,FALSE)*80%),0)</f>
        <v>0</v>
      </c>
      <c r="CW79" s="333">
        <f>_xlfn.IFNA(((VLOOKUP($A79,HN!$A:$M,10,FALSE)-$U79-$AK79)/10),0)</f>
        <v>8756.0138333333343</v>
      </c>
      <c r="CX79" s="333">
        <f>_xlfn.IFNA(((VLOOKUP($A79,HN!$A:$M,13,FALSE)-$V79-$AL79)/10),0)</f>
        <v>0</v>
      </c>
      <c r="CY79" s="332">
        <f t="shared" si="131"/>
        <v>-1927.25</v>
      </c>
      <c r="CZ79" s="332">
        <f t="shared" si="132"/>
        <v>-12366.501875</v>
      </c>
      <c r="DA79" s="333"/>
      <c r="DB79" s="333"/>
      <c r="DC79" s="333"/>
      <c r="DD79" s="332">
        <f t="shared" si="133"/>
        <v>830545.05450253177</v>
      </c>
      <c r="DE79" s="314">
        <f t="shared" si="134"/>
        <v>836082.79254419834</v>
      </c>
      <c r="DF79" s="314"/>
      <c r="DG79" s="314"/>
      <c r="DH79" s="315">
        <f>_xlfn.IFNA((VLOOKUP($A79,HN!$A:$M,8,FALSE)/12),0)</f>
        <v>0</v>
      </c>
      <c r="DI79" s="315">
        <f>_xlfn.IFNA((VLOOKUP($A79,HN!$A:$M,12,FALSE)/12),0)</f>
        <v>0</v>
      </c>
      <c r="DJ79" s="315">
        <f>_xlfn.IFNA((VLOOKUP($A79,HN!$A:$M,9,FALSE)/12),0)</f>
        <v>0</v>
      </c>
      <c r="DK79" s="315">
        <f>_xlfn.IFNA((VLOOKUP($A79,'Post 16'!$A:$AG,33,FALSE)/8),0)</f>
        <v>0</v>
      </c>
      <c r="DL79" s="315"/>
      <c r="DM79" s="315">
        <f>_xlfn.IFNA(((VLOOKUP($A79,HN!$A:$M,10,FALSE)-$U79-$AK79)/10),0)</f>
        <v>8756.0138333333343</v>
      </c>
      <c r="DN79" s="315">
        <f>_xlfn.IFNA(((VLOOKUP($A79,HN!$A:$M,13,FALSE)-$V79-$AL79)/10),0)</f>
        <v>0</v>
      </c>
      <c r="DO79" s="314">
        <f t="shared" si="135"/>
        <v>-1927.25</v>
      </c>
      <c r="DP79" s="314">
        <f t="shared" si="136"/>
        <v>-12366.501875</v>
      </c>
      <c r="DQ79" s="315"/>
      <c r="DR79" s="315"/>
      <c r="DS79" s="315"/>
      <c r="DT79" s="314">
        <f t="shared" si="137"/>
        <v>830545.05450253177</v>
      </c>
      <c r="DU79" s="307">
        <f t="shared" si="138"/>
        <v>836082.79254419834</v>
      </c>
      <c r="DV79" s="307"/>
      <c r="DW79" s="307"/>
      <c r="DX79" s="308">
        <f>_xlfn.IFNA((VLOOKUP($A79,HN!$A:$M,8,FALSE)/12),0)</f>
        <v>0</v>
      </c>
      <c r="DY79" s="308">
        <f>_xlfn.IFNA((VLOOKUP($A79,HN!$A:$M,12,FALSE)/12),0)</f>
        <v>0</v>
      </c>
      <c r="DZ79" s="308">
        <f>_xlfn.IFNA((VLOOKUP($A79,HN!$A:$M,9,FALSE)/12),0)</f>
        <v>0</v>
      </c>
      <c r="EA79" s="308">
        <f>_xlfn.IFNA((VLOOKUP($A79,'Post 16'!$A:$AG,33,FALSE)/8),0)</f>
        <v>0</v>
      </c>
      <c r="EB79" s="308"/>
      <c r="EC79" s="308">
        <f>_xlfn.IFNA(((VLOOKUP($A79,HN!$A:$M,10,FALSE)-$U79-$AK79)/10),0)</f>
        <v>8756.0138333333343</v>
      </c>
      <c r="ED79" s="308">
        <f>_xlfn.IFNA(((VLOOKUP($A79,HN!$A:$M,13,FALSE)-$V79-$AL79)/10),0)</f>
        <v>0</v>
      </c>
      <c r="EE79" s="307">
        <f t="shared" si="139"/>
        <v>-1927.25</v>
      </c>
      <c r="EF79" s="307">
        <f t="shared" si="140"/>
        <v>-12366.501875</v>
      </c>
      <c r="EG79" s="308"/>
      <c r="EH79" s="308"/>
      <c r="EI79" s="308"/>
      <c r="EJ79" s="307">
        <f t="shared" si="141"/>
        <v>830545.05450253177</v>
      </c>
      <c r="EK79" s="320">
        <f t="shared" si="142"/>
        <v>836082.79254419834</v>
      </c>
      <c r="EL79" s="320"/>
      <c r="EM79" s="320"/>
      <c r="EN79" s="321">
        <f>_xlfn.IFNA((VLOOKUP($A79,HN!$A:$M,8,FALSE)/12),0)</f>
        <v>0</v>
      </c>
      <c r="EO79" s="321">
        <f>_xlfn.IFNA((VLOOKUP($A79,HN!$A:$M,12,FALSE)/12),0)</f>
        <v>0</v>
      </c>
      <c r="EP79" s="321">
        <f>_xlfn.IFNA((VLOOKUP($A79,HN!$A:$M,9,FALSE)/12),0)</f>
        <v>0</v>
      </c>
      <c r="EQ79" s="321">
        <f>_xlfn.IFNA((VLOOKUP($A79,'Post 16'!$A:$AG,33,FALSE)/8),0)</f>
        <v>0</v>
      </c>
      <c r="ER79" s="321"/>
      <c r="ES79" s="321">
        <f>_xlfn.IFNA(((VLOOKUP($A79,HN!$A:$M,10,FALSE)-$U79-$AK79)/10),0)</f>
        <v>8756.0138333333343</v>
      </c>
      <c r="ET79" s="321">
        <f>_xlfn.IFNA(((VLOOKUP($A79,HN!$A:$M,13,FALSE)-$V79-$AL79)/10),0)</f>
        <v>0</v>
      </c>
      <c r="EU79" s="320">
        <f t="shared" si="143"/>
        <v>-1927.25</v>
      </c>
      <c r="EV79" s="320">
        <f t="shared" si="144"/>
        <v>-12366.501875</v>
      </c>
      <c r="EW79" s="321"/>
      <c r="EX79" s="321"/>
      <c r="EY79" s="321"/>
      <c r="EZ79" s="320">
        <f t="shared" si="145"/>
        <v>830545.05450253177</v>
      </c>
      <c r="FA79" s="286">
        <f t="shared" si="146"/>
        <v>836082.79254419834</v>
      </c>
      <c r="FB79" s="286"/>
      <c r="FC79" s="286"/>
      <c r="FD79" s="287">
        <f>_xlfn.IFNA((VLOOKUP($A79,HN!$A:$M,8,FALSE)/12),0)</f>
        <v>0</v>
      </c>
      <c r="FE79" s="287">
        <f>_xlfn.IFNA((VLOOKUP($A79,HN!$A:$M,12,FALSE)/12),0)</f>
        <v>0</v>
      </c>
      <c r="FF79" s="287">
        <f>_xlfn.IFNA((VLOOKUP($A79,HN!$A:$M,9,FALSE)/12),0)</f>
        <v>0</v>
      </c>
      <c r="FG79" s="287">
        <f>_xlfn.IFNA((VLOOKUP($A79,'Post 16'!$A:$AG,33,FALSE)/8),0)</f>
        <v>0</v>
      </c>
      <c r="FH79" s="287"/>
      <c r="FI79" s="287">
        <f>_xlfn.IFNA(((VLOOKUP($A79,HN!$A:$M,10,FALSE)-$U79-$AK79)/10),0)</f>
        <v>8756.0138333333343</v>
      </c>
      <c r="FJ79" s="287">
        <f>_xlfn.IFNA(((VLOOKUP($A79,HN!$A:$M,13,FALSE)-$V79-$AL79)/10),0)</f>
        <v>0</v>
      </c>
      <c r="FK79" s="286">
        <f t="shared" si="147"/>
        <v>-1927.25</v>
      </c>
      <c r="FL79" s="286">
        <f t="shared" si="148"/>
        <v>-12366.501875</v>
      </c>
      <c r="FM79" s="287"/>
      <c r="FN79" s="287"/>
      <c r="FO79" s="287"/>
      <c r="FP79" s="286">
        <f t="shared" si="149"/>
        <v>830545.05450253177</v>
      </c>
      <c r="FQ79" s="293">
        <f t="shared" si="150"/>
        <v>836082.79254419834</v>
      </c>
      <c r="FR79" s="293"/>
      <c r="FS79" s="293"/>
      <c r="FT79" s="294">
        <f>_xlfn.IFNA((VLOOKUP($A79,HN!$A:$M,8,FALSE)/12),0)</f>
        <v>0</v>
      </c>
      <c r="FU79" s="294">
        <f>_xlfn.IFNA((VLOOKUP($A79,HN!$A:$M,12,FALSE)/12),0)</f>
        <v>0</v>
      </c>
      <c r="FV79" s="294">
        <f>_xlfn.IFNA((VLOOKUP($A79,HN!$A:$M,9,FALSE)/12),0)</f>
        <v>0</v>
      </c>
      <c r="FW79" s="294">
        <f>_xlfn.IFNA((VLOOKUP($A79,'Post 16'!$A:$AG,33,FALSE)/8),0)</f>
        <v>0</v>
      </c>
      <c r="FX79" s="294"/>
      <c r="FY79" s="294">
        <f>_xlfn.IFNA(((VLOOKUP($A79,HN!$A:$M,10,FALSE)-$U79-$AK79)/10),0)</f>
        <v>8756.0138333333343</v>
      </c>
      <c r="FZ79" s="294">
        <f>_xlfn.IFNA(((VLOOKUP($A79,HN!$A:$M,13,FALSE)-$V79-$AL79)/10),0)</f>
        <v>0</v>
      </c>
      <c r="GA79" s="293">
        <f t="shared" si="151"/>
        <v>-1927.25</v>
      </c>
      <c r="GB79" s="293">
        <f t="shared" si="152"/>
        <v>-12366.501875</v>
      </c>
      <c r="GC79" s="294"/>
      <c r="GD79" s="294"/>
      <c r="GE79" s="294"/>
      <c r="GF79" s="293">
        <f t="shared" si="153"/>
        <v>830545.05450253177</v>
      </c>
      <c r="GG79" s="300">
        <f t="shared" si="154"/>
        <v>836082.79254419834</v>
      </c>
      <c r="GH79" s="300"/>
      <c r="GI79" s="300"/>
      <c r="GJ79" s="301">
        <f>_xlfn.IFNA((VLOOKUP($A79,HN!$A:$M,8,FALSE)/12),0)</f>
        <v>0</v>
      </c>
      <c r="GK79" s="301">
        <f>_xlfn.IFNA((VLOOKUP($A79,HN!$A:$M,12,FALSE)/12),0)</f>
        <v>0</v>
      </c>
      <c r="GL79" s="301">
        <f>_xlfn.IFNA((VLOOKUP($A79,HN!$A:$M,9,FALSE)/12),0)</f>
        <v>0</v>
      </c>
      <c r="GM79" s="301">
        <f>_xlfn.IFNA((VLOOKUP($A79,'Post 16'!$A:$AG,33,FALSE)/8),0)</f>
        <v>0</v>
      </c>
      <c r="GN79" s="301"/>
      <c r="GO79" s="301">
        <f>_xlfn.IFNA(((VLOOKUP($A79,HN!$A:$M,10,FALSE)-$U79-$AK79)/10),0)</f>
        <v>8756.0138333333343</v>
      </c>
      <c r="GP79" s="301">
        <f>_xlfn.IFNA(((VLOOKUP($A79,HN!$A:$M,13,FALSE)-$V79-$AL79)/10),0)</f>
        <v>0</v>
      </c>
      <c r="GQ79" s="300">
        <f t="shared" si="155"/>
        <v>-1927.25</v>
      </c>
      <c r="GR79" s="300">
        <f t="shared" si="156"/>
        <v>-12366.501875</v>
      </c>
      <c r="GS79" s="301"/>
      <c r="GT79" s="301"/>
      <c r="GU79" s="301"/>
      <c r="GV79" s="300">
        <f t="shared" si="157"/>
        <v>830545.05450253177</v>
      </c>
      <c r="GX79" s="146">
        <f t="shared" si="158"/>
        <v>10027623.510530381</v>
      </c>
      <c r="GY79" s="146">
        <f t="shared" si="158"/>
        <v>0</v>
      </c>
      <c r="GZ79" s="146">
        <f t="shared" si="158"/>
        <v>108698.08999999998</v>
      </c>
      <c r="HA79" s="146">
        <f t="shared" si="158"/>
        <v>-23127</v>
      </c>
      <c r="HB79" s="146">
        <f t="shared" si="158"/>
        <v>-148398.02249999999</v>
      </c>
      <c r="HC79" s="146">
        <f t="shared" si="158"/>
        <v>0</v>
      </c>
      <c r="HE79" s="146">
        <f t="shared" si="159"/>
        <v>2508248.3776325951</v>
      </c>
      <c r="HF79" s="146">
        <f t="shared" si="159"/>
        <v>0</v>
      </c>
      <c r="HG79" s="146">
        <f t="shared" si="159"/>
        <v>29893.965500000002</v>
      </c>
      <c r="HH79" s="146">
        <f t="shared" si="159"/>
        <v>-5781.75</v>
      </c>
      <c r="HI79" s="146">
        <f t="shared" si="159"/>
        <v>-37099.505624999998</v>
      </c>
      <c r="HJ79" s="146">
        <f t="shared" si="159"/>
        <v>0</v>
      </c>
      <c r="HL79" s="146"/>
      <c r="HM79" s="57"/>
    </row>
    <row r="80" spans="1:221">
      <c r="A80" s="185">
        <v>4015</v>
      </c>
      <c r="B80" s="185">
        <v>103483</v>
      </c>
      <c r="C80" s="185" t="s">
        <v>183</v>
      </c>
      <c r="D80" s="2" t="s">
        <v>184</v>
      </c>
      <c r="E80" s="190" t="s">
        <v>71</v>
      </c>
      <c r="F80" s="190" t="s">
        <v>890</v>
      </c>
      <c r="H80" s="271">
        <f>_xlfn.IFNA(VLOOKUP($A80,ISB!$A$4:$BY$441,67,FALSE),0)</f>
        <v>6328509.6110041514</v>
      </c>
      <c r="I80" s="271">
        <f>_xlfn.IFNA(VLOOKUP($A80,ISB!$A$4:$BY$441,72,FALSE),0)</f>
        <v>-14625</v>
      </c>
      <c r="J80" s="271">
        <f>-_xlfn.IFNA(VLOOKUP($A80,ISB!$A$4:$BY$441,76,FALSE),0)</f>
        <v>-94513.691999999995</v>
      </c>
      <c r="K80" s="271">
        <f>_xlfn.IFNA(VLOOKUP($A80,ISB!$A$4:$BY$441,77,FALSE),0)</f>
        <v>6219370.9190041516</v>
      </c>
      <c r="M80" s="279">
        <f t="shared" si="110"/>
        <v>527375.80091701262</v>
      </c>
      <c r="N80" s="279"/>
      <c r="O80" s="279">
        <f>_xlfn.IFNA(VLOOKUP($A80,EY!$A:$H,8,FALSE)+(VLOOKUP($A80,EY!$A:$R,18,FALSE)-$T80),0)</f>
        <v>0</v>
      </c>
      <c r="P80" s="280">
        <f>_xlfn.IFNA((VLOOKUP($A80,HN!$A:$M,8,FALSE)/12),0)</f>
        <v>0</v>
      </c>
      <c r="Q80" s="280">
        <f>_xlfn.IFNA((VLOOKUP($A80,HN!$A:$M,12,FALSE)/12),0)</f>
        <v>0</v>
      </c>
      <c r="R80" s="280">
        <f>_xlfn.IFNA((VLOOKUP($A80,HN!$A:$M,9,FALSE)/12),0)</f>
        <v>0</v>
      </c>
      <c r="S80" s="280">
        <f>_xlfn.IFNA((VLOOKUP($A80,'Post 16'!$A:$AR,22,FALSE)/4),0)</f>
        <v>0</v>
      </c>
      <c r="T80" s="280">
        <f>_xlfn.IFNA((VLOOKUP($A80,EY!$A:$R,16,FALSE)*80%),0)</f>
        <v>0</v>
      </c>
      <c r="U80" s="280">
        <v>7121.583333333333</v>
      </c>
      <c r="V80" s="280">
        <v>0</v>
      </c>
      <c r="W80" s="279">
        <f t="shared" si="111"/>
        <v>-1218.75</v>
      </c>
      <c r="X80" s="279">
        <f t="shared" si="112"/>
        <v>-7876.1409999999996</v>
      </c>
      <c r="Y80" s="280"/>
      <c r="Z80" s="280"/>
      <c r="AA80" s="280"/>
      <c r="AB80" s="279">
        <f t="shared" si="113"/>
        <v>525402.49325034604</v>
      </c>
      <c r="AC80" s="293">
        <f t="shared" si="114"/>
        <v>527375.80091701262</v>
      </c>
      <c r="AD80" s="293"/>
      <c r="AE80" s="293"/>
      <c r="AF80" s="294">
        <f>_xlfn.IFNA((VLOOKUP($A80,HN!$A:$M,8,FALSE)/12),0)</f>
        <v>0</v>
      </c>
      <c r="AG80" s="294">
        <f>_xlfn.IFNA((VLOOKUP($A80,HN!$A:$M,12,FALSE)/12),0)+_xlfn.IFNA(VLOOKUP($A80,HN!$A:$Q,17,FALSE),0)</f>
        <v>0</v>
      </c>
      <c r="AH80" s="294">
        <f>_xlfn.IFNA((VLOOKUP($A80,HN!$A:$M,9,FALSE)/12),0)</f>
        <v>0</v>
      </c>
      <c r="AI80" s="294">
        <f>_xlfn.IFNA((VLOOKUP($A80,'Post 16'!$A:$AR,22,FALSE)/4),0)</f>
        <v>0</v>
      </c>
      <c r="AJ80" s="294"/>
      <c r="AK80" s="294">
        <f>_xlfn.IFNA((VLOOKUP($A80,HN!$A:$M,10,FALSE)/12),0)</f>
        <v>4424.416666666667</v>
      </c>
      <c r="AL80" s="294">
        <f>_xlfn.IFNA((VLOOKUP($A80,HN!$A:$M,13,FALSE)/12),0)</f>
        <v>0</v>
      </c>
      <c r="AM80" s="293">
        <f t="shared" si="115"/>
        <v>-1218.75</v>
      </c>
      <c r="AN80" s="293">
        <f t="shared" si="116"/>
        <v>-7876.1409999999996</v>
      </c>
      <c r="AO80" s="294"/>
      <c r="AP80" s="294"/>
      <c r="AQ80" s="294"/>
      <c r="AR80" s="293">
        <f t="shared" si="117"/>
        <v>522705.32658367924</v>
      </c>
      <c r="AS80" s="286">
        <f t="shared" si="118"/>
        <v>527375.80091701262</v>
      </c>
      <c r="AT80" s="286"/>
      <c r="AU80" s="286">
        <f>_xlfn.IFNA(VLOOKUP(A80,EY!A:AO,40,FALSE),0)</f>
        <v>0</v>
      </c>
      <c r="AV80" s="287">
        <f>_xlfn.IFNA((VLOOKUP($A80,HN!$A:$M,8,FALSE)/12),0)</f>
        <v>0</v>
      </c>
      <c r="AW80" s="287">
        <f>_xlfn.IFNA((VLOOKUP($A80,HN!$A:$M,12,FALSE)/12),0)+_xlfn.IFNA(VLOOKUP($A80,HN!$A$8:$AU$200,19,FALSE),0)</f>
        <v>0</v>
      </c>
      <c r="AX80" s="287">
        <f>_xlfn.IFNA((VLOOKUP($A80,HN!$A:$M,9,FALSE)/12),0)</f>
        <v>0</v>
      </c>
      <c r="AY80" s="287">
        <f>_xlfn.IFNA((VLOOKUP($A80,'Post 16'!$A:$AR,22,FALSE)/4),0)</f>
        <v>0</v>
      </c>
      <c r="AZ80" s="287">
        <f>_xlfn.IFNA(VLOOKUP(A80,EY!A:AO,41,FALSE),0)</f>
        <v>0</v>
      </c>
      <c r="BA80" s="287">
        <f>_xlfn.IFNA(((VLOOKUP($A80,HN!$A:$M,10,FALSE)-$U80-$AK80)/10),0)+_xlfn.IFNA(VLOOKUP($A80,HN!$A:$R,18,FALSE),0)</f>
        <v>4154.7</v>
      </c>
      <c r="BB80" s="287">
        <f>_xlfn.IFNA(((VLOOKUP($A80,HN!$A:$M,13,FALSE)-$V80-$AL80)/10),0)+_xlfn.IFNA(VLOOKUP($A80,HN!$A$8:$AU$200,20,FALSE),0)</f>
        <v>0</v>
      </c>
      <c r="BC80" s="286">
        <f t="shared" si="119"/>
        <v>-1218.75</v>
      </c>
      <c r="BD80" s="286">
        <f t="shared" si="120"/>
        <v>-7876.1409999999996</v>
      </c>
      <c r="BE80" s="287"/>
      <c r="BF80" s="287"/>
      <c r="BG80" s="287"/>
      <c r="BH80" s="286">
        <f t="shared" si="121"/>
        <v>522435.60991701257</v>
      </c>
      <c r="BI80" s="307">
        <f t="shared" si="122"/>
        <v>527375.80091701262</v>
      </c>
      <c r="BJ80" s="307">
        <f>_xlfn.IFNA(VLOOKUP(A80,'LA Deductions'!A:AH,34,FALSE),0)</f>
        <v>0</v>
      </c>
      <c r="BK80" s="307"/>
      <c r="BL80" s="308">
        <f>_xlfn.IFNA((VLOOKUP($A80,HN!$A:$M,8,FALSE)/12),0)</f>
        <v>0</v>
      </c>
      <c r="BM80" s="308">
        <f>_xlfn.IFNA((VLOOKUP($A80,HN!$A:$M,12,FALSE)/12),0)</f>
        <v>0</v>
      </c>
      <c r="BN80" s="308">
        <f>_xlfn.IFNA((VLOOKUP($A80,HN!$A:$M,9,FALSE)/12),0)</f>
        <v>0</v>
      </c>
      <c r="BO80" s="308">
        <f>_xlfn.IFNA((VLOOKUP($A80,'Post 16'!$A:$AR,22,FALSE)/4),0)</f>
        <v>0</v>
      </c>
      <c r="BP80" s="308"/>
      <c r="BQ80" s="308">
        <f>_xlfn.IFNA(((VLOOKUP($A80,HN!$A:$M,10,FALSE)-$U80-$AK80)/10),0)</f>
        <v>4154.7</v>
      </c>
      <c r="BR80" s="308">
        <f>_xlfn.IFNA(((VLOOKUP($A80,HN!$A:$M,13,FALSE)-$V80-$AL80)/10),0)</f>
        <v>0</v>
      </c>
      <c r="BS80" s="307">
        <f t="shared" si="123"/>
        <v>-1218.75</v>
      </c>
      <c r="BT80" s="307">
        <f t="shared" si="124"/>
        <v>-7876.1409999999996</v>
      </c>
      <c r="BU80" s="308"/>
      <c r="BV80" s="308"/>
      <c r="BW80" s="308"/>
      <c r="BX80" s="307">
        <f t="shared" si="125"/>
        <v>522435.60991701257</v>
      </c>
      <c r="BY80" s="300">
        <f t="shared" si="126"/>
        <v>527375.80091701262</v>
      </c>
      <c r="BZ80" s="300"/>
      <c r="CA80" s="300"/>
      <c r="CB80" s="301">
        <f>_xlfn.IFNA((VLOOKUP($A80,HN!$A:$M,8,FALSE)/12),0)</f>
        <v>0</v>
      </c>
      <c r="CC80" s="301">
        <f>_xlfn.IFNA((VLOOKUP($A80,HN!$A:$M,12,FALSE)/12),0)</f>
        <v>0</v>
      </c>
      <c r="CD80" s="301">
        <f>_xlfn.IFNA((VLOOKUP($A80,HN!$A:$M,9,FALSE)/12),0)</f>
        <v>0</v>
      </c>
      <c r="CE80" s="301">
        <f>_xlfn.IFNA((VLOOKUP($A80,'Post 16'!$A:$AG,33,FALSE)/8),0)</f>
        <v>0</v>
      </c>
      <c r="CF80" s="301"/>
      <c r="CG80" s="301">
        <f>_xlfn.IFNA(((VLOOKUP($A80,HN!$A:$M,10,FALSE)-$U80-$AK80)/10),0)</f>
        <v>4154.7</v>
      </c>
      <c r="CH80" s="301">
        <f>_xlfn.IFNA(((VLOOKUP($A80,HN!$A:$M,13,FALSE)-$V80-$AL80)/10),0)</f>
        <v>0</v>
      </c>
      <c r="CI80" s="300">
        <f t="shared" si="127"/>
        <v>-1218.75</v>
      </c>
      <c r="CJ80" s="300">
        <f t="shared" si="128"/>
        <v>-7876.1409999999996</v>
      </c>
      <c r="CK80" s="301"/>
      <c r="CL80" s="301"/>
      <c r="CM80" s="301"/>
      <c r="CN80" s="300">
        <f t="shared" si="129"/>
        <v>522435.60991701257</v>
      </c>
      <c r="CO80" s="332">
        <f t="shared" si="130"/>
        <v>527375.80091701262</v>
      </c>
      <c r="CP80" s="332"/>
      <c r="CQ80" s="332">
        <f>_xlfn.IFNA((VLOOKUP($A80,EY!$A:$AB,28,FALSE)-$CV80),0)</f>
        <v>0</v>
      </c>
      <c r="CR80" s="333">
        <f>_xlfn.IFNA((VLOOKUP($A80,HN!$A:$M,8,FALSE)/12),0)</f>
        <v>0</v>
      </c>
      <c r="CS80" s="333">
        <f>_xlfn.IFNA((VLOOKUP($A80,HN!$A:$M,12,FALSE)/12),0)</f>
        <v>0</v>
      </c>
      <c r="CT80" s="333">
        <f>_xlfn.IFNA((VLOOKUP($A80,HN!$A:$M,9,FALSE)/12),0)</f>
        <v>0</v>
      </c>
      <c r="CU80" s="333">
        <f>_xlfn.IFNA((VLOOKUP($A80,'Post 16'!$A:$AG,33,FALSE)/8),0)</f>
        <v>0</v>
      </c>
      <c r="CV80" s="333">
        <f>_xlfn.IFNA((VLOOKUP($A80,EY!$A:$AB,26,FALSE)*80%),0)</f>
        <v>0</v>
      </c>
      <c r="CW80" s="333">
        <f>_xlfn.IFNA(((VLOOKUP($A80,HN!$A:$M,10,FALSE)-$U80-$AK80)/10),0)</f>
        <v>4154.7</v>
      </c>
      <c r="CX80" s="333">
        <f>_xlfn.IFNA(((VLOOKUP($A80,HN!$A:$M,13,FALSE)-$V80-$AL80)/10),0)</f>
        <v>0</v>
      </c>
      <c r="CY80" s="332">
        <f t="shared" si="131"/>
        <v>-1218.75</v>
      </c>
      <c r="CZ80" s="332">
        <f t="shared" si="132"/>
        <v>-7876.1409999999996</v>
      </c>
      <c r="DA80" s="333"/>
      <c r="DB80" s="333"/>
      <c r="DC80" s="333"/>
      <c r="DD80" s="332">
        <f t="shared" si="133"/>
        <v>522435.60991701257</v>
      </c>
      <c r="DE80" s="314">
        <f t="shared" si="134"/>
        <v>527375.80091701262</v>
      </c>
      <c r="DF80" s="314"/>
      <c r="DG80" s="314"/>
      <c r="DH80" s="315">
        <f>_xlfn.IFNA((VLOOKUP($A80,HN!$A:$M,8,FALSE)/12),0)</f>
        <v>0</v>
      </c>
      <c r="DI80" s="315">
        <f>_xlfn.IFNA((VLOOKUP($A80,HN!$A:$M,12,FALSE)/12),0)</f>
        <v>0</v>
      </c>
      <c r="DJ80" s="315">
        <f>_xlfn.IFNA((VLOOKUP($A80,HN!$A:$M,9,FALSE)/12),0)</f>
        <v>0</v>
      </c>
      <c r="DK80" s="315">
        <f>_xlfn.IFNA((VLOOKUP($A80,'Post 16'!$A:$AG,33,FALSE)/8),0)</f>
        <v>0</v>
      </c>
      <c r="DL80" s="315"/>
      <c r="DM80" s="315">
        <f>_xlfn.IFNA(((VLOOKUP($A80,HN!$A:$M,10,FALSE)-$U80-$AK80)/10),0)</f>
        <v>4154.7</v>
      </c>
      <c r="DN80" s="315">
        <f>_xlfn.IFNA(((VLOOKUP($A80,HN!$A:$M,13,FALSE)-$V80-$AL80)/10),0)</f>
        <v>0</v>
      </c>
      <c r="DO80" s="314">
        <f t="shared" si="135"/>
        <v>-1218.75</v>
      </c>
      <c r="DP80" s="314">
        <f t="shared" si="136"/>
        <v>-7876.1409999999996</v>
      </c>
      <c r="DQ80" s="315"/>
      <c r="DR80" s="315"/>
      <c r="DS80" s="315"/>
      <c r="DT80" s="314">
        <f t="shared" si="137"/>
        <v>522435.60991701257</v>
      </c>
      <c r="DU80" s="307">
        <f t="shared" si="138"/>
        <v>527375.80091701262</v>
      </c>
      <c r="DV80" s="307"/>
      <c r="DW80" s="307"/>
      <c r="DX80" s="308">
        <f>_xlfn.IFNA((VLOOKUP($A80,HN!$A:$M,8,FALSE)/12),0)</f>
        <v>0</v>
      </c>
      <c r="DY80" s="308">
        <f>_xlfn.IFNA((VLOOKUP($A80,HN!$A:$M,12,FALSE)/12),0)</f>
        <v>0</v>
      </c>
      <c r="DZ80" s="308">
        <f>_xlfn.IFNA((VLOOKUP($A80,HN!$A:$M,9,FALSE)/12),0)</f>
        <v>0</v>
      </c>
      <c r="EA80" s="308">
        <f>_xlfn.IFNA((VLOOKUP($A80,'Post 16'!$A:$AG,33,FALSE)/8),0)</f>
        <v>0</v>
      </c>
      <c r="EB80" s="308"/>
      <c r="EC80" s="308">
        <f>_xlfn.IFNA(((VLOOKUP($A80,HN!$A:$M,10,FALSE)-$U80-$AK80)/10),0)</f>
        <v>4154.7</v>
      </c>
      <c r="ED80" s="308">
        <f>_xlfn.IFNA(((VLOOKUP($A80,HN!$A:$M,13,FALSE)-$V80-$AL80)/10),0)</f>
        <v>0</v>
      </c>
      <c r="EE80" s="307">
        <f t="shared" si="139"/>
        <v>-1218.75</v>
      </c>
      <c r="EF80" s="307">
        <f t="shared" si="140"/>
        <v>-7876.1409999999996</v>
      </c>
      <c r="EG80" s="308"/>
      <c r="EH80" s="308"/>
      <c r="EI80" s="308"/>
      <c r="EJ80" s="307">
        <f t="shared" si="141"/>
        <v>522435.60991701257</v>
      </c>
      <c r="EK80" s="320">
        <f t="shared" si="142"/>
        <v>527375.80091701262</v>
      </c>
      <c r="EL80" s="320"/>
      <c r="EM80" s="320"/>
      <c r="EN80" s="321">
        <f>_xlfn.IFNA((VLOOKUP($A80,HN!$A:$M,8,FALSE)/12),0)</f>
        <v>0</v>
      </c>
      <c r="EO80" s="321">
        <f>_xlfn.IFNA((VLOOKUP($A80,HN!$A:$M,12,FALSE)/12),0)</f>
        <v>0</v>
      </c>
      <c r="EP80" s="321">
        <f>_xlfn.IFNA((VLOOKUP($A80,HN!$A:$M,9,FALSE)/12),0)</f>
        <v>0</v>
      </c>
      <c r="EQ80" s="321">
        <f>_xlfn.IFNA((VLOOKUP($A80,'Post 16'!$A:$AG,33,FALSE)/8),0)</f>
        <v>0</v>
      </c>
      <c r="ER80" s="321"/>
      <c r="ES80" s="321">
        <f>_xlfn.IFNA(((VLOOKUP($A80,HN!$A:$M,10,FALSE)-$U80-$AK80)/10),0)</f>
        <v>4154.7</v>
      </c>
      <c r="ET80" s="321">
        <f>_xlfn.IFNA(((VLOOKUP($A80,HN!$A:$M,13,FALSE)-$V80-$AL80)/10),0)</f>
        <v>0</v>
      </c>
      <c r="EU80" s="320">
        <f t="shared" si="143"/>
        <v>-1218.75</v>
      </c>
      <c r="EV80" s="320">
        <f t="shared" si="144"/>
        <v>-7876.1409999999996</v>
      </c>
      <c r="EW80" s="321"/>
      <c r="EX80" s="321"/>
      <c r="EY80" s="321"/>
      <c r="EZ80" s="320">
        <f t="shared" si="145"/>
        <v>522435.60991701257</v>
      </c>
      <c r="FA80" s="286">
        <f t="shared" si="146"/>
        <v>527375.80091701262</v>
      </c>
      <c r="FB80" s="286"/>
      <c r="FC80" s="286"/>
      <c r="FD80" s="287">
        <f>_xlfn.IFNA((VLOOKUP($A80,HN!$A:$M,8,FALSE)/12),0)</f>
        <v>0</v>
      </c>
      <c r="FE80" s="287">
        <f>_xlfn.IFNA((VLOOKUP($A80,HN!$A:$M,12,FALSE)/12),0)</f>
        <v>0</v>
      </c>
      <c r="FF80" s="287">
        <f>_xlfn.IFNA((VLOOKUP($A80,HN!$A:$M,9,FALSE)/12),0)</f>
        <v>0</v>
      </c>
      <c r="FG80" s="287">
        <f>_xlfn.IFNA((VLOOKUP($A80,'Post 16'!$A:$AG,33,FALSE)/8),0)</f>
        <v>0</v>
      </c>
      <c r="FH80" s="287"/>
      <c r="FI80" s="287">
        <f>_xlfn.IFNA(((VLOOKUP($A80,HN!$A:$M,10,FALSE)-$U80-$AK80)/10),0)</f>
        <v>4154.7</v>
      </c>
      <c r="FJ80" s="287">
        <f>_xlfn.IFNA(((VLOOKUP($A80,HN!$A:$M,13,FALSE)-$V80-$AL80)/10),0)</f>
        <v>0</v>
      </c>
      <c r="FK80" s="286">
        <f t="shared" si="147"/>
        <v>-1218.75</v>
      </c>
      <c r="FL80" s="286">
        <f t="shared" si="148"/>
        <v>-7876.1409999999996</v>
      </c>
      <c r="FM80" s="287"/>
      <c r="FN80" s="287"/>
      <c r="FO80" s="287"/>
      <c r="FP80" s="286">
        <f t="shared" si="149"/>
        <v>522435.60991701257</v>
      </c>
      <c r="FQ80" s="293">
        <f t="shared" si="150"/>
        <v>527375.80091701262</v>
      </c>
      <c r="FR80" s="293"/>
      <c r="FS80" s="293"/>
      <c r="FT80" s="294">
        <f>_xlfn.IFNA((VLOOKUP($A80,HN!$A:$M,8,FALSE)/12),0)</f>
        <v>0</v>
      </c>
      <c r="FU80" s="294">
        <f>_xlfn.IFNA((VLOOKUP($A80,HN!$A:$M,12,FALSE)/12),0)</f>
        <v>0</v>
      </c>
      <c r="FV80" s="294">
        <f>_xlfn.IFNA((VLOOKUP($A80,HN!$A:$M,9,FALSE)/12),0)</f>
        <v>0</v>
      </c>
      <c r="FW80" s="294">
        <f>_xlfn.IFNA((VLOOKUP($A80,'Post 16'!$A:$AG,33,FALSE)/8),0)</f>
        <v>0</v>
      </c>
      <c r="FX80" s="294"/>
      <c r="FY80" s="294">
        <f>_xlfn.IFNA(((VLOOKUP($A80,HN!$A:$M,10,FALSE)-$U80-$AK80)/10),0)</f>
        <v>4154.7</v>
      </c>
      <c r="FZ80" s="294">
        <f>_xlfn.IFNA(((VLOOKUP($A80,HN!$A:$M,13,FALSE)-$V80-$AL80)/10),0)</f>
        <v>0</v>
      </c>
      <c r="GA80" s="293">
        <f t="shared" si="151"/>
        <v>-1218.75</v>
      </c>
      <c r="GB80" s="293">
        <f t="shared" si="152"/>
        <v>-7876.1409999999996</v>
      </c>
      <c r="GC80" s="294"/>
      <c r="GD80" s="294"/>
      <c r="GE80" s="294"/>
      <c r="GF80" s="293">
        <f t="shared" si="153"/>
        <v>522435.60991701257</v>
      </c>
      <c r="GG80" s="300">
        <f t="shared" si="154"/>
        <v>527375.80091701262</v>
      </c>
      <c r="GH80" s="300"/>
      <c r="GI80" s="300"/>
      <c r="GJ80" s="301">
        <f>_xlfn.IFNA((VLOOKUP($A80,HN!$A:$M,8,FALSE)/12),0)</f>
        <v>0</v>
      </c>
      <c r="GK80" s="301">
        <f>_xlfn.IFNA((VLOOKUP($A80,HN!$A:$M,12,FALSE)/12),0)</f>
        <v>0</v>
      </c>
      <c r="GL80" s="301">
        <f>_xlfn.IFNA((VLOOKUP($A80,HN!$A:$M,9,FALSE)/12),0)</f>
        <v>0</v>
      </c>
      <c r="GM80" s="301">
        <f>_xlfn.IFNA((VLOOKUP($A80,'Post 16'!$A:$AG,33,FALSE)/8),0)</f>
        <v>0</v>
      </c>
      <c r="GN80" s="301"/>
      <c r="GO80" s="301">
        <f>_xlfn.IFNA(((VLOOKUP($A80,HN!$A:$M,10,FALSE)-$U80-$AK80)/10),0)</f>
        <v>4154.7</v>
      </c>
      <c r="GP80" s="301">
        <f>_xlfn.IFNA(((VLOOKUP($A80,HN!$A:$M,13,FALSE)-$V80-$AL80)/10),0)</f>
        <v>0</v>
      </c>
      <c r="GQ80" s="300">
        <f t="shared" si="155"/>
        <v>-1218.75</v>
      </c>
      <c r="GR80" s="300">
        <f t="shared" si="156"/>
        <v>-7876.1409999999996</v>
      </c>
      <c r="GS80" s="301"/>
      <c r="GT80" s="301"/>
      <c r="GU80" s="301"/>
      <c r="GV80" s="300">
        <f t="shared" si="157"/>
        <v>522435.60991701257</v>
      </c>
      <c r="GX80" s="146">
        <f t="shared" si="158"/>
        <v>6328509.6110041514</v>
      </c>
      <c r="GY80" s="146">
        <f t="shared" si="158"/>
        <v>0</v>
      </c>
      <c r="GZ80" s="146">
        <f t="shared" si="158"/>
        <v>53092.999999999993</v>
      </c>
      <c r="HA80" s="146">
        <f t="shared" si="158"/>
        <v>-14625</v>
      </c>
      <c r="HB80" s="146">
        <f t="shared" si="158"/>
        <v>-94513.692000000025</v>
      </c>
      <c r="HC80" s="146">
        <f t="shared" si="158"/>
        <v>0</v>
      </c>
      <c r="HE80" s="146">
        <f t="shared" si="159"/>
        <v>1582127.4027510379</v>
      </c>
      <c r="HF80" s="146">
        <f t="shared" si="159"/>
        <v>0</v>
      </c>
      <c r="HG80" s="146">
        <f t="shared" si="159"/>
        <v>15700.7</v>
      </c>
      <c r="HH80" s="146">
        <f t="shared" si="159"/>
        <v>-3656.25</v>
      </c>
      <c r="HI80" s="146">
        <f t="shared" si="159"/>
        <v>-23628.422999999999</v>
      </c>
      <c r="HJ80" s="146">
        <f t="shared" si="159"/>
        <v>0</v>
      </c>
      <c r="HL80" s="146"/>
      <c r="HM80" s="57"/>
    </row>
    <row r="81" spans="1:221">
      <c r="A81" s="185">
        <v>3411</v>
      </c>
      <c r="B81" s="185">
        <v>103479</v>
      </c>
      <c r="C81" s="185" t="s">
        <v>185</v>
      </c>
      <c r="D81" s="2" t="s">
        <v>186</v>
      </c>
      <c r="E81" s="190" t="s">
        <v>39</v>
      </c>
      <c r="F81" s="190" t="s">
        <v>890</v>
      </c>
      <c r="H81" s="271">
        <f>_xlfn.IFNA(VLOOKUP($A81,ISB!$A$4:$BY$441,67,FALSE),0)</f>
        <v>1107941.4114344493</v>
      </c>
      <c r="I81" s="271">
        <f>_xlfn.IFNA(VLOOKUP($A81,ISB!$A$4:$BY$441,72,FALSE),0)</f>
        <v>-3685.2</v>
      </c>
      <c r="J81" s="271">
        <f>-_xlfn.IFNA(VLOOKUP($A81,ISB!$A$4:$BY$441,76,FALSE),0)</f>
        <v>-4266.2254999999996</v>
      </c>
      <c r="K81" s="271">
        <f>_xlfn.IFNA(VLOOKUP($A81,ISB!$A$4:$BY$441,77,FALSE),0)</f>
        <v>1099989.9859344494</v>
      </c>
      <c r="M81" s="279">
        <f t="shared" si="110"/>
        <v>92328.450952870771</v>
      </c>
      <c r="N81" s="279"/>
      <c r="O81" s="279">
        <f>_xlfn.IFNA(VLOOKUP($A81,EY!$A:$H,8,FALSE)+(VLOOKUP($A81,EY!$A:$R,18,FALSE)-$T81),0)</f>
        <v>60220.685473684214</v>
      </c>
      <c r="P81" s="280">
        <f>_xlfn.IFNA((VLOOKUP($A81,HN!$A:$M,8,FALSE)/12),0)</f>
        <v>0</v>
      </c>
      <c r="Q81" s="280">
        <f>_xlfn.IFNA((VLOOKUP($A81,HN!$A:$M,12,FALSE)/12),0)</f>
        <v>0</v>
      </c>
      <c r="R81" s="280">
        <f>_xlfn.IFNA((VLOOKUP($A81,HN!$A:$M,9,FALSE)/12),0)</f>
        <v>0</v>
      </c>
      <c r="S81" s="280">
        <f>_xlfn.IFNA((VLOOKUP($A81,'Post 16'!$A:$AR,22,FALSE)/4),0)</f>
        <v>0</v>
      </c>
      <c r="T81" s="280">
        <f>_xlfn.IFNA((VLOOKUP($A81,EY!$A:$R,16,FALSE)*80%),0)</f>
        <v>0</v>
      </c>
      <c r="U81" s="280">
        <v>25370.8125</v>
      </c>
      <c r="V81" s="280">
        <v>0</v>
      </c>
      <c r="W81" s="279">
        <f t="shared" si="111"/>
        <v>-307.09999999999997</v>
      </c>
      <c r="X81" s="279">
        <f t="shared" si="112"/>
        <v>-355.51879166666663</v>
      </c>
      <c r="Y81" s="280"/>
      <c r="Z81" s="280"/>
      <c r="AA81" s="280"/>
      <c r="AB81" s="279">
        <f t="shared" si="113"/>
        <v>177257.33013488833</v>
      </c>
      <c r="AC81" s="293">
        <f t="shared" si="114"/>
        <v>92328.450952870771</v>
      </c>
      <c r="AD81" s="293"/>
      <c r="AE81" s="293"/>
      <c r="AF81" s="294">
        <f>_xlfn.IFNA((VLOOKUP($A81,HN!$A:$M,8,FALSE)/12),0)</f>
        <v>0</v>
      </c>
      <c r="AG81" s="294">
        <f>_xlfn.IFNA((VLOOKUP($A81,HN!$A:$M,12,FALSE)/12),0)+_xlfn.IFNA(VLOOKUP($A81,HN!$A:$Q,17,FALSE),0)</f>
        <v>0</v>
      </c>
      <c r="AH81" s="294">
        <f>_xlfn.IFNA((VLOOKUP($A81,HN!$A:$M,9,FALSE)/12),0)</f>
        <v>0</v>
      </c>
      <c r="AI81" s="294">
        <f>_xlfn.IFNA((VLOOKUP($A81,'Post 16'!$A:$AR,22,FALSE)/4),0)</f>
        <v>0</v>
      </c>
      <c r="AJ81" s="294"/>
      <c r="AK81" s="294">
        <f>_xlfn.IFNA((VLOOKUP($A81,HN!$A:$M,10,FALSE)/12),0)</f>
        <v>15895.604166666666</v>
      </c>
      <c r="AL81" s="294">
        <f>_xlfn.IFNA((VLOOKUP($A81,HN!$A:$M,13,FALSE)/12),0)</f>
        <v>0</v>
      </c>
      <c r="AM81" s="293">
        <f t="shared" si="115"/>
        <v>-307.09999999999997</v>
      </c>
      <c r="AN81" s="293">
        <f t="shared" si="116"/>
        <v>-355.51879166666663</v>
      </c>
      <c r="AO81" s="294"/>
      <c r="AP81" s="294"/>
      <c r="AQ81" s="294"/>
      <c r="AR81" s="293">
        <f t="shared" si="117"/>
        <v>107561.43632787078</v>
      </c>
      <c r="AS81" s="286">
        <f t="shared" si="118"/>
        <v>92328.450952870771</v>
      </c>
      <c r="AT81" s="286"/>
      <c r="AU81" s="286">
        <f>_xlfn.IFNA(VLOOKUP(A81,EY!A:AO,40,FALSE),0)</f>
        <v>21885.337506925207</v>
      </c>
      <c r="AV81" s="287">
        <f>_xlfn.IFNA((VLOOKUP($A81,HN!$A:$M,8,FALSE)/12),0)</f>
        <v>0</v>
      </c>
      <c r="AW81" s="287">
        <f>_xlfn.IFNA((VLOOKUP($A81,HN!$A:$M,12,FALSE)/12),0)+_xlfn.IFNA(VLOOKUP($A81,HN!$A$8:$AU$200,19,FALSE),0)</f>
        <v>0</v>
      </c>
      <c r="AX81" s="287">
        <f>_xlfn.IFNA((VLOOKUP($A81,HN!$A:$M,9,FALSE)/12),0)</f>
        <v>0</v>
      </c>
      <c r="AY81" s="287">
        <f>_xlfn.IFNA((VLOOKUP($A81,'Post 16'!$A:$AR,22,FALSE)/4),0)</f>
        <v>0</v>
      </c>
      <c r="AZ81" s="287">
        <f>_xlfn.IFNA(VLOOKUP(A81,EY!A:AO,41,FALSE),0)</f>
        <v>0</v>
      </c>
      <c r="BA81" s="287">
        <f>_xlfn.IFNA(((VLOOKUP($A81,HN!$A:$M,10,FALSE)-$U81-$AK81)/10),0)+_xlfn.IFNA(VLOOKUP($A81,HN!$A:$R,18,FALSE),0)</f>
        <v>14948.083333333334</v>
      </c>
      <c r="BB81" s="287">
        <f>_xlfn.IFNA(((VLOOKUP($A81,HN!$A:$M,13,FALSE)-$V81-$AL81)/10),0)+_xlfn.IFNA(VLOOKUP($A81,HN!$A$8:$AU$200,20,FALSE),0)</f>
        <v>0</v>
      </c>
      <c r="BC81" s="286">
        <f t="shared" si="119"/>
        <v>-307.09999999999997</v>
      </c>
      <c r="BD81" s="286">
        <f t="shared" si="120"/>
        <v>-355.51879166666663</v>
      </c>
      <c r="BE81" s="287"/>
      <c r="BF81" s="287"/>
      <c r="BG81" s="287"/>
      <c r="BH81" s="286">
        <f t="shared" si="121"/>
        <v>128499.25300146264</v>
      </c>
      <c r="BI81" s="307">
        <f t="shared" si="122"/>
        <v>92328.450952870771</v>
      </c>
      <c r="BJ81" s="307">
        <f>_xlfn.IFNA(VLOOKUP(A81,'LA Deductions'!A:AH,34,FALSE),0)</f>
        <v>0</v>
      </c>
      <c r="BK81" s="307"/>
      <c r="BL81" s="308">
        <f>_xlfn.IFNA((VLOOKUP($A81,HN!$A:$M,8,FALSE)/12),0)</f>
        <v>0</v>
      </c>
      <c r="BM81" s="308">
        <f>_xlfn.IFNA((VLOOKUP($A81,HN!$A:$M,12,FALSE)/12),0)</f>
        <v>0</v>
      </c>
      <c r="BN81" s="308">
        <f>_xlfn.IFNA((VLOOKUP($A81,HN!$A:$M,9,FALSE)/12),0)</f>
        <v>0</v>
      </c>
      <c r="BO81" s="308">
        <f>_xlfn.IFNA((VLOOKUP($A81,'Post 16'!$A:$AR,22,FALSE)/4),0)</f>
        <v>0</v>
      </c>
      <c r="BP81" s="308"/>
      <c r="BQ81" s="308">
        <f>_xlfn.IFNA(((VLOOKUP($A81,HN!$A:$M,10,FALSE)-$U81-$AK81)/10),0)</f>
        <v>14948.083333333334</v>
      </c>
      <c r="BR81" s="308">
        <f>_xlfn.IFNA(((VLOOKUP($A81,HN!$A:$M,13,FALSE)-$V81-$AL81)/10),0)</f>
        <v>0</v>
      </c>
      <c r="BS81" s="307">
        <f t="shared" si="123"/>
        <v>-307.09999999999997</v>
      </c>
      <c r="BT81" s="307">
        <f t="shared" si="124"/>
        <v>-355.51879166666663</v>
      </c>
      <c r="BU81" s="308"/>
      <c r="BV81" s="308"/>
      <c r="BW81" s="308"/>
      <c r="BX81" s="307">
        <f t="shared" si="125"/>
        <v>106613.91549453743</v>
      </c>
      <c r="BY81" s="300">
        <f t="shared" si="126"/>
        <v>92328.450952870771</v>
      </c>
      <c r="BZ81" s="300"/>
      <c r="CA81" s="300"/>
      <c r="CB81" s="301">
        <f>_xlfn.IFNA((VLOOKUP($A81,HN!$A:$M,8,FALSE)/12),0)</f>
        <v>0</v>
      </c>
      <c r="CC81" s="301">
        <f>_xlfn.IFNA((VLOOKUP($A81,HN!$A:$M,12,FALSE)/12),0)</f>
        <v>0</v>
      </c>
      <c r="CD81" s="301">
        <f>_xlfn.IFNA((VLOOKUP($A81,HN!$A:$M,9,FALSE)/12),0)</f>
        <v>0</v>
      </c>
      <c r="CE81" s="301">
        <f>_xlfn.IFNA((VLOOKUP($A81,'Post 16'!$A:$AG,33,FALSE)/8),0)</f>
        <v>0</v>
      </c>
      <c r="CF81" s="301"/>
      <c r="CG81" s="301">
        <f>_xlfn.IFNA(((VLOOKUP($A81,HN!$A:$M,10,FALSE)-$U81-$AK81)/10),0)</f>
        <v>14948.083333333334</v>
      </c>
      <c r="CH81" s="301">
        <f>_xlfn.IFNA(((VLOOKUP($A81,HN!$A:$M,13,FALSE)-$V81-$AL81)/10),0)</f>
        <v>0</v>
      </c>
      <c r="CI81" s="300">
        <f t="shared" si="127"/>
        <v>-307.09999999999997</v>
      </c>
      <c r="CJ81" s="300">
        <f t="shared" si="128"/>
        <v>-355.51879166666663</v>
      </c>
      <c r="CK81" s="301"/>
      <c r="CL81" s="301"/>
      <c r="CM81" s="301"/>
      <c r="CN81" s="300">
        <f t="shared" si="129"/>
        <v>106613.91549453743</v>
      </c>
      <c r="CO81" s="332">
        <f t="shared" si="130"/>
        <v>92328.450952870771</v>
      </c>
      <c r="CP81" s="332"/>
      <c r="CQ81" s="332">
        <f>_xlfn.IFNA((VLOOKUP($A81,EY!$A:$AB,28,FALSE)-$CV81),0)</f>
        <v>54480.279578947375</v>
      </c>
      <c r="CR81" s="333">
        <f>_xlfn.IFNA((VLOOKUP($A81,HN!$A:$M,8,FALSE)/12),0)</f>
        <v>0</v>
      </c>
      <c r="CS81" s="333">
        <f>_xlfn.IFNA((VLOOKUP($A81,HN!$A:$M,12,FALSE)/12),0)</f>
        <v>0</v>
      </c>
      <c r="CT81" s="333">
        <f>_xlfn.IFNA((VLOOKUP($A81,HN!$A:$M,9,FALSE)/12),0)</f>
        <v>0</v>
      </c>
      <c r="CU81" s="333">
        <f>_xlfn.IFNA((VLOOKUP($A81,'Post 16'!$A:$AG,33,FALSE)/8),0)</f>
        <v>0</v>
      </c>
      <c r="CV81" s="333">
        <f>_xlfn.IFNA((VLOOKUP($A81,EY!$A:$AB,26,FALSE)*80%),0)</f>
        <v>0</v>
      </c>
      <c r="CW81" s="333">
        <f>_xlfn.IFNA(((VLOOKUP($A81,HN!$A:$M,10,FALSE)-$U81-$AK81)/10),0)</f>
        <v>14948.083333333334</v>
      </c>
      <c r="CX81" s="333">
        <f>_xlfn.IFNA(((VLOOKUP($A81,HN!$A:$M,13,FALSE)-$V81-$AL81)/10),0)</f>
        <v>0</v>
      </c>
      <c r="CY81" s="332">
        <f t="shared" si="131"/>
        <v>-307.09999999999997</v>
      </c>
      <c r="CZ81" s="332">
        <f t="shared" si="132"/>
        <v>-355.51879166666663</v>
      </c>
      <c r="DA81" s="333"/>
      <c r="DB81" s="333"/>
      <c r="DC81" s="333"/>
      <c r="DD81" s="332">
        <f t="shared" si="133"/>
        <v>161094.19507348482</v>
      </c>
      <c r="DE81" s="314">
        <f t="shared" si="134"/>
        <v>92328.450952870771</v>
      </c>
      <c r="DF81" s="314"/>
      <c r="DG81" s="314"/>
      <c r="DH81" s="315">
        <f>_xlfn.IFNA((VLOOKUP($A81,HN!$A:$M,8,FALSE)/12),0)</f>
        <v>0</v>
      </c>
      <c r="DI81" s="315">
        <f>_xlfn.IFNA((VLOOKUP($A81,HN!$A:$M,12,FALSE)/12),0)</f>
        <v>0</v>
      </c>
      <c r="DJ81" s="315">
        <f>_xlfn.IFNA((VLOOKUP($A81,HN!$A:$M,9,FALSE)/12),0)</f>
        <v>0</v>
      </c>
      <c r="DK81" s="315">
        <f>_xlfn.IFNA((VLOOKUP($A81,'Post 16'!$A:$AG,33,FALSE)/8),0)</f>
        <v>0</v>
      </c>
      <c r="DL81" s="315"/>
      <c r="DM81" s="315">
        <f>_xlfn.IFNA(((VLOOKUP($A81,HN!$A:$M,10,FALSE)-$U81-$AK81)/10),0)</f>
        <v>14948.083333333334</v>
      </c>
      <c r="DN81" s="315">
        <f>_xlfn.IFNA(((VLOOKUP($A81,HN!$A:$M,13,FALSE)-$V81-$AL81)/10),0)</f>
        <v>0</v>
      </c>
      <c r="DO81" s="314">
        <f t="shared" si="135"/>
        <v>-307.09999999999997</v>
      </c>
      <c r="DP81" s="314">
        <f t="shared" si="136"/>
        <v>-355.51879166666663</v>
      </c>
      <c r="DQ81" s="315"/>
      <c r="DR81" s="315"/>
      <c r="DS81" s="315"/>
      <c r="DT81" s="314">
        <f t="shared" si="137"/>
        <v>106613.91549453743</v>
      </c>
      <c r="DU81" s="307">
        <f t="shared" si="138"/>
        <v>92328.450952870771</v>
      </c>
      <c r="DV81" s="307"/>
      <c r="DW81" s="307"/>
      <c r="DX81" s="308">
        <f>_xlfn.IFNA((VLOOKUP($A81,HN!$A:$M,8,FALSE)/12),0)</f>
        <v>0</v>
      </c>
      <c r="DY81" s="308">
        <f>_xlfn.IFNA((VLOOKUP($A81,HN!$A:$M,12,FALSE)/12),0)</f>
        <v>0</v>
      </c>
      <c r="DZ81" s="308">
        <f>_xlfn.IFNA((VLOOKUP($A81,HN!$A:$M,9,FALSE)/12),0)</f>
        <v>0</v>
      </c>
      <c r="EA81" s="308">
        <f>_xlfn.IFNA((VLOOKUP($A81,'Post 16'!$A:$AG,33,FALSE)/8),0)</f>
        <v>0</v>
      </c>
      <c r="EB81" s="308"/>
      <c r="EC81" s="308">
        <f>_xlfn.IFNA(((VLOOKUP($A81,HN!$A:$M,10,FALSE)-$U81-$AK81)/10),0)</f>
        <v>14948.083333333334</v>
      </c>
      <c r="ED81" s="308">
        <f>_xlfn.IFNA(((VLOOKUP($A81,HN!$A:$M,13,FALSE)-$V81-$AL81)/10),0)</f>
        <v>0</v>
      </c>
      <c r="EE81" s="307">
        <f t="shared" si="139"/>
        <v>-307.09999999999997</v>
      </c>
      <c r="EF81" s="307">
        <f t="shared" si="140"/>
        <v>-355.51879166666663</v>
      </c>
      <c r="EG81" s="308"/>
      <c r="EH81" s="308"/>
      <c r="EI81" s="308"/>
      <c r="EJ81" s="307">
        <f t="shared" si="141"/>
        <v>106613.91549453743</v>
      </c>
      <c r="EK81" s="320">
        <f t="shared" si="142"/>
        <v>92328.450952870771</v>
      </c>
      <c r="EL81" s="320"/>
      <c r="EM81" s="320"/>
      <c r="EN81" s="321">
        <f>_xlfn.IFNA((VLOOKUP($A81,HN!$A:$M,8,FALSE)/12),0)</f>
        <v>0</v>
      </c>
      <c r="EO81" s="321">
        <f>_xlfn.IFNA((VLOOKUP($A81,HN!$A:$M,12,FALSE)/12),0)</f>
        <v>0</v>
      </c>
      <c r="EP81" s="321">
        <f>_xlfn.IFNA((VLOOKUP($A81,HN!$A:$M,9,FALSE)/12),0)</f>
        <v>0</v>
      </c>
      <c r="EQ81" s="321">
        <f>_xlfn.IFNA((VLOOKUP($A81,'Post 16'!$A:$AG,33,FALSE)/8),0)</f>
        <v>0</v>
      </c>
      <c r="ER81" s="321"/>
      <c r="ES81" s="321">
        <f>_xlfn.IFNA(((VLOOKUP($A81,HN!$A:$M,10,FALSE)-$U81-$AK81)/10),0)</f>
        <v>14948.083333333334</v>
      </c>
      <c r="ET81" s="321">
        <f>_xlfn.IFNA(((VLOOKUP($A81,HN!$A:$M,13,FALSE)-$V81-$AL81)/10),0)</f>
        <v>0</v>
      </c>
      <c r="EU81" s="320">
        <f t="shared" si="143"/>
        <v>-307.09999999999997</v>
      </c>
      <c r="EV81" s="320">
        <f t="shared" si="144"/>
        <v>-355.51879166666663</v>
      </c>
      <c r="EW81" s="321"/>
      <c r="EX81" s="321"/>
      <c r="EY81" s="321"/>
      <c r="EZ81" s="320">
        <f t="shared" si="145"/>
        <v>106613.91549453743</v>
      </c>
      <c r="FA81" s="286">
        <f t="shared" si="146"/>
        <v>92328.450952870771</v>
      </c>
      <c r="FB81" s="286"/>
      <c r="FC81" s="286"/>
      <c r="FD81" s="287">
        <f>_xlfn.IFNA((VLOOKUP($A81,HN!$A:$M,8,FALSE)/12),0)</f>
        <v>0</v>
      </c>
      <c r="FE81" s="287">
        <f>_xlfn.IFNA((VLOOKUP($A81,HN!$A:$M,12,FALSE)/12),0)</f>
        <v>0</v>
      </c>
      <c r="FF81" s="287">
        <f>_xlfn.IFNA((VLOOKUP($A81,HN!$A:$M,9,FALSE)/12),0)</f>
        <v>0</v>
      </c>
      <c r="FG81" s="287">
        <f>_xlfn.IFNA((VLOOKUP($A81,'Post 16'!$A:$AG,33,FALSE)/8),0)</f>
        <v>0</v>
      </c>
      <c r="FH81" s="287"/>
      <c r="FI81" s="287">
        <f>_xlfn.IFNA(((VLOOKUP($A81,HN!$A:$M,10,FALSE)-$U81-$AK81)/10),0)</f>
        <v>14948.083333333334</v>
      </c>
      <c r="FJ81" s="287">
        <f>_xlfn.IFNA(((VLOOKUP($A81,HN!$A:$M,13,FALSE)-$V81-$AL81)/10),0)</f>
        <v>0</v>
      </c>
      <c r="FK81" s="286">
        <f t="shared" si="147"/>
        <v>-307.09999999999997</v>
      </c>
      <c r="FL81" s="286">
        <f t="shared" si="148"/>
        <v>-355.51879166666663</v>
      </c>
      <c r="FM81" s="287"/>
      <c r="FN81" s="287"/>
      <c r="FO81" s="287"/>
      <c r="FP81" s="286">
        <f t="shared" si="149"/>
        <v>106613.91549453743</v>
      </c>
      <c r="FQ81" s="293">
        <f t="shared" si="150"/>
        <v>92328.450952870771</v>
      </c>
      <c r="FR81" s="293"/>
      <c r="FS81" s="293"/>
      <c r="FT81" s="294">
        <f>_xlfn.IFNA((VLOOKUP($A81,HN!$A:$M,8,FALSE)/12),0)</f>
        <v>0</v>
      </c>
      <c r="FU81" s="294">
        <f>_xlfn.IFNA((VLOOKUP($A81,HN!$A:$M,12,FALSE)/12),0)</f>
        <v>0</v>
      </c>
      <c r="FV81" s="294">
        <f>_xlfn.IFNA((VLOOKUP($A81,HN!$A:$M,9,FALSE)/12),0)</f>
        <v>0</v>
      </c>
      <c r="FW81" s="294">
        <f>_xlfn.IFNA((VLOOKUP($A81,'Post 16'!$A:$AG,33,FALSE)/8),0)</f>
        <v>0</v>
      </c>
      <c r="FX81" s="294"/>
      <c r="FY81" s="294">
        <f>_xlfn.IFNA(((VLOOKUP($A81,HN!$A:$M,10,FALSE)-$U81-$AK81)/10),0)</f>
        <v>14948.083333333334</v>
      </c>
      <c r="FZ81" s="294">
        <f>_xlfn.IFNA(((VLOOKUP($A81,HN!$A:$M,13,FALSE)-$V81-$AL81)/10),0)</f>
        <v>0</v>
      </c>
      <c r="GA81" s="293">
        <f t="shared" si="151"/>
        <v>-307.09999999999997</v>
      </c>
      <c r="GB81" s="293">
        <f t="shared" si="152"/>
        <v>-355.51879166666663</v>
      </c>
      <c r="GC81" s="294"/>
      <c r="GD81" s="294"/>
      <c r="GE81" s="294"/>
      <c r="GF81" s="293">
        <f t="shared" si="153"/>
        <v>106613.91549453743</v>
      </c>
      <c r="GG81" s="300">
        <f t="shared" si="154"/>
        <v>92328.450952870771</v>
      </c>
      <c r="GH81" s="300"/>
      <c r="GI81" s="300"/>
      <c r="GJ81" s="301">
        <f>_xlfn.IFNA((VLOOKUP($A81,HN!$A:$M,8,FALSE)/12),0)</f>
        <v>0</v>
      </c>
      <c r="GK81" s="301">
        <f>_xlfn.IFNA((VLOOKUP($A81,HN!$A:$M,12,FALSE)/12),0)</f>
        <v>0</v>
      </c>
      <c r="GL81" s="301">
        <f>_xlfn.IFNA((VLOOKUP($A81,HN!$A:$M,9,FALSE)/12),0)</f>
        <v>0</v>
      </c>
      <c r="GM81" s="301">
        <f>_xlfn.IFNA((VLOOKUP($A81,'Post 16'!$A:$AG,33,FALSE)/8),0)</f>
        <v>0</v>
      </c>
      <c r="GN81" s="301"/>
      <c r="GO81" s="301">
        <f>_xlfn.IFNA(((VLOOKUP($A81,HN!$A:$M,10,FALSE)-$U81-$AK81)/10),0)</f>
        <v>14948.083333333334</v>
      </c>
      <c r="GP81" s="301">
        <f>_xlfn.IFNA(((VLOOKUP($A81,HN!$A:$M,13,FALSE)-$V81-$AL81)/10),0)</f>
        <v>0</v>
      </c>
      <c r="GQ81" s="300">
        <f t="shared" si="155"/>
        <v>-307.09999999999997</v>
      </c>
      <c r="GR81" s="300">
        <f t="shared" si="156"/>
        <v>-355.51879166666663</v>
      </c>
      <c r="GS81" s="301"/>
      <c r="GT81" s="301"/>
      <c r="GU81" s="301"/>
      <c r="GV81" s="300">
        <f t="shared" si="157"/>
        <v>106613.91549453743</v>
      </c>
      <c r="GX81" s="146">
        <f t="shared" si="158"/>
        <v>1244527.7139940062</v>
      </c>
      <c r="GY81" s="146">
        <f t="shared" si="158"/>
        <v>0</v>
      </c>
      <c r="GZ81" s="146">
        <f t="shared" si="158"/>
        <v>190747.25</v>
      </c>
      <c r="HA81" s="146">
        <f t="shared" si="158"/>
        <v>-3685.1999999999994</v>
      </c>
      <c r="HB81" s="146">
        <f t="shared" si="158"/>
        <v>-4266.2254999999986</v>
      </c>
      <c r="HC81" s="146">
        <f t="shared" si="158"/>
        <v>0</v>
      </c>
      <c r="HE81" s="146">
        <f t="shared" si="159"/>
        <v>359091.37583922176</v>
      </c>
      <c r="HF81" s="146">
        <f t="shared" si="159"/>
        <v>0</v>
      </c>
      <c r="HG81" s="146">
        <f t="shared" si="159"/>
        <v>56214.5</v>
      </c>
      <c r="HH81" s="146">
        <f t="shared" si="159"/>
        <v>-921.3</v>
      </c>
      <c r="HI81" s="146">
        <f t="shared" si="159"/>
        <v>-1066.5563749999999</v>
      </c>
      <c r="HJ81" s="146">
        <f t="shared" si="159"/>
        <v>0</v>
      </c>
      <c r="HL81" s="146"/>
      <c r="HM81" s="57"/>
    </row>
    <row r="82" spans="1:221">
      <c r="A82" s="185">
        <v>2474</v>
      </c>
      <c r="B82" s="185">
        <v>131672</v>
      </c>
      <c r="C82" s="185" t="s">
        <v>187</v>
      </c>
      <c r="D82" s="2" t="s">
        <v>188</v>
      </c>
      <c r="E82" s="190" t="s">
        <v>39</v>
      </c>
      <c r="F82" s="190" t="s">
        <v>890</v>
      </c>
      <c r="H82" s="271">
        <f>_xlfn.IFNA(VLOOKUP($A82,ISB!$A$4:$BY$441,67,FALSE),0)</f>
        <v>2227300.0750637748</v>
      </c>
      <c r="I82" s="271">
        <f>_xlfn.IFNA(VLOOKUP($A82,ISB!$A$4:$BY$441,72,FALSE),0)</f>
        <v>-9960</v>
      </c>
      <c r="J82" s="271">
        <f>-_xlfn.IFNA(VLOOKUP($A82,ISB!$A$4:$BY$441,76,FALSE),0)</f>
        <v>-37171.5435</v>
      </c>
      <c r="K82" s="271">
        <f>_xlfn.IFNA(VLOOKUP($A82,ISB!$A$4:$BY$441,77,FALSE),0)</f>
        <v>2180168.5315637747</v>
      </c>
      <c r="M82" s="279">
        <f t="shared" si="110"/>
        <v>185608.33958864791</v>
      </c>
      <c r="N82" s="279"/>
      <c r="O82" s="279">
        <f>_xlfn.IFNA(VLOOKUP($A82,EY!$A:$H,8,FALSE)+(VLOOKUP($A82,EY!$A:$R,18,FALSE)-$T82),0)</f>
        <v>0</v>
      </c>
      <c r="P82" s="280">
        <f>_xlfn.IFNA((VLOOKUP($A82,HN!$A:$M,8,FALSE)/12),0)</f>
        <v>0</v>
      </c>
      <c r="Q82" s="280">
        <f>_xlfn.IFNA((VLOOKUP($A82,HN!$A:$M,12,FALSE)/12),0)</f>
        <v>0</v>
      </c>
      <c r="R82" s="280">
        <f>_xlfn.IFNA((VLOOKUP($A82,HN!$A:$M,9,FALSE)/12),0)</f>
        <v>0</v>
      </c>
      <c r="S82" s="280">
        <f>_xlfn.IFNA((VLOOKUP($A82,'Post 16'!$A:$AR,22,FALSE)/4),0)</f>
        <v>0</v>
      </c>
      <c r="T82" s="280">
        <f>_xlfn.IFNA((VLOOKUP($A82,EY!$A:$R,16,FALSE)*80%),0)</f>
        <v>0</v>
      </c>
      <c r="U82" s="280">
        <v>5913.4025000000001</v>
      </c>
      <c r="V82" s="280">
        <v>0</v>
      </c>
      <c r="W82" s="279">
        <f t="shared" si="111"/>
        <v>-830</v>
      </c>
      <c r="X82" s="279">
        <f t="shared" si="112"/>
        <v>-3097.6286249999998</v>
      </c>
      <c r="Y82" s="280"/>
      <c r="Z82" s="280"/>
      <c r="AA82" s="280"/>
      <c r="AB82" s="279">
        <f t="shared" si="113"/>
        <v>187594.1134636479</v>
      </c>
      <c r="AC82" s="293">
        <f t="shared" si="114"/>
        <v>185608.33958864791</v>
      </c>
      <c r="AD82" s="293"/>
      <c r="AE82" s="293"/>
      <c r="AF82" s="294">
        <f>_xlfn.IFNA((VLOOKUP($A82,HN!$A:$M,8,FALSE)/12),0)</f>
        <v>0</v>
      </c>
      <c r="AG82" s="294">
        <f>_xlfn.IFNA((VLOOKUP($A82,HN!$A:$M,12,FALSE)/12),0)+_xlfn.IFNA(VLOOKUP($A82,HN!$A:$Q,17,FALSE),0)</f>
        <v>0</v>
      </c>
      <c r="AH82" s="294">
        <f>_xlfn.IFNA((VLOOKUP($A82,HN!$A:$M,9,FALSE)/12),0)</f>
        <v>0</v>
      </c>
      <c r="AI82" s="294">
        <f>_xlfn.IFNA((VLOOKUP($A82,'Post 16'!$A:$AR,22,FALSE)/4),0)</f>
        <v>0</v>
      </c>
      <c r="AJ82" s="294"/>
      <c r="AK82" s="294">
        <f>_xlfn.IFNA((VLOOKUP($A82,HN!$A:$M,10,FALSE)/12),0)</f>
        <v>2165.6666666666665</v>
      </c>
      <c r="AL82" s="294">
        <f>_xlfn.IFNA((VLOOKUP($A82,HN!$A:$M,13,FALSE)/12),0)</f>
        <v>0</v>
      </c>
      <c r="AM82" s="293">
        <f t="shared" si="115"/>
        <v>-830</v>
      </c>
      <c r="AN82" s="293">
        <f t="shared" si="116"/>
        <v>-3097.6286249999998</v>
      </c>
      <c r="AO82" s="294"/>
      <c r="AP82" s="294"/>
      <c r="AQ82" s="294"/>
      <c r="AR82" s="293">
        <f t="shared" si="117"/>
        <v>183846.37763031456</v>
      </c>
      <c r="AS82" s="286">
        <f t="shared" si="118"/>
        <v>185608.33958864791</v>
      </c>
      <c r="AT82" s="286"/>
      <c r="AU82" s="286">
        <f>_xlfn.IFNA(VLOOKUP(A82,EY!A:AO,40,FALSE),0)</f>
        <v>0</v>
      </c>
      <c r="AV82" s="287">
        <f>_xlfn.IFNA((VLOOKUP($A82,HN!$A:$M,8,FALSE)/12),0)</f>
        <v>0</v>
      </c>
      <c r="AW82" s="287">
        <f>_xlfn.IFNA((VLOOKUP($A82,HN!$A:$M,12,FALSE)/12),0)+_xlfn.IFNA(VLOOKUP($A82,HN!$A$8:$AU$200,19,FALSE),0)</f>
        <v>0</v>
      </c>
      <c r="AX82" s="287">
        <f>_xlfn.IFNA((VLOOKUP($A82,HN!$A:$M,9,FALSE)/12),0)</f>
        <v>0</v>
      </c>
      <c r="AY82" s="287">
        <f>_xlfn.IFNA((VLOOKUP($A82,'Post 16'!$A:$AR,22,FALSE)/4),0)</f>
        <v>0</v>
      </c>
      <c r="AZ82" s="287">
        <f>_xlfn.IFNA(VLOOKUP(A82,EY!A:AO,41,FALSE),0)</f>
        <v>0</v>
      </c>
      <c r="BA82" s="287">
        <f>_xlfn.IFNA(((VLOOKUP($A82,HN!$A:$M,10,FALSE)-$U82-$AK82)/10),0)+_xlfn.IFNA(VLOOKUP($A82,HN!$A:$R,18,FALSE),0)</f>
        <v>1790.8930833333332</v>
      </c>
      <c r="BB82" s="287">
        <f>_xlfn.IFNA(((VLOOKUP($A82,HN!$A:$M,13,FALSE)-$V82-$AL82)/10),0)+_xlfn.IFNA(VLOOKUP($A82,HN!$A$8:$AU$200,20,FALSE),0)</f>
        <v>0</v>
      </c>
      <c r="BC82" s="286">
        <f t="shared" si="119"/>
        <v>-830</v>
      </c>
      <c r="BD82" s="286">
        <f t="shared" si="120"/>
        <v>-3097.6286249999998</v>
      </c>
      <c r="BE82" s="287"/>
      <c r="BF82" s="287"/>
      <c r="BG82" s="287"/>
      <c r="BH82" s="286">
        <f t="shared" si="121"/>
        <v>183471.60404698123</v>
      </c>
      <c r="BI82" s="307">
        <f t="shared" si="122"/>
        <v>185608.33958864791</v>
      </c>
      <c r="BJ82" s="307">
        <f>_xlfn.IFNA(VLOOKUP(A82,'LA Deductions'!A:AH,34,FALSE),0)</f>
        <v>0</v>
      </c>
      <c r="BK82" s="307"/>
      <c r="BL82" s="308">
        <f>_xlfn.IFNA((VLOOKUP($A82,HN!$A:$M,8,FALSE)/12),0)</f>
        <v>0</v>
      </c>
      <c r="BM82" s="308">
        <f>_xlfn.IFNA((VLOOKUP($A82,HN!$A:$M,12,FALSE)/12),0)</f>
        <v>0</v>
      </c>
      <c r="BN82" s="308">
        <f>_xlfn.IFNA((VLOOKUP($A82,HN!$A:$M,9,FALSE)/12),0)</f>
        <v>0</v>
      </c>
      <c r="BO82" s="308">
        <f>_xlfn.IFNA((VLOOKUP($A82,'Post 16'!$A:$AR,22,FALSE)/4),0)</f>
        <v>0</v>
      </c>
      <c r="BP82" s="308"/>
      <c r="BQ82" s="308">
        <f>_xlfn.IFNA(((VLOOKUP($A82,HN!$A:$M,10,FALSE)-$U82-$AK82)/10),0)</f>
        <v>1790.8930833333332</v>
      </c>
      <c r="BR82" s="308">
        <f>_xlfn.IFNA(((VLOOKUP($A82,HN!$A:$M,13,FALSE)-$V82-$AL82)/10),0)</f>
        <v>0</v>
      </c>
      <c r="BS82" s="307">
        <f t="shared" si="123"/>
        <v>-830</v>
      </c>
      <c r="BT82" s="307">
        <f t="shared" si="124"/>
        <v>-3097.6286249999998</v>
      </c>
      <c r="BU82" s="308"/>
      <c r="BV82" s="308"/>
      <c r="BW82" s="308"/>
      <c r="BX82" s="307">
        <f t="shared" si="125"/>
        <v>183471.60404698123</v>
      </c>
      <c r="BY82" s="300">
        <f t="shared" si="126"/>
        <v>185608.33958864791</v>
      </c>
      <c r="BZ82" s="300"/>
      <c r="CA82" s="300"/>
      <c r="CB82" s="301">
        <f>_xlfn.IFNA((VLOOKUP($A82,HN!$A:$M,8,FALSE)/12),0)</f>
        <v>0</v>
      </c>
      <c r="CC82" s="301">
        <f>_xlfn.IFNA((VLOOKUP($A82,HN!$A:$M,12,FALSE)/12),0)</f>
        <v>0</v>
      </c>
      <c r="CD82" s="301">
        <f>_xlfn.IFNA((VLOOKUP($A82,HN!$A:$M,9,FALSE)/12),0)</f>
        <v>0</v>
      </c>
      <c r="CE82" s="301">
        <f>_xlfn.IFNA((VLOOKUP($A82,'Post 16'!$A:$AG,33,FALSE)/8),0)</f>
        <v>0</v>
      </c>
      <c r="CF82" s="301"/>
      <c r="CG82" s="301">
        <f>_xlfn.IFNA(((VLOOKUP($A82,HN!$A:$M,10,FALSE)-$U82-$AK82)/10),0)</f>
        <v>1790.8930833333332</v>
      </c>
      <c r="CH82" s="301">
        <f>_xlfn.IFNA(((VLOOKUP($A82,HN!$A:$M,13,FALSE)-$V82-$AL82)/10),0)</f>
        <v>0</v>
      </c>
      <c r="CI82" s="300">
        <f t="shared" si="127"/>
        <v>-830</v>
      </c>
      <c r="CJ82" s="300">
        <f t="shared" si="128"/>
        <v>-3097.6286249999998</v>
      </c>
      <c r="CK82" s="301"/>
      <c r="CL82" s="301"/>
      <c r="CM82" s="301"/>
      <c r="CN82" s="300">
        <f t="shared" si="129"/>
        <v>183471.60404698123</v>
      </c>
      <c r="CO82" s="332">
        <f t="shared" si="130"/>
        <v>185608.33958864791</v>
      </c>
      <c r="CP82" s="332"/>
      <c r="CQ82" s="332">
        <f>_xlfn.IFNA((VLOOKUP($A82,EY!$A:$AB,28,FALSE)-$CV82),0)</f>
        <v>0</v>
      </c>
      <c r="CR82" s="333">
        <f>_xlfn.IFNA((VLOOKUP($A82,HN!$A:$M,8,FALSE)/12),0)</f>
        <v>0</v>
      </c>
      <c r="CS82" s="333">
        <f>_xlfn.IFNA((VLOOKUP($A82,HN!$A:$M,12,FALSE)/12),0)</f>
        <v>0</v>
      </c>
      <c r="CT82" s="333">
        <f>_xlfn.IFNA((VLOOKUP($A82,HN!$A:$M,9,FALSE)/12),0)</f>
        <v>0</v>
      </c>
      <c r="CU82" s="333">
        <f>_xlfn.IFNA((VLOOKUP($A82,'Post 16'!$A:$AG,33,FALSE)/8),0)</f>
        <v>0</v>
      </c>
      <c r="CV82" s="333">
        <f>_xlfn.IFNA((VLOOKUP($A82,EY!$A:$AB,26,FALSE)*80%),0)</f>
        <v>0</v>
      </c>
      <c r="CW82" s="333">
        <f>_xlfn.IFNA(((VLOOKUP($A82,HN!$A:$M,10,FALSE)-$U82-$AK82)/10),0)</f>
        <v>1790.8930833333332</v>
      </c>
      <c r="CX82" s="333">
        <f>_xlfn.IFNA(((VLOOKUP($A82,HN!$A:$M,13,FALSE)-$V82-$AL82)/10),0)</f>
        <v>0</v>
      </c>
      <c r="CY82" s="332">
        <f t="shared" si="131"/>
        <v>-830</v>
      </c>
      <c r="CZ82" s="332">
        <f t="shared" si="132"/>
        <v>-3097.6286249999998</v>
      </c>
      <c r="DA82" s="333"/>
      <c r="DB82" s="333"/>
      <c r="DC82" s="333"/>
      <c r="DD82" s="332">
        <f t="shared" si="133"/>
        <v>183471.60404698123</v>
      </c>
      <c r="DE82" s="314">
        <f t="shared" si="134"/>
        <v>185608.33958864791</v>
      </c>
      <c r="DF82" s="314"/>
      <c r="DG82" s="314"/>
      <c r="DH82" s="315">
        <f>_xlfn.IFNA((VLOOKUP($A82,HN!$A:$M,8,FALSE)/12),0)</f>
        <v>0</v>
      </c>
      <c r="DI82" s="315">
        <f>_xlfn.IFNA((VLOOKUP($A82,HN!$A:$M,12,FALSE)/12),0)</f>
        <v>0</v>
      </c>
      <c r="DJ82" s="315">
        <f>_xlfn.IFNA((VLOOKUP($A82,HN!$A:$M,9,FALSE)/12),0)</f>
        <v>0</v>
      </c>
      <c r="DK82" s="315">
        <f>_xlfn.IFNA((VLOOKUP($A82,'Post 16'!$A:$AG,33,FALSE)/8),0)</f>
        <v>0</v>
      </c>
      <c r="DL82" s="315"/>
      <c r="DM82" s="315">
        <f>_xlfn.IFNA(((VLOOKUP($A82,HN!$A:$M,10,FALSE)-$U82-$AK82)/10),0)</f>
        <v>1790.8930833333332</v>
      </c>
      <c r="DN82" s="315">
        <f>_xlfn.IFNA(((VLOOKUP($A82,HN!$A:$M,13,FALSE)-$V82-$AL82)/10),0)</f>
        <v>0</v>
      </c>
      <c r="DO82" s="314">
        <f t="shared" si="135"/>
        <v>-830</v>
      </c>
      <c r="DP82" s="314">
        <f t="shared" si="136"/>
        <v>-3097.6286249999998</v>
      </c>
      <c r="DQ82" s="315"/>
      <c r="DR82" s="315"/>
      <c r="DS82" s="315"/>
      <c r="DT82" s="314">
        <f t="shared" si="137"/>
        <v>183471.60404698123</v>
      </c>
      <c r="DU82" s="307">
        <f t="shared" si="138"/>
        <v>185608.33958864791</v>
      </c>
      <c r="DV82" s="307"/>
      <c r="DW82" s="307"/>
      <c r="DX82" s="308">
        <f>_xlfn.IFNA((VLOOKUP($A82,HN!$A:$M,8,FALSE)/12),0)</f>
        <v>0</v>
      </c>
      <c r="DY82" s="308">
        <f>_xlfn.IFNA((VLOOKUP($A82,HN!$A:$M,12,FALSE)/12),0)</f>
        <v>0</v>
      </c>
      <c r="DZ82" s="308">
        <f>_xlfn.IFNA((VLOOKUP($A82,HN!$A:$M,9,FALSE)/12),0)</f>
        <v>0</v>
      </c>
      <c r="EA82" s="308">
        <f>_xlfn.IFNA((VLOOKUP($A82,'Post 16'!$A:$AG,33,FALSE)/8),0)</f>
        <v>0</v>
      </c>
      <c r="EB82" s="308"/>
      <c r="EC82" s="308">
        <f>_xlfn.IFNA(((VLOOKUP($A82,HN!$A:$M,10,FALSE)-$U82-$AK82)/10),0)</f>
        <v>1790.8930833333332</v>
      </c>
      <c r="ED82" s="308">
        <f>_xlfn.IFNA(((VLOOKUP($A82,HN!$A:$M,13,FALSE)-$V82-$AL82)/10),0)</f>
        <v>0</v>
      </c>
      <c r="EE82" s="307">
        <f t="shared" si="139"/>
        <v>-830</v>
      </c>
      <c r="EF82" s="307">
        <f t="shared" si="140"/>
        <v>-3097.6286249999998</v>
      </c>
      <c r="EG82" s="308"/>
      <c r="EH82" s="308"/>
      <c r="EI82" s="308"/>
      <c r="EJ82" s="307">
        <f t="shared" si="141"/>
        <v>183471.60404698123</v>
      </c>
      <c r="EK82" s="320">
        <f t="shared" si="142"/>
        <v>185608.33958864791</v>
      </c>
      <c r="EL82" s="320"/>
      <c r="EM82" s="320"/>
      <c r="EN82" s="321">
        <f>_xlfn.IFNA((VLOOKUP($A82,HN!$A:$M,8,FALSE)/12),0)</f>
        <v>0</v>
      </c>
      <c r="EO82" s="321">
        <f>_xlfn.IFNA((VLOOKUP($A82,HN!$A:$M,12,FALSE)/12),0)</f>
        <v>0</v>
      </c>
      <c r="EP82" s="321">
        <f>_xlfn.IFNA((VLOOKUP($A82,HN!$A:$M,9,FALSE)/12),0)</f>
        <v>0</v>
      </c>
      <c r="EQ82" s="321">
        <f>_xlfn.IFNA((VLOOKUP($A82,'Post 16'!$A:$AG,33,FALSE)/8),0)</f>
        <v>0</v>
      </c>
      <c r="ER82" s="321"/>
      <c r="ES82" s="321">
        <f>_xlfn.IFNA(((VLOOKUP($A82,HN!$A:$M,10,FALSE)-$U82-$AK82)/10),0)</f>
        <v>1790.8930833333332</v>
      </c>
      <c r="ET82" s="321">
        <f>_xlfn.IFNA(((VLOOKUP($A82,HN!$A:$M,13,FALSE)-$V82-$AL82)/10),0)</f>
        <v>0</v>
      </c>
      <c r="EU82" s="320">
        <f t="shared" si="143"/>
        <v>-830</v>
      </c>
      <c r="EV82" s="320">
        <f t="shared" si="144"/>
        <v>-3097.6286249999998</v>
      </c>
      <c r="EW82" s="321"/>
      <c r="EX82" s="321"/>
      <c r="EY82" s="321"/>
      <c r="EZ82" s="320">
        <f t="shared" si="145"/>
        <v>183471.60404698123</v>
      </c>
      <c r="FA82" s="286">
        <f t="shared" si="146"/>
        <v>185608.33958864791</v>
      </c>
      <c r="FB82" s="286"/>
      <c r="FC82" s="286"/>
      <c r="FD82" s="287">
        <f>_xlfn.IFNA((VLOOKUP($A82,HN!$A:$M,8,FALSE)/12),0)</f>
        <v>0</v>
      </c>
      <c r="FE82" s="287">
        <f>_xlfn.IFNA((VLOOKUP($A82,HN!$A:$M,12,FALSE)/12),0)</f>
        <v>0</v>
      </c>
      <c r="FF82" s="287">
        <f>_xlfn.IFNA((VLOOKUP($A82,HN!$A:$M,9,FALSE)/12),0)</f>
        <v>0</v>
      </c>
      <c r="FG82" s="287">
        <f>_xlfn.IFNA((VLOOKUP($A82,'Post 16'!$A:$AG,33,FALSE)/8),0)</f>
        <v>0</v>
      </c>
      <c r="FH82" s="287"/>
      <c r="FI82" s="287">
        <f>_xlfn.IFNA(((VLOOKUP($A82,HN!$A:$M,10,FALSE)-$U82-$AK82)/10),0)</f>
        <v>1790.8930833333332</v>
      </c>
      <c r="FJ82" s="287">
        <f>_xlfn.IFNA(((VLOOKUP($A82,HN!$A:$M,13,FALSE)-$V82-$AL82)/10),0)</f>
        <v>0</v>
      </c>
      <c r="FK82" s="286">
        <f t="shared" si="147"/>
        <v>-830</v>
      </c>
      <c r="FL82" s="286">
        <f t="shared" si="148"/>
        <v>-3097.6286249999998</v>
      </c>
      <c r="FM82" s="287"/>
      <c r="FN82" s="287"/>
      <c r="FO82" s="287"/>
      <c r="FP82" s="286">
        <f t="shared" si="149"/>
        <v>183471.60404698123</v>
      </c>
      <c r="FQ82" s="293">
        <f t="shared" si="150"/>
        <v>185608.33958864791</v>
      </c>
      <c r="FR82" s="293"/>
      <c r="FS82" s="293"/>
      <c r="FT82" s="294">
        <f>_xlfn.IFNA((VLOOKUP($A82,HN!$A:$M,8,FALSE)/12),0)</f>
        <v>0</v>
      </c>
      <c r="FU82" s="294">
        <f>_xlfn.IFNA((VLOOKUP($A82,HN!$A:$M,12,FALSE)/12),0)</f>
        <v>0</v>
      </c>
      <c r="FV82" s="294">
        <f>_xlfn.IFNA((VLOOKUP($A82,HN!$A:$M,9,FALSE)/12),0)</f>
        <v>0</v>
      </c>
      <c r="FW82" s="294">
        <f>_xlfn.IFNA((VLOOKUP($A82,'Post 16'!$A:$AG,33,FALSE)/8),0)</f>
        <v>0</v>
      </c>
      <c r="FX82" s="294"/>
      <c r="FY82" s="294">
        <f>_xlfn.IFNA(((VLOOKUP($A82,HN!$A:$M,10,FALSE)-$U82-$AK82)/10),0)</f>
        <v>1790.8930833333332</v>
      </c>
      <c r="FZ82" s="294">
        <f>_xlfn.IFNA(((VLOOKUP($A82,HN!$A:$M,13,FALSE)-$V82-$AL82)/10),0)</f>
        <v>0</v>
      </c>
      <c r="GA82" s="293">
        <f t="shared" si="151"/>
        <v>-830</v>
      </c>
      <c r="GB82" s="293">
        <f t="shared" si="152"/>
        <v>-3097.6286249999998</v>
      </c>
      <c r="GC82" s="294"/>
      <c r="GD82" s="294"/>
      <c r="GE82" s="294"/>
      <c r="GF82" s="293">
        <f t="shared" si="153"/>
        <v>183471.60404698123</v>
      </c>
      <c r="GG82" s="300">
        <f t="shared" si="154"/>
        <v>185608.33958864791</v>
      </c>
      <c r="GH82" s="300"/>
      <c r="GI82" s="300"/>
      <c r="GJ82" s="301">
        <f>_xlfn.IFNA((VLOOKUP($A82,HN!$A:$M,8,FALSE)/12),0)</f>
        <v>0</v>
      </c>
      <c r="GK82" s="301">
        <f>_xlfn.IFNA((VLOOKUP($A82,HN!$A:$M,12,FALSE)/12),0)</f>
        <v>0</v>
      </c>
      <c r="GL82" s="301">
        <f>_xlfn.IFNA((VLOOKUP($A82,HN!$A:$M,9,FALSE)/12),0)</f>
        <v>0</v>
      </c>
      <c r="GM82" s="301">
        <f>_xlfn.IFNA((VLOOKUP($A82,'Post 16'!$A:$AG,33,FALSE)/8),0)</f>
        <v>0</v>
      </c>
      <c r="GN82" s="301"/>
      <c r="GO82" s="301">
        <f>_xlfn.IFNA(((VLOOKUP($A82,HN!$A:$M,10,FALSE)-$U82-$AK82)/10),0)</f>
        <v>1790.8930833333332</v>
      </c>
      <c r="GP82" s="301">
        <f>_xlfn.IFNA(((VLOOKUP($A82,HN!$A:$M,13,FALSE)-$V82-$AL82)/10),0)</f>
        <v>0</v>
      </c>
      <c r="GQ82" s="300">
        <f t="shared" si="155"/>
        <v>-830</v>
      </c>
      <c r="GR82" s="300">
        <f t="shared" si="156"/>
        <v>-3097.6286249999998</v>
      </c>
      <c r="GS82" s="301"/>
      <c r="GT82" s="301"/>
      <c r="GU82" s="301"/>
      <c r="GV82" s="300">
        <f t="shared" si="157"/>
        <v>183471.60404698123</v>
      </c>
      <c r="GX82" s="146">
        <f t="shared" si="158"/>
        <v>2227300.0750637748</v>
      </c>
      <c r="GY82" s="146">
        <f t="shared" si="158"/>
        <v>0</v>
      </c>
      <c r="GZ82" s="146">
        <f t="shared" si="158"/>
        <v>25987.999999999993</v>
      </c>
      <c r="HA82" s="146">
        <f t="shared" si="158"/>
        <v>-9960</v>
      </c>
      <c r="HB82" s="146">
        <f t="shared" si="158"/>
        <v>-37171.5435</v>
      </c>
      <c r="HC82" s="146">
        <f t="shared" si="158"/>
        <v>0</v>
      </c>
      <c r="HE82" s="146">
        <f t="shared" si="159"/>
        <v>556825.01876594371</v>
      </c>
      <c r="HF82" s="146">
        <f t="shared" si="159"/>
        <v>0</v>
      </c>
      <c r="HG82" s="146">
        <f t="shared" si="159"/>
        <v>9869.9622499999987</v>
      </c>
      <c r="HH82" s="146">
        <f t="shared" si="159"/>
        <v>-2490</v>
      </c>
      <c r="HI82" s="146">
        <f t="shared" si="159"/>
        <v>-9292.8858749999999</v>
      </c>
      <c r="HJ82" s="146">
        <f t="shared" si="159"/>
        <v>0</v>
      </c>
      <c r="HL82" s="146"/>
      <c r="HM82" s="57"/>
    </row>
    <row r="83" spans="1:221">
      <c r="A83" s="185">
        <v>4223</v>
      </c>
      <c r="B83" s="185">
        <v>103509</v>
      </c>
      <c r="C83" s="185" t="s">
        <v>189</v>
      </c>
      <c r="D83" s="2" t="s">
        <v>190</v>
      </c>
      <c r="E83" s="190" t="s">
        <v>71</v>
      </c>
      <c r="F83" s="190" t="s">
        <v>890</v>
      </c>
      <c r="H83" s="271">
        <f>_xlfn.IFNA(VLOOKUP($A83,ISB!$A$4:$BY$441,67,FALSE),0)</f>
        <v>8731302.50025497</v>
      </c>
      <c r="I83" s="271">
        <f>_xlfn.IFNA(VLOOKUP($A83,ISB!$A$4:$BY$441,72,FALSE),0)</f>
        <v>-18642</v>
      </c>
      <c r="J83" s="271">
        <f>-_xlfn.IFNA(VLOOKUP($A83,ISB!$A$4:$BY$441,76,FALSE),0)</f>
        <v>-196863.6588</v>
      </c>
      <c r="K83" s="271">
        <f>_xlfn.IFNA(VLOOKUP($A83,ISB!$A$4:$BY$441,77,FALSE),0)</f>
        <v>8515796.8414549697</v>
      </c>
      <c r="M83" s="279">
        <f t="shared" si="110"/>
        <v>727608.54168791417</v>
      </c>
      <c r="N83" s="279"/>
      <c r="O83" s="279">
        <f>_xlfn.IFNA(VLOOKUP($A83,EY!$A:$H,8,FALSE)+(VLOOKUP($A83,EY!$A:$R,18,FALSE)-$T83),0)</f>
        <v>0</v>
      </c>
      <c r="P83" s="280">
        <f>_xlfn.IFNA((VLOOKUP($A83,HN!$A:$M,8,FALSE)/12),0)</f>
        <v>0</v>
      </c>
      <c r="Q83" s="280">
        <f>_xlfn.IFNA((VLOOKUP($A83,HN!$A:$M,12,FALSE)/12),0)</f>
        <v>0</v>
      </c>
      <c r="R83" s="280">
        <f>_xlfn.IFNA((VLOOKUP($A83,HN!$A:$M,9,FALSE)/12),0)</f>
        <v>0</v>
      </c>
      <c r="S83" s="280">
        <f>_xlfn.IFNA((VLOOKUP($A83,'Post 16'!$A:$AR,22,FALSE)/4),0)</f>
        <v>105956.08333333333</v>
      </c>
      <c r="T83" s="280">
        <f>_xlfn.IFNA((VLOOKUP($A83,EY!$A:$R,16,FALSE)*80%),0)</f>
        <v>0</v>
      </c>
      <c r="U83" s="280">
        <v>15786.166666666666</v>
      </c>
      <c r="V83" s="280">
        <v>0</v>
      </c>
      <c r="W83" s="279">
        <f t="shared" si="111"/>
        <v>-1553.5</v>
      </c>
      <c r="X83" s="279">
        <f t="shared" si="112"/>
        <v>-16405.304899999999</v>
      </c>
      <c r="Y83" s="280"/>
      <c r="Z83" s="280"/>
      <c r="AA83" s="280"/>
      <c r="AB83" s="279">
        <f t="shared" si="113"/>
        <v>831391.98678791418</v>
      </c>
      <c r="AC83" s="293">
        <f t="shared" si="114"/>
        <v>727608.54168791417</v>
      </c>
      <c r="AD83" s="293"/>
      <c r="AE83" s="293"/>
      <c r="AF83" s="294">
        <f>_xlfn.IFNA((VLOOKUP($A83,HN!$A:$M,8,FALSE)/12),0)</f>
        <v>0</v>
      </c>
      <c r="AG83" s="294">
        <f>_xlfn.IFNA((VLOOKUP($A83,HN!$A:$M,12,FALSE)/12),0)+_xlfn.IFNA(VLOOKUP($A83,HN!$A:$Q,17,FALSE),0)</f>
        <v>0</v>
      </c>
      <c r="AH83" s="294">
        <f>_xlfn.IFNA((VLOOKUP($A83,HN!$A:$M,9,FALSE)/12),0)</f>
        <v>0</v>
      </c>
      <c r="AI83" s="294">
        <f>_xlfn.IFNA((VLOOKUP($A83,'Post 16'!$A:$AR,22,FALSE)/4),0)</f>
        <v>105956.08333333333</v>
      </c>
      <c r="AJ83" s="294"/>
      <c r="AK83" s="294">
        <f>_xlfn.IFNA((VLOOKUP($A83,HN!$A:$M,10,FALSE)/12),0)</f>
        <v>12988.979166666666</v>
      </c>
      <c r="AL83" s="294">
        <f>_xlfn.IFNA((VLOOKUP($A83,HN!$A:$M,13,FALSE)/12),0)</f>
        <v>0</v>
      </c>
      <c r="AM83" s="293">
        <f t="shared" si="115"/>
        <v>-1553.5</v>
      </c>
      <c r="AN83" s="293">
        <f t="shared" si="116"/>
        <v>-16405.304899999999</v>
      </c>
      <c r="AO83" s="294"/>
      <c r="AP83" s="294"/>
      <c r="AQ83" s="294"/>
      <c r="AR83" s="293">
        <f t="shared" si="117"/>
        <v>828594.79928791418</v>
      </c>
      <c r="AS83" s="286">
        <f t="shared" si="118"/>
        <v>727608.54168791417</v>
      </c>
      <c r="AT83" s="286"/>
      <c r="AU83" s="286">
        <f>_xlfn.IFNA(VLOOKUP(A83,EY!A:AO,40,FALSE),0)</f>
        <v>0</v>
      </c>
      <c r="AV83" s="287">
        <f>_xlfn.IFNA((VLOOKUP($A83,HN!$A:$M,8,FALSE)/12),0)</f>
        <v>0</v>
      </c>
      <c r="AW83" s="287">
        <f>_xlfn.IFNA((VLOOKUP($A83,HN!$A:$M,12,FALSE)/12),0)+_xlfn.IFNA(VLOOKUP($A83,HN!$A$8:$AU$200,19,FALSE),0)</f>
        <v>0</v>
      </c>
      <c r="AX83" s="287">
        <f>_xlfn.IFNA((VLOOKUP($A83,HN!$A:$M,9,FALSE)/12),0)</f>
        <v>0</v>
      </c>
      <c r="AY83" s="287">
        <f>_xlfn.IFNA((VLOOKUP($A83,'Post 16'!$A:$AR,22,FALSE)/4),0)</f>
        <v>105956.08333333333</v>
      </c>
      <c r="AZ83" s="287">
        <f>_xlfn.IFNA(VLOOKUP(A83,EY!A:AO,41,FALSE),0)</f>
        <v>0</v>
      </c>
      <c r="BA83" s="287">
        <f>_xlfn.IFNA(((VLOOKUP($A83,HN!$A:$M,10,FALSE)-$U83-$AK83)/10),0)+_xlfn.IFNA(VLOOKUP($A83,HN!$A:$R,18,FALSE),0)</f>
        <v>12709.260416666668</v>
      </c>
      <c r="BB83" s="287">
        <f>_xlfn.IFNA(((VLOOKUP($A83,HN!$A:$M,13,FALSE)-$V83-$AL83)/10),0)+_xlfn.IFNA(VLOOKUP($A83,HN!$A$8:$AU$200,20,FALSE),0)</f>
        <v>0</v>
      </c>
      <c r="BC83" s="286">
        <f t="shared" si="119"/>
        <v>-1553.5</v>
      </c>
      <c r="BD83" s="286">
        <f t="shared" si="120"/>
        <v>-16405.304899999999</v>
      </c>
      <c r="BE83" s="287"/>
      <c r="BF83" s="287"/>
      <c r="BG83" s="287"/>
      <c r="BH83" s="286">
        <f t="shared" si="121"/>
        <v>828315.08053791418</v>
      </c>
      <c r="BI83" s="307">
        <f t="shared" si="122"/>
        <v>727608.54168791417</v>
      </c>
      <c r="BJ83" s="307">
        <f>_xlfn.IFNA(VLOOKUP(A83,'LA Deductions'!A:AH,34,FALSE),0)</f>
        <v>-5220</v>
      </c>
      <c r="BK83" s="307"/>
      <c r="BL83" s="308">
        <f>_xlfn.IFNA((VLOOKUP($A83,HN!$A:$M,8,FALSE)/12),0)</f>
        <v>0</v>
      </c>
      <c r="BM83" s="308">
        <f>_xlfn.IFNA((VLOOKUP($A83,HN!$A:$M,12,FALSE)/12),0)</f>
        <v>0</v>
      </c>
      <c r="BN83" s="308">
        <f>_xlfn.IFNA((VLOOKUP($A83,HN!$A:$M,9,FALSE)/12),0)</f>
        <v>0</v>
      </c>
      <c r="BO83" s="308">
        <f>_xlfn.IFNA((VLOOKUP($A83,'Post 16'!$A:$AR,22,FALSE)/4),0)</f>
        <v>105956.08333333333</v>
      </c>
      <c r="BP83" s="308"/>
      <c r="BQ83" s="308">
        <f>_xlfn.IFNA(((VLOOKUP($A83,HN!$A:$M,10,FALSE)-$U83-$AK83)/10),0)</f>
        <v>12709.260416666668</v>
      </c>
      <c r="BR83" s="308">
        <f>_xlfn.IFNA(((VLOOKUP($A83,HN!$A:$M,13,FALSE)-$V83-$AL83)/10),0)</f>
        <v>0</v>
      </c>
      <c r="BS83" s="307">
        <f t="shared" si="123"/>
        <v>-1553.5</v>
      </c>
      <c r="BT83" s="307">
        <f t="shared" si="124"/>
        <v>-16405.304899999999</v>
      </c>
      <c r="BU83" s="308"/>
      <c r="BV83" s="308"/>
      <c r="BW83" s="308"/>
      <c r="BX83" s="307">
        <f t="shared" si="125"/>
        <v>823095.08053791418</v>
      </c>
      <c r="BY83" s="300">
        <f t="shared" si="126"/>
        <v>727608.54168791417</v>
      </c>
      <c r="BZ83" s="300"/>
      <c r="CA83" s="300"/>
      <c r="CB83" s="301">
        <f>_xlfn.IFNA((VLOOKUP($A83,HN!$A:$M,8,FALSE)/12),0)</f>
        <v>0</v>
      </c>
      <c r="CC83" s="301">
        <f>_xlfn.IFNA((VLOOKUP($A83,HN!$A:$M,12,FALSE)/12),0)</f>
        <v>0</v>
      </c>
      <c r="CD83" s="301">
        <f>_xlfn.IFNA((VLOOKUP($A83,HN!$A:$M,9,FALSE)/12),0)</f>
        <v>0</v>
      </c>
      <c r="CE83" s="301">
        <f>_xlfn.IFNA((VLOOKUP($A83,'Post 16'!$A:$AG,33,FALSE)/8),0)</f>
        <v>106991</v>
      </c>
      <c r="CF83" s="301"/>
      <c r="CG83" s="301">
        <f>_xlfn.IFNA(((VLOOKUP($A83,HN!$A:$M,10,FALSE)-$U83-$AK83)/10),0)</f>
        <v>12709.260416666668</v>
      </c>
      <c r="CH83" s="301">
        <f>_xlfn.IFNA(((VLOOKUP($A83,HN!$A:$M,13,FALSE)-$V83-$AL83)/10),0)</f>
        <v>0</v>
      </c>
      <c r="CI83" s="300">
        <f t="shared" si="127"/>
        <v>-1553.5</v>
      </c>
      <c r="CJ83" s="300">
        <f t="shared" si="128"/>
        <v>-16405.304899999999</v>
      </c>
      <c r="CK83" s="301"/>
      <c r="CL83" s="301"/>
      <c r="CM83" s="301"/>
      <c r="CN83" s="300">
        <f t="shared" si="129"/>
        <v>829349.99720458081</v>
      </c>
      <c r="CO83" s="332">
        <f t="shared" si="130"/>
        <v>727608.54168791417</v>
      </c>
      <c r="CP83" s="332"/>
      <c r="CQ83" s="332">
        <f>_xlfn.IFNA((VLOOKUP($A83,EY!$A:$AB,28,FALSE)-$CV83),0)</f>
        <v>0</v>
      </c>
      <c r="CR83" s="333">
        <f>_xlfn.IFNA((VLOOKUP($A83,HN!$A:$M,8,FALSE)/12),0)</f>
        <v>0</v>
      </c>
      <c r="CS83" s="333">
        <f>_xlfn.IFNA((VLOOKUP($A83,HN!$A:$M,12,FALSE)/12),0)</f>
        <v>0</v>
      </c>
      <c r="CT83" s="333">
        <f>_xlfn.IFNA((VLOOKUP($A83,HN!$A:$M,9,FALSE)/12),0)</f>
        <v>0</v>
      </c>
      <c r="CU83" s="333">
        <f>_xlfn.IFNA((VLOOKUP($A83,'Post 16'!$A:$AG,33,FALSE)/8),0)</f>
        <v>106991</v>
      </c>
      <c r="CV83" s="333">
        <f>_xlfn.IFNA((VLOOKUP($A83,EY!$A:$AB,26,FALSE)*80%),0)</f>
        <v>0</v>
      </c>
      <c r="CW83" s="333">
        <f>_xlfn.IFNA(((VLOOKUP($A83,HN!$A:$M,10,FALSE)-$U83-$AK83)/10),0)</f>
        <v>12709.260416666668</v>
      </c>
      <c r="CX83" s="333">
        <f>_xlfn.IFNA(((VLOOKUP($A83,HN!$A:$M,13,FALSE)-$V83-$AL83)/10),0)</f>
        <v>0</v>
      </c>
      <c r="CY83" s="332">
        <f t="shared" si="131"/>
        <v>-1553.5</v>
      </c>
      <c r="CZ83" s="332">
        <f t="shared" si="132"/>
        <v>-16405.304899999999</v>
      </c>
      <c r="DA83" s="333"/>
      <c r="DB83" s="333"/>
      <c r="DC83" s="333"/>
      <c r="DD83" s="332">
        <f t="shared" si="133"/>
        <v>829349.99720458081</v>
      </c>
      <c r="DE83" s="314">
        <f t="shared" si="134"/>
        <v>727608.54168791417</v>
      </c>
      <c r="DF83" s="314"/>
      <c r="DG83" s="314"/>
      <c r="DH83" s="315">
        <f>_xlfn.IFNA((VLOOKUP($A83,HN!$A:$M,8,FALSE)/12),0)</f>
        <v>0</v>
      </c>
      <c r="DI83" s="315">
        <f>_xlfn.IFNA((VLOOKUP($A83,HN!$A:$M,12,FALSE)/12),0)</f>
        <v>0</v>
      </c>
      <c r="DJ83" s="315">
        <f>_xlfn.IFNA((VLOOKUP($A83,HN!$A:$M,9,FALSE)/12),0)</f>
        <v>0</v>
      </c>
      <c r="DK83" s="315">
        <f>_xlfn.IFNA((VLOOKUP($A83,'Post 16'!$A:$AG,33,FALSE)/8),0)</f>
        <v>106991</v>
      </c>
      <c r="DL83" s="315"/>
      <c r="DM83" s="315">
        <f>_xlfn.IFNA(((VLOOKUP($A83,HN!$A:$M,10,FALSE)-$U83-$AK83)/10),0)</f>
        <v>12709.260416666668</v>
      </c>
      <c r="DN83" s="315">
        <f>_xlfn.IFNA(((VLOOKUP($A83,HN!$A:$M,13,FALSE)-$V83-$AL83)/10),0)</f>
        <v>0</v>
      </c>
      <c r="DO83" s="314">
        <f t="shared" si="135"/>
        <v>-1553.5</v>
      </c>
      <c r="DP83" s="314">
        <f t="shared" si="136"/>
        <v>-16405.304899999999</v>
      </c>
      <c r="DQ83" s="315"/>
      <c r="DR83" s="315"/>
      <c r="DS83" s="315"/>
      <c r="DT83" s="314">
        <f t="shared" si="137"/>
        <v>829349.99720458081</v>
      </c>
      <c r="DU83" s="307">
        <f t="shared" si="138"/>
        <v>727608.54168791417</v>
      </c>
      <c r="DV83" s="307"/>
      <c r="DW83" s="307"/>
      <c r="DX83" s="308">
        <f>_xlfn.IFNA((VLOOKUP($A83,HN!$A:$M,8,FALSE)/12),0)</f>
        <v>0</v>
      </c>
      <c r="DY83" s="308">
        <f>_xlfn.IFNA((VLOOKUP($A83,HN!$A:$M,12,FALSE)/12),0)</f>
        <v>0</v>
      </c>
      <c r="DZ83" s="308">
        <f>_xlfn.IFNA((VLOOKUP($A83,HN!$A:$M,9,FALSE)/12),0)</f>
        <v>0</v>
      </c>
      <c r="EA83" s="308">
        <f>_xlfn.IFNA((VLOOKUP($A83,'Post 16'!$A:$AG,33,FALSE)/8),0)</f>
        <v>106991</v>
      </c>
      <c r="EB83" s="308"/>
      <c r="EC83" s="308">
        <f>_xlfn.IFNA(((VLOOKUP($A83,HN!$A:$M,10,FALSE)-$U83-$AK83)/10),0)</f>
        <v>12709.260416666668</v>
      </c>
      <c r="ED83" s="308">
        <f>_xlfn.IFNA(((VLOOKUP($A83,HN!$A:$M,13,FALSE)-$V83-$AL83)/10),0)</f>
        <v>0</v>
      </c>
      <c r="EE83" s="307">
        <f t="shared" si="139"/>
        <v>-1553.5</v>
      </c>
      <c r="EF83" s="307">
        <f t="shared" si="140"/>
        <v>-16405.304899999999</v>
      </c>
      <c r="EG83" s="308"/>
      <c r="EH83" s="308"/>
      <c r="EI83" s="308"/>
      <c r="EJ83" s="307">
        <f t="shared" si="141"/>
        <v>829349.99720458081</v>
      </c>
      <c r="EK83" s="320">
        <f t="shared" si="142"/>
        <v>727608.54168791417</v>
      </c>
      <c r="EL83" s="320"/>
      <c r="EM83" s="320"/>
      <c r="EN83" s="321">
        <f>_xlfn.IFNA((VLOOKUP($A83,HN!$A:$M,8,FALSE)/12),0)</f>
        <v>0</v>
      </c>
      <c r="EO83" s="321">
        <f>_xlfn.IFNA((VLOOKUP($A83,HN!$A:$M,12,FALSE)/12),0)</f>
        <v>0</v>
      </c>
      <c r="EP83" s="321">
        <f>_xlfn.IFNA((VLOOKUP($A83,HN!$A:$M,9,FALSE)/12),0)</f>
        <v>0</v>
      </c>
      <c r="EQ83" s="321">
        <f>_xlfn.IFNA((VLOOKUP($A83,'Post 16'!$A:$AG,33,FALSE)/8),0)</f>
        <v>106991</v>
      </c>
      <c r="ER83" s="321"/>
      <c r="ES83" s="321">
        <f>_xlfn.IFNA(((VLOOKUP($A83,HN!$A:$M,10,FALSE)-$U83-$AK83)/10),0)</f>
        <v>12709.260416666668</v>
      </c>
      <c r="ET83" s="321">
        <f>_xlfn.IFNA(((VLOOKUP($A83,HN!$A:$M,13,FALSE)-$V83-$AL83)/10),0)</f>
        <v>0</v>
      </c>
      <c r="EU83" s="320">
        <f t="shared" si="143"/>
        <v>-1553.5</v>
      </c>
      <c r="EV83" s="320">
        <f t="shared" si="144"/>
        <v>-16405.304899999999</v>
      </c>
      <c r="EW83" s="321"/>
      <c r="EX83" s="321"/>
      <c r="EY83" s="321"/>
      <c r="EZ83" s="320">
        <f t="shared" si="145"/>
        <v>829349.99720458081</v>
      </c>
      <c r="FA83" s="286">
        <f t="shared" si="146"/>
        <v>727608.54168791417</v>
      </c>
      <c r="FB83" s="286"/>
      <c r="FC83" s="286"/>
      <c r="FD83" s="287">
        <f>_xlfn.IFNA((VLOOKUP($A83,HN!$A:$M,8,FALSE)/12),0)</f>
        <v>0</v>
      </c>
      <c r="FE83" s="287">
        <f>_xlfn.IFNA((VLOOKUP($A83,HN!$A:$M,12,FALSE)/12),0)</f>
        <v>0</v>
      </c>
      <c r="FF83" s="287">
        <f>_xlfn.IFNA((VLOOKUP($A83,HN!$A:$M,9,FALSE)/12),0)</f>
        <v>0</v>
      </c>
      <c r="FG83" s="287">
        <f>_xlfn.IFNA((VLOOKUP($A83,'Post 16'!$A:$AG,33,FALSE)/8),0)</f>
        <v>106991</v>
      </c>
      <c r="FH83" s="287"/>
      <c r="FI83" s="287">
        <f>_xlfn.IFNA(((VLOOKUP($A83,HN!$A:$M,10,FALSE)-$U83-$AK83)/10),0)</f>
        <v>12709.260416666668</v>
      </c>
      <c r="FJ83" s="287">
        <f>_xlfn.IFNA(((VLOOKUP($A83,HN!$A:$M,13,FALSE)-$V83-$AL83)/10),0)</f>
        <v>0</v>
      </c>
      <c r="FK83" s="286">
        <f t="shared" si="147"/>
        <v>-1553.5</v>
      </c>
      <c r="FL83" s="286">
        <f t="shared" si="148"/>
        <v>-16405.304899999999</v>
      </c>
      <c r="FM83" s="287"/>
      <c r="FN83" s="287"/>
      <c r="FO83" s="287"/>
      <c r="FP83" s="286">
        <f t="shared" si="149"/>
        <v>829349.99720458081</v>
      </c>
      <c r="FQ83" s="293">
        <f t="shared" si="150"/>
        <v>727608.54168791417</v>
      </c>
      <c r="FR83" s="293"/>
      <c r="FS83" s="293"/>
      <c r="FT83" s="294">
        <f>_xlfn.IFNA((VLOOKUP($A83,HN!$A:$M,8,FALSE)/12),0)</f>
        <v>0</v>
      </c>
      <c r="FU83" s="294">
        <f>_xlfn.IFNA((VLOOKUP($A83,HN!$A:$M,12,FALSE)/12),0)</f>
        <v>0</v>
      </c>
      <c r="FV83" s="294">
        <f>_xlfn.IFNA((VLOOKUP($A83,HN!$A:$M,9,FALSE)/12),0)</f>
        <v>0</v>
      </c>
      <c r="FW83" s="294">
        <f>_xlfn.IFNA((VLOOKUP($A83,'Post 16'!$A:$AG,33,FALSE)/8),0)</f>
        <v>106991</v>
      </c>
      <c r="FX83" s="294"/>
      <c r="FY83" s="294">
        <f>_xlfn.IFNA(((VLOOKUP($A83,HN!$A:$M,10,FALSE)-$U83-$AK83)/10),0)</f>
        <v>12709.260416666668</v>
      </c>
      <c r="FZ83" s="294">
        <f>_xlfn.IFNA(((VLOOKUP($A83,HN!$A:$M,13,FALSE)-$V83-$AL83)/10),0)</f>
        <v>0</v>
      </c>
      <c r="GA83" s="293">
        <f t="shared" si="151"/>
        <v>-1553.5</v>
      </c>
      <c r="GB83" s="293">
        <f t="shared" si="152"/>
        <v>-16405.304899999999</v>
      </c>
      <c r="GC83" s="294"/>
      <c r="GD83" s="294"/>
      <c r="GE83" s="294"/>
      <c r="GF83" s="293">
        <f t="shared" si="153"/>
        <v>829349.99720458081</v>
      </c>
      <c r="GG83" s="300">
        <f t="shared" si="154"/>
        <v>727608.54168791417</v>
      </c>
      <c r="GH83" s="300"/>
      <c r="GI83" s="300"/>
      <c r="GJ83" s="301">
        <f>_xlfn.IFNA((VLOOKUP($A83,HN!$A:$M,8,FALSE)/12),0)</f>
        <v>0</v>
      </c>
      <c r="GK83" s="301">
        <f>_xlfn.IFNA((VLOOKUP($A83,HN!$A:$M,12,FALSE)/12),0)</f>
        <v>0</v>
      </c>
      <c r="GL83" s="301">
        <f>_xlfn.IFNA((VLOOKUP($A83,HN!$A:$M,9,FALSE)/12),0)</f>
        <v>0</v>
      </c>
      <c r="GM83" s="301">
        <f>_xlfn.IFNA((VLOOKUP($A83,'Post 16'!$A:$AG,33,FALSE)/8),0)</f>
        <v>106991</v>
      </c>
      <c r="GN83" s="301"/>
      <c r="GO83" s="301">
        <f>_xlfn.IFNA(((VLOOKUP($A83,HN!$A:$M,10,FALSE)-$U83-$AK83)/10),0)</f>
        <v>12709.260416666668</v>
      </c>
      <c r="GP83" s="301">
        <f>_xlfn.IFNA(((VLOOKUP($A83,HN!$A:$M,13,FALSE)-$V83-$AL83)/10),0)</f>
        <v>0</v>
      </c>
      <c r="GQ83" s="300">
        <f t="shared" si="155"/>
        <v>-1553.5</v>
      </c>
      <c r="GR83" s="300">
        <f t="shared" si="156"/>
        <v>-16405.304899999999</v>
      </c>
      <c r="GS83" s="301"/>
      <c r="GT83" s="301"/>
      <c r="GU83" s="301"/>
      <c r="GV83" s="300">
        <f t="shared" si="157"/>
        <v>829349.99720458081</v>
      </c>
      <c r="GX83" s="146">
        <f t="shared" si="158"/>
        <v>8726082.50025497</v>
      </c>
      <c r="GY83" s="146">
        <f t="shared" si="158"/>
        <v>1279752.3333333333</v>
      </c>
      <c r="GZ83" s="146">
        <f t="shared" si="158"/>
        <v>155867.75000000003</v>
      </c>
      <c r="HA83" s="146">
        <f t="shared" si="158"/>
        <v>-18642</v>
      </c>
      <c r="HB83" s="146">
        <f t="shared" si="158"/>
        <v>-196863.65879999995</v>
      </c>
      <c r="HC83" s="146">
        <f t="shared" si="158"/>
        <v>0</v>
      </c>
      <c r="HE83" s="146">
        <f t="shared" si="159"/>
        <v>2182825.6250637425</v>
      </c>
      <c r="HF83" s="146">
        <f t="shared" si="159"/>
        <v>317868.25</v>
      </c>
      <c r="HG83" s="146">
        <f t="shared" si="159"/>
        <v>41484.40625</v>
      </c>
      <c r="HH83" s="146">
        <f t="shared" si="159"/>
        <v>-4660.5</v>
      </c>
      <c r="HI83" s="146">
        <f t="shared" si="159"/>
        <v>-49215.914699999994</v>
      </c>
      <c r="HJ83" s="146">
        <f t="shared" si="159"/>
        <v>0</v>
      </c>
      <c r="HL83" s="146"/>
      <c r="HM83" s="57"/>
    </row>
    <row r="84" spans="1:221">
      <c r="A84" s="185">
        <v>3317</v>
      </c>
      <c r="B84" s="185">
        <v>103421</v>
      </c>
      <c r="C84" s="185" t="s">
        <v>191</v>
      </c>
      <c r="D84" s="2" t="s">
        <v>192</v>
      </c>
      <c r="E84" s="190" t="s">
        <v>39</v>
      </c>
      <c r="F84" s="190" t="s">
        <v>890</v>
      </c>
      <c r="H84" s="271">
        <f>_xlfn.IFNA(VLOOKUP($A84,ISB!$A$4:$BY$441,67,FALSE),0)</f>
        <v>1316861.8528631662</v>
      </c>
      <c r="I84" s="271">
        <f>_xlfn.IFNA(VLOOKUP($A84,ISB!$A$4:$BY$441,72,FALSE),0)</f>
        <v>-4631.3999999999996</v>
      </c>
      <c r="J84" s="271">
        <f>-_xlfn.IFNA(VLOOKUP($A84,ISB!$A$4:$BY$441,76,FALSE),0)</f>
        <v>-4582.2421999999997</v>
      </c>
      <c r="K84" s="271">
        <f>_xlfn.IFNA(VLOOKUP($A84,ISB!$A$4:$BY$441,77,FALSE),0)</f>
        <v>1307648.2106631664</v>
      </c>
      <c r="M84" s="279">
        <f t="shared" si="110"/>
        <v>109738.48773859719</v>
      </c>
      <c r="N84" s="279"/>
      <c r="O84" s="279">
        <f>_xlfn.IFNA(VLOOKUP($A84,EY!$A:$H,8,FALSE)+(VLOOKUP($A84,EY!$A:$R,18,FALSE)-$T84),0)</f>
        <v>31118.464000000004</v>
      </c>
      <c r="P84" s="280">
        <f>_xlfn.IFNA((VLOOKUP($A84,HN!$A:$M,8,FALSE)/12),0)</f>
        <v>0</v>
      </c>
      <c r="Q84" s="280">
        <f>_xlfn.IFNA((VLOOKUP($A84,HN!$A:$M,12,FALSE)/12),0)</f>
        <v>0</v>
      </c>
      <c r="R84" s="280">
        <f>_xlfn.IFNA((VLOOKUP($A84,HN!$A:$M,9,FALSE)/12),0)</f>
        <v>0</v>
      </c>
      <c r="S84" s="280">
        <f>_xlfn.IFNA((VLOOKUP($A84,'Post 16'!$A:$AR,22,FALSE)/4),0)</f>
        <v>0</v>
      </c>
      <c r="T84" s="280">
        <f>_xlfn.IFNA((VLOOKUP($A84,EY!$A:$R,16,FALSE)*80%),0)</f>
        <v>0</v>
      </c>
      <c r="U84" s="280">
        <v>5352.916666666667</v>
      </c>
      <c r="V84" s="280">
        <v>0</v>
      </c>
      <c r="W84" s="279">
        <f t="shared" si="111"/>
        <v>-385.95</v>
      </c>
      <c r="X84" s="279">
        <f t="shared" si="112"/>
        <v>-381.85351666666662</v>
      </c>
      <c r="Y84" s="280"/>
      <c r="Z84" s="280"/>
      <c r="AA84" s="280"/>
      <c r="AB84" s="279">
        <f t="shared" si="113"/>
        <v>145442.06488859718</v>
      </c>
      <c r="AC84" s="293">
        <f t="shared" si="114"/>
        <v>109738.48773859719</v>
      </c>
      <c r="AD84" s="293"/>
      <c r="AE84" s="293"/>
      <c r="AF84" s="294">
        <f>_xlfn.IFNA((VLOOKUP($A84,HN!$A:$M,8,FALSE)/12),0)</f>
        <v>0</v>
      </c>
      <c r="AG84" s="294">
        <f>_xlfn.IFNA((VLOOKUP($A84,HN!$A:$M,12,FALSE)/12),0)+_xlfn.IFNA(VLOOKUP($A84,HN!$A:$Q,17,FALSE),0)</f>
        <v>0</v>
      </c>
      <c r="AH84" s="294">
        <f>_xlfn.IFNA((VLOOKUP($A84,HN!$A:$M,9,FALSE)/12),0)</f>
        <v>0</v>
      </c>
      <c r="AI84" s="294">
        <f>_xlfn.IFNA((VLOOKUP($A84,'Post 16'!$A:$AR,22,FALSE)/4),0)</f>
        <v>0</v>
      </c>
      <c r="AJ84" s="294"/>
      <c r="AK84" s="294">
        <f>_xlfn.IFNA((VLOOKUP($A84,HN!$A:$M,10,FALSE)/12),0)</f>
        <v>3412.375</v>
      </c>
      <c r="AL84" s="294">
        <f>_xlfn.IFNA((VLOOKUP($A84,HN!$A:$M,13,FALSE)/12),0)</f>
        <v>0</v>
      </c>
      <c r="AM84" s="293">
        <f t="shared" si="115"/>
        <v>-385.95</v>
      </c>
      <c r="AN84" s="293">
        <f t="shared" si="116"/>
        <v>-381.85351666666662</v>
      </c>
      <c r="AO84" s="294"/>
      <c r="AP84" s="294"/>
      <c r="AQ84" s="294"/>
      <c r="AR84" s="293">
        <f t="shared" si="117"/>
        <v>112383.05922193053</v>
      </c>
      <c r="AS84" s="286">
        <f t="shared" si="118"/>
        <v>109738.48773859719</v>
      </c>
      <c r="AT84" s="286"/>
      <c r="AU84" s="286">
        <f>_xlfn.IFNA(VLOOKUP(A84,EY!A:AO,40,FALSE),0)</f>
        <v>3441.4633795013838</v>
      </c>
      <c r="AV84" s="287">
        <f>_xlfn.IFNA((VLOOKUP($A84,HN!$A:$M,8,FALSE)/12),0)</f>
        <v>0</v>
      </c>
      <c r="AW84" s="287">
        <f>_xlfn.IFNA((VLOOKUP($A84,HN!$A:$M,12,FALSE)/12),0)+_xlfn.IFNA(VLOOKUP($A84,HN!$A$8:$AU$200,19,FALSE),0)</f>
        <v>0</v>
      </c>
      <c r="AX84" s="287">
        <f>_xlfn.IFNA((VLOOKUP($A84,HN!$A:$M,9,FALSE)/12),0)</f>
        <v>0</v>
      </c>
      <c r="AY84" s="287">
        <f>_xlfn.IFNA((VLOOKUP($A84,'Post 16'!$A:$AR,22,FALSE)/4),0)</f>
        <v>0</v>
      </c>
      <c r="AZ84" s="287">
        <f>_xlfn.IFNA(VLOOKUP(A84,EY!A:AO,41,FALSE),0)</f>
        <v>0</v>
      </c>
      <c r="BA84" s="287">
        <f>_xlfn.IFNA(((VLOOKUP($A84,HN!$A:$M,10,FALSE)-$U84-$AK84)/10),0)+_xlfn.IFNA(VLOOKUP($A84,HN!$A:$R,18,FALSE),0)</f>
        <v>3218.3208333333337</v>
      </c>
      <c r="BB84" s="287">
        <f>_xlfn.IFNA(((VLOOKUP($A84,HN!$A:$M,13,FALSE)-$V84-$AL84)/10),0)+_xlfn.IFNA(VLOOKUP($A84,HN!$A$8:$AU$200,20,FALSE),0)</f>
        <v>0</v>
      </c>
      <c r="BC84" s="286">
        <f t="shared" si="119"/>
        <v>-385.95</v>
      </c>
      <c r="BD84" s="286">
        <f t="shared" si="120"/>
        <v>-381.85351666666662</v>
      </c>
      <c r="BE84" s="287"/>
      <c r="BF84" s="287"/>
      <c r="BG84" s="287"/>
      <c r="BH84" s="286">
        <f t="shared" si="121"/>
        <v>115630.46843476524</v>
      </c>
      <c r="BI84" s="307">
        <f t="shared" si="122"/>
        <v>109738.48773859719</v>
      </c>
      <c r="BJ84" s="307">
        <f>_xlfn.IFNA(VLOOKUP(A84,'LA Deductions'!A:AH,34,FALSE),0)</f>
        <v>0</v>
      </c>
      <c r="BK84" s="307"/>
      <c r="BL84" s="308">
        <f>_xlfn.IFNA((VLOOKUP($A84,HN!$A:$M,8,FALSE)/12),0)</f>
        <v>0</v>
      </c>
      <c r="BM84" s="308">
        <f>_xlfn.IFNA((VLOOKUP($A84,HN!$A:$M,12,FALSE)/12),0)</f>
        <v>0</v>
      </c>
      <c r="BN84" s="308">
        <f>_xlfn.IFNA((VLOOKUP($A84,HN!$A:$M,9,FALSE)/12),0)</f>
        <v>0</v>
      </c>
      <c r="BO84" s="308">
        <f>_xlfn.IFNA((VLOOKUP($A84,'Post 16'!$A:$AR,22,FALSE)/4),0)</f>
        <v>0</v>
      </c>
      <c r="BP84" s="308"/>
      <c r="BQ84" s="308">
        <f>_xlfn.IFNA(((VLOOKUP($A84,HN!$A:$M,10,FALSE)-$U84-$AK84)/10),0)</f>
        <v>3218.3208333333337</v>
      </c>
      <c r="BR84" s="308">
        <f>_xlfn.IFNA(((VLOOKUP($A84,HN!$A:$M,13,FALSE)-$V84-$AL84)/10),0)</f>
        <v>0</v>
      </c>
      <c r="BS84" s="307">
        <f t="shared" si="123"/>
        <v>-385.95</v>
      </c>
      <c r="BT84" s="307">
        <f t="shared" si="124"/>
        <v>-381.85351666666662</v>
      </c>
      <c r="BU84" s="308"/>
      <c r="BV84" s="308"/>
      <c r="BW84" s="308"/>
      <c r="BX84" s="307">
        <f t="shared" si="125"/>
        <v>112189.00505526386</v>
      </c>
      <c r="BY84" s="300">
        <f t="shared" si="126"/>
        <v>109738.48773859719</v>
      </c>
      <c r="BZ84" s="300"/>
      <c r="CA84" s="300"/>
      <c r="CB84" s="301">
        <f>_xlfn.IFNA((VLOOKUP($A84,HN!$A:$M,8,FALSE)/12),0)</f>
        <v>0</v>
      </c>
      <c r="CC84" s="301">
        <f>_xlfn.IFNA((VLOOKUP($A84,HN!$A:$M,12,FALSE)/12),0)</f>
        <v>0</v>
      </c>
      <c r="CD84" s="301">
        <f>_xlfn.IFNA((VLOOKUP($A84,HN!$A:$M,9,FALSE)/12),0)</f>
        <v>0</v>
      </c>
      <c r="CE84" s="301">
        <f>_xlfn.IFNA((VLOOKUP($A84,'Post 16'!$A:$AG,33,FALSE)/8),0)</f>
        <v>0</v>
      </c>
      <c r="CF84" s="301"/>
      <c r="CG84" s="301">
        <f>_xlfn.IFNA(((VLOOKUP($A84,HN!$A:$M,10,FALSE)-$U84-$AK84)/10),0)</f>
        <v>3218.3208333333337</v>
      </c>
      <c r="CH84" s="301">
        <f>_xlfn.IFNA(((VLOOKUP($A84,HN!$A:$M,13,FALSE)-$V84-$AL84)/10),0)</f>
        <v>0</v>
      </c>
      <c r="CI84" s="300">
        <f t="shared" si="127"/>
        <v>-385.95</v>
      </c>
      <c r="CJ84" s="300">
        <f t="shared" si="128"/>
        <v>-381.85351666666662</v>
      </c>
      <c r="CK84" s="301"/>
      <c r="CL84" s="301"/>
      <c r="CM84" s="301"/>
      <c r="CN84" s="300">
        <f t="shared" si="129"/>
        <v>112189.00505526386</v>
      </c>
      <c r="CO84" s="332">
        <f t="shared" si="130"/>
        <v>109738.48773859719</v>
      </c>
      <c r="CP84" s="332"/>
      <c r="CQ84" s="332">
        <f>_xlfn.IFNA((VLOOKUP($A84,EY!$A:$AB,28,FALSE)-$CV84),0)</f>
        <v>28165.280000000006</v>
      </c>
      <c r="CR84" s="333">
        <f>_xlfn.IFNA((VLOOKUP($A84,HN!$A:$M,8,FALSE)/12),0)</f>
        <v>0</v>
      </c>
      <c r="CS84" s="333">
        <f>_xlfn.IFNA((VLOOKUP($A84,HN!$A:$M,12,FALSE)/12),0)</f>
        <v>0</v>
      </c>
      <c r="CT84" s="333">
        <f>_xlfn.IFNA((VLOOKUP($A84,HN!$A:$M,9,FALSE)/12),0)</f>
        <v>0</v>
      </c>
      <c r="CU84" s="333">
        <f>_xlfn.IFNA((VLOOKUP($A84,'Post 16'!$A:$AG,33,FALSE)/8),0)</f>
        <v>0</v>
      </c>
      <c r="CV84" s="333">
        <f>_xlfn.IFNA((VLOOKUP($A84,EY!$A:$AB,26,FALSE)*80%),0)</f>
        <v>0</v>
      </c>
      <c r="CW84" s="333">
        <f>_xlfn.IFNA(((VLOOKUP($A84,HN!$A:$M,10,FALSE)-$U84-$AK84)/10),0)</f>
        <v>3218.3208333333337</v>
      </c>
      <c r="CX84" s="333">
        <f>_xlfn.IFNA(((VLOOKUP($A84,HN!$A:$M,13,FALSE)-$V84-$AL84)/10),0)</f>
        <v>0</v>
      </c>
      <c r="CY84" s="332">
        <f t="shared" si="131"/>
        <v>-385.95</v>
      </c>
      <c r="CZ84" s="332">
        <f t="shared" si="132"/>
        <v>-381.85351666666662</v>
      </c>
      <c r="DA84" s="333"/>
      <c r="DB84" s="333"/>
      <c r="DC84" s="333"/>
      <c r="DD84" s="332">
        <f t="shared" si="133"/>
        <v>140354.28505526387</v>
      </c>
      <c r="DE84" s="314">
        <f t="shared" si="134"/>
        <v>109738.48773859719</v>
      </c>
      <c r="DF84" s="314"/>
      <c r="DG84" s="314"/>
      <c r="DH84" s="315">
        <f>_xlfn.IFNA((VLOOKUP($A84,HN!$A:$M,8,FALSE)/12),0)</f>
        <v>0</v>
      </c>
      <c r="DI84" s="315">
        <f>_xlfn.IFNA((VLOOKUP($A84,HN!$A:$M,12,FALSE)/12),0)</f>
        <v>0</v>
      </c>
      <c r="DJ84" s="315">
        <f>_xlfn.IFNA((VLOOKUP($A84,HN!$A:$M,9,FALSE)/12),0)</f>
        <v>0</v>
      </c>
      <c r="DK84" s="315">
        <f>_xlfn.IFNA((VLOOKUP($A84,'Post 16'!$A:$AG,33,FALSE)/8),0)</f>
        <v>0</v>
      </c>
      <c r="DL84" s="315"/>
      <c r="DM84" s="315">
        <f>_xlfn.IFNA(((VLOOKUP($A84,HN!$A:$M,10,FALSE)-$U84-$AK84)/10),0)</f>
        <v>3218.3208333333337</v>
      </c>
      <c r="DN84" s="315">
        <f>_xlfn.IFNA(((VLOOKUP($A84,HN!$A:$M,13,FALSE)-$V84-$AL84)/10),0)</f>
        <v>0</v>
      </c>
      <c r="DO84" s="314">
        <f t="shared" si="135"/>
        <v>-385.95</v>
      </c>
      <c r="DP84" s="314">
        <f t="shared" si="136"/>
        <v>-381.85351666666662</v>
      </c>
      <c r="DQ84" s="315"/>
      <c r="DR84" s="315"/>
      <c r="DS84" s="315"/>
      <c r="DT84" s="314">
        <f t="shared" si="137"/>
        <v>112189.00505526386</v>
      </c>
      <c r="DU84" s="307">
        <f t="shared" si="138"/>
        <v>109738.48773859719</v>
      </c>
      <c r="DV84" s="307"/>
      <c r="DW84" s="307"/>
      <c r="DX84" s="308">
        <f>_xlfn.IFNA((VLOOKUP($A84,HN!$A:$M,8,FALSE)/12),0)</f>
        <v>0</v>
      </c>
      <c r="DY84" s="308">
        <f>_xlfn.IFNA((VLOOKUP($A84,HN!$A:$M,12,FALSE)/12),0)</f>
        <v>0</v>
      </c>
      <c r="DZ84" s="308">
        <f>_xlfn.IFNA((VLOOKUP($A84,HN!$A:$M,9,FALSE)/12),0)</f>
        <v>0</v>
      </c>
      <c r="EA84" s="308">
        <f>_xlfn.IFNA((VLOOKUP($A84,'Post 16'!$A:$AG,33,FALSE)/8),0)</f>
        <v>0</v>
      </c>
      <c r="EB84" s="308"/>
      <c r="EC84" s="308">
        <f>_xlfn.IFNA(((VLOOKUP($A84,HN!$A:$M,10,FALSE)-$U84-$AK84)/10),0)</f>
        <v>3218.3208333333337</v>
      </c>
      <c r="ED84" s="308">
        <f>_xlfn.IFNA(((VLOOKUP($A84,HN!$A:$M,13,FALSE)-$V84-$AL84)/10),0)</f>
        <v>0</v>
      </c>
      <c r="EE84" s="307">
        <f t="shared" si="139"/>
        <v>-385.95</v>
      </c>
      <c r="EF84" s="307">
        <f t="shared" si="140"/>
        <v>-381.85351666666662</v>
      </c>
      <c r="EG84" s="308"/>
      <c r="EH84" s="308"/>
      <c r="EI84" s="308"/>
      <c r="EJ84" s="307">
        <f t="shared" si="141"/>
        <v>112189.00505526386</v>
      </c>
      <c r="EK84" s="320">
        <f t="shared" si="142"/>
        <v>109738.48773859719</v>
      </c>
      <c r="EL84" s="320"/>
      <c r="EM84" s="320"/>
      <c r="EN84" s="321">
        <f>_xlfn.IFNA((VLOOKUP($A84,HN!$A:$M,8,FALSE)/12),0)</f>
        <v>0</v>
      </c>
      <c r="EO84" s="321">
        <f>_xlfn.IFNA((VLOOKUP($A84,HN!$A:$M,12,FALSE)/12),0)</f>
        <v>0</v>
      </c>
      <c r="EP84" s="321">
        <f>_xlfn.IFNA((VLOOKUP($A84,HN!$A:$M,9,FALSE)/12),0)</f>
        <v>0</v>
      </c>
      <c r="EQ84" s="321">
        <f>_xlfn.IFNA((VLOOKUP($A84,'Post 16'!$A:$AG,33,FALSE)/8),0)</f>
        <v>0</v>
      </c>
      <c r="ER84" s="321"/>
      <c r="ES84" s="321">
        <f>_xlfn.IFNA(((VLOOKUP($A84,HN!$A:$M,10,FALSE)-$U84-$AK84)/10),0)</f>
        <v>3218.3208333333337</v>
      </c>
      <c r="ET84" s="321">
        <f>_xlfn.IFNA(((VLOOKUP($A84,HN!$A:$M,13,FALSE)-$V84-$AL84)/10),0)</f>
        <v>0</v>
      </c>
      <c r="EU84" s="320">
        <f t="shared" si="143"/>
        <v>-385.95</v>
      </c>
      <c r="EV84" s="320">
        <f t="shared" si="144"/>
        <v>-381.85351666666662</v>
      </c>
      <c r="EW84" s="321"/>
      <c r="EX84" s="321"/>
      <c r="EY84" s="321"/>
      <c r="EZ84" s="320">
        <f t="shared" si="145"/>
        <v>112189.00505526386</v>
      </c>
      <c r="FA84" s="286">
        <f t="shared" si="146"/>
        <v>109738.48773859719</v>
      </c>
      <c r="FB84" s="286"/>
      <c r="FC84" s="286"/>
      <c r="FD84" s="287">
        <f>_xlfn.IFNA((VLOOKUP($A84,HN!$A:$M,8,FALSE)/12),0)</f>
        <v>0</v>
      </c>
      <c r="FE84" s="287">
        <f>_xlfn.IFNA((VLOOKUP($A84,HN!$A:$M,12,FALSE)/12),0)</f>
        <v>0</v>
      </c>
      <c r="FF84" s="287">
        <f>_xlfn.IFNA((VLOOKUP($A84,HN!$A:$M,9,FALSE)/12),0)</f>
        <v>0</v>
      </c>
      <c r="FG84" s="287">
        <f>_xlfn.IFNA((VLOOKUP($A84,'Post 16'!$A:$AG,33,FALSE)/8),0)</f>
        <v>0</v>
      </c>
      <c r="FH84" s="287"/>
      <c r="FI84" s="287">
        <f>_xlfn.IFNA(((VLOOKUP($A84,HN!$A:$M,10,FALSE)-$U84-$AK84)/10),0)</f>
        <v>3218.3208333333337</v>
      </c>
      <c r="FJ84" s="287">
        <f>_xlfn.IFNA(((VLOOKUP($A84,HN!$A:$M,13,FALSE)-$V84-$AL84)/10),0)</f>
        <v>0</v>
      </c>
      <c r="FK84" s="286">
        <f t="shared" si="147"/>
        <v>-385.95</v>
      </c>
      <c r="FL84" s="286">
        <f t="shared" si="148"/>
        <v>-381.85351666666662</v>
      </c>
      <c r="FM84" s="287"/>
      <c r="FN84" s="287"/>
      <c r="FO84" s="287"/>
      <c r="FP84" s="286">
        <f t="shared" si="149"/>
        <v>112189.00505526386</v>
      </c>
      <c r="FQ84" s="293">
        <f t="shared" si="150"/>
        <v>109738.48773859719</v>
      </c>
      <c r="FR84" s="293"/>
      <c r="FS84" s="293"/>
      <c r="FT84" s="294">
        <f>_xlfn.IFNA((VLOOKUP($A84,HN!$A:$M,8,FALSE)/12),0)</f>
        <v>0</v>
      </c>
      <c r="FU84" s="294">
        <f>_xlfn.IFNA((VLOOKUP($A84,HN!$A:$M,12,FALSE)/12),0)</f>
        <v>0</v>
      </c>
      <c r="FV84" s="294">
        <f>_xlfn.IFNA((VLOOKUP($A84,HN!$A:$M,9,FALSE)/12),0)</f>
        <v>0</v>
      </c>
      <c r="FW84" s="294">
        <f>_xlfn.IFNA((VLOOKUP($A84,'Post 16'!$A:$AG,33,FALSE)/8),0)</f>
        <v>0</v>
      </c>
      <c r="FX84" s="294"/>
      <c r="FY84" s="294">
        <f>_xlfn.IFNA(((VLOOKUP($A84,HN!$A:$M,10,FALSE)-$U84-$AK84)/10),0)</f>
        <v>3218.3208333333337</v>
      </c>
      <c r="FZ84" s="294">
        <f>_xlfn.IFNA(((VLOOKUP($A84,HN!$A:$M,13,FALSE)-$V84-$AL84)/10),0)</f>
        <v>0</v>
      </c>
      <c r="GA84" s="293">
        <f t="shared" si="151"/>
        <v>-385.95</v>
      </c>
      <c r="GB84" s="293">
        <f t="shared" si="152"/>
        <v>-381.85351666666662</v>
      </c>
      <c r="GC84" s="294"/>
      <c r="GD84" s="294"/>
      <c r="GE84" s="294"/>
      <c r="GF84" s="293">
        <f t="shared" si="153"/>
        <v>112189.00505526386</v>
      </c>
      <c r="GG84" s="300">
        <f t="shared" si="154"/>
        <v>109738.48773859719</v>
      </c>
      <c r="GH84" s="300"/>
      <c r="GI84" s="300"/>
      <c r="GJ84" s="301">
        <f>_xlfn.IFNA((VLOOKUP($A84,HN!$A:$M,8,FALSE)/12),0)</f>
        <v>0</v>
      </c>
      <c r="GK84" s="301">
        <f>_xlfn.IFNA((VLOOKUP($A84,HN!$A:$M,12,FALSE)/12),0)</f>
        <v>0</v>
      </c>
      <c r="GL84" s="301">
        <f>_xlfn.IFNA((VLOOKUP($A84,HN!$A:$M,9,FALSE)/12),0)</f>
        <v>0</v>
      </c>
      <c r="GM84" s="301">
        <f>_xlfn.IFNA((VLOOKUP($A84,'Post 16'!$A:$AG,33,FALSE)/8),0)</f>
        <v>0</v>
      </c>
      <c r="GN84" s="301"/>
      <c r="GO84" s="301">
        <f>_xlfn.IFNA(((VLOOKUP($A84,HN!$A:$M,10,FALSE)-$U84-$AK84)/10),0)</f>
        <v>3218.3208333333337</v>
      </c>
      <c r="GP84" s="301">
        <f>_xlfn.IFNA(((VLOOKUP($A84,HN!$A:$M,13,FALSE)-$V84-$AL84)/10),0)</f>
        <v>0</v>
      </c>
      <c r="GQ84" s="300">
        <f t="shared" si="155"/>
        <v>-385.95</v>
      </c>
      <c r="GR84" s="300">
        <f t="shared" si="156"/>
        <v>-381.85351666666662</v>
      </c>
      <c r="GS84" s="301"/>
      <c r="GT84" s="301"/>
      <c r="GU84" s="301"/>
      <c r="GV84" s="300">
        <f t="shared" si="157"/>
        <v>112189.00505526386</v>
      </c>
      <c r="GX84" s="146">
        <f t="shared" si="158"/>
        <v>1379587.0602426678</v>
      </c>
      <c r="GY84" s="146">
        <f t="shared" si="158"/>
        <v>0</v>
      </c>
      <c r="GZ84" s="146">
        <f t="shared" si="158"/>
        <v>40948.500000000007</v>
      </c>
      <c r="HA84" s="146">
        <f t="shared" si="158"/>
        <v>-4631.3999999999987</v>
      </c>
      <c r="HB84" s="146">
        <f t="shared" si="158"/>
        <v>-4582.2421999999997</v>
      </c>
      <c r="HC84" s="146">
        <f t="shared" si="158"/>
        <v>0</v>
      </c>
      <c r="HE84" s="146">
        <f t="shared" si="159"/>
        <v>363775.39059529296</v>
      </c>
      <c r="HF84" s="146">
        <f t="shared" si="159"/>
        <v>0</v>
      </c>
      <c r="HG84" s="146">
        <f t="shared" si="159"/>
        <v>11983.612500000001</v>
      </c>
      <c r="HH84" s="146">
        <f t="shared" si="159"/>
        <v>-1157.8499999999999</v>
      </c>
      <c r="HI84" s="146">
        <f t="shared" si="159"/>
        <v>-1145.5605499999999</v>
      </c>
      <c r="HJ84" s="146">
        <f t="shared" si="159"/>
        <v>0</v>
      </c>
      <c r="HL84" s="146"/>
      <c r="HM84" s="57"/>
    </row>
    <row r="85" spans="1:221">
      <c r="A85" s="185">
        <v>1023</v>
      </c>
      <c r="B85" s="185">
        <v>103136</v>
      </c>
      <c r="C85" s="185" t="s">
        <v>193</v>
      </c>
      <c r="D85" s="2" t="s">
        <v>194</v>
      </c>
      <c r="E85" s="190" t="s">
        <v>36</v>
      </c>
      <c r="F85" s="190" t="s">
        <v>890</v>
      </c>
      <c r="H85" s="271">
        <f>_xlfn.IFNA(VLOOKUP($A85,ISB!$A$4:$BY$441,67,FALSE),0)</f>
        <v>0</v>
      </c>
      <c r="I85" s="271">
        <f>_xlfn.IFNA(VLOOKUP($A85,ISB!$A$4:$BY$441,72,FALSE),0)</f>
        <v>0</v>
      </c>
      <c r="J85" s="271">
        <f>-_xlfn.IFNA(VLOOKUP($A85,ISB!$A$4:$BY$441,76,FALSE),0)</f>
        <v>0</v>
      </c>
      <c r="K85" s="271">
        <f>_xlfn.IFNA(VLOOKUP($A85,ISB!$A$4:$BY$441,77,FALSE),0)</f>
        <v>0</v>
      </c>
      <c r="M85" s="279">
        <f t="shared" si="110"/>
        <v>0</v>
      </c>
      <c r="N85" s="279"/>
      <c r="O85" s="279">
        <f>_xlfn.IFNA(VLOOKUP($A85,EY!$A:$H,8,FALSE)+(VLOOKUP($A85,EY!$A:$R,18,FALSE)-$T85),0)</f>
        <v>340116.65133071691</v>
      </c>
      <c r="P85" s="280">
        <f>_xlfn.IFNA((VLOOKUP($A85,HN!$A:$M,8,FALSE)/12),0)</f>
        <v>0</v>
      </c>
      <c r="Q85" s="280">
        <f>_xlfn.IFNA((VLOOKUP($A85,HN!$A:$M,12,FALSE)/12),0)</f>
        <v>0</v>
      </c>
      <c r="R85" s="280">
        <f>_xlfn.IFNA((VLOOKUP($A85,HN!$A:$M,9,FALSE)/12),0)</f>
        <v>0</v>
      </c>
      <c r="S85" s="280">
        <f>_xlfn.IFNA((VLOOKUP($A85,'Post 16'!$A:$AR,22,FALSE)/4),0)</f>
        <v>0</v>
      </c>
      <c r="T85" s="280">
        <f>_xlfn.IFNA((VLOOKUP($A85,EY!$A:$R,16,FALSE)*80%),0)</f>
        <v>6240</v>
      </c>
      <c r="U85" s="280">
        <v>7250.583333333333</v>
      </c>
      <c r="V85" s="280">
        <v>0</v>
      </c>
      <c r="W85" s="279">
        <f t="shared" si="111"/>
        <v>0</v>
      </c>
      <c r="X85" s="279">
        <f t="shared" si="112"/>
        <v>0</v>
      </c>
      <c r="Y85" s="280"/>
      <c r="Z85" s="280"/>
      <c r="AA85" s="280"/>
      <c r="AB85" s="279">
        <f t="shared" si="113"/>
        <v>353607.23466405022</v>
      </c>
      <c r="AC85" s="293">
        <f t="shared" si="114"/>
        <v>0</v>
      </c>
      <c r="AD85" s="293"/>
      <c r="AE85" s="293"/>
      <c r="AF85" s="294">
        <f>_xlfn.IFNA((VLOOKUP($A85,HN!$A:$M,8,FALSE)/12),0)</f>
        <v>0</v>
      </c>
      <c r="AG85" s="294">
        <f>_xlfn.IFNA((VLOOKUP($A85,HN!$A:$M,12,FALSE)/12),0)+_xlfn.IFNA(VLOOKUP($A85,HN!$A:$Q,17,FALSE),0)</f>
        <v>0</v>
      </c>
      <c r="AH85" s="294">
        <f>_xlfn.IFNA((VLOOKUP($A85,HN!$A:$M,9,FALSE)/12),0)</f>
        <v>0</v>
      </c>
      <c r="AI85" s="294">
        <f>_xlfn.IFNA((VLOOKUP($A85,'Post 16'!$A:$AR,22,FALSE)/4),0)</f>
        <v>0</v>
      </c>
      <c r="AJ85" s="294"/>
      <c r="AK85" s="294">
        <f>_xlfn.IFNA((VLOOKUP($A85,HN!$A:$M,10,FALSE)/12),0)</f>
        <v>1107.5</v>
      </c>
      <c r="AL85" s="294">
        <f>_xlfn.IFNA((VLOOKUP($A85,HN!$A:$M,13,FALSE)/12),0)</f>
        <v>0</v>
      </c>
      <c r="AM85" s="293">
        <f t="shared" si="115"/>
        <v>0</v>
      </c>
      <c r="AN85" s="293">
        <f t="shared" si="116"/>
        <v>0</v>
      </c>
      <c r="AO85" s="294"/>
      <c r="AP85" s="294"/>
      <c r="AQ85" s="294"/>
      <c r="AR85" s="293">
        <f t="shared" si="117"/>
        <v>1107.5</v>
      </c>
      <c r="AS85" s="286">
        <f t="shared" si="118"/>
        <v>0</v>
      </c>
      <c r="AT85" s="286"/>
      <c r="AU85" s="286">
        <f>_xlfn.IFNA(VLOOKUP(A85,EY!A:AO,40,FALSE),0)</f>
        <v>61366.740498614941</v>
      </c>
      <c r="AV85" s="287">
        <f>_xlfn.IFNA((VLOOKUP($A85,HN!$A:$M,8,FALSE)/12),0)</f>
        <v>0</v>
      </c>
      <c r="AW85" s="287">
        <f>_xlfn.IFNA((VLOOKUP($A85,HN!$A:$M,12,FALSE)/12),0)+_xlfn.IFNA(VLOOKUP($A85,HN!$A$8:$AU$200,19,FALSE),0)</f>
        <v>0</v>
      </c>
      <c r="AX85" s="287">
        <f>_xlfn.IFNA((VLOOKUP($A85,HN!$A:$M,9,FALSE)/12),0)</f>
        <v>0</v>
      </c>
      <c r="AY85" s="287">
        <f>_xlfn.IFNA((VLOOKUP($A85,'Post 16'!$A:$AR,22,FALSE)/4),0)</f>
        <v>0</v>
      </c>
      <c r="AZ85" s="287">
        <f>_xlfn.IFNA(VLOOKUP(A85,EY!A:AO,41,FALSE),0)</f>
        <v>-1346.9783933518006</v>
      </c>
      <c r="BA85" s="287">
        <f>_xlfn.IFNA(((VLOOKUP($A85,HN!$A:$M,10,FALSE)-$U85-$AK85)/10),0)+_xlfn.IFNA(VLOOKUP($A85,HN!$A:$R,18,FALSE),0)</f>
        <v>493.19166666666672</v>
      </c>
      <c r="BB85" s="287">
        <f>_xlfn.IFNA(((VLOOKUP($A85,HN!$A:$M,13,FALSE)-$V85-$AL85)/10),0)+_xlfn.IFNA(VLOOKUP($A85,HN!$A$8:$AU$200,20,FALSE),0)</f>
        <v>0</v>
      </c>
      <c r="BC85" s="286">
        <f t="shared" si="119"/>
        <v>0</v>
      </c>
      <c r="BD85" s="286">
        <f t="shared" si="120"/>
        <v>0</v>
      </c>
      <c r="BE85" s="287"/>
      <c r="BF85" s="287"/>
      <c r="BG85" s="287"/>
      <c r="BH85" s="286">
        <f t="shared" si="121"/>
        <v>60512.95377192981</v>
      </c>
      <c r="BI85" s="307">
        <f t="shared" si="122"/>
        <v>0</v>
      </c>
      <c r="BJ85" s="307">
        <f>_xlfn.IFNA(VLOOKUP(A85,'LA Deductions'!A:AH,34,FALSE),0)</f>
        <v>0</v>
      </c>
      <c r="BK85" s="307"/>
      <c r="BL85" s="308">
        <f>_xlfn.IFNA((VLOOKUP($A85,HN!$A:$M,8,FALSE)/12),0)</f>
        <v>0</v>
      </c>
      <c r="BM85" s="308">
        <f>_xlfn.IFNA((VLOOKUP($A85,HN!$A:$M,12,FALSE)/12),0)</f>
        <v>0</v>
      </c>
      <c r="BN85" s="308">
        <f>_xlfn.IFNA((VLOOKUP($A85,HN!$A:$M,9,FALSE)/12),0)</f>
        <v>0</v>
      </c>
      <c r="BO85" s="308">
        <f>_xlfn.IFNA((VLOOKUP($A85,'Post 16'!$A:$AR,22,FALSE)/4),0)</f>
        <v>0</v>
      </c>
      <c r="BP85" s="308"/>
      <c r="BQ85" s="308">
        <f>_xlfn.IFNA(((VLOOKUP($A85,HN!$A:$M,10,FALSE)-$U85-$AK85)/10),0)</f>
        <v>493.19166666666672</v>
      </c>
      <c r="BR85" s="308">
        <f>_xlfn.IFNA(((VLOOKUP($A85,HN!$A:$M,13,FALSE)-$V85-$AL85)/10),0)</f>
        <v>0</v>
      </c>
      <c r="BS85" s="307">
        <f t="shared" si="123"/>
        <v>0</v>
      </c>
      <c r="BT85" s="307">
        <f t="shared" si="124"/>
        <v>0</v>
      </c>
      <c r="BU85" s="308"/>
      <c r="BV85" s="308"/>
      <c r="BW85" s="308"/>
      <c r="BX85" s="307">
        <f t="shared" si="125"/>
        <v>493.19166666666672</v>
      </c>
      <c r="BY85" s="300">
        <f t="shared" si="126"/>
        <v>0</v>
      </c>
      <c r="BZ85" s="300"/>
      <c r="CA85" s="300"/>
      <c r="CB85" s="301">
        <f>_xlfn.IFNA((VLOOKUP($A85,HN!$A:$M,8,FALSE)/12),0)</f>
        <v>0</v>
      </c>
      <c r="CC85" s="301">
        <f>_xlfn.IFNA((VLOOKUP($A85,HN!$A:$M,12,FALSE)/12),0)</f>
        <v>0</v>
      </c>
      <c r="CD85" s="301">
        <f>_xlfn.IFNA((VLOOKUP($A85,HN!$A:$M,9,FALSE)/12),0)</f>
        <v>0</v>
      </c>
      <c r="CE85" s="301">
        <f>_xlfn.IFNA((VLOOKUP($A85,'Post 16'!$A:$AG,33,FALSE)/8),0)</f>
        <v>0</v>
      </c>
      <c r="CF85" s="301"/>
      <c r="CG85" s="301">
        <f>_xlfn.IFNA(((VLOOKUP($A85,HN!$A:$M,10,FALSE)-$U85-$AK85)/10),0)</f>
        <v>493.19166666666672</v>
      </c>
      <c r="CH85" s="301">
        <f>_xlfn.IFNA(((VLOOKUP($A85,HN!$A:$M,13,FALSE)-$V85-$AL85)/10),0)</f>
        <v>0</v>
      </c>
      <c r="CI85" s="300">
        <f t="shared" si="127"/>
        <v>0</v>
      </c>
      <c r="CJ85" s="300">
        <f t="shared" si="128"/>
        <v>0</v>
      </c>
      <c r="CK85" s="301"/>
      <c r="CL85" s="301"/>
      <c r="CM85" s="301"/>
      <c r="CN85" s="300">
        <f t="shared" si="129"/>
        <v>493.19166666666672</v>
      </c>
      <c r="CO85" s="332">
        <f t="shared" si="130"/>
        <v>0</v>
      </c>
      <c r="CP85" s="332"/>
      <c r="CQ85" s="332">
        <f>_xlfn.IFNA((VLOOKUP($A85,EY!$A:$AB,28,FALSE)-$CV85),0)</f>
        <v>124255.61178947368</v>
      </c>
      <c r="CR85" s="333">
        <f>_xlfn.IFNA((VLOOKUP($A85,HN!$A:$M,8,FALSE)/12),0)</f>
        <v>0</v>
      </c>
      <c r="CS85" s="333">
        <f>_xlfn.IFNA((VLOOKUP($A85,HN!$A:$M,12,FALSE)/12),0)</f>
        <v>0</v>
      </c>
      <c r="CT85" s="333">
        <f>_xlfn.IFNA((VLOOKUP($A85,HN!$A:$M,9,FALSE)/12),0)</f>
        <v>0</v>
      </c>
      <c r="CU85" s="333">
        <f>_xlfn.IFNA((VLOOKUP($A85,'Post 16'!$A:$AG,33,FALSE)/8),0)</f>
        <v>0</v>
      </c>
      <c r="CV85" s="333">
        <f>_xlfn.IFNA((VLOOKUP($A85,EY!$A:$AB,26,FALSE)*80%),0)</f>
        <v>1560</v>
      </c>
      <c r="CW85" s="333">
        <f>_xlfn.IFNA(((VLOOKUP($A85,HN!$A:$M,10,FALSE)-$U85-$AK85)/10),0)</f>
        <v>493.19166666666672</v>
      </c>
      <c r="CX85" s="333">
        <f>_xlfn.IFNA(((VLOOKUP($A85,HN!$A:$M,13,FALSE)-$V85-$AL85)/10),0)</f>
        <v>0</v>
      </c>
      <c r="CY85" s="332">
        <f t="shared" si="131"/>
        <v>0</v>
      </c>
      <c r="CZ85" s="332">
        <f t="shared" si="132"/>
        <v>0</v>
      </c>
      <c r="DA85" s="333"/>
      <c r="DB85" s="333"/>
      <c r="DC85" s="333"/>
      <c r="DD85" s="332">
        <f t="shared" si="133"/>
        <v>126308.80345614035</v>
      </c>
      <c r="DE85" s="314">
        <f t="shared" si="134"/>
        <v>0</v>
      </c>
      <c r="DF85" s="314"/>
      <c r="DG85" s="314"/>
      <c r="DH85" s="315">
        <f>_xlfn.IFNA((VLOOKUP($A85,HN!$A:$M,8,FALSE)/12),0)</f>
        <v>0</v>
      </c>
      <c r="DI85" s="315">
        <f>_xlfn.IFNA((VLOOKUP($A85,HN!$A:$M,12,FALSE)/12),0)</f>
        <v>0</v>
      </c>
      <c r="DJ85" s="315">
        <f>_xlfn.IFNA((VLOOKUP($A85,HN!$A:$M,9,FALSE)/12),0)</f>
        <v>0</v>
      </c>
      <c r="DK85" s="315">
        <f>_xlfn.IFNA((VLOOKUP($A85,'Post 16'!$A:$AG,33,FALSE)/8),0)</f>
        <v>0</v>
      </c>
      <c r="DL85" s="315"/>
      <c r="DM85" s="315">
        <f>_xlfn.IFNA(((VLOOKUP($A85,HN!$A:$M,10,FALSE)-$U85-$AK85)/10),0)</f>
        <v>493.19166666666672</v>
      </c>
      <c r="DN85" s="315">
        <f>_xlfn.IFNA(((VLOOKUP($A85,HN!$A:$M,13,FALSE)-$V85-$AL85)/10),0)</f>
        <v>0</v>
      </c>
      <c r="DO85" s="314">
        <f t="shared" si="135"/>
        <v>0</v>
      </c>
      <c r="DP85" s="314">
        <f t="shared" si="136"/>
        <v>0</v>
      </c>
      <c r="DQ85" s="315"/>
      <c r="DR85" s="315"/>
      <c r="DS85" s="315"/>
      <c r="DT85" s="314">
        <f t="shared" si="137"/>
        <v>493.19166666666672</v>
      </c>
      <c r="DU85" s="307">
        <f t="shared" si="138"/>
        <v>0</v>
      </c>
      <c r="DV85" s="307"/>
      <c r="DW85" s="307"/>
      <c r="DX85" s="308">
        <f>_xlfn.IFNA((VLOOKUP($A85,HN!$A:$M,8,FALSE)/12),0)</f>
        <v>0</v>
      </c>
      <c r="DY85" s="308">
        <f>_xlfn.IFNA((VLOOKUP($A85,HN!$A:$M,12,FALSE)/12),0)</f>
        <v>0</v>
      </c>
      <c r="DZ85" s="308">
        <f>_xlfn.IFNA((VLOOKUP($A85,HN!$A:$M,9,FALSE)/12),0)</f>
        <v>0</v>
      </c>
      <c r="EA85" s="308">
        <f>_xlfn.IFNA((VLOOKUP($A85,'Post 16'!$A:$AG,33,FALSE)/8),0)</f>
        <v>0</v>
      </c>
      <c r="EB85" s="308"/>
      <c r="EC85" s="308">
        <f>_xlfn.IFNA(((VLOOKUP($A85,HN!$A:$M,10,FALSE)-$U85-$AK85)/10),0)</f>
        <v>493.19166666666672</v>
      </c>
      <c r="ED85" s="308">
        <f>_xlfn.IFNA(((VLOOKUP($A85,HN!$A:$M,13,FALSE)-$V85-$AL85)/10),0)</f>
        <v>0</v>
      </c>
      <c r="EE85" s="307">
        <f t="shared" si="139"/>
        <v>0</v>
      </c>
      <c r="EF85" s="307">
        <f t="shared" si="140"/>
        <v>0</v>
      </c>
      <c r="EG85" s="308"/>
      <c r="EH85" s="308"/>
      <c r="EI85" s="308"/>
      <c r="EJ85" s="307">
        <f t="shared" si="141"/>
        <v>493.19166666666672</v>
      </c>
      <c r="EK85" s="320">
        <f t="shared" si="142"/>
        <v>0</v>
      </c>
      <c r="EL85" s="320"/>
      <c r="EM85" s="320"/>
      <c r="EN85" s="321">
        <f>_xlfn.IFNA((VLOOKUP($A85,HN!$A:$M,8,FALSE)/12),0)</f>
        <v>0</v>
      </c>
      <c r="EO85" s="321">
        <f>_xlfn.IFNA((VLOOKUP($A85,HN!$A:$M,12,FALSE)/12),0)</f>
        <v>0</v>
      </c>
      <c r="EP85" s="321">
        <f>_xlfn.IFNA((VLOOKUP($A85,HN!$A:$M,9,FALSE)/12),0)</f>
        <v>0</v>
      </c>
      <c r="EQ85" s="321">
        <f>_xlfn.IFNA((VLOOKUP($A85,'Post 16'!$A:$AG,33,FALSE)/8),0)</f>
        <v>0</v>
      </c>
      <c r="ER85" s="321"/>
      <c r="ES85" s="321">
        <f>_xlfn.IFNA(((VLOOKUP($A85,HN!$A:$M,10,FALSE)-$U85-$AK85)/10),0)</f>
        <v>493.19166666666672</v>
      </c>
      <c r="ET85" s="321">
        <f>_xlfn.IFNA(((VLOOKUP($A85,HN!$A:$M,13,FALSE)-$V85-$AL85)/10),0)</f>
        <v>0</v>
      </c>
      <c r="EU85" s="320">
        <f t="shared" si="143"/>
        <v>0</v>
      </c>
      <c r="EV85" s="320">
        <f t="shared" si="144"/>
        <v>0</v>
      </c>
      <c r="EW85" s="321"/>
      <c r="EX85" s="321"/>
      <c r="EY85" s="321"/>
      <c r="EZ85" s="320">
        <f t="shared" si="145"/>
        <v>493.19166666666672</v>
      </c>
      <c r="FA85" s="286">
        <f t="shared" si="146"/>
        <v>0</v>
      </c>
      <c r="FB85" s="286"/>
      <c r="FC85" s="286"/>
      <c r="FD85" s="287">
        <f>_xlfn.IFNA((VLOOKUP($A85,HN!$A:$M,8,FALSE)/12),0)</f>
        <v>0</v>
      </c>
      <c r="FE85" s="287">
        <f>_xlfn.IFNA((VLOOKUP($A85,HN!$A:$M,12,FALSE)/12),0)</f>
        <v>0</v>
      </c>
      <c r="FF85" s="287">
        <f>_xlfn.IFNA((VLOOKUP($A85,HN!$A:$M,9,FALSE)/12),0)</f>
        <v>0</v>
      </c>
      <c r="FG85" s="287">
        <f>_xlfn.IFNA((VLOOKUP($A85,'Post 16'!$A:$AG,33,FALSE)/8),0)</f>
        <v>0</v>
      </c>
      <c r="FH85" s="287"/>
      <c r="FI85" s="287">
        <f>_xlfn.IFNA(((VLOOKUP($A85,HN!$A:$M,10,FALSE)-$U85-$AK85)/10),0)</f>
        <v>493.19166666666672</v>
      </c>
      <c r="FJ85" s="287">
        <f>_xlfn.IFNA(((VLOOKUP($A85,HN!$A:$M,13,FALSE)-$V85-$AL85)/10),0)</f>
        <v>0</v>
      </c>
      <c r="FK85" s="286">
        <f t="shared" si="147"/>
        <v>0</v>
      </c>
      <c r="FL85" s="286">
        <f t="shared" si="148"/>
        <v>0</v>
      </c>
      <c r="FM85" s="287"/>
      <c r="FN85" s="287"/>
      <c r="FO85" s="287"/>
      <c r="FP85" s="286">
        <f t="shared" si="149"/>
        <v>493.19166666666672</v>
      </c>
      <c r="FQ85" s="293">
        <f t="shared" si="150"/>
        <v>0</v>
      </c>
      <c r="FR85" s="293"/>
      <c r="FS85" s="293"/>
      <c r="FT85" s="294">
        <f>_xlfn.IFNA((VLOOKUP($A85,HN!$A:$M,8,FALSE)/12),0)</f>
        <v>0</v>
      </c>
      <c r="FU85" s="294">
        <f>_xlfn.IFNA((VLOOKUP($A85,HN!$A:$M,12,FALSE)/12),0)</f>
        <v>0</v>
      </c>
      <c r="FV85" s="294">
        <f>_xlfn.IFNA((VLOOKUP($A85,HN!$A:$M,9,FALSE)/12),0)</f>
        <v>0</v>
      </c>
      <c r="FW85" s="294">
        <f>_xlfn.IFNA((VLOOKUP($A85,'Post 16'!$A:$AG,33,FALSE)/8),0)</f>
        <v>0</v>
      </c>
      <c r="FX85" s="294"/>
      <c r="FY85" s="294">
        <f>_xlfn.IFNA(((VLOOKUP($A85,HN!$A:$M,10,FALSE)-$U85-$AK85)/10),0)</f>
        <v>493.19166666666672</v>
      </c>
      <c r="FZ85" s="294">
        <f>_xlfn.IFNA(((VLOOKUP($A85,HN!$A:$M,13,FALSE)-$V85-$AL85)/10),0)</f>
        <v>0</v>
      </c>
      <c r="GA85" s="293">
        <f t="shared" si="151"/>
        <v>0</v>
      </c>
      <c r="GB85" s="293">
        <f t="shared" si="152"/>
        <v>0</v>
      </c>
      <c r="GC85" s="294"/>
      <c r="GD85" s="294"/>
      <c r="GE85" s="294"/>
      <c r="GF85" s="293">
        <f t="shared" si="153"/>
        <v>493.19166666666672</v>
      </c>
      <c r="GG85" s="300">
        <f t="shared" si="154"/>
        <v>0</v>
      </c>
      <c r="GH85" s="300"/>
      <c r="GI85" s="300"/>
      <c r="GJ85" s="301">
        <f>_xlfn.IFNA((VLOOKUP($A85,HN!$A:$M,8,FALSE)/12),0)</f>
        <v>0</v>
      </c>
      <c r="GK85" s="301">
        <f>_xlfn.IFNA((VLOOKUP($A85,HN!$A:$M,12,FALSE)/12),0)</f>
        <v>0</v>
      </c>
      <c r="GL85" s="301">
        <f>_xlfn.IFNA((VLOOKUP($A85,HN!$A:$M,9,FALSE)/12),0)</f>
        <v>0</v>
      </c>
      <c r="GM85" s="301">
        <f>_xlfn.IFNA((VLOOKUP($A85,'Post 16'!$A:$AG,33,FALSE)/8),0)</f>
        <v>0</v>
      </c>
      <c r="GN85" s="301"/>
      <c r="GO85" s="301">
        <f>_xlfn.IFNA(((VLOOKUP($A85,HN!$A:$M,10,FALSE)-$U85-$AK85)/10),0)</f>
        <v>493.19166666666672</v>
      </c>
      <c r="GP85" s="301">
        <f>_xlfn.IFNA(((VLOOKUP($A85,HN!$A:$M,13,FALSE)-$V85-$AL85)/10),0)</f>
        <v>0</v>
      </c>
      <c r="GQ85" s="300">
        <f t="shared" si="155"/>
        <v>0</v>
      </c>
      <c r="GR85" s="300">
        <f t="shared" si="156"/>
        <v>0</v>
      </c>
      <c r="GS85" s="301"/>
      <c r="GT85" s="301"/>
      <c r="GU85" s="301"/>
      <c r="GV85" s="300">
        <f t="shared" si="157"/>
        <v>493.19166666666672</v>
      </c>
      <c r="GX85" s="146">
        <f t="shared" si="158"/>
        <v>525739.00361880555</v>
      </c>
      <c r="GY85" s="146">
        <f t="shared" si="158"/>
        <v>0</v>
      </c>
      <c r="GZ85" s="146">
        <f t="shared" si="158"/>
        <v>19743.021606648195</v>
      </c>
      <c r="HA85" s="146">
        <f t="shared" si="158"/>
        <v>0</v>
      </c>
      <c r="HB85" s="146">
        <f t="shared" si="158"/>
        <v>0</v>
      </c>
      <c r="HC85" s="146">
        <f t="shared" si="158"/>
        <v>0</v>
      </c>
      <c r="HE85" s="146">
        <f t="shared" si="159"/>
        <v>401483.39182933187</v>
      </c>
      <c r="HF85" s="146">
        <f t="shared" si="159"/>
        <v>0</v>
      </c>
      <c r="HG85" s="146">
        <f t="shared" si="159"/>
        <v>13744.296606648199</v>
      </c>
      <c r="HH85" s="146">
        <f t="shared" si="159"/>
        <v>0</v>
      </c>
      <c r="HI85" s="146">
        <f t="shared" si="159"/>
        <v>0</v>
      </c>
      <c r="HJ85" s="146">
        <f t="shared" si="159"/>
        <v>0</v>
      </c>
      <c r="HL85" s="146"/>
      <c r="HM85" s="57"/>
    </row>
    <row r="86" spans="1:221">
      <c r="A86" s="185">
        <v>2015</v>
      </c>
      <c r="B86" s="185">
        <v>134102</v>
      </c>
      <c r="C86" s="185" t="s">
        <v>195</v>
      </c>
      <c r="D86" s="2" t="s">
        <v>196</v>
      </c>
      <c r="E86" s="190" t="s">
        <v>39</v>
      </c>
      <c r="F86" s="190" t="s">
        <v>890</v>
      </c>
      <c r="H86" s="271">
        <f>_xlfn.IFNA(VLOOKUP($A86,ISB!$A$4:$BY$441,67,FALSE),0)</f>
        <v>2569096.58172529</v>
      </c>
      <c r="I86" s="271">
        <f>_xlfn.IFNA(VLOOKUP($A86,ISB!$A$4:$BY$441,72,FALSE),0)</f>
        <v>-9661.1999999999989</v>
      </c>
      <c r="J86" s="271">
        <f>-_xlfn.IFNA(VLOOKUP($A86,ISB!$A$4:$BY$441,76,FALSE),0)</f>
        <v>-39764.906999999999</v>
      </c>
      <c r="K86" s="271">
        <f>_xlfn.IFNA(VLOOKUP($A86,ISB!$A$4:$BY$441,77,FALSE),0)</f>
        <v>2519670.4747252897</v>
      </c>
      <c r="M86" s="279">
        <f t="shared" si="110"/>
        <v>214091.38181044083</v>
      </c>
      <c r="N86" s="279"/>
      <c r="O86" s="279">
        <f>_xlfn.IFNA(VLOOKUP($A86,EY!$A:$H,8,FALSE)+(VLOOKUP($A86,EY!$A:$R,18,FALSE)-$T86),0)</f>
        <v>49892.44</v>
      </c>
      <c r="P86" s="280">
        <f>_xlfn.IFNA((VLOOKUP($A86,HN!$A:$M,8,FALSE)/12),0)</f>
        <v>0</v>
      </c>
      <c r="Q86" s="280">
        <f>_xlfn.IFNA((VLOOKUP($A86,HN!$A:$M,12,FALSE)/12),0)</f>
        <v>0</v>
      </c>
      <c r="R86" s="280">
        <f>_xlfn.IFNA((VLOOKUP($A86,HN!$A:$M,9,FALSE)/12),0)</f>
        <v>0</v>
      </c>
      <c r="S86" s="280">
        <f>_xlfn.IFNA((VLOOKUP($A86,'Post 16'!$A:$AR,22,FALSE)/4),0)</f>
        <v>0</v>
      </c>
      <c r="T86" s="280">
        <f>_xlfn.IFNA((VLOOKUP($A86,EY!$A:$R,16,FALSE)*80%),0)</f>
        <v>0</v>
      </c>
      <c r="U86" s="280">
        <v>3799.2083333333335</v>
      </c>
      <c r="V86" s="280">
        <v>0</v>
      </c>
      <c r="W86" s="279">
        <f t="shared" si="111"/>
        <v>-805.09999999999991</v>
      </c>
      <c r="X86" s="279">
        <f t="shared" si="112"/>
        <v>-3313.7422499999998</v>
      </c>
      <c r="Y86" s="280"/>
      <c r="Z86" s="280"/>
      <c r="AA86" s="280"/>
      <c r="AB86" s="279">
        <f t="shared" si="113"/>
        <v>263664.18789377419</v>
      </c>
      <c r="AC86" s="293">
        <f t="shared" si="114"/>
        <v>214091.38181044083</v>
      </c>
      <c r="AD86" s="293"/>
      <c r="AE86" s="293"/>
      <c r="AF86" s="294">
        <f>_xlfn.IFNA((VLOOKUP($A86,HN!$A:$M,8,FALSE)/12),0)</f>
        <v>0</v>
      </c>
      <c r="AG86" s="294">
        <f>_xlfn.IFNA((VLOOKUP($A86,HN!$A:$M,12,FALSE)/12),0)+_xlfn.IFNA(VLOOKUP($A86,HN!$A:$Q,17,FALSE),0)</f>
        <v>0</v>
      </c>
      <c r="AH86" s="294">
        <f>_xlfn.IFNA((VLOOKUP($A86,HN!$A:$M,9,FALSE)/12),0)</f>
        <v>0</v>
      </c>
      <c r="AI86" s="294">
        <f>_xlfn.IFNA((VLOOKUP($A86,'Post 16'!$A:$AR,22,FALSE)/4),0)</f>
        <v>0</v>
      </c>
      <c r="AJ86" s="294"/>
      <c r="AK86" s="294">
        <f>_xlfn.IFNA((VLOOKUP($A86,HN!$A:$M,10,FALSE)/12),0)</f>
        <v>4703.1525000000001</v>
      </c>
      <c r="AL86" s="294">
        <f>_xlfn.IFNA((VLOOKUP($A86,HN!$A:$M,13,FALSE)/12),0)</f>
        <v>0</v>
      </c>
      <c r="AM86" s="293">
        <f t="shared" si="115"/>
        <v>-805.09999999999991</v>
      </c>
      <c r="AN86" s="293">
        <f t="shared" si="116"/>
        <v>-3313.7422499999998</v>
      </c>
      <c r="AO86" s="294"/>
      <c r="AP86" s="294"/>
      <c r="AQ86" s="294"/>
      <c r="AR86" s="293">
        <f t="shared" si="117"/>
        <v>214675.69206044081</v>
      </c>
      <c r="AS86" s="286">
        <f t="shared" si="118"/>
        <v>214091.38181044083</v>
      </c>
      <c r="AT86" s="286"/>
      <c r="AU86" s="286">
        <f>_xlfn.IFNA(VLOOKUP(A86,EY!A:AO,40,FALSE),0)</f>
        <v>10958.760332409969</v>
      </c>
      <c r="AV86" s="287">
        <f>_xlfn.IFNA((VLOOKUP($A86,HN!$A:$M,8,FALSE)/12),0)</f>
        <v>0</v>
      </c>
      <c r="AW86" s="287">
        <f>_xlfn.IFNA((VLOOKUP($A86,HN!$A:$M,12,FALSE)/12),0)+_xlfn.IFNA(VLOOKUP($A86,HN!$A$8:$AU$200,19,FALSE),0)</f>
        <v>0</v>
      </c>
      <c r="AX86" s="287">
        <f>_xlfn.IFNA((VLOOKUP($A86,HN!$A:$M,9,FALSE)/12),0)</f>
        <v>0</v>
      </c>
      <c r="AY86" s="287">
        <f>_xlfn.IFNA((VLOOKUP($A86,'Post 16'!$A:$AR,22,FALSE)/4),0)</f>
        <v>0</v>
      </c>
      <c r="AZ86" s="287">
        <f>_xlfn.IFNA(VLOOKUP(A86,EY!A:AO,41,FALSE),0)</f>
        <v>0</v>
      </c>
      <c r="BA86" s="287">
        <f>_xlfn.IFNA(((VLOOKUP($A86,HN!$A:$M,10,FALSE)-$U86-$AK86)/10),0)+_xlfn.IFNA(VLOOKUP($A86,HN!$A:$R,18,FALSE),0)</f>
        <v>4793.5469166666662</v>
      </c>
      <c r="BB86" s="287">
        <f>_xlfn.IFNA(((VLOOKUP($A86,HN!$A:$M,13,FALSE)-$V86-$AL86)/10),0)+_xlfn.IFNA(VLOOKUP($A86,HN!$A$8:$AU$200,20,FALSE),0)</f>
        <v>0</v>
      </c>
      <c r="BC86" s="286">
        <f t="shared" si="119"/>
        <v>-805.09999999999991</v>
      </c>
      <c r="BD86" s="286">
        <f t="shared" si="120"/>
        <v>-3313.7422499999998</v>
      </c>
      <c r="BE86" s="287"/>
      <c r="BF86" s="287"/>
      <c r="BG86" s="287"/>
      <c r="BH86" s="286">
        <f t="shared" si="121"/>
        <v>225724.84680951745</v>
      </c>
      <c r="BI86" s="307">
        <f t="shared" si="122"/>
        <v>214091.38181044083</v>
      </c>
      <c r="BJ86" s="307">
        <f>_xlfn.IFNA(VLOOKUP(A86,'LA Deductions'!A:AH,34,FALSE),0)</f>
        <v>0</v>
      </c>
      <c r="BK86" s="307"/>
      <c r="BL86" s="308">
        <f>_xlfn.IFNA((VLOOKUP($A86,HN!$A:$M,8,FALSE)/12),0)</f>
        <v>0</v>
      </c>
      <c r="BM86" s="308">
        <f>_xlfn.IFNA((VLOOKUP($A86,HN!$A:$M,12,FALSE)/12),0)</f>
        <v>0</v>
      </c>
      <c r="BN86" s="308">
        <f>_xlfn.IFNA((VLOOKUP($A86,HN!$A:$M,9,FALSE)/12),0)</f>
        <v>0</v>
      </c>
      <c r="BO86" s="308">
        <f>_xlfn.IFNA((VLOOKUP($A86,'Post 16'!$A:$AR,22,FALSE)/4),0)</f>
        <v>0</v>
      </c>
      <c r="BP86" s="308"/>
      <c r="BQ86" s="308">
        <f>_xlfn.IFNA(((VLOOKUP($A86,HN!$A:$M,10,FALSE)-$U86-$AK86)/10),0)</f>
        <v>4793.5469166666662</v>
      </c>
      <c r="BR86" s="308">
        <f>_xlfn.IFNA(((VLOOKUP($A86,HN!$A:$M,13,FALSE)-$V86-$AL86)/10),0)</f>
        <v>0</v>
      </c>
      <c r="BS86" s="307">
        <f t="shared" si="123"/>
        <v>-805.09999999999991</v>
      </c>
      <c r="BT86" s="307">
        <f t="shared" si="124"/>
        <v>-3313.7422499999998</v>
      </c>
      <c r="BU86" s="308"/>
      <c r="BV86" s="308"/>
      <c r="BW86" s="308"/>
      <c r="BX86" s="307">
        <f t="shared" si="125"/>
        <v>214766.08647710748</v>
      </c>
      <c r="BY86" s="300">
        <f t="shared" si="126"/>
        <v>214091.38181044083</v>
      </c>
      <c r="BZ86" s="300"/>
      <c r="CA86" s="300"/>
      <c r="CB86" s="301">
        <f>_xlfn.IFNA((VLOOKUP($A86,HN!$A:$M,8,FALSE)/12),0)</f>
        <v>0</v>
      </c>
      <c r="CC86" s="301">
        <f>_xlfn.IFNA((VLOOKUP($A86,HN!$A:$M,12,FALSE)/12),0)</f>
        <v>0</v>
      </c>
      <c r="CD86" s="301">
        <f>_xlfn.IFNA((VLOOKUP($A86,HN!$A:$M,9,FALSE)/12),0)</f>
        <v>0</v>
      </c>
      <c r="CE86" s="301">
        <f>_xlfn.IFNA((VLOOKUP($A86,'Post 16'!$A:$AG,33,FALSE)/8),0)</f>
        <v>0</v>
      </c>
      <c r="CF86" s="301"/>
      <c r="CG86" s="301">
        <f>_xlfn.IFNA(((VLOOKUP($A86,HN!$A:$M,10,FALSE)-$U86-$AK86)/10),0)</f>
        <v>4793.5469166666662</v>
      </c>
      <c r="CH86" s="301">
        <f>_xlfn.IFNA(((VLOOKUP($A86,HN!$A:$M,13,FALSE)-$V86-$AL86)/10),0)</f>
        <v>0</v>
      </c>
      <c r="CI86" s="300">
        <f t="shared" si="127"/>
        <v>-805.09999999999991</v>
      </c>
      <c r="CJ86" s="300">
        <f t="shared" si="128"/>
        <v>-3313.7422499999998</v>
      </c>
      <c r="CK86" s="301"/>
      <c r="CL86" s="301"/>
      <c r="CM86" s="301"/>
      <c r="CN86" s="300">
        <f t="shared" si="129"/>
        <v>214766.08647710748</v>
      </c>
      <c r="CO86" s="332">
        <f t="shared" si="130"/>
        <v>214091.38181044083</v>
      </c>
      <c r="CP86" s="332"/>
      <c r="CQ86" s="332">
        <f>_xlfn.IFNA((VLOOKUP($A86,EY!$A:$AB,28,FALSE)-$CV86),0)</f>
        <v>31079.360000000001</v>
      </c>
      <c r="CR86" s="333">
        <f>_xlfn.IFNA((VLOOKUP($A86,HN!$A:$M,8,FALSE)/12),0)</f>
        <v>0</v>
      </c>
      <c r="CS86" s="333">
        <f>_xlfn.IFNA((VLOOKUP($A86,HN!$A:$M,12,FALSE)/12),0)</f>
        <v>0</v>
      </c>
      <c r="CT86" s="333">
        <f>_xlfn.IFNA((VLOOKUP($A86,HN!$A:$M,9,FALSE)/12),0)</f>
        <v>0</v>
      </c>
      <c r="CU86" s="333">
        <f>_xlfn.IFNA((VLOOKUP($A86,'Post 16'!$A:$AG,33,FALSE)/8),0)</f>
        <v>0</v>
      </c>
      <c r="CV86" s="333">
        <f>_xlfn.IFNA((VLOOKUP($A86,EY!$A:$AB,26,FALSE)*80%),0)</f>
        <v>0</v>
      </c>
      <c r="CW86" s="333">
        <f>_xlfn.IFNA(((VLOOKUP($A86,HN!$A:$M,10,FALSE)-$U86-$AK86)/10),0)</f>
        <v>4793.5469166666662</v>
      </c>
      <c r="CX86" s="333">
        <f>_xlfn.IFNA(((VLOOKUP($A86,HN!$A:$M,13,FALSE)-$V86-$AL86)/10),0)</f>
        <v>0</v>
      </c>
      <c r="CY86" s="332">
        <f t="shared" si="131"/>
        <v>-805.09999999999991</v>
      </c>
      <c r="CZ86" s="332">
        <f t="shared" si="132"/>
        <v>-3313.7422499999998</v>
      </c>
      <c r="DA86" s="333"/>
      <c r="DB86" s="333"/>
      <c r="DC86" s="333"/>
      <c r="DD86" s="332">
        <f t="shared" si="133"/>
        <v>245845.4464771075</v>
      </c>
      <c r="DE86" s="314">
        <f t="shared" si="134"/>
        <v>214091.38181044083</v>
      </c>
      <c r="DF86" s="314"/>
      <c r="DG86" s="314"/>
      <c r="DH86" s="315">
        <f>_xlfn.IFNA((VLOOKUP($A86,HN!$A:$M,8,FALSE)/12),0)</f>
        <v>0</v>
      </c>
      <c r="DI86" s="315">
        <f>_xlfn.IFNA((VLOOKUP($A86,HN!$A:$M,12,FALSE)/12),0)</f>
        <v>0</v>
      </c>
      <c r="DJ86" s="315">
        <f>_xlfn.IFNA((VLOOKUP($A86,HN!$A:$M,9,FALSE)/12),0)</f>
        <v>0</v>
      </c>
      <c r="DK86" s="315">
        <f>_xlfn.IFNA((VLOOKUP($A86,'Post 16'!$A:$AG,33,FALSE)/8),0)</f>
        <v>0</v>
      </c>
      <c r="DL86" s="315"/>
      <c r="DM86" s="315">
        <f>_xlfn.IFNA(((VLOOKUP($A86,HN!$A:$M,10,FALSE)-$U86-$AK86)/10),0)</f>
        <v>4793.5469166666662</v>
      </c>
      <c r="DN86" s="315">
        <f>_xlfn.IFNA(((VLOOKUP($A86,HN!$A:$M,13,FALSE)-$V86-$AL86)/10),0)</f>
        <v>0</v>
      </c>
      <c r="DO86" s="314">
        <f t="shared" si="135"/>
        <v>-805.09999999999991</v>
      </c>
      <c r="DP86" s="314">
        <f t="shared" si="136"/>
        <v>-3313.7422499999998</v>
      </c>
      <c r="DQ86" s="315"/>
      <c r="DR86" s="315"/>
      <c r="DS86" s="315"/>
      <c r="DT86" s="314">
        <f t="shared" si="137"/>
        <v>214766.08647710748</v>
      </c>
      <c r="DU86" s="307">
        <f t="shared" si="138"/>
        <v>214091.38181044083</v>
      </c>
      <c r="DV86" s="307"/>
      <c r="DW86" s="307"/>
      <c r="DX86" s="308">
        <f>_xlfn.IFNA((VLOOKUP($A86,HN!$A:$M,8,FALSE)/12),0)</f>
        <v>0</v>
      </c>
      <c r="DY86" s="308">
        <f>_xlfn.IFNA((VLOOKUP($A86,HN!$A:$M,12,FALSE)/12),0)</f>
        <v>0</v>
      </c>
      <c r="DZ86" s="308">
        <f>_xlfn.IFNA((VLOOKUP($A86,HN!$A:$M,9,FALSE)/12),0)</f>
        <v>0</v>
      </c>
      <c r="EA86" s="308">
        <f>_xlfn.IFNA((VLOOKUP($A86,'Post 16'!$A:$AG,33,FALSE)/8),0)</f>
        <v>0</v>
      </c>
      <c r="EB86" s="308"/>
      <c r="EC86" s="308">
        <f>_xlfn.IFNA(((VLOOKUP($A86,HN!$A:$M,10,FALSE)-$U86-$AK86)/10),0)</f>
        <v>4793.5469166666662</v>
      </c>
      <c r="ED86" s="308">
        <f>_xlfn.IFNA(((VLOOKUP($A86,HN!$A:$M,13,FALSE)-$V86-$AL86)/10),0)</f>
        <v>0</v>
      </c>
      <c r="EE86" s="307">
        <f t="shared" si="139"/>
        <v>-805.09999999999991</v>
      </c>
      <c r="EF86" s="307">
        <f t="shared" si="140"/>
        <v>-3313.7422499999998</v>
      </c>
      <c r="EG86" s="308"/>
      <c r="EH86" s="308"/>
      <c r="EI86" s="308"/>
      <c r="EJ86" s="307">
        <f t="shared" si="141"/>
        <v>214766.08647710748</v>
      </c>
      <c r="EK86" s="320">
        <f t="shared" si="142"/>
        <v>214091.38181044083</v>
      </c>
      <c r="EL86" s="320"/>
      <c r="EM86" s="320"/>
      <c r="EN86" s="321">
        <f>_xlfn.IFNA((VLOOKUP($A86,HN!$A:$M,8,FALSE)/12),0)</f>
        <v>0</v>
      </c>
      <c r="EO86" s="321">
        <f>_xlfn.IFNA((VLOOKUP($A86,HN!$A:$M,12,FALSE)/12),0)</f>
        <v>0</v>
      </c>
      <c r="EP86" s="321">
        <f>_xlfn.IFNA((VLOOKUP($A86,HN!$A:$M,9,FALSE)/12),0)</f>
        <v>0</v>
      </c>
      <c r="EQ86" s="321">
        <f>_xlfn.IFNA((VLOOKUP($A86,'Post 16'!$A:$AG,33,FALSE)/8),0)</f>
        <v>0</v>
      </c>
      <c r="ER86" s="321"/>
      <c r="ES86" s="321">
        <f>_xlfn.IFNA(((VLOOKUP($A86,HN!$A:$M,10,FALSE)-$U86-$AK86)/10),0)</f>
        <v>4793.5469166666662</v>
      </c>
      <c r="ET86" s="321">
        <f>_xlfn.IFNA(((VLOOKUP($A86,HN!$A:$M,13,FALSE)-$V86-$AL86)/10),0)</f>
        <v>0</v>
      </c>
      <c r="EU86" s="320">
        <f t="shared" si="143"/>
        <v>-805.09999999999991</v>
      </c>
      <c r="EV86" s="320">
        <f t="shared" si="144"/>
        <v>-3313.7422499999998</v>
      </c>
      <c r="EW86" s="321"/>
      <c r="EX86" s="321"/>
      <c r="EY86" s="321"/>
      <c r="EZ86" s="320">
        <f t="shared" si="145"/>
        <v>214766.08647710748</v>
      </c>
      <c r="FA86" s="286">
        <f t="shared" si="146"/>
        <v>214091.38181044083</v>
      </c>
      <c r="FB86" s="286"/>
      <c r="FC86" s="286"/>
      <c r="FD86" s="287">
        <f>_xlfn.IFNA((VLOOKUP($A86,HN!$A:$M,8,FALSE)/12),0)</f>
        <v>0</v>
      </c>
      <c r="FE86" s="287">
        <f>_xlfn.IFNA((VLOOKUP($A86,HN!$A:$M,12,FALSE)/12),0)</f>
        <v>0</v>
      </c>
      <c r="FF86" s="287">
        <f>_xlfn.IFNA((VLOOKUP($A86,HN!$A:$M,9,FALSE)/12),0)</f>
        <v>0</v>
      </c>
      <c r="FG86" s="287">
        <f>_xlfn.IFNA((VLOOKUP($A86,'Post 16'!$A:$AG,33,FALSE)/8),0)</f>
        <v>0</v>
      </c>
      <c r="FH86" s="287"/>
      <c r="FI86" s="287">
        <f>_xlfn.IFNA(((VLOOKUP($A86,HN!$A:$M,10,FALSE)-$U86-$AK86)/10),0)</f>
        <v>4793.5469166666662</v>
      </c>
      <c r="FJ86" s="287">
        <f>_xlfn.IFNA(((VLOOKUP($A86,HN!$A:$M,13,FALSE)-$V86-$AL86)/10),0)</f>
        <v>0</v>
      </c>
      <c r="FK86" s="286">
        <f t="shared" si="147"/>
        <v>-805.09999999999991</v>
      </c>
      <c r="FL86" s="286">
        <f t="shared" si="148"/>
        <v>-3313.7422499999998</v>
      </c>
      <c r="FM86" s="287"/>
      <c r="FN86" s="287"/>
      <c r="FO86" s="287"/>
      <c r="FP86" s="286">
        <f t="shared" si="149"/>
        <v>214766.08647710748</v>
      </c>
      <c r="FQ86" s="293">
        <f t="shared" si="150"/>
        <v>214091.38181044083</v>
      </c>
      <c r="FR86" s="293"/>
      <c r="FS86" s="293"/>
      <c r="FT86" s="294">
        <f>_xlfn.IFNA((VLOOKUP($A86,HN!$A:$M,8,FALSE)/12),0)</f>
        <v>0</v>
      </c>
      <c r="FU86" s="294">
        <f>_xlfn.IFNA((VLOOKUP($A86,HN!$A:$M,12,FALSE)/12),0)</f>
        <v>0</v>
      </c>
      <c r="FV86" s="294">
        <f>_xlfn.IFNA((VLOOKUP($A86,HN!$A:$M,9,FALSE)/12),0)</f>
        <v>0</v>
      </c>
      <c r="FW86" s="294">
        <f>_xlfn.IFNA((VLOOKUP($A86,'Post 16'!$A:$AG,33,FALSE)/8),0)</f>
        <v>0</v>
      </c>
      <c r="FX86" s="294"/>
      <c r="FY86" s="294">
        <f>_xlfn.IFNA(((VLOOKUP($A86,HN!$A:$M,10,FALSE)-$U86-$AK86)/10),0)</f>
        <v>4793.5469166666662</v>
      </c>
      <c r="FZ86" s="294">
        <f>_xlfn.IFNA(((VLOOKUP($A86,HN!$A:$M,13,FALSE)-$V86-$AL86)/10),0)</f>
        <v>0</v>
      </c>
      <c r="GA86" s="293">
        <f t="shared" si="151"/>
        <v>-805.09999999999991</v>
      </c>
      <c r="GB86" s="293">
        <f t="shared" si="152"/>
        <v>-3313.7422499999998</v>
      </c>
      <c r="GC86" s="294"/>
      <c r="GD86" s="294"/>
      <c r="GE86" s="294"/>
      <c r="GF86" s="293">
        <f t="shared" si="153"/>
        <v>214766.08647710748</v>
      </c>
      <c r="GG86" s="300">
        <f t="shared" si="154"/>
        <v>214091.38181044083</v>
      </c>
      <c r="GH86" s="300"/>
      <c r="GI86" s="300"/>
      <c r="GJ86" s="301">
        <f>_xlfn.IFNA((VLOOKUP($A86,HN!$A:$M,8,FALSE)/12),0)</f>
        <v>0</v>
      </c>
      <c r="GK86" s="301">
        <f>_xlfn.IFNA((VLOOKUP($A86,HN!$A:$M,12,FALSE)/12),0)</f>
        <v>0</v>
      </c>
      <c r="GL86" s="301">
        <f>_xlfn.IFNA((VLOOKUP($A86,HN!$A:$M,9,FALSE)/12),0)</f>
        <v>0</v>
      </c>
      <c r="GM86" s="301">
        <f>_xlfn.IFNA((VLOOKUP($A86,'Post 16'!$A:$AG,33,FALSE)/8),0)</f>
        <v>0</v>
      </c>
      <c r="GN86" s="301"/>
      <c r="GO86" s="301">
        <f>_xlfn.IFNA(((VLOOKUP($A86,HN!$A:$M,10,FALSE)-$U86-$AK86)/10),0)</f>
        <v>4793.5469166666662</v>
      </c>
      <c r="GP86" s="301">
        <f>_xlfn.IFNA(((VLOOKUP($A86,HN!$A:$M,13,FALSE)-$V86-$AL86)/10),0)</f>
        <v>0</v>
      </c>
      <c r="GQ86" s="300">
        <f t="shared" si="155"/>
        <v>-805.09999999999991</v>
      </c>
      <c r="GR86" s="300">
        <f t="shared" si="156"/>
        <v>-3313.7422499999998</v>
      </c>
      <c r="GS86" s="301"/>
      <c r="GT86" s="301"/>
      <c r="GU86" s="301"/>
      <c r="GV86" s="300">
        <f t="shared" si="157"/>
        <v>214766.08647710748</v>
      </c>
      <c r="GX86" s="146">
        <f t="shared" si="158"/>
        <v>2661027.1420577001</v>
      </c>
      <c r="GY86" s="146">
        <f t="shared" si="158"/>
        <v>0</v>
      </c>
      <c r="GZ86" s="146">
        <f t="shared" si="158"/>
        <v>56437.829999999994</v>
      </c>
      <c r="HA86" s="146">
        <f t="shared" si="158"/>
        <v>-9661.2000000000007</v>
      </c>
      <c r="HB86" s="146">
        <f t="shared" si="158"/>
        <v>-39764.907000000007</v>
      </c>
      <c r="HC86" s="146">
        <f t="shared" si="158"/>
        <v>0</v>
      </c>
      <c r="HE86" s="146">
        <f t="shared" si="159"/>
        <v>703125.34576373245</v>
      </c>
      <c r="HF86" s="146">
        <f t="shared" si="159"/>
        <v>0</v>
      </c>
      <c r="HG86" s="146">
        <f t="shared" si="159"/>
        <v>13295.90775</v>
      </c>
      <c r="HH86" s="146">
        <f t="shared" si="159"/>
        <v>-2415.2999999999997</v>
      </c>
      <c r="HI86" s="146">
        <f t="shared" si="159"/>
        <v>-9941.2267499999998</v>
      </c>
      <c r="HJ86" s="146">
        <f t="shared" si="159"/>
        <v>0</v>
      </c>
      <c r="HL86" s="146"/>
      <c r="HM86" s="57"/>
    </row>
    <row r="87" spans="1:221">
      <c r="A87" s="185">
        <v>3352</v>
      </c>
      <c r="B87" s="185">
        <v>103444</v>
      </c>
      <c r="C87" s="185" t="s">
        <v>197</v>
      </c>
      <c r="D87" s="2" t="s">
        <v>198</v>
      </c>
      <c r="E87" s="190" t="s">
        <v>39</v>
      </c>
      <c r="F87" s="190" t="s">
        <v>890</v>
      </c>
      <c r="H87" s="271">
        <f>_xlfn.IFNA(VLOOKUP($A87,ISB!$A$4:$BY$441,67,FALSE),0)</f>
        <v>809305.94113475655</v>
      </c>
      <c r="I87" s="271">
        <f>_xlfn.IFNA(VLOOKUP($A87,ISB!$A$4:$BY$441,72,FALSE),0)</f>
        <v>-2963.1</v>
      </c>
      <c r="J87" s="271">
        <f>-_xlfn.IFNA(VLOOKUP($A87,ISB!$A$4:$BY$441,76,FALSE),0)</f>
        <v>-4529.5726999999997</v>
      </c>
      <c r="K87" s="271">
        <f>_xlfn.IFNA(VLOOKUP($A87,ISB!$A$4:$BY$441,77,FALSE),0)</f>
        <v>801813.26843475655</v>
      </c>
      <c r="M87" s="279">
        <f t="shared" si="110"/>
        <v>67442.161761229712</v>
      </c>
      <c r="N87" s="279"/>
      <c r="O87" s="279">
        <f>_xlfn.IFNA(VLOOKUP($A87,EY!$A:$H,8,FALSE)+(VLOOKUP($A87,EY!$A:$R,18,FALSE)-$T87),0)</f>
        <v>6857.7600000000011</v>
      </c>
      <c r="P87" s="280">
        <f>_xlfn.IFNA((VLOOKUP($A87,HN!$A:$M,8,FALSE)/12),0)</f>
        <v>0</v>
      </c>
      <c r="Q87" s="280">
        <f>_xlfn.IFNA((VLOOKUP($A87,HN!$A:$M,12,FALSE)/12),0)</f>
        <v>0</v>
      </c>
      <c r="R87" s="280">
        <f>_xlfn.IFNA((VLOOKUP($A87,HN!$A:$M,9,FALSE)/12),0)</f>
        <v>0</v>
      </c>
      <c r="S87" s="280">
        <f>_xlfn.IFNA((VLOOKUP($A87,'Post 16'!$A:$AR,22,FALSE)/4),0)</f>
        <v>0</v>
      </c>
      <c r="T87" s="280">
        <f>_xlfn.IFNA((VLOOKUP($A87,EY!$A:$R,16,FALSE)*80%),0)</f>
        <v>0</v>
      </c>
      <c r="U87" s="280">
        <v>10116.083333333334</v>
      </c>
      <c r="V87" s="280">
        <v>0</v>
      </c>
      <c r="W87" s="279">
        <f t="shared" si="111"/>
        <v>-246.92499999999998</v>
      </c>
      <c r="X87" s="279">
        <f t="shared" si="112"/>
        <v>-377.46439166666664</v>
      </c>
      <c r="Y87" s="280"/>
      <c r="Z87" s="280"/>
      <c r="AA87" s="280"/>
      <c r="AB87" s="279">
        <f t="shared" si="113"/>
        <v>83791.615702896364</v>
      </c>
      <c r="AC87" s="293">
        <f t="shared" si="114"/>
        <v>67442.161761229712</v>
      </c>
      <c r="AD87" s="293"/>
      <c r="AE87" s="293"/>
      <c r="AF87" s="294">
        <f>_xlfn.IFNA((VLOOKUP($A87,HN!$A:$M,8,FALSE)/12),0)</f>
        <v>0</v>
      </c>
      <c r="AG87" s="294">
        <f>_xlfn.IFNA((VLOOKUP($A87,HN!$A:$M,12,FALSE)/12),0)+_xlfn.IFNA(VLOOKUP($A87,HN!$A:$Q,17,FALSE),0)</f>
        <v>0</v>
      </c>
      <c r="AH87" s="294">
        <f>_xlfn.IFNA((VLOOKUP($A87,HN!$A:$M,9,FALSE)/12),0)</f>
        <v>0</v>
      </c>
      <c r="AI87" s="294">
        <f>_xlfn.IFNA((VLOOKUP($A87,'Post 16'!$A:$AR,22,FALSE)/4),0)</f>
        <v>0</v>
      </c>
      <c r="AJ87" s="294"/>
      <c r="AK87" s="294">
        <f>_xlfn.IFNA((VLOOKUP($A87,HN!$A:$M,10,FALSE)/12),0)</f>
        <v>2102.1941666666667</v>
      </c>
      <c r="AL87" s="294">
        <f>_xlfn.IFNA((VLOOKUP($A87,HN!$A:$M,13,FALSE)/12),0)</f>
        <v>0</v>
      </c>
      <c r="AM87" s="293">
        <f t="shared" si="115"/>
        <v>-246.92499999999998</v>
      </c>
      <c r="AN87" s="293">
        <f t="shared" si="116"/>
        <v>-377.46439166666664</v>
      </c>
      <c r="AO87" s="294"/>
      <c r="AP87" s="294"/>
      <c r="AQ87" s="294"/>
      <c r="AR87" s="293">
        <f t="shared" si="117"/>
        <v>68919.966536229709</v>
      </c>
      <c r="AS87" s="286">
        <f t="shared" si="118"/>
        <v>67442.161761229712</v>
      </c>
      <c r="AT87" s="286"/>
      <c r="AU87" s="286">
        <f>_xlfn.IFNA(VLOOKUP(A87,EY!A:AO,40,FALSE),0)</f>
        <v>-9930.6609972299157</v>
      </c>
      <c r="AV87" s="287">
        <f>_xlfn.IFNA((VLOOKUP($A87,HN!$A:$M,8,FALSE)/12),0)</f>
        <v>0</v>
      </c>
      <c r="AW87" s="287">
        <f>_xlfn.IFNA((VLOOKUP($A87,HN!$A:$M,12,FALSE)/12),0)+_xlfn.IFNA(VLOOKUP($A87,HN!$A$8:$AU$200,19,FALSE),0)</f>
        <v>0</v>
      </c>
      <c r="AX87" s="287">
        <f>_xlfn.IFNA((VLOOKUP($A87,HN!$A:$M,9,FALSE)/12),0)</f>
        <v>0</v>
      </c>
      <c r="AY87" s="287">
        <f>_xlfn.IFNA((VLOOKUP($A87,'Post 16'!$A:$AR,22,FALSE)/4),0)</f>
        <v>0</v>
      </c>
      <c r="AZ87" s="287">
        <f>_xlfn.IFNA(VLOOKUP(A87,EY!A:AO,41,FALSE),0)</f>
        <v>0</v>
      </c>
      <c r="BA87" s="287">
        <f>_xlfn.IFNA(((VLOOKUP($A87,HN!$A:$M,10,FALSE)-$U87-$AK87)/10),0)+_xlfn.IFNA(VLOOKUP($A87,HN!$A:$R,18,FALSE),0)</f>
        <v>1300.8052500000001</v>
      </c>
      <c r="BB87" s="287">
        <f>_xlfn.IFNA(((VLOOKUP($A87,HN!$A:$M,13,FALSE)-$V87-$AL87)/10),0)+_xlfn.IFNA(VLOOKUP($A87,HN!$A$8:$AU$200,20,FALSE),0)</f>
        <v>0</v>
      </c>
      <c r="BC87" s="286">
        <f t="shared" si="119"/>
        <v>-246.92499999999998</v>
      </c>
      <c r="BD87" s="286">
        <f t="shared" si="120"/>
        <v>-377.46439166666664</v>
      </c>
      <c r="BE87" s="287"/>
      <c r="BF87" s="287"/>
      <c r="BG87" s="287"/>
      <c r="BH87" s="286">
        <f t="shared" si="121"/>
        <v>58187.916622333119</v>
      </c>
      <c r="BI87" s="307">
        <f t="shared" si="122"/>
        <v>67442.161761229712</v>
      </c>
      <c r="BJ87" s="307">
        <f>_xlfn.IFNA(VLOOKUP(A87,'LA Deductions'!A:AH,34,FALSE),0)</f>
        <v>0</v>
      </c>
      <c r="BK87" s="307"/>
      <c r="BL87" s="308">
        <f>_xlfn.IFNA((VLOOKUP($A87,HN!$A:$M,8,FALSE)/12),0)</f>
        <v>0</v>
      </c>
      <c r="BM87" s="308">
        <f>_xlfn.IFNA((VLOOKUP($A87,HN!$A:$M,12,FALSE)/12),0)</f>
        <v>0</v>
      </c>
      <c r="BN87" s="308">
        <f>_xlfn.IFNA((VLOOKUP($A87,HN!$A:$M,9,FALSE)/12),0)</f>
        <v>0</v>
      </c>
      <c r="BO87" s="308">
        <f>_xlfn.IFNA((VLOOKUP($A87,'Post 16'!$A:$AR,22,FALSE)/4),0)</f>
        <v>0</v>
      </c>
      <c r="BP87" s="308"/>
      <c r="BQ87" s="308">
        <f>_xlfn.IFNA(((VLOOKUP($A87,HN!$A:$M,10,FALSE)-$U87-$AK87)/10),0)</f>
        <v>1300.8052500000001</v>
      </c>
      <c r="BR87" s="308">
        <f>_xlfn.IFNA(((VLOOKUP($A87,HN!$A:$M,13,FALSE)-$V87-$AL87)/10),0)</f>
        <v>0</v>
      </c>
      <c r="BS87" s="307">
        <f t="shared" si="123"/>
        <v>-246.92499999999998</v>
      </c>
      <c r="BT87" s="307">
        <f t="shared" si="124"/>
        <v>-377.46439166666664</v>
      </c>
      <c r="BU87" s="308"/>
      <c r="BV87" s="308"/>
      <c r="BW87" s="308"/>
      <c r="BX87" s="307">
        <f t="shared" si="125"/>
        <v>68118.577619563046</v>
      </c>
      <c r="BY87" s="300">
        <f t="shared" si="126"/>
        <v>67442.161761229712</v>
      </c>
      <c r="BZ87" s="300"/>
      <c r="CA87" s="300"/>
      <c r="CB87" s="301">
        <f>_xlfn.IFNA((VLOOKUP($A87,HN!$A:$M,8,FALSE)/12),0)</f>
        <v>0</v>
      </c>
      <c r="CC87" s="301">
        <f>_xlfn.IFNA((VLOOKUP($A87,HN!$A:$M,12,FALSE)/12),0)</f>
        <v>0</v>
      </c>
      <c r="CD87" s="301">
        <f>_xlfn.IFNA((VLOOKUP($A87,HN!$A:$M,9,FALSE)/12),0)</f>
        <v>0</v>
      </c>
      <c r="CE87" s="301">
        <f>_xlfn.IFNA((VLOOKUP($A87,'Post 16'!$A:$AG,33,FALSE)/8),0)</f>
        <v>0</v>
      </c>
      <c r="CF87" s="301"/>
      <c r="CG87" s="301">
        <f>_xlfn.IFNA(((VLOOKUP($A87,HN!$A:$M,10,FALSE)-$U87-$AK87)/10),0)</f>
        <v>1300.8052500000001</v>
      </c>
      <c r="CH87" s="301">
        <f>_xlfn.IFNA(((VLOOKUP($A87,HN!$A:$M,13,FALSE)-$V87-$AL87)/10),0)</f>
        <v>0</v>
      </c>
      <c r="CI87" s="300">
        <f t="shared" si="127"/>
        <v>-246.92499999999998</v>
      </c>
      <c r="CJ87" s="300">
        <f t="shared" si="128"/>
        <v>-377.46439166666664</v>
      </c>
      <c r="CK87" s="301"/>
      <c r="CL87" s="301"/>
      <c r="CM87" s="301"/>
      <c r="CN87" s="300">
        <f t="shared" si="129"/>
        <v>68118.577619563046</v>
      </c>
      <c r="CO87" s="332">
        <f t="shared" si="130"/>
        <v>67442.161761229712</v>
      </c>
      <c r="CP87" s="332"/>
      <c r="CQ87" s="332">
        <f>_xlfn.IFNA((VLOOKUP($A87,EY!$A:$AB,28,FALSE)-$CV87),0)</f>
        <v>2964</v>
      </c>
      <c r="CR87" s="333">
        <f>_xlfn.IFNA((VLOOKUP($A87,HN!$A:$M,8,FALSE)/12),0)</f>
        <v>0</v>
      </c>
      <c r="CS87" s="333">
        <f>_xlfn.IFNA((VLOOKUP($A87,HN!$A:$M,12,FALSE)/12),0)</f>
        <v>0</v>
      </c>
      <c r="CT87" s="333">
        <f>_xlfn.IFNA((VLOOKUP($A87,HN!$A:$M,9,FALSE)/12),0)</f>
        <v>0</v>
      </c>
      <c r="CU87" s="333">
        <f>_xlfn.IFNA((VLOOKUP($A87,'Post 16'!$A:$AG,33,FALSE)/8),0)</f>
        <v>0</v>
      </c>
      <c r="CV87" s="333">
        <f>_xlfn.IFNA((VLOOKUP($A87,EY!$A:$AB,26,FALSE)*80%),0)</f>
        <v>0</v>
      </c>
      <c r="CW87" s="333">
        <f>_xlfn.IFNA(((VLOOKUP($A87,HN!$A:$M,10,FALSE)-$U87-$AK87)/10),0)</f>
        <v>1300.8052500000001</v>
      </c>
      <c r="CX87" s="333">
        <f>_xlfn.IFNA(((VLOOKUP($A87,HN!$A:$M,13,FALSE)-$V87-$AL87)/10),0)</f>
        <v>0</v>
      </c>
      <c r="CY87" s="332">
        <f t="shared" si="131"/>
        <v>-246.92499999999998</v>
      </c>
      <c r="CZ87" s="332">
        <f t="shared" si="132"/>
        <v>-377.46439166666664</v>
      </c>
      <c r="DA87" s="333"/>
      <c r="DB87" s="333"/>
      <c r="DC87" s="333"/>
      <c r="DD87" s="332">
        <f t="shared" si="133"/>
        <v>71082.577619563046</v>
      </c>
      <c r="DE87" s="314">
        <f t="shared" si="134"/>
        <v>67442.161761229712</v>
      </c>
      <c r="DF87" s="314"/>
      <c r="DG87" s="314"/>
      <c r="DH87" s="315">
        <f>_xlfn.IFNA((VLOOKUP($A87,HN!$A:$M,8,FALSE)/12),0)</f>
        <v>0</v>
      </c>
      <c r="DI87" s="315">
        <f>_xlfn.IFNA((VLOOKUP($A87,HN!$A:$M,12,FALSE)/12),0)</f>
        <v>0</v>
      </c>
      <c r="DJ87" s="315">
        <f>_xlfn.IFNA((VLOOKUP($A87,HN!$A:$M,9,FALSE)/12),0)</f>
        <v>0</v>
      </c>
      <c r="DK87" s="315">
        <f>_xlfn.IFNA((VLOOKUP($A87,'Post 16'!$A:$AG,33,FALSE)/8),0)</f>
        <v>0</v>
      </c>
      <c r="DL87" s="315"/>
      <c r="DM87" s="315">
        <f>_xlfn.IFNA(((VLOOKUP($A87,HN!$A:$M,10,FALSE)-$U87-$AK87)/10),0)</f>
        <v>1300.8052500000001</v>
      </c>
      <c r="DN87" s="315">
        <f>_xlfn.IFNA(((VLOOKUP($A87,HN!$A:$M,13,FALSE)-$V87-$AL87)/10),0)</f>
        <v>0</v>
      </c>
      <c r="DO87" s="314">
        <f t="shared" si="135"/>
        <v>-246.92499999999998</v>
      </c>
      <c r="DP87" s="314">
        <f t="shared" si="136"/>
        <v>-377.46439166666664</v>
      </c>
      <c r="DQ87" s="315"/>
      <c r="DR87" s="315"/>
      <c r="DS87" s="315"/>
      <c r="DT87" s="314">
        <f t="shared" si="137"/>
        <v>68118.577619563046</v>
      </c>
      <c r="DU87" s="307">
        <f t="shared" si="138"/>
        <v>67442.161761229712</v>
      </c>
      <c r="DV87" s="307"/>
      <c r="DW87" s="307"/>
      <c r="DX87" s="308">
        <f>_xlfn.IFNA((VLOOKUP($A87,HN!$A:$M,8,FALSE)/12),0)</f>
        <v>0</v>
      </c>
      <c r="DY87" s="308">
        <f>_xlfn.IFNA((VLOOKUP($A87,HN!$A:$M,12,FALSE)/12),0)</f>
        <v>0</v>
      </c>
      <c r="DZ87" s="308">
        <f>_xlfn.IFNA((VLOOKUP($A87,HN!$A:$M,9,FALSE)/12),0)</f>
        <v>0</v>
      </c>
      <c r="EA87" s="308">
        <f>_xlfn.IFNA((VLOOKUP($A87,'Post 16'!$A:$AG,33,FALSE)/8),0)</f>
        <v>0</v>
      </c>
      <c r="EB87" s="308"/>
      <c r="EC87" s="308">
        <f>_xlfn.IFNA(((VLOOKUP($A87,HN!$A:$M,10,FALSE)-$U87-$AK87)/10),0)</f>
        <v>1300.8052500000001</v>
      </c>
      <c r="ED87" s="308">
        <f>_xlfn.IFNA(((VLOOKUP($A87,HN!$A:$M,13,FALSE)-$V87-$AL87)/10),0)</f>
        <v>0</v>
      </c>
      <c r="EE87" s="307">
        <f t="shared" si="139"/>
        <v>-246.92499999999998</v>
      </c>
      <c r="EF87" s="307">
        <f t="shared" si="140"/>
        <v>-377.46439166666664</v>
      </c>
      <c r="EG87" s="308"/>
      <c r="EH87" s="308"/>
      <c r="EI87" s="308"/>
      <c r="EJ87" s="307">
        <f t="shared" si="141"/>
        <v>68118.577619563046</v>
      </c>
      <c r="EK87" s="320">
        <f t="shared" si="142"/>
        <v>67442.161761229712</v>
      </c>
      <c r="EL87" s="320"/>
      <c r="EM87" s="320"/>
      <c r="EN87" s="321">
        <f>_xlfn.IFNA((VLOOKUP($A87,HN!$A:$M,8,FALSE)/12),0)</f>
        <v>0</v>
      </c>
      <c r="EO87" s="321">
        <f>_xlfn.IFNA((VLOOKUP($A87,HN!$A:$M,12,FALSE)/12),0)</f>
        <v>0</v>
      </c>
      <c r="EP87" s="321">
        <f>_xlfn.IFNA((VLOOKUP($A87,HN!$A:$M,9,FALSE)/12),0)</f>
        <v>0</v>
      </c>
      <c r="EQ87" s="321">
        <f>_xlfn.IFNA((VLOOKUP($A87,'Post 16'!$A:$AG,33,FALSE)/8),0)</f>
        <v>0</v>
      </c>
      <c r="ER87" s="321"/>
      <c r="ES87" s="321">
        <f>_xlfn.IFNA(((VLOOKUP($A87,HN!$A:$M,10,FALSE)-$U87-$AK87)/10),0)</f>
        <v>1300.8052500000001</v>
      </c>
      <c r="ET87" s="321">
        <f>_xlfn.IFNA(((VLOOKUP($A87,HN!$A:$M,13,FALSE)-$V87-$AL87)/10),0)</f>
        <v>0</v>
      </c>
      <c r="EU87" s="320">
        <f t="shared" si="143"/>
        <v>-246.92499999999998</v>
      </c>
      <c r="EV87" s="320">
        <f t="shared" si="144"/>
        <v>-377.46439166666664</v>
      </c>
      <c r="EW87" s="321"/>
      <c r="EX87" s="321"/>
      <c r="EY87" s="321"/>
      <c r="EZ87" s="320">
        <f t="shared" si="145"/>
        <v>68118.577619563046</v>
      </c>
      <c r="FA87" s="286">
        <f t="shared" si="146"/>
        <v>67442.161761229712</v>
      </c>
      <c r="FB87" s="286"/>
      <c r="FC87" s="286"/>
      <c r="FD87" s="287">
        <f>_xlfn.IFNA((VLOOKUP($A87,HN!$A:$M,8,FALSE)/12),0)</f>
        <v>0</v>
      </c>
      <c r="FE87" s="287">
        <f>_xlfn.IFNA((VLOOKUP($A87,HN!$A:$M,12,FALSE)/12),0)</f>
        <v>0</v>
      </c>
      <c r="FF87" s="287">
        <f>_xlfn.IFNA((VLOOKUP($A87,HN!$A:$M,9,FALSE)/12),0)</f>
        <v>0</v>
      </c>
      <c r="FG87" s="287">
        <f>_xlfn.IFNA((VLOOKUP($A87,'Post 16'!$A:$AG,33,FALSE)/8),0)</f>
        <v>0</v>
      </c>
      <c r="FH87" s="287"/>
      <c r="FI87" s="287">
        <f>_xlfn.IFNA(((VLOOKUP($A87,HN!$A:$M,10,FALSE)-$U87-$AK87)/10),0)</f>
        <v>1300.8052500000001</v>
      </c>
      <c r="FJ87" s="287">
        <f>_xlfn.IFNA(((VLOOKUP($A87,HN!$A:$M,13,FALSE)-$V87-$AL87)/10),0)</f>
        <v>0</v>
      </c>
      <c r="FK87" s="286">
        <f t="shared" si="147"/>
        <v>-246.92499999999998</v>
      </c>
      <c r="FL87" s="286">
        <f t="shared" si="148"/>
        <v>-377.46439166666664</v>
      </c>
      <c r="FM87" s="287"/>
      <c r="FN87" s="287"/>
      <c r="FO87" s="287"/>
      <c r="FP87" s="286">
        <f t="shared" si="149"/>
        <v>68118.577619563046</v>
      </c>
      <c r="FQ87" s="293">
        <f t="shared" si="150"/>
        <v>67442.161761229712</v>
      </c>
      <c r="FR87" s="293"/>
      <c r="FS87" s="293"/>
      <c r="FT87" s="294">
        <f>_xlfn.IFNA((VLOOKUP($A87,HN!$A:$M,8,FALSE)/12),0)</f>
        <v>0</v>
      </c>
      <c r="FU87" s="294">
        <f>_xlfn.IFNA((VLOOKUP($A87,HN!$A:$M,12,FALSE)/12),0)</f>
        <v>0</v>
      </c>
      <c r="FV87" s="294">
        <f>_xlfn.IFNA((VLOOKUP($A87,HN!$A:$M,9,FALSE)/12),0)</f>
        <v>0</v>
      </c>
      <c r="FW87" s="294">
        <f>_xlfn.IFNA((VLOOKUP($A87,'Post 16'!$A:$AG,33,FALSE)/8),0)</f>
        <v>0</v>
      </c>
      <c r="FX87" s="294"/>
      <c r="FY87" s="294">
        <f>_xlfn.IFNA(((VLOOKUP($A87,HN!$A:$M,10,FALSE)-$U87-$AK87)/10),0)</f>
        <v>1300.8052500000001</v>
      </c>
      <c r="FZ87" s="294">
        <f>_xlfn.IFNA(((VLOOKUP($A87,HN!$A:$M,13,FALSE)-$V87-$AL87)/10),0)</f>
        <v>0</v>
      </c>
      <c r="GA87" s="293">
        <f t="shared" si="151"/>
        <v>-246.92499999999998</v>
      </c>
      <c r="GB87" s="293">
        <f t="shared" si="152"/>
        <v>-377.46439166666664</v>
      </c>
      <c r="GC87" s="294"/>
      <c r="GD87" s="294"/>
      <c r="GE87" s="294"/>
      <c r="GF87" s="293">
        <f t="shared" si="153"/>
        <v>68118.577619563046</v>
      </c>
      <c r="GG87" s="300">
        <f t="shared" si="154"/>
        <v>67442.161761229712</v>
      </c>
      <c r="GH87" s="300"/>
      <c r="GI87" s="300"/>
      <c r="GJ87" s="301">
        <f>_xlfn.IFNA((VLOOKUP($A87,HN!$A:$M,8,FALSE)/12),0)</f>
        <v>0</v>
      </c>
      <c r="GK87" s="301">
        <f>_xlfn.IFNA((VLOOKUP($A87,HN!$A:$M,12,FALSE)/12),0)</f>
        <v>0</v>
      </c>
      <c r="GL87" s="301">
        <f>_xlfn.IFNA((VLOOKUP($A87,HN!$A:$M,9,FALSE)/12),0)</f>
        <v>0</v>
      </c>
      <c r="GM87" s="301">
        <f>_xlfn.IFNA((VLOOKUP($A87,'Post 16'!$A:$AG,33,FALSE)/8),0)</f>
        <v>0</v>
      </c>
      <c r="GN87" s="301"/>
      <c r="GO87" s="301">
        <f>_xlfn.IFNA(((VLOOKUP($A87,HN!$A:$M,10,FALSE)-$U87-$AK87)/10),0)</f>
        <v>1300.8052500000001</v>
      </c>
      <c r="GP87" s="301">
        <f>_xlfn.IFNA(((VLOOKUP($A87,HN!$A:$M,13,FALSE)-$V87-$AL87)/10),0)</f>
        <v>0</v>
      </c>
      <c r="GQ87" s="300">
        <f t="shared" si="155"/>
        <v>-246.92499999999998</v>
      </c>
      <c r="GR87" s="300">
        <f t="shared" si="156"/>
        <v>-377.46439166666664</v>
      </c>
      <c r="GS87" s="301"/>
      <c r="GT87" s="301"/>
      <c r="GU87" s="301"/>
      <c r="GV87" s="300">
        <f t="shared" si="157"/>
        <v>68118.577619563046</v>
      </c>
      <c r="GX87" s="146">
        <f t="shared" si="158"/>
        <v>809197.04013752681</v>
      </c>
      <c r="GY87" s="146">
        <f t="shared" si="158"/>
        <v>0</v>
      </c>
      <c r="GZ87" s="146">
        <f t="shared" si="158"/>
        <v>25226.330000000005</v>
      </c>
      <c r="HA87" s="146">
        <f t="shared" si="158"/>
        <v>-2963.1000000000004</v>
      </c>
      <c r="HB87" s="146">
        <f t="shared" si="158"/>
        <v>-4529.5726999999988</v>
      </c>
      <c r="HC87" s="146">
        <f t="shared" si="158"/>
        <v>0</v>
      </c>
      <c r="HE87" s="146">
        <f t="shared" si="159"/>
        <v>199253.58428645923</v>
      </c>
      <c r="HF87" s="146">
        <f t="shared" si="159"/>
        <v>0</v>
      </c>
      <c r="HG87" s="146">
        <f t="shared" si="159"/>
        <v>13519.08275</v>
      </c>
      <c r="HH87" s="146">
        <f t="shared" si="159"/>
        <v>-740.77499999999998</v>
      </c>
      <c r="HI87" s="146">
        <f t="shared" si="159"/>
        <v>-1132.3931749999999</v>
      </c>
      <c r="HJ87" s="146">
        <f t="shared" si="159"/>
        <v>0</v>
      </c>
      <c r="HL87" s="146"/>
      <c r="HM87" s="57"/>
    </row>
    <row r="88" spans="1:221">
      <c r="A88" s="185">
        <v>2005</v>
      </c>
      <c r="B88" s="185">
        <v>134098</v>
      </c>
      <c r="C88" s="185" t="s">
        <v>199</v>
      </c>
      <c r="D88" s="2" t="s">
        <v>200</v>
      </c>
      <c r="E88" s="190" t="s">
        <v>39</v>
      </c>
      <c r="F88" s="190" t="s">
        <v>890</v>
      </c>
      <c r="H88" s="271">
        <f>_xlfn.IFNA(VLOOKUP($A88,ISB!$A$4:$BY$441,67,FALSE),0)</f>
        <v>3281308.012664225</v>
      </c>
      <c r="I88" s="271">
        <f>_xlfn.IFNA(VLOOKUP($A88,ISB!$A$4:$BY$441,72,FALSE),0)</f>
        <v>-15388.199999999999</v>
      </c>
      <c r="J88" s="271">
        <f>-_xlfn.IFNA(VLOOKUP($A88,ISB!$A$4:$BY$441,76,FALSE),0)</f>
        <v>-68580.057000000001</v>
      </c>
      <c r="K88" s="271">
        <f>_xlfn.IFNA(VLOOKUP($A88,ISB!$A$4:$BY$441,77,FALSE),0)</f>
        <v>3197339.7556642247</v>
      </c>
      <c r="M88" s="279">
        <f t="shared" si="110"/>
        <v>273442.33438868541</v>
      </c>
      <c r="N88" s="279"/>
      <c r="O88" s="279">
        <f>_xlfn.IFNA(VLOOKUP($A88,EY!$A:$H,8,FALSE)+(VLOOKUP($A88,EY!$A:$R,18,FALSE)-$T88),0)</f>
        <v>43328.068378947377</v>
      </c>
      <c r="P88" s="280">
        <f>_xlfn.IFNA((VLOOKUP($A88,HN!$A:$M,8,FALSE)/12),0)</f>
        <v>0</v>
      </c>
      <c r="Q88" s="280">
        <f>_xlfn.IFNA((VLOOKUP($A88,HN!$A:$M,12,FALSE)/12),0)</f>
        <v>0</v>
      </c>
      <c r="R88" s="280">
        <f>_xlfn.IFNA((VLOOKUP($A88,HN!$A:$M,9,FALSE)/12),0)</f>
        <v>0</v>
      </c>
      <c r="S88" s="280">
        <f>_xlfn.IFNA((VLOOKUP($A88,'Post 16'!$A:$AR,22,FALSE)/4),0)</f>
        <v>0</v>
      </c>
      <c r="T88" s="280">
        <f>_xlfn.IFNA((VLOOKUP($A88,EY!$A:$R,16,FALSE)*80%),0)</f>
        <v>0</v>
      </c>
      <c r="U88" s="280">
        <v>0</v>
      </c>
      <c r="V88" s="280">
        <v>13144.175000000001</v>
      </c>
      <c r="W88" s="279">
        <f t="shared" si="111"/>
        <v>-1282.3499999999999</v>
      </c>
      <c r="X88" s="279">
        <f t="shared" si="112"/>
        <v>-5715.0047500000001</v>
      </c>
      <c r="Y88" s="280"/>
      <c r="Z88" s="280"/>
      <c r="AA88" s="280"/>
      <c r="AB88" s="279">
        <f t="shared" si="113"/>
        <v>322917.22301763279</v>
      </c>
      <c r="AC88" s="293">
        <f t="shared" si="114"/>
        <v>273442.33438868541</v>
      </c>
      <c r="AD88" s="293"/>
      <c r="AE88" s="293"/>
      <c r="AF88" s="294">
        <f>_xlfn.IFNA((VLOOKUP($A88,HN!$A:$M,8,FALSE)/12),0)</f>
        <v>0</v>
      </c>
      <c r="AG88" s="294">
        <f>_xlfn.IFNA((VLOOKUP($A88,HN!$A:$M,12,FALSE)/12),0)+_xlfn.IFNA(VLOOKUP($A88,HN!$A:$Q,17,FALSE),0)</f>
        <v>-4000</v>
      </c>
      <c r="AH88" s="294">
        <f>_xlfn.IFNA((VLOOKUP($A88,HN!$A:$M,9,FALSE)/12),0)</f>
        <v>0</v>
      </c>
      <c r="AI88" s="294">
        <f>_xlfn.IFNA((VLOOKUP($A88,'Post 16'!$A:$AR,22,FALSE)/4),0)</f>
        <v>0</v>
      </c>
      <c r="AJ88" s="294"/>
      <c r="AK88" s="294">
        <f>_xlfn.IFNA((VLOOKUP($A88,HN!$A:$M,10,FALSE)/12),0)</f>
        <v>0</v>
      </c>
      <c r="AL88" s="294">
        <f>_xlfn.IFNA((VLOOKUP($A88,HN!$A:$M,13,FALSE)/12),0)</f>
        <v>12076.536666666667</v>
      </c>
      <c r="AM88" s="293">
        <f t="shared" si="115"/>
        <v>-1282.3499999999999</v>
      </c>
      <c r="AN88" s="293">
        <f t="shared" si="116"/>
        <v>-5715.0047500000001</v>
      </c>
      <c r="AO88" s="294"/>
      <c r="AP88" s="294"/>
      <c r="AQ88" s="294"/>
      <c r="AR88" s="293">
        <f t="shared" si="117"/>
        <v>274521.5163053521</v>
      </c>
      <c r="AS88" s="286">
        <f t="shared" si="118"/>
        <v>273442.33438868541</v>
      </c>
      <c r="AT88" s="286"/>
      <c r="AU88" s="286">
        <f>_xlfn.IFNA(VLOOKUP(A88,EY!A:AO,40,FALSE),0)</f>
        <v>-6034.6574803324092</v>
      </c>
      <c r="AV88" s="287">
        <f>_xlfn.IFNA((VLOOKUP($A88,HN!$A:$M,8,FALSE)/12),0)</f>
        <v>0</v>
      </c>
      <c r="AW88" s="287">
        <f>_xlfn.IFNA((VLOOKUP($A88,HN!$A:$M,12,FALSE)/12),0)+_xlfn.IFNA(VLOOKUP($A88,HN!$A$8:$AU$200,19,FALSE),0)</f>
        <v>0</v>
      </c>
      <c r="AX88" s="287">
        <f>_xlfn.IFNA((VLOOKUP($A88,HN!$A:$M,9,FALSE)/12),0)</f>
        <v>0</v>
      </c>
      <c r="AY88" s="287">
        <f>_xlfn.IFNA((VLOOKUP($A88,'Post 16'!$A:$AR,22,FALSE)/4),0)</f>
        <v>0</v>
      </c>
      <c r="AZ88" s="287">
        <f>_xlfn.IFNA(VLOOKUP(A88,EY!A:AO,41,FALSE),0)</f>
        <v>0</v>
      </c>
      <c r="BA88" s="287">
        <f>_xlfn.IFNA(((VLOOKUP($A88,HN!$A:$M,10,FALSE)-$U88-$AK88)/10),0)+_xlfn.IFNA(VLOOKUP($A88,HN!$A:$R,18,FALSE),0)</f>
        <v>0</v>
      </c>
      <c r="BB88" s="287">
        <f>_xlfn.IFNA(((VLOOKUP($A88,HN!$A:$M,13,FALSE)-$V88-$AL88)/10),0)+_xlfn.IFNA(VLOOKUP($A88,HN!$A$8:$AU$200,20,FALSE),0)</f>
        <v>11969.772833333334</v>
      </c>
      <c r="BC88" s="286">
        <f t="shared" si="119"/>
        <v>-1282.3499999999999</v>
      </c>
      <c r="BD88" s="286">
        <f t="shared" si="120"/>
        <v>-5715.0047500000001</v>
      </c>
      <c r="BE88" s="287"/>
      <c r="BF88" s="287"/>
      <c r="BG88" s="287"/>
      <c r="BH88" s="286">
        <f t="shared" si="121"/>
        <v>272380.09499168635</v>
      </c>
      <c r="BI88" s="307">
        <f t="shared" si="122"/>
        <v>273442.33438868541</v>
      </c>
      <c r="BJ88" s="307">
        <f>_xlfn.IFNA(VLOOKUP(A88,'LA Deductions'!A:AH,34,FALSE),0)</f>
        <v>0</v>
      </c>
      <c r="BK88" s="307"/>
      <c r="BL88" s="308">
        <f>_xlfn.IFNA((VLOOKUP($A88,HN!$A:$M,8,FALSE)/12),0)</f>
        <v>0</v>
      </c>
      <c r="BM88" s="308">
        <f>_xlfn.IFNA((VLOOKUP($A88,HN!$A:$M,12,FALSE)/12),0)</f>
        <v>0</v>
      </c>
      <c r="BN88" s="308">
        <f>_xlfn.IFNA((VLOOKUP($A88,HN!$A:$M,9,FALSE)/12),0)</f>
        <v>0</v>
      </c>
      <c r="BO88" s="308">
        <f>_xlfn.IFNA((VLOOKUP($A88,'Post 16'!$A:$AR,22,FALSE)/4),0)</f>
        <v>0</v>
      </c>
      <c r="BP88" s="308"/>
      <c r="BQ88" s="308">
        <f>_xlfn.IFNA(((VLOOKUP($A88,HN!$A:$M,10,FALSE)-$U88-$AK88)/10),0)</f>
        <v>0</v>
      </c>
      <c r="BR88" s="308">
        <f>_xlfn.IFNA(((VLOOKUP($A88,HN!$A:$M,13,FALSE)-$V88-$AL88)/10),0)</f>
        <v>11969.772833333334</v>
      </c>
      <c r="BS88" s="307">
        <f t="shared" si="123"/>
        <v>-1282.3499999999999</v>
      </c>
      <c r="BT88" s="307">
        <f t="shared" si="124"/>
        <v>-5715.0047500000001</v>
      </c>
      <c r="BU88" s="308"/>
      <c r="BV88" s="308"/>
      <c r="BW88" s="308"/>
      <c r="BX88" s="307">
        <f t="shared" si="125"/>
        <v>278414.75247201876</v>
      </c>
      <c r="BY88" s="300">
        <f t="shared" si="126"/>
        <v>273442.33438868541</v>
      </c>
      <c r="BZ88" s="300"/>
      <c r="CA88" s="300"/>
      <c r="CB88" s="301">
        <f>_xlfn.IFNA((VLOOKUP($A88,HN!$A:$M,8,FALSE)/12),0)</f>
        <v>0</v>
      </c>
      <c r="CC88" s="301">
        <f>_xlfn.IFNA((VLOOKUP($A88,HN!$A:$M,12,FALSE)/12),0)</f>
        <v>0</v>
      </c>
      <c r="CD88" s="301">
        <f>_xlfn.IFNA((VLOOKUP($A88,HN!$A:$M,9,FALSE)/12),0)</f>
        <v>0</v>
      </c>
      <c r="CE88" s="301">
        <f>_xlfn.IFNA((VLOOKUP($A88,'Post 16'!$A:$AG,33,FALSE)/8),0)</f>
        <v>0</v>
      </c>
      <c r="CF88" s="301"/>
      <c r="CG88" s="301">
        <f>_xlfn.IFNA(((VLOOKUP($A88,HN!$A:$M,10,FALSE)-$U88-$AK88)/10),0)</f>
        <v>0</v>
      </c>
      <c r="CH88" s="301">
        <f>_xlfn.IFNA(((VLOOKUP($A88,HN!$A:$M,13,FALSE)-$V88-$AL88)/10),0)</f>
        <v>11969.772833333334</v>
      </c>
      <c r="CI88" s="300">
        <f t="shared" si="127"/>
        <v>-1282.3499999999999</v>
      </c>
      <c r="CJ88" s="300">
        <f t="shared" si="128"/>
        <v>-5715.0047500000001</v>
      </c>
      <c r="CK88" s="301"/>
      <c r="CL88" s="301"/>
      <c r="CM88" s="301"/>
      <c r="CN88" s="300">
        <f t="shared" si="129"/>
        <v>278414.75247201876</v>
      </c>
      <c r="CO88" s="332">
        <f t="shared" si="130"/>
        <v>273442.33438868541</v>
      </c>
      <c r="CP88" s="332"/>
      <c r="CQ88" s="332">
        <f>_xlfn.IFNA((VLOOKUP($A88,EY!$A:$AB,28,FALSE)-$CV88),0)</f>
        <v>23081.968000000004</v>
      </c>
      <c r="CR88" s="333">
        <f>_xlfn.IFNA((VLOOKUP($A88,HN!$A:$M,8,FALSE)/12),0)</f>
        <v>0</v>
      </c>
      <c r="CS88" s="333">
        <f>_xlfn.IFNA((VLOOKUP($A88,HN!$A:$M,12,FALSE)/12),0)</f>
        <v>0</v>
      </c>
      <c r="CT88" s="333">
        <f>_xlfn.IFNA((VLOOKUP($A88,HN!$A:$M,9,FALSE)/12),0)</f>
        <v>0</v>
      </c>
      <c r="CU88" s="333">
        <f>_xlfn.IFNA((VLOOKUP($A88,'Post 16'!$A:$AG,33,FALSE)/8),0)</f>
        <v>0</v>
      </c>
      <c r="CV88" s="333">
        <f>_xlfn.IFNA((VLOOKUP($A88,EY!$A:$AB,26,FALSE)*80%),0)</f>
        <v>0</v>
      </c>
      <c r="CW88" s="333">
        <f>_xlfn.IFNA(((VLOOKUP($A88,HN!$A:$M,10,FALSE)-$U88-$AK88)/10),0)</f>
        <v>0</v>
      </c>
      <c r="CX88" s="333">
        <f>_xlfn.IFNA(((VLOOKUP($A88,HN!$A:$M,13,FALSE)-$V88-$AL88)/10),0)</f>
        <v>11969.772833333334</v>
      </c>
      <c r="CY88" s="332">
        <f t="shared" si="131"/>
        <v>-1282.3499999999999</v>
      </c>
      <c r="CZ88" s="332">
        <f t="shared" si="132"/>
        <v>-5715.0047500000001</v>
      </c>
      <c r="DA88" s="333"/>
      <c r="DB88" s="333"/>
      <c r="DC88" s="333"/>
      <c r="DD88" s="332">
        <f t="shared" si="133"/>
        <v>301496.72047201876</v>
      </c>
      <c r="DE88" s="314">
        <f t="shared" si="134"/>
        <v>273442.33438868541</v>
      </c>
      <c r="DF88" s="314"/>
      <c r="DG88" s="314"/>
      <c r="DH88" s="315">
        <f>_xlfn.IFNA((VLOOKUP($A88,HN!$A:$M,8,FALSE)/12),0)</f>
        <v>0</v>
      </c>
      <c r="DI88" s="315">
        <f>_xlfn.IFNA((VLOOKUP($A88,HN!$A:$M,12,FALSE)/12),0)</f>
        <v>0</v>
      </c>
      <c r="DJ88" s="315">
        <f>_xlfn.IFNA((VLOOKUP($A88,HN!$A:$M,9,FALSE)/12),0)</f>
        <v>0</v>
      </c>
      <c r="DK88" s="315">
        <f>_xlfn.IFNA((VLOOKUP($A88,'Post 16'!$A:$AG,33,FALSE)/8),0)</f>
        <v>0</v>
      </c>
      <c r="DL88" s="315"/>
      <c r="DM88" s="315">
        <f>_xlfn.IFNA(((VLOOKUP($A88,HN!$A:$M,10,FALSE)-$U88-$AK88)/10),0)</f>
        <v>0</v>
      </c>
      <c r="DN88" s="315">
        <f>_xlfn.IFNA(((VLOOKUP($A88,HN!$A:$M,13,FALSE)-$V88-$AL88)/10),0)</f>
        <v>11969.772833333334</v>
      </c>
      <c r="DO88" s="314">
        <f t="shared" si="135"/>
        <v>-1282.3499999999999</v>
      </c>
      <c r="DP88" s="314">
        <f t="shared" si="136"/>
        <v>-5715.0047500000001</v>
      </c>
      <c r="DQ88" s="315"/>
      <c r="DR88" s="315"/>
      <c r="DS88" s="315"/>
      <c r="DT88" s="314">
        <f t="shared" si="137"/>
        <v>278414.75247201876</v>
      </c>
      <c r="DU88" s="307">
        <f t="shared" si="138"/>
        <v>273442.33438868541</v>
      </c>
      <c r="DV88" s="307"/>
      <c r="DW88" s="307"/>
      <c r="DX88" s="308">
        <f>_xlfn.IFNA((VLOOKUP($A88,HN!$A:$M,8,FALSE)/12),0)</f>
        <v>0</v>
      </c>
      <c r="DY88" s="308">
        <f>_xlfn.IFNA((VLOOKUP($A88,HN!$A:$M,12,FALSE)/12),0)</f>
        <v>0</v>
      </c>
      <c r="DZ88" s="308">
        <f>_xlfn.IFNA((VLOOKUP($A88,HN!$A:$M,9,FALSE)/12),0)</f>
        <v>0</v>
      </c>
      <c r="EA88" s="308">
        <f>_xlfn.IFNA((VLOOKUP($A88,'Post 16'!$A:$AG,33,FALSE)/8),0)</f>
        <v>0</v>
      </c>
      <c r="EB88" s="308"/>
      <c r="EC88" s="308">
        <f>_xlfn.IFNA(((VLOOKUP($A88,HN!$A:$M,10,FALSE)-$U88-$AK88)/10),0)</f>
        <v>0</v>
      </c>
      <c r="ED88" s="308">
        <f>_xlfn.IFNA(((VLOOKUP($A88,HN!$A:$M,13,FALSE)-$V88-$AL88)/10),0)</f>
        <v>11969.772833333334</v>
      </c>
      <c r="EE88" s="307">
        <f t="shared" si="139"/>
        <v>-1282.3499999999999</v>
      </c>
      <c r="EF88" s="307">
        <f t="shared" si="140"/>
        <v>-5715.0047500000001</v>
      </c>
      <c r="EG88" s="308"/>
      <c r="EH88" s="308"/>
      <c r="EI88" s="308"/>
      <c r="EJ88" s="307">
        <f t="shared" si="141"/>
        <v>278414.75247201876</v>
      </c>
      <c r="EK88" s="320">
        <f t="shared" si="142"/>
        <v>273442.33438868541</v>
      </c>
      <c r="EL88" s="320"/>
      <c r="EM88" s="320"/>
      <c r="EN88" s="321">
        <f>_xlfn.IFNA((VLOOKUP($A88,HN!$A:$M,8,FALSE)/12),0)</f>
        <v>0</v>
      </c>
      <c r="EO88" s="321">
        <f>_xlfn.IFNA((VLOOKUP($A88,HN!$A:$M,12,FALSE)/12),0)</f>
        <v>0</v>
      </c>
      <c r="EP88" s="321">
        <f>_xlfn.IFNA((VLOOKUP($A88,HN!$A:$M,9,FALSE)/12),0)</f>
        <v>0</v>
      </c>
      <c r="EQ88" s="321">
        <f>_xlfn.IFNA((VLOOKUP($A88,'Post 16'!$A:$AG,33,FALSE)/8),0)</f>
        <v>0</v>
      </c>
      <c r="ER88" s="321"/>
      <c r="ES88" s="321">
        <f>_xlfn.IFNA(((VLOOKUP($A88,HN!$A:$M,10,FALSE)-$U88-$AK88)/10),0)</f>
        <v>0</v>
      </c>
      <c r="ET88" s="321">
        <f>_xlfn.IFNA(((VLOOKUP($A88,HN!$A:$M,13,FALSE)-$V88-$AL88)/10),0)</f>
        <v>11969.772833333334</v>
      </c>
      <c r="EU88" s="320">
        <f t="shared" si="143"/>
        <v>-1282.3499999999999</v>
      </c>
      <c r="EV88" s="320">
        <f t="shared" si="144"/>
        <v>-5715.0047500000001</v>
      </c>
      <c r="EW88" s="321"/>
      <c r="EX88" s="321"/>
      <c r="EY88" s="321"/>
      <c r="EZ88" s="320">
        <f t="shared" si="145"/>
        <v>278414.75247201876</v>
      </c>
      <c r="FA88" s="286">
        <f t="shared" si="146"/>
        <v>273442.33438868541</v>
      </c>
      <c r="FB88" s="286"/>
      <c r="FC88" s="286"/>
      <c r="FD88" s="287">
        <f>_xlfn.IFNA((VLOOKUP($A88,HN!$A:$M,8,FALSE)/12),0)</f>
        <v>0</v>
      </c>
      <c r="FE88" s="287">
        <f>_xlfn.IFNA((VLOOKUP($A88,HN!$A:$M,12,FALSE)/12),0)</f>
        <v>0</v>
      </c>
      <c r="FF88" s="287">
        <f>_xlfn.IFNA((VLOOKUP($A88,HN!$A:$M,9,FALSE)/12),0)</f>
        <v>0</v>
      </c>
      <c r="FG88" s="287">
        <f>_xlfn.IFNA((VLOOKUP($A88,'Post 16'!$A:$AG,33,FALSE)/8),0)</f>
        <v>0</v>
      </c>
      <c r="FH88" s="287"/>
      <c r="FI88" s="287">
        <f>_xlfn.IFNA(((VLOOKUP($A88,HN!$A:$M,10,FALSE)-$U88-$AK88)/10),0)</f>
        <v>0</v>
      </c>
      <c r="FJ88" s="287">
        <f>_xlfn.IFNA(((VLOOKUP($A88,HN!$A:$M,13,FALSE)-$V88-$AL88)/10),0)</f>
        <v>11969.772833333334</v>
      </c>
      <c r="FK88" s="286">
        <f t="shared" si="147"/>
        <v>-1282.3499999999999</v>
      </c>
      <c r="FL88" s="286">
        <f t="shared" si="148"/>
        <v>-5715.0047500000001</v>
      </c>
      <c r="FM88" s="287"/>
      <c r="FN88" s="287"/>
      <c r="FO88" s="287"/>
      <c r="FP88" s="286">
        <f t="shared" si="149"/>
        <v>278414.75247201876</v>
      </c>
      <c r="FQ88" s="293">
        <f t="shared" si="150"/>
        <v>273442.33438868541</v>
      </c>
      <c r="FR88" s="293"/>
      <c r="FS88" s="293"/>
      <c r="FT88" s="294">
        <f>_xlfn.IFNA((VLOOKUP($A88,HN!$A:$M,8,FALSE)/12),0)</f>
        <v>0</v>
      </c>
      <c r="FU88" s="294">
        <f>_xlfn.IFNA((VLOOKUP($A88,HN!$A:$M,12,FALSE)/12),0)</f>
        <v>0</v>
      </c>
      <c r="FV88" s="294">
        <f>_xlfn.IFNA((VLOOKUP($A88,HN!$A:$M,9,FALSE)/12),0)</f>
        <v>0</v>
      </c>
      <c r="FW88" s="294">
        <f>_xlfn.IFNA((VLOOKUP($A88,'Post 16'!$A:$AG,33,FALSE)/8),0)</f>
        <v>0</v>
      </c>
      <c r="FX88" s="294"/>
      <c r="FY88" s="294">
        <f>_xlfn.IFNA(((VLOOKUP($A88,HN!$A:$M,10,FALSE)-$U88-$AK88)/10),0)</f>
        <v>0</v>
      </c>
      <c r="FZ88" s="294">
        <f>_xlfn.IFNA(((VLOOKUP($A88,HN!$A:$M,13,FALSE)-$V88-$AL88)/10),0)</f>
        <v>11969.772833333334</v>
      </c>
      <c r="GA88" s="293">
        <f t="shared" si="151"/>
        <v>-1282.3499999999999</v>
      </c>
      <c r="GB88" s="293">
        <f t="shared" si="152"/>
        <v>-5715.0047500000001</v>
      </c>
      <c r="GC88" s="294"/>
      <c r="GD88" s="294"/>
      <c r="GE88" s="294"/>
      <c r="GF88" s="293">
        <f t="shared" si="153"/>
        <v>278414.75247201876</v>
      </c>
      <c r="GG88" s="300">
        <f t="shared" si="154"/>
        <v>273442.33438868541</v>
      </c>
      <c r="GH88" s="300"/>
      <c r="GI88" s="300"/>
      <c r="GJ88" s="301">
        <f>_xlfn.IFNA((VLOOKUP($A88,HN!$A:$M,8,FALSE)/12),0)</f>
        <v>0</v>
      </c>
      <c r="GK88" s="301">
        <f>_xlfn.IFNA((VLOOKUP($A88,HN!$A:$M,12,FALSE)/12),0)</f>
        <v>0</v>
      </c>
      <c r="GL88" s="301">
        <f>_xlfn.IFNA((VLOOKUP($A88,HN!$A:$M,9,FALSE)/12),0)</f>
        <v>0</v>
      </c>
      <c r="GM88" s="301">
        <f>_xlfn.IFNA((VLOOKUP($A88,'Post 16'!$A:$AG,33,FALSE)/8),0)</f>
        <v>0</v>
      </c>
      <c r="GN88" s="301"/>
      <c r="GO88" s="301">
        <f>_xlfn.IFNA(((VLOOKUP($A88,HN!$A:$M,10,FALSE)-$U88-$AK88)/10),0)</f>
        <v>0</v>
      </c>
      <c r="GP88" s="301">
        <f>_xlfn.IFNA(((VLOOKUP($A88,HN!$A:$M,13,FALSE)-$V88-$AL88)/10),0)</f>
        <v>11969.772833333334</v>
      </c>
      <c r="GQ88" s="300">
        <f t="shared" si="155"/>
        <v>-1282.3499999999999</v>
      </c>
      <c r="GR88" s="300">
        <f t="shared" si="156"/>
        <v>-5715.0047500000001</v>
      </c>
      <c r="GS88" s="301"/>
      <c r="GT88" s="301"/>
      <c r="GU88" s="301"/>
      <c r="GV88" s="300">
        <f t="shared" si="157"/>
        <v>278414.75247201876</v>
      </c>
      <c r="GX88" s="146">
        <f t="shared" ref="GX88:HC97" si="160">SUMIFS($M88:$GV88,$M$7:$GV$7,GX$7)</f>
        <v>3337683.39156284</v>
      </c>
      <c r="GY88" s="146">
        <f t="shared" si="160"/>
        <v>0</v>
      </c>
      <c r="GZ88" s="146">
        <f t="shared" si="160"/>
        <v>144918.44</v>
      </c>
      <c r="HA88" s="146">
        <f t="shared" si="160"/>
        <v>-15388.200000000003</v>
      </c>
      <c r="HB88" s="146">
        <f t="shared" si="160"/>
        <v>-68580.057000000001</v>
      </c>
      <c r="HC88" s="146">
        <f t="shared" si="160"/>
        <v>0</v>
      </c>
      <c r="HE88" s="146">
        <f t="shared" ref="HE88:HJ97" si="161">SUMIFS($M88:$GV88,$M$7:$GV$7,HE$7,$M$4:$GV$4,$HE$6)</f>
        <v>853620.41406467126</v>
      </c>
      <c r="HF88" s="146">
        <f t="shared" si="161"/>
        <v>0</v>
      </c>
      <c r="HG88" s="146">
        <f t="shared" si="161"/>
        <v>37190.484500000006</v>
      </c>
      <c r="HH88" s="146">
        <f t="shared" si="161"/>
        <v>-3847.0499999999997</v>
      </c>
      <c r="HI88" s="146">
        <f t="shared" si="161"/>
        <v>-17145.01425</v>
      </c>
      <c r="HJ88" s="146">
        <f t="shared" si="161"/>
        <v>0</v>
      </c>
      <c r="HL88" s="146"/>
      <c r="HM88" s="57"/>
    </row>
    <row r="89" spans="1:221">
      <c r="A89" s="185">
        <v>4063</v>
      </c>
      <c r="B89" s="185">
        <v>103486</v>
      </c>
      <c r="C89" s="185" t="s">
        <v>201</v>
      </c>
      <c r="D89" s="2" t="s">
        <v>202</v>
      </c>
      <c r="E89" s="190" t="s">
        <v>71</v>
      </c>
      <c r="F89" s="190" t="s">
        <v>890</v>
      </c>
      <c r="H89" s="271">
        <f>_xlfn.IFNA(VLOOKUP($A89,ISB!$A$4:$BY$441,67,FALSE),0)</f>
        <v>6894052.4095026925</v>
      </c>
      <c r="I89" s="271">
        <f>_xlfn.IFNA(VLOOKUP($A89,ISB!$A$4:$BY$441,72,FALSE),0)</f>
        <v>-15502.5</v>
      </c>
      <c r="J89" s="271">
        <f>-_xlfn.IFNA(VLOOKUP($A89,ISB!$A$4:$BY$441,76,FALSE),0)</f>
        <v>-110650.17600000001</v>
      </c>
      <c r="K89" s="271">
        <f>_xlfn.IFNA(VLOOKUP($A89,ISB!$A$4:$BY$441,77,FALSE),0)</f>
        <v>6767899.7335026925</v>
      </c>
      <c r="M89" s="279">
        <f t="shared" si="110"/>
        <v>574504.36745855771</v>
      </c>
      <c r="N89" s="279"/>
      <c r="O89" s="279">
        <f>_xlfn.IFNA(VLOOKUP($A89,EY!$A:$H,8,FALSE)+(VLOOKUP($A89,EY!$A:$R,18,FALSE)-$T89),0)</f>
        <v>0</v>
      </c>
      <c r="P89" s="280">
        <f>_xlfn.IFNA((VLOOKUP($A89,HN!$A:$M,8,FALSE)/12),0)</f>
        <v>0</v>
      </c>
      <c r="Q89" s="280">
        <f>_xlfn.IFNA((VLOOKUP($A89,HN!$A:$M,12,FALSE)/12),0)</f>
        <v>0</v>
      </c>
      <c r="R89" s="280">
        <f>_xlfn.IFNA((VLOOKUP($A89,HN!$A:$M,9,FALSE)/12),0)</f>
        <v>0</v>
      </c>
      <c r="S89" s="280">
        <f>_xlfn.IFNA((VLOOKUP($A89,'Post 16'!$A:$AR,22,FALSE)/4),0)</f>
        <v>0</v>
      </c>
      <c r="T89" s="280">
        <f>_xlfn.IFNA((VLOOKUP($A89,EY!$A:$R,16,FALSE)*80%),0)</f>
        <v>0</v>
      </c>
      <c r="U89" s="280">
        <v>25048.4375</v>
      </c>
      <c r="V89" s="280">
        <v>0</v>
      </c>
      <c r="W89" s="279">
        <f t="shared" si="111"/>
        <v>-1291.875</v>
      </c>
      <c r="X89" s="279">
        <f t="shared" si="112"/>
        <v>-9220.848</v>
      </c>
      <c r="Y89" s="280"/>
      <c r="Z89" s="280"/>
      <c r="AA89" s="280"/>
      <c r="AB89" s="279">
        <f t="shared" si="113"/>
        <v>589040.08195855771</v>
      </c>
      <c r="AC89" s="293">
        <f t="shared" si="114"/>
        <v>574504.36745855771</v>
      </c>
      <c r="AD89" s="293"/>
      <c r="AE89" s="293"/>
      <c r="AF89" s="294">
        <f>_xlfn.IFNA((VLOOKUP($A89,HN!$A:$M,8,FALSE)/12),0)</f>
        <v>0</v>
      </c>
      <c r="AG89" s="294">
        <f>_xlfn.IFNA((VLOOKUP($A89,HN!$A:$M,12,FALSE)/12),0)+_xlfn.IFNA(VLOOKUP($A89,HN!$A:$Q,17,FALSE),0)</f>
        <v>0</v>
      </c>
      <c r="AH89" s="294">
        <f>_xlfn.IFNA((VLOOKUP($A89,HN!$A:$M,9,FALSE)/12),0)</f>
        <v>0</v>
      </c>
      <c r="AI89" s="294">
        <f>_xlfn.IFNA((VLOOKUP($A89,'Post 16'!$A:$AR,22,FALSE)/4),0)</f>
        <v>0</v>
      </c>
      <c r="AJ89" s="294"/>
      <c r="AK89" s="294">
        <f>_xlfn.IFNA((VLOOKUP($A89,HN!$A:$M,10,FALSE)/12),0)</f>
        <v>14421.486666666666</v>
      </c>
      <c r="AL89" s="294">
        <f>_xlfn.IFNA((VLOOKUP($A89,HN!$A:$M,13,FALSE)/12),0)</f>
        <v>0</v>
      </c>
      <c r="AM89" s="293">
        <f t="shared" si="115"/>
        <v>-1291.875</v>
      </c>
      <c r="AN89" s="293">
        <f t="shared" si="116"/>
        <v>-9220.848</v>
      </c>
      <c r="AO89" s="294"/>
      <c r="AP89" s="294"/>
      <c r="AQ89" s="294"/>
      <c r="AR89" s="293">
        <f t="shared" si="117"/>
        <v>578413.1311252244</v>
      </c>
      <c r="AS89" s="286">
        <f t="shared" si="118"/>
        <v>574504.36745855771</v>
      </c>
      <c r="AT89" s="286"/>
      <c r="AU89" s="286">
        <f>_xlfn.IFNA(VLOOKUP(A89,EY!A:AO,40,FALSE),0)</f>
        <v>0</v>
      </c>
      <c r="AV89" s="287">
        <f>_xlfn.IFNA((VLOOKUP($A89,HN!$A:$M,8,FALSE)/12),0)</f>
        <v>0</v>
      </c>
      <c r="AW89" s="287">
        <f>_xlfn.IFNA((VLOOKUP($A89,HN!$A:$M,12,FALSE)/12),0)+_xlfn.IFNA(VLOOKUP($A89,HN!$A$8:$AU$200,19,FALSE),0)</f>
        <v>0</v>
      </c>
      <c r="AX89" s="287">
        <f>_xlfn.IFNA((VLOOKUP($A89,HN!$A:$M,9,FALSE)/12),0)</f>
        <v>0</v>
      </c>
      <c r="AY89" s="287">
        <f>_xlfn.IFNA((VLOOKUP($A89,'Post 16'!$A:$AR,22,FALSE)/4),0)</f>
        <v>0</v>
      </c>
      <c r="AZ89" s="287">
        <f>_xlfn.IFNA(VLOOKUP(A89,EY!A:AO,41,FALSE),0)</f>
        <v>0</v>
      </c>
      <c r="BA89" s="287">
        <f>_xlfn.IFNA(((VLOOKUP($A89,HN!$A:$M,10,FALSE)-$U89-$AK89)/10),0)+_xlfn.IFNA(VLOOKUP($A89,HN!$A:$R,18,FALSE),0)</f>
        <v>13358.791583333334</v>
      </c>
      <c r="BB89" s="287">
        <f>_xlfn.IFNA(((VLOOKUP($A89,HN!$A:$M,13,FALSE)-$V89-$AL89)/10),0)+_xlfn.IFNA(VLOOKUP($A89,HN!$A$8:$AU$200,20,FALSE),0)</f>
        <v>0</v>
      </c>
      <c r="BC89" s="286">
        <f t="shared" si="119"/>
        <v>-1291.875</v>
      </c>
      <c r="BD89" s="286">
        <f t="shared" si="120"/>
        <v>-9220.848</v>
      </c>
      <c r="BE89" s="287"/>
      <c r="BF89" s="287"/>
      <c r="BG89" s="287"/>
      <c r="BH89" s="286">
        <f t="shared" si="121"/>
        <v>577350.43604189099</v>
      </c>
      <c r="BI89" s="307">
        <f t="shared" si="122"/>
        <v>574504.36745855771</v>
      </c>
      <c r="BJ89" s="307">
        <f>_xlfn.IFNA(VLOOKUP(A89,'LA Deductions'!A:AH,34,FALSE),0)</f>
        <v>0</v>
      </c>
      <c r="BK89" s="307"/>
      <c r="BL89" s="308">
        <f>_xlfn.IFNA((VLOOKUP($A89,HN!$A:$M,8,FALSE)/12),0)</f>
        <v>0</v>
      </c>
      <c r="BM89" s="308">
        <f>_xlfn.IFNA((VLOOKUP($A89,HN!$A:$M,12,FALSE)/12),0)</f>
        <v>0</v>
      </c>
      <c r="BN89" s="308">
        <f>_xlfn.IFNA((VLOOKUP($A89,HN!$A:$M,9,FALSE)/12),0)</f>
        <v>0</v>
      </c>
      <c r="BO89" s="308">
        <f>_xlfn.IFNA((VLOOKUP($A89,'Post 16'!$A:$AR,22,FALSE)/4),0)</f>
        <v>0</v>
      </c>
      <c r="BP89" s="308"/>
      <c r="BQ89" s="308">
        <f>_xlfn.IFNA(((VLOOKUP($A89,HN!$A:$M,10,FALSE)-$U89-$AK89)/10),0)</f>
        <v>13358.791583333334</v>
      </c>
      <c r="BR89" s="308">
        <f>_xlfn.IFNA(((VLOOKUP($A89,HN!$A:$M,13,FALSE)-$V89-$AL89)/10),0)</f>
        <v>0</v>
      </c>
      <c r="BS89" s="307">
        <f t="shared" si="123"/>
        <v>-1291.875</v>
      </c>
      <c r="BT89" s="307">
        <f t="shared" si="124"/>
        <v>-9220.848</v>
      </c>
      <c r="BU89" s="308"/>
      <c r="BV89" s="308"/>
      <c r="BW89" s="308"/>
      <c r="BX89" s="307">
        <f t="shared" si="125"/>
        <v>577350.43604189099</v>
      </c>
      <c r="BY89" s="300">
        <f t="shared" si="126"/>
        <v>574504.36745855771</v>
      </c>
      <c r="BZ89" s="300"/>
      <c r="CA89" s="300"/>
      <c r="CB89" s="301">
        <f>_xlfn.IFNA((VLOOKUP($A89,HN!$A:$M,8,FALSE)/12),0)</f>
        <v>0</v>
      </c>
      <c r="CC89" s="301">
        <f>_xlfn.IFNA((VLOOKUP($A89,HN!$A:$M,12,FALSE)/12),0)</f>
        <v>0</v>
      </c>
      <c r="CD89" s="301">
        <f>_xlfn.IFNA((VLOOKUP($A89,HN!$A:$M,9,FALSE)/12),0)</f>
        <v>0</v>
      </c>
      <c r="CE89" s="301">
        <f>_xlfn.IFNA((VLOOKUP($A89,'Post 16'!$A:$AG,33,FALSE)/8),0)</f>
        <v>0</v>
      </c>
      <c r="CF89" s="301"/>
      <c r="CG89" s="301">
        <f>_xlfn.IFNA(((VLOOKUP($A89,HN!$A:$M,10,FALSE)-$U89-$AK89)/10),0)</f>
        <v>13358.791583333334</v>
      </c>
      <c r="CH89" s="301">
        <f>_xlfn.IFNA(((VLOOKUP($A89,HN!$A:$M,13,FALSE)-$V89-$AL89)/10),0)</f>
        <v>0</v>
      </c>
      <c r="CI89" s="300">
        <f t="shared" si="127"/>
        <v>-1291.875</v>
      </c>
      <c r="CJ89" s="300">
        <f t="shared" si="128"/>
        <v>-9220.848</v>
      </c>
      <c r="CK89" s="301"/>
      <c r="CL89" s="301"/>
      <c r="CM89" s="301"/>
      <c r="CN89" s="300">
        <f t="shared" si="129"/>
        <v>577350.43604189099</v>
      </c>
      <c r="CO89" s="332">
        <f t="shared" si="130"/>
        <v>574504.36745855771</v>
      </c>
      <c r="CP89" s="332"/>
      <c r="CQ89" s="332">
        <f>_xlfn.IFNA((VLOOKUP($A89,EY!$A:$AB,28,FALSE)-$CV89),0)</f>
        <v>0</v>
      </c>
      <c r="CR89" s="333">
        <f>_xlfn.IFNA((VLOOKUP($A89,HN!$A:$M,8,FALSE)/12),0)</f>
        <v>0</v>
      </c>
      <c r="CS89" s="333">
        <f>_xlfn.IFNA((VLOOKUP($A89,HN!$A:$M,12,FALSE)/12),0)</f>
        <v>0</v>
      </c>
      <c r="CT89" s="333">
        <f>_xlfn.IFNA((VLOOKUP($A89,HN!$A:$M,9,FALSE)/12),0)</f>
        <v>0</v>
      </c>
      <c r="CU89" s="333">
        <f>_xlfn.IFNA((VLOOKUP($A89,'Post 16'!$A:$AG,33,FALSE)/8),0)</f>
        <v>0</v>
      </c>
      <c r="CV89" s="333">
        <f>_xlfn.IFNA((VLOOKUP($A89,EY!$A:$AB,26,FALSE)*80%),0)</f>
        <v>0</v>
      </c>
      <c r="CW89" s="333">
        <f>_xlfn.IFNA(((VLOOKUP($A89,HN!$A:$M,10,FALSE)-$U89-$AK89)/10),0)</f>
        <v>13358.791583333334</v>
      </c>
      <c r="CX89" s="333">
        <f>_xlfn.IFNA(((VLOOKUP($A89,HN!$A:$M,13,FALSE)-$V89-$AL89)/10),0)</f>
        <v>0</v>
      </c>
      <c r="CY89" s="332">
        <f t="shared" si="131"/>
        <v>-1291.875</v>
      </c>
      <c r="CZ89" s="332">
        <f t="shared" si="132"/>
        <v>-9220.848</v>
      </c>
      <c r="DA89" s="333"/>
      <c r="DB89" s="333"/>
      <c r="DC89" s="333"/>
      <c r="DD89" s="332">
        <f t="shared" si="133"/>
        <v>577350.43604189099</v>
      </c>
      <c r="DE89" s="314">
        <f t="shared" si="134"/>
        <v>574504.36745855771</v>
      </c>
      <c r="DF89" s="314"/>
      <c r="DG89" s="314"/>
      <c r="DH89" s="315">
        <f>_xlfn.IFNA((VLOOKUP($A89,HN!$A:$M,8,FALSE)/12),0)</f>
        <v>0</v>
      </c>
      <c r="DI89" s="315">
        <f>_xlfn.IFNA((VLOOKUP($A89,HN!$A:$M,12,FALSE)/12),0)</f>
        <v>0</v>
      </c>
      <c r="DJ89" s="315">
        <f>_xlfn.IFNA((VLOOKUP($A89,HN!$A:$M,9,FALSE)/12),0)</f>
        <v>0</v>
      </c>
      <c r="DK89" s="315">
        <f>_xlfn.IFNA((VLOOKUP($A89,'Post 16'!$A:$AG,33,FALSE)/8),0)</f>
        <v>0</v>
      </c>
      <c r="DL89" s="315"/>
      <c r="DM89" s="315">
        <f>_xlfn.IFNA(((VLOOKUP($A89,HN!$A:$M,10,FALSE)-$U89-$AK89)/10),0)</f>
        <v>13358.791583333334</v>
      </c>
      <c r="DN89" s="315">
        <f>_xlfn.IFNA(((VLOOKUP($A89,HN!$A:$M,13,FALSE)-$V89-$AL89)/10),0)</f>
        <v>0</v>
      </c>
      <c r="DO89" s="314">
        <f t="shared" si="135"/>
        <v>-1291.875</v>
      </c>
      <c r="DP89" s="314">
        <f t="shared" si="136"/>
        <v>-9220.848</v>
      </c>
      <c r="DQ89" s="315"/>
      <c r="DR89" s="315"/>
      <c r="DS89" s="315"/>
      <c r="DT89" s="314">
        <f t="shared" si="137"/>
        <v>577350.43604189099</v>
      </c>
      <c r="DU89" s="307">
        <f t="shared" si="138"/>
        <v>574504.36745855771</v>
      </c>
      <c r="DV89" s="307"/>
      <c r="DW89" s="307"/>
      <c r="DX89" s="308">
        <f>_xlfn.IFNA((VLOOKUP($A89,HN!$A:$M,8,FALSE)/12),0)</f>
        <v>0</v>
      </c>
      <c r="DY89" s="308">
        <f>_xlfn.IFNA((VLOOKUP($A89,HN!$A:$M,12,FALSE)/12),0)</f>
        <v>0</v>
      </c>
      <c r="DZ89" s="308">
        <f>_xlfn.IFNA((VLOOKUP($A89,HN!$A:$M,9,FALSE)/12),0)</f>
        <v>0</v>
      </c>
      <c r="EA89" s="308">
        <f>_xlfn.IFNA((VLOOKUP($A89,'Post 16'!$A:$AG,33,FALSE)/8),0)</f>
        <v>0</v>
      </c>
      <c r="EB89" s="308"/>
      <c r="EC89" s="308">
        <f>_xlfn.IFNA(((VLOOKUP($A89,HN!$A:$M,10,FALSE)-$U89-$AK89)/10),0)</f>
        <v>13358.791583333334</v>
      </c>
      <c r="ED89" s="308">
        <f>_xlfn.IFNA(((VLOOKUP($A89,HN!$A:$M,13,FALSE)-$V89-$AL89)/10),0)</f>
        <v>0</v>
      </c>
      <c r="EE89" s="307">
        <f t="shared" si="139"/>
        <v>-1291.875</v>
      </c>
      <c r="EF89" s="307">
        <f t="shared" si="140"/>
        <v>-9220.848</v>
      </c>
      <c r="EG89" s="308"/>
      <c r="EH89" s="308"/>
      <c r="EI89" s="308"/>
      <c r="EJ89" s="307">
        <f t="shared" si="141"/>
        <v>577350.43604189099</v>
      </c>
      <c r="EK89" s="320">
        <f t="shared" si="142"/>
        <v>574504.36745855771</v>
      </c>
      <c r="EL89" s="320"/>
      <c r="EM89" s="320"/>
      <c r="EN89" s="321">
        <f>_xlfn.IFNA((VLOOKUP($A89,HN!$A:$M,8,FALSE)/12),0)</f>
        <v>0</v>
      </c>
      <c r="EO89" s="321">
        <f>_xlfn.IFNA((VLOOKUP($A89,HN!$A:$M,12,FALSE)/12),0)</f>
        <v>0</v>
      </c>
      <c r="EP89" s="321">
        <f>_xlfn.IFNA((VLOOKUP($A89,HN!$A:$M,9,FALSE)/12),0)</f>
        <v>0</v>
      </c>
      <c r="EQ89" s="321">
        <f>_xlfn.IFNA((VLOOKUP($A89,'Post 16'!$A:$AG,33,FALSE)/8),0)</f>
        <v>0</v>
      </c>
      <c r="ER89" s="321"/>
      <c r="ES89" s="321">
        <f>_xlfn.IFNA(((VLOOKUP($A89,HN!$A:$M,10,FALSE)-$U89-$AK89)/10),0)</f>
        <v>13358.791583333334</v>
      </c>
      <c r="ET89" s="321">
        <f>_xlfn.IFNA(((VLOOKUP($A89,HN!$A:$M,13,FALSE)-$V89-$AL89)/10),0)</f>
        <v>0</v>
      </c>
      <c r="EU89" s="320">
        <f t="shared" si="143"/>
        <v>-1291.875</v>
      </c>
      <c r="EV89" s="320">
        <f t="shared" si="144"/>
        <v>-9220.848</v>
      </c>
      <c r="EW89" s="321"/>
      <c r="EX89" s="321"/>
      <c r="EY89" s="321"/>
      <c r="EZ89" s="320">
        <f t="shared" si="145"/>
        <v>577350.43604189099</v>
      </c>
      <c r="FA89" s="286">
        <f t="shared" si="146"/>
        <v>574504.36745855771</v>
      </c>
      <c r="FB89" s="286"/>
      <c r="FC89" s="286"/>
      <c r="FD89" s="287">
        <f>_xlfn.IFNA((VLOOKUP($A89,HN!$A:$M,8,FALSE)/12),0)</f>
        <v>0</v>
      </c>
      <c r="FE89" s="287">
        <f>_xlfn.IFNA((VLOOKUP($A89,HN!$A:$M,12,FALSE)/12),0)</f>
        <v>0</v>
      </c>
      <c r="FF89" s="287">
        <f>_xlfn.IFNA((VLOOKUP($A89,HN!$A:$M,9,FALSE)/12),0)</f>
        <v>0</v>
      </c>
      <c r="FG89" s="287">
        <f>_xlfn.IFNA((VLOOKUP($A89,'Post 16'!$A:$AG,33,FALSE)/8),0)</f>
        <v>0</v>
      </c>
      <c r="FH89" s="287"/>
      <c r="FI89" s="287">
        <f>_xlfn.IFNA(((VLOOKUP($A89,HN!$A:$M,10,FALSE)-$U89-$AK89)/10),0)</f>
        <v>13358.791583333334</v>
      </c>
      <c r="FJ89" s="287">
        <f>_xlfn.IFNA(((VLOOKUP($A89,HN!$A:$M,13,FALSE)-$V89-$AL89)/10),0)</f>
        <v>0</v>
      </c>
      <c r="FK89" s="286">
        <f t="shared" si="147"/>
        <v>-1291.875</v>
      </c>
      <c r="FL89" s="286">
        <f t="shared" si="148"/>
        <v>-9220.848</v>
      </c>
      <c r="FM89" s="287"/>
      <c r="FN89" s="287"/>
      <c r="FO89" s="287"/>
      <c r="FP89" s="286">
        <f t="shared" si="149"/>
        <v>577350.43604189099</v>
      </c>
      <c r="FQ89" s="293">
        <f t="shared" si="150"/>
        <v>574504.36745855771</v>
      </c>
      <c r="FR89" s="293"/>
      <c r="FS89" s="293"/>
      <c r="FT89" s="294">
        <f>_xlfn.IFNA((VLOOKUP($A89,HN!$A:$M,8,FALSE)/12),0)</f>
        <v>0</v>
      </c>
      <c r="FU89" s="294">
        <f>_xlfn.IFNA((VLOOKUP($A89,HN!$A:$M,12,FALSE)/12),0)</f>
        <v>0</v>
      </c>
      <c r="FV89" s="294">
        <f>_xlfn.IFNA((VLOOKUP($A89,HN!$A:$M,9,FALSE)/12),0)</f>
        <v>0</v>
      </c>
      <c r="FW89" s="294">
        <f>_xlfn.IFNA((VLOOKUP($A89,'Post 16'!$A:$AG,33,FALSE)/8),0)</f>
        <v>0</v>
      </c>
      <c r="FX89" s="294"/>
      <c r="FY89" s="294">
        <f>_xlfn.IFNA(((VLOOKUP($A89,HN!$A:$M,10,FALSE)-$U89-$AK89)/10),0)</f>
        <v>13358.791583333334</v>
      </c>
      <c r="FZ89" s="294">
        <f>_xlfn.IFNA(((VLOOKUP($A89,HN!$A:$M,13,FALSE)-$V89-$AL89)/10),0)</f>
        <v>0</v>
      </c>
      <c r="GA89" s="293">
        <f t="shared" si="151"/>
        <v>-1291.875</v>
      </c>
      <c r="GB89" s="293">
        <f t="shared" si="152"/>
        <v>-9220.848</v>
      </c>
      <c r="GC89" s="294"/>
      <c r="GD89" s="294"/>
      <c r="GE89" s="294"/>
      <c r="GF89" s="293">
        <f t="shared" si="153"/>
        <v>577350.43604189099</v>
      </c>
      <c r="GG89" s="300">
        <f t="shared" si="154"/>
        <v>574504.36745855771</v>
      </c>
      <c r="GH89" s="300"/>
      <c r="GI89" s="300"/>
      <c r="GJ89" s="301">
        <f>_xlfn.IFNA((VLOOKUP($A89,HN!$A:$M,8,FALSE)/12),0)</f>
        <v>0</v>
      </c>
      <c r="GK89" s="301">
        <f>_xlfn.IFNA((VLOOKUP($A89,HN!$A:$M,12,FALSE)/12),0)</f>
        <v>0</v>
      </c>
      <c r="GL89" s="301">
        <f>_xlfn.IFNA((VLOOKUP($A89,HN!$A:$M,9,FALSE)/12),0)</f>
        <v>0</v>
      </c>
      <c r="GM89" s="301">
        <f>_xlfn.IFNA((VLOOKUP($A89,'Post 16'!$A:$AG,33,FALSE)/8),0)</f>
        <v>0</v>
      </c>
      <c r="GN89" s="301"/>
      <c r="GO89" s="301">
        <f>_xlfn.IFNA(((VLOOKUP($A89,HN!$A:$M,10,FALSE)-$U89-$AK89)/10),0)</f>
        <v>13358.791583333334</v>
      </c>
      <c r="GP89" s="301">
        <f>_xlfn.IFNA(((VLOOKUP($A89,HN!$A:$M,13,FALSE)-$V89-$AL89)/10),0)</f>
        <v>0</v>
      </c>
      <c r="GQ89" s="300">
        <f t="shared" si="155"/>
        <v>-1291.875</v>
      </c>
      <c r="GR89" s="300">
        <f t="shared" si="156"/>
        <v>-9220.848</v>
      </c>
      <c r="GS89" s="301"/>
      <c r="GT89" s="301"/>
      <c r="GU89" s="301"/>
      <c r="GV89" s="300">
        <f t="shared" si="157"/>
        <v>577350.43604189099</v>
      </c>
      <c r="GX89" s="146">
        <f t="shared" si="160"/>
        <v>6894052.4095026925</v>
      </c>
      <c r="GY89" s="146">
        <f t="shared" si="160"/>
        <v>0</v>
      </c>
      <c r="GZ89" s="146">
        <f t="shared" si="160"/>
        <v>173057.84000000003</v>
      </c>
      <c r="HA89" s="146">
        <f t="shared" si="160"/>
        <v>-15502.5</v>
      </c>
      <c r="HB89" s="146">
        <f t="shared" si="160"/>
        <v>-110650.17599999999</v>
      </c>
      <c r="HC89" s="146">
        <f t="shared" si="160"/>
        <v>0</v>
      </c>
      <c r="HE89" s="146">
        <f t="shared" si="161"/>
        <v>1723513.1023756731</v>
      </c>
      <c r="HF89" s="146">
        <f t="shared" si="161"/>
        <v>0</v>
      </c>
      <c r="HG89" s="146">
        <f t="shared" si="161"/>
        <v>52828.715749999996</v>
      </c>
      <c r="HH89" s="146">
        <f t="shared" si="161"/>
        <v>-3875.625</v>
      </c>
      <c r="HI89" s="146">
        <f t="shared" si="161"/>
        <v>-27662.544000000002</v>
      </c>
      <c r="HJ89" s="146">
        <f t="shared" si="161"/>
        <v>0</v>
      </c>
      <c r="HL89" s="146"/>
      <c r="HM89" s="57"/>
    </row>
    <row r="90" spans="1:221">
      <c r="A90" s="185">
        <v>1016</v>
      </c>
      <c r="B90" s="185">
        <v>103129</v>
      </c>
      <c r="C90" s="185" t="s">
        <v>203</v>
      </c>
      <c r="D90" s="2" t="s">
        <v>204</v>
      </c>
      <c r="E90" s="190" t="s">
        <v>36</v>
      </c>
      <c r="F90" s="190" t="s">
        <v>890</v>
      </c>
      <c r="H90" s="271">
        <f>_xlfn.IFNA(VLOOKUP($A90,ISB!$A$4:$BY$441,67,FALSE),0)</f>
        <v>0</v>
      </c>
      <c r="I90" s="271">
        <f>_xlfn.IFNA(VLOOKUP($A90,ISB!$A$4:$BY$441,72,FALSE),0)</f>
        <v>0</v>
      </c>
      <c r="J90" s="271">
        <f>-_xlfn.IFNA(VLOOKUP($A90,ISB!$A$4:$BY$441,76,FALSE),0)</f>
        <v>0</v>
      </c>
      <c r="K90" s="271">
        <f>_xlfn.IFNA(VLOOKUP($A90,ISB!$A$4:$BY$441,77,FALSE),0)</f>
        <v>0</v>
      </c>
      <c r="M90" s="279">
        <f t="shared" si="110"/>
        <v>0</v>
      </c>
      <c r="N90" s="279"/>
      <c r="O90" s="279">
        <f>_xlfn.IFNA(VLOOKUP($A90,EY!$A:$H,8,FALSE)+(VLOOKUP($A90,EY!$A:$R,18,FALSE)-$T90),0)</f>
        <v>357821.35390460445</v>
      </c>
      <c r="P90" s="280">
        <f>_xlfn.IFNA((VLOOKUP($A90,HN!$A:$M,8,FALSE)/12),0)</f>
        <v>0</v>
      </c>
      <c r="Q90" s="280">
        <f>_xlfn.IFNA((VLOOKUP($A90,HN!$A:$M,12,FALSE)/12),0)</f>
        <v>0</v>
      </c>
      <c r="R90" s="280">
        <f>_xlfn.IFNA((VLOOKUP($A90,HN!$A:$M,9,FALSE)/12),0)</f>
        <v>0</v>
      </c>
      <c r="S90" s="280">
        <f>_xlfn.IFNA((VLOOKUP($A90,'Post 16'!$A:$AR,22,FALSE)/4),0)</f>
        <v>0</v>
      </c>
      <c r="T90" s="280">
        <f>_xlfn.IFNA((VLOOKUP($A90,EY!$A:$R,16,FALSE)*80%),0)</f>
        <v>0</v>
      </c>
      <c r="U90" s="280">
        <v>7045.166666666667</v>
      </c>
      <c r="V90" s="280">
        <v>0</v>
      </c>
      <c r="W90" s="279">
        <f t="shared" si="111"/>
        <v>0</v>
      </c>
      <c r="X90" s="279">
        <f t="shared" si="112"/>
        <v>0</v>
      </c>
      <c r="Y90" s="280"/>
      <c r="Z90" s="280"/>
      <c r="AA90" s="280"/>
      <c r="AB90" s="279">
        <f t="shared" si="113"/>
        <v>364866.52057127113</v>
      </c>
      <c r="AC90" s="293">
        <f t="shared" si="114"/>
        <v>0</v>
      </c>
      <c r="AD90" s="293"/>
      <c r="AE90" s="293"/>
      <c r="AF90" s="294">
        <f>_xlfn.IFNA((VLOOKUP($A90,HN!$A:$M,8,FALSE)/12),0)</f>
        <v>0</v>
      </c>
      <c r="AG90" s="294">
        <f>_xlfn.IFNA((VLOOKUP($A90,HN!$A:$M,12,FALSE)/12),0)+_xlfn.IFNA(VLOOKUP($A90,HN!$A:$Q,17,FALSE),0)</f>
        <v>0</v>
      </c>
      <c r="AH90" s="294">
        <f>_xlfn.IFNA((VLOOKUP($A90,HN!$A:$M,9,FALSE)/12),0)</f>
        <v>0</v>
      </c>
      <c r="AI90" s="294">
        <f>_xlfn.IFNA((VLOOKUP($A90,'Post 16'!$A:$AR,22,FALSE)/4),0)</f>
        <v>0</v>
      </c>
      <c r="AJ90" s="294"/>
      <c r="AK90" s="294">
        <f>_xlfn.IFNA((VLOOKUP($A90,HN!$A:$M,10,FALSE)/12),0)</f>
        <v>1107.5</v>
      </c>
      <c r="AL90" s="294">
        <f>_xlfn.IFNA((VLOOKUP($A90,HN!$A:$M,13,FALSE)/12),0)</f>
        <v>0</v>
      </c>
      <c r="AM90" s="293">
        <f t="shared" si="115"/>
        <v>0</v>
      </c>
      <c r="AN90" s="293">
        <f t="shared" si="116"/>
        <v>0</v>
      </c>
      <c r="AO90" s="294"/>
      <c r="AP90" s="294"/>
      <c r="AQ90" s="294"/>
      <c r="AR90" s="293">
        <f t="shared" si="117"/>
        <v>1107.5</v>
      </c>
      <c r="AS90" s="286">
        <f t="shared" si="118"/>
        <v>0</v>
      </c>
      <c r="AT90" s="286"/>
      <c r="AU90" s="286">
        <f>_xlfn.IFNA(VLOOKUP(A90,EY!A:AO,40,FALSE),0)</f>
        <v>34402.24538504154</v>
      </c>
      <c r="AV90" s="287">
        <f>_xlfn.IFNA((VLOOKUP($A90,HN!$A:$M,8,FALSE)/12),0)</f>
        <v>0</v>
      </c>
      <c r="AW90" s="287">
        <f>_xlfn.IFNA((VLOOKUP($A90,HN!$A:$M,12,FALSE)/12),0)+_xlfn.IFNA(VLOOKUP($A90,HN!$A$8:$AU$200,19,FALSE),0)</f>
        <v>0</v>
      </c>
      <c r="AX90" s="287">
        <f>_xlfn.IFNA((VLOOKUP($A90,HN!$A:$M,9,FALSE)/12),0)</f>
        <v>0</v>
      </c>
      <c r="AY90" s="287">
        <f>_xlfn.IFNA((VLOOKUP($A90,'Post 16'!$A:$AR,22,FALSE)/4),0)</f>
        <v>0</v>
      </c>
      <c r="AZ90" s="287">
        <f>_xlfn.IFNA(VLOOKUP(A90,EY!A:AO,41,FALSE),0)</f>
        <v>0</v>
      </c>
      <c r="BA90" s="287">
        <f>_xlfn.IFNA(((VLOOKUP($A90,HN!$A:$M,10,FALSE)-$U90-$AK90)/10),0)+_xlfn.IFNA(VLOOKUP($A90,HN!$A:$R,18,FALSE),0)</f>
        <v>513.73333333333335</v>
      </c>
      <c r="BB90" s="287">
        <f>_xlfn.IFNA(((VLOOKUP($A90,HN!$A:$M,13,FALSE)-$V90-$AL90)/10),0)+_xlfn.IFNA(VLOOKUP($A90,HN!$A$8:$AU$200,20,FALSE),0)</f>
        <v>0</v>
      </c>
      <c r="BC90" s="286">
        <f t="shared" si="119"/>
        <v>0</v>
      </c>
      <c r="BD90" s="286">
        <f t="shared" si="120"/>
        <v>0</v>
      </c>
      <c r="BE90" s="287"/>
      <c r="BF90" s="287"/>
      <c r="BG90" s="287"/>
      <c r="BH90" s="286">
        <f t="shared" si="121"/>
        <v>34915.97871837487</v>
      </c>
      <c r="BI90" s="307">
        <f t="shared" si="122"/>
        <v>0</v>
      </c>
      <c r="BJ90" s="307">
        <f>_xlfn.IFNA(VLOOKUP(A90,'LA Deductions'!A:AH,34,FALSE),0)</f>
        <v>0</v>
      </c>
      <c r="BK90" s="307"/>
      <c r="BL90" s="308">
        <f>_xlfn.IFNA((VLOOKUP($A90,HN!$A:$M,8,FALSE)/12),0)</f>
        <v>0</v>
      </c>
      <c r="BM90" s="308">
        <f>_xlfn.IFNA((VLOOKUP($A90,HN!$A:$M,12,FALSE)/12),0)</f>
        <v>0</v>
      </c>
      <c r="BN90" s="308">
        <f>_xlfn.IFNA((VLOOKUP($A90,HN!$A:$M,9,FALSE)/12),0)</f>
        <v>0</v>
      </c>
      <c r="BO90" s="308">
        <f>_xlfn.IFNA((VLOOKUP($A90,'Post 16'!$A:$AR,22,FALSE)/4),0)</f>
        <v>0</v>
      </c>
      <c r="BP90" s="308"/>
      <c r="BQ90" s="308">
        <f>_xlfn.IFNA(((VLOOKUP($A90,HN!$A:$M,10,FALSE)-$U90-$AK90)/10),0)</f>
        <v>513.73333333333335</v>
      </c>
      <c r="BR90" s="308">
        <f>_xlfn.IFNA(((VLOOKUP($A90,HN!$A:$M,13,FALSE)-$V90-$AL90)/10),0)</f>
        <v>0</v>
      </c>
      <c r="BS90" s="307">
        <f t="shared" si="123"/>
        <v>0</v>
      </c>
      <c r="BT90" s="307">
        <f t="shared" si="124"/>
        <v>0</v>
      </c>
      <c r="BU90" s="308"/>
      <c r="BV90" s="308"/>
      <c r="BW90" s="308"/>
      <c r="BX90" s="307">
        <f t="shared" si="125"/>
        <v>513.73333333333335</v>
      </c>
      <c r="BY90" s="300">
        <f t="shared" si="126"/>
        <v>0</v>
      </c>
      <c r="BZ90" s="300"/>
      <c r="CA90" s="300"/>
      <c r="CB90" s="301">
        <f>_xlfn.IFNA((VLOOKUP($A90,HN!$A:$M,8,FALSE)/12),0)</f>
        <v>0</v>
      </c>
      <c r="CC90" s="301">
        <f>_xlfn.IFNA((VLOOKUP($A90,HN!$A:$M,12,FALSE)/12),0)</f>
        <v>0</v>
      </c>
      <c r="CD90" s="301">
        <f>_xlfn.IFNA((VLOOKUP($A90,HN!$A:$M,9,FALSE)/12),0)</f>
        <v>0</v>
      </c>
      <c r="CE90" s="301">
        <f>_xlfn.IFNA((VLOOKUP($A90,'Post 16'!$A:$AG,33,FALSE)/8),0)</f>
        <v>0</v>
      </c>
      <c r="CF90" s="301"/>
      <c r="CG90" s="301">
        <f>_xlfn.IFNA(((VLOOKUP($A90,HN!$A:$M,10,FALSE)-$U90-$AK90)/10),0)</f>
        <v>513.73333333333335</v>
      </c>
      <c r="CH90" s="301">
        <f>_xlfn.IFNA(((VLOOKUP($A90,HN!$A:$M,13,FALSE)-$V90-$AL90)/10),0)</f>
        <v>0</v>
      </c>
      <c r="CI90" s="300">
        <f t="shared" si="127"/>
        <v>0</v>
      </c>
      <c r="CJ90" s="300">
        <f t="shared" si="128"/>
        <v>0</v>
      </c>
      <c r="CK90" s="301"/>
      <c r="CL90" s="301"/>
      <c r="CM90" s="301"/>
      <c r="CN90" s="300">
        <f t="shared" si="129"/>
        <v>513.73333333333335</v>
      </c>
      <c r="CO90" s="332">
        <f t="shared" si="130"/>
        <v>0</v>
      </c>
      <c r="CP90" s="332"/>
      <c r="CQ90" s="332">
        <f>_xlfn.IFNA((VLOOKUP($A90,EY!$A:$AB,28,FALSE)-$CV90),0)</f>
        <v>116998.17178947369</v>
      </c>
      <c r="CR90" s="333">
        <f>_xlfn.IFNA((VLOOKUP($A90,HN!$A:$M,8,FALSE)/12),0)</f>
        <v>0</v>
      </c>
      <c r="CS90" s="333">
        <f>_xlfn.IFNA((VLOOKUP($A90,HN!$A:$M,12,FALSE)/12),0)</f>
        <v>0</v>
      </c>
      <c r="CT90" s="333">
        <f>_xlfn.IFNA((VLOOKUP($A90,HN!$A:$M,9,FALSE)/12),0)</f>
        <v>0</v>
      </c>
      <c r="CU90" s="333">
        <f>_xlfn.IFNA((VLOOKUP($A90,'Post 16'!$A:$AG,33,FALSE)/8),0)</f>
        <v>0</v>
      </c>
      <c r="CV90" s="333">
        <f>_xlfn.IFNA((VLOOKUP($A90,EY!$A:$AB,26,FALSE)*80%),0)</f>
        <v>0</v>
      </c>
      <c r="CW90" s="333">
        <f>_xlfn.IFNA(((VLOOKUP($A90,HN!$A:$M,10,FALSE)-$U90-$AK90)/10),0)</f>
        <v>513.73333333333335</v>
      </c>
      <c r="CX90" s="333">
        <f>_xlfn.IFNA(((VLOOKUP($A90,HN!$A:$M,13,FALSE)-$V90-$AL90)/10),0)</f>
        <v>0</v>
      </c>
      <c r="CY90" s="332">
        <f t="shared" si="131"/>
        <v>0</v>
      </c>
      <c r="CZ90" s="332">
        <f t="shared" si="132"/>
        <v>0</v>
      </c>
      <c r="DA90" s="333"/>
      <c r="DB90" s="333"/>
      <c r="DC90" s="333"/>
      <c r="DD90" s="332">
        <f t="shared" si="133"/>
        <v>117511.90512280703</v>
      </c>
      <c r="DE90" s="314">
        <f t="shared" si="134"/>
        <v>0</v>
      </c>
      <c r="DF90" s="314"/>
      <c r="DG90" s="314"/>
      <c r="DH90" s="315">
        <f>_xlfn.IFNA((VLOOKUP($A90,HN!$A:$M,8,FALSE)/12),0)</f>
        <v>0</v>
      </c>
      <c r="DI90" s="315">
        <f>_xlfn.IFNA((VLOOKUP($A90,HN!$A:$M,12,FALSE)/12),0)</f>
        <v>0</v>
      </c>
      <c r="DJ90" s="315">
        <f>_xlfn.IFNA((VLOOKUP($A90,HN!$A:$M,9,FALSE)/12),0)</f>
        <v>0</v>
      </c>
      <c r="DK90" s="315">
        <f>_xlfn.IFNA((VLOOKUP($A90,'Post 16'!$A:$AG,33,FALSE)/8),0)</f>
        <v>0</v>
      </c>
      <c r="DL90" s="315"/>
      <c r="DM90" s="315">
        <f>_xlfn.IFNA(((VLOOKUP($A90,HN!$A:$M,10,FALSE)-$U90-$AK90)/10),0)</f>
        <v>513.73333333333335</v>
      </c>
      <c r="DN90" s="315">
        <f>_xlfn.IFNA(((VLOOKUP($A90,HN!$A:$M,13,FALSE)-$V90-$AL90)/10),0)</f>
        <v>0</v>
      </c>
      <c r="DO90" s="314">
        <f t="shared" si="135"/>
        <v>0</v>
      </c>
      <c r="DP90" s="314">
        <f t="shared" si="136"/>
        <v>0</v>
      </c>
      <c r="DQ90" s="315"/>
      <c r="DR90" s="315"/>
      <c r="DS90" s="315"/>
      <c r="DT90" s="314">
        <f t="shared" si="137"/>
        <v>513.73333333333335</v>
      </c>
      <c r="DU90" s="307">
        <f t="shared" si="138"/>
        <v>0</v>
      </c>
      <c r="DV90" s="307"/>
      <c r="DW90" s="307"/>
      <c r="DX90" s="308">
        <f>_xlfn.IFNA((VLOOKUP($A90,HN!$A:$M,8,FALSE)/12),0)</f>
        <v>0</v>
      </c>
      <c r="DY90" s="308">
        <f>_xlfn.IFNA((VLOOKUP($A90,HN!$A:$M,12,FALSE)/12),0)</f>
        <v>0</v>
      </c>
      <c r="DZ90" s="308">
        <f>_xlfn.IFNA((VLOOKUP($A90,HN!$A:$M,9,FALSE)/12),0)</f>
        <v>0</v>
      </c>
      <c r="EA90" s="308">
        <f>_xlfn.IFNA((VLOOKUP($A90,'Post 16'!$A:$AG,33,FALSE)/8),0)</f>
        <v>0</v>
      </c>
      <c r="EB90" s="308"/>
      <c r="EC90" s="308">
        <f>_xlfn.IFNA(((VLOOKUP($A90,HN!$A:$M,10,FALSE)-$U90-$AK90)/10),0)</f>
        <v>513.73333333333335</v>
      </c>
      <c r="ED90" s="308">
        <f>_xlfn.IFNA(((VLOOKUP($A90,HN!$A:$M,13,FALSE)-$V90-$AL90)/10),0)</f>
        <v>0</v>
      </c>
      <c r="EE90" s="307">
        <f t="shared" si="139"/>
        <v>0</v>
      </c>
      <c r="EF90" s="307">
        <f t="shared" si="140"/>
        <v>0</v>
      </c>
      <c r="EG90" s="308"/>
      <c r="EH90" s="308"/>
      <c r="EI90" s="308"/>
      <c r="EJ90" s="307">
        <f t="shared" si="141"/>
        <v>513.73333333333335</v>
      </c>
      <c r="EK90" s="320">
        <f t="shared" si="142"/>
        <v>0</v>
      </c>
      <c r="EL90" s="320"/>
      <c r="EM90" s="320"/>
      <c r="EN90" s="321">
        <f>_xlfn.IFNA((VLOOKUP($A90,HN!$A:$M,8,FALSE)/12),0)</f>
        <v>0</v>
      </c>
      <c r="EO90" s="321">
        <f>_xlfn.IFNA((VLOOKUP($A90,HN!$A:$M,12,FALSE)/12),0)</f>
        <v>0</v>
      </c>
      <c r="EP90" s="321">
        <f>_xlfn.IFNA((VLOOKUP($A90,HN!$A:$M,9,FALSE)/12),0)</f>
        <v>0</v>
      </c>
      <c r="EQ90" s="321">
        <f>_xlfn.IFNA((VLOOKUP($A90,'Post 16'!$A:$AG,33,FALSE)/8),0)</f>
        <v>0</v>
      </c>
      <c r="ER90" s="321"/>
      <c r="ES90" s="321">
        <f>_xlfn.IFNA(((VLOOKUP($A90,HN!$A:$M,10,FALSE)-$U90-$AK90)/10),0)</f>
        <v>513.73333333333335</v>
      </c>
      <c r="ET90" s="321">
        <f>_xlfn.IFNA(((VLOOKUP($A90,HN!$A:$M,13,FALSE)-$V90-$AL90)/10),0)</f>
        <v>0</v>
      </c>
      <c r="EU90" s="320">
        <f t="shared" si="143"/>
        <v>0</v>
      </c>
      <c r="EV90" s="320">
        <f t="shared" si="144"/>
        <v>0</v>
      </c>
      <c r="EW90" s="321"/>
      <c r="EX90" s="321"/>
      <c r="EY90" s="321"/>
      <c r="EZ90" s="320">
        <f t="shared" si="145"/>
        <v>513.73333333333335</v>
      </c>
      <c r="FA90" s="286">
        <f t="shared" si="146"/>
        <v>0</v>
      </c>
      <c r="FB90" s="286"/>
      <c r="FC90" s="286"/>
      <c r="FD90" s="287">
        <f>_xlfn.IFNA((VLOOKUP($A90,HN!$A:$M,8,FALSE)/12),0)</f>
        <v>0</v>
      </c>
      <c r="FE90" s="287">
        <f>_xlfn.IFNA((VLOOKUP($A90,HN!$A:$M,12,FALSE)/12),0)</f>
        <v>0</v>
      </c>
      <c r="FF90" s="287">
        <f>_xlfn.IFNA((VLOOKUP($A90,HN!$A:$M,9,FALSE)/12),0)</f>
        <v>0</v>
      </c>
      <c r="FG90" s="287">
        <f>_xlfn.IFNA((VLOOKUP($A90,'Post 16'!$A:$AG,33,FALSE)/8),0)</f>
        <v>0</v>
      </c>
      <c r="FH90" s="287"/>
      <c r="FI90" s="287">
        <f>_xlfn.IFNA(((VLOOKUP($A90,HN!$A:$M,10,FALSE)-$U90-$AK90)/10),0)</f>
        <v>513.73333333333335</v>
      </c>
      <c r="FJ90" s="287">
        <f>_xlfn.IFNA(((VLOOKUP($A90,HN!$A:$M,13,FALSE)-$V90-$AL90)/10),0)</f>
        <v>0</v>
      </c>
      <c r="FK90" s="286">
        <f t="shared" si="147"/>
        <v>0</v>
      </c>
      <c r="FL90" s="286">
        <f t="shared" si="148"/>
        <v>0</v>
      </c>
      <c r="FM90" s="287"/>
      <c r="FN90" s="287"/>
      <c r="FO90" s="287"/>
      <c r="FP90" s="286">
        <f t="shared" si="149"/>
        <v>513.73333333333335</v>
      </c>
      <c r="FQ90" s="293">
        <f t="shared" si="150"/>
        <v>0</v>
      </c>
      <c r="FR90" s="293"/>
      <c r="FS90" s="293"/>
      <c r="FT90" s="294">
        <f>_xlfn.IFNA((VLOOKUP($A90,HN!$A:$M,8,FALSE)/12),0)</f>
        <v>0</v>
      </c>
      <c r="FU90" s="294">
        <f>_xlfn.IFNA((VLOOKUP($A90,HN!$A:$M,12,FALSE)/12),0)</f>
        <v>0</v>
      </c>
      <c r="FV90" s="294">
        <f>_xlfn.IFNA((VLOOKUP($A90,HN!$A:$M,9,FALSE)/12),0)</f>
        <v>0</v>
      </c>
      <c r="FW90" s="294">
        <f>_xlfn.IFNA((VLOOKUP($A90,'Post 16'!$A:$AG,33,FALSE)/8),0)</f>
        <v>0</v>
      </c>
      <c r="FX90" s="294"/>
      <c r="FY90" s="294">
        <f>_xlfn.IFNA(((VLOOKUP($A90,HN!$A:$M,10,FALSE)-$U90-$AK90)/10),0)</f>
        <v>513.73333333333335</v>
      </c>
      <c r="FZ90" s="294">
        <f>_xlfn.IFNA(((VLOOKUP($A90,HN!$A:$M,13,FALSE)-$V90-$AL90)/10),0)</f>
        <v>0</v>
      </c>
      <c r="GA90" s="293">
        <f t="shared" si="151"/>
        <v>0</v>
      </c>
      <c r="GB90" s="293">
        <f t="shared" si="152"/>
        <v>0</v>
      </c>
      <c r="GC90" s="294"/>
      <c r="GD90" s="294"/>
      <c r="GE90" s="294"/>
      <c r="GF90" s="293">
        <f t="shared" si="153"/>
        <v>513.73333333333335</v>
      </c>
      <c r="GG90" s="300">
        <f t="shared" si="154"/>
        <v>0</v>
      </c>
      <c r="GH90" s="300"/>
      <c r="GI90" s="300"/>
      <c r="GJ90" s="301">
        <f>_xlfn.IFNA((VLOOKUP($A90,HN!$A:$M,8,FALSE)/12),0)</f>
        <v>0</v>
      </c>
      <c r="GK90" s="301">
        <f>_xlfn.IFNA((VLOOKUP($A90,HN!$A:$M,12,FALSE)/12),0)</f>
        <v>0</v>
      </c>
      <c r="GL90" s="301">
        <f>_xlfn.IFNA((VLOOKUP($A90,HN!$A:$M,9,FALSE)/12),0)</f>
        <v>0</v>
      </c>
      <c r="GM90" s="301">
        <f>_xlfn.IFNA((VLOOKUP($A90,'Post 16'!$A:$AG,33,FALSE)/8),0)</f>
        <v>0</v>
      </c>
      <c r="GN90" s="301"/>
      <c r="GO90" s="301">
        <f>_xlfn.IFNA(((VLOOKUP($A90,HN!$A:$M,10,FALSE)-$U90-$AK90)/10),0)</f>
        <v>513.73333333333335</v>
      </c>
      <c r="GP90" s="301">
        <f>_xlfn.IFNA(((VLOOKUP($A90,HN!$A:$M,13,FALSE)-$V90-$AL90)/10),0)</f>
        <v>0</v>
      </c>
      <c r="GQ90" s="300">
        <f t="shared" si="155"/>
        <v>0</v>
      </c>
      <c r="GR90" s="300">
        <f t="shared" si="156"/>
        <v>0</v>
      </c>
      <c r="GS90" s="301"/>
      <c r="GT90" s="301"/>
      <c r="GU90" s="301"/>
      <c r="GV90" s="300">
        <f t="shared" si="157"/>
        <v>513.73333333333335</v>
      </c>
      <c r="GX90" s="146">
        <f t="shared" si="160"/>
        <v>509221.77107911964</v>
      </c>
      <c r="GY90" s="146">
        <f t="shared" si="160"/>
        <v>0</v>
      </c>
      <c r="GZ90" s="146">
        <f t="shared" si="160"/>
        <v>13290.000000000002</v>
      </c>
      <c r="HA90" s="146">
        <f t="shared" si="160"/>
        <v>0</v>
      </c>
      <c r="HB90" s="146">
        <f t="shared" si="160"/>
        <v>0</v>
      </c>
      <c r="HC90" s="146">
        <f t="shared" si="160"/>
        <v>0</v>
      </c>
      <c r="HE90" s="146">
        <f t="shared" si="161"/>
        <v>392223.59928964596</v>
      </c>
      <c r="HF90" s="146">
        <f t="shared" si="161"/>
        <v>0</v>
      </c>
      <c r="HG90" s="146">
        <f t="shared" si="161"/>
        <v>8666.4</v>
      </c>
      <c r="HH90" s="146">
        <f t="shared" si="161"/>
        <v>0</v>
      </c>
      <c r="HI90" s="146">
        <f t="shared" si="161"/>
        <v>0</v>
      </c>
      <c r="HJ90" s="146">
        <f t="shared" si="161"/>
        <v>0</v>
      </c>
      <c r="HL90" s="146"/>
      <c r="HM90" s="57"/>
    </row>
    <row r="91" spans="1:221">
      <c r="A91" s="185">
        <v>2115</v>
      </c>
      <c r="B91" s="185">
        <v>103221</v>
      </c>
      <c r="C91" s="185" t="s">
        <v>205</v>
      </c>
      <c r="D91" s="2" t="s">
        <v>206</v>
      </c>
      <c r="E91" s="190" t="s">
        <v>39</v>
      </c>
      <c r="F91" s="190" t="s">
        <v>890</v>
      </c>
      <c r="H91" s="271">
        <f>_xlfn.IFNA(VLOOKUP($A91,ISB!$A$4:$BY$441,67,FALSE),0)</f>
        <v>1722034.4428507653</v>
      </c>
      <c r="I91" s="271">
        <f>_xlfn.IFNA(VLOOKUP($A91,ISB!$A$4:$BY$441,72,FALSE),0)</f>
        <v>-6424.2</v>
      </c>
      <c r="J91" s="271">
        <f>-_xlfn.IFNA(VLOOKUP($A91,ISB!$A$4:$BY$441,76,FALSE),0)</f>
        <v>-57342.148500000003</v>
      </c>
      <c r="K91" s="271">
        <f>_xlfn.IFNA(VLOOKUP($A91,ISB!$A$4:$BY$441,77,FALSE),0)</f>
        <v>1658268.0943507655</v>
      </c>
      <c r="M91" s="279">
        <f t="shared" si="110"/>
        <v>143502.87023756377</v>
      </c>
      <c r="N91" s="279"/>
      <c r="O91" s="279">
        <f>_xlfn.IFNA(VLOOKUP($A91,EY!$A:$H,8,FALSE)+(VLOOKUP($A91,EY!$A:$R,18,FALSE)-$T91),0)</f>
        <v>48748.44</v>
      </c>
      <c r="P91" s="280">
        <f>_xlfn.IFNA((VLOOKUP($A91,HN!$A:$M,8,FALSE)/12),0)</f>
        <v>0</v>
      </c>
      <c r="Q91" s="280">
        <f>_xlfn.IFNA((VLOOKUP($A91,HN!$A:$M,12,FALSE)/12),0)</f>
        <v>0</v>
      </c>
      <c r="R91" s="280">
        <f>_xlfn.IFNA((VLOOKUP($A91,HN!$A:$M,9,FALSE)/12),0)</f>
        <v>0</v>
      </c>
      <c r="S91" s="280">
        <f>_xlfn.IFNA((VLOOKUP($A91,'Post 16'!$A:$AR,22,FALSE)/4),0)</f>
        <v>0</v>
      </c>
      <c r="T91" s="280">
        <f>_xlfn.IFNA((VLOOKUP($A91,EY!$A:$R,16,FALSE)*80%),0)</f>
        <v>0</v>
      </c>
      <c r="U91" s="280">
        <v>17040.5275</v>
      </c>
      <c r="V91" s="280">
        <v>0</v>
      </c>
      <c r="W91" s="279">
        <f t="shared" si="111"/>
        <v>-535.35</v>
      </c>
      <c r="X91" s="279">
        <f t="shared" si="112"/>
        <v>-4778.5123750000002</v>
      </c>
      <c r="Y91" s="280"/>
      <c r="Z91" s="280"/>
      <c r="AA91" s="280"/>
      <c r="AB91" s="279">
        <f t="shared" si="113"/>
        <v>203977.97536256377</v>
      </c>
      <c r="AC91" s="293">
        <f t="shared" si="114"/>
        <v>143502.87023756377</v>
      </c>
      <c r="AD91" s="293"/>
      <c r="AE91" s="293"/>
      <c r="AF91" s="294">
        <f>_xlfn.IFNA((VLOOKUP($A91,HN!$A:$M,8,FALSE)/12),0)</f>
        <v>0</v>
      </c>
      <c r="AG91" s="294">
        <f>_xlfn.IFNA((VLOOKUP($A91,HN!$A:$M,12,FALSE)/12),0)+_xlfn.IFNA(VLOOKUP($A91,HN!$A:$Q,17,FALSE),0)</f>
        <v>0</v>
      </c>
      <c r="AH91" s="294">
        <f>_xlfn.IFNA((VLOOKUP($A91,HN!$A:$M,9,FALSE)/12),0)</f>
        <v>0</v>
      </c>
      <c r="AI91" s="294">
        <f>_xlfn.IFNA((VLOOKUP($A91,'Post 16'!$A:$AR,22,FALSE)/4),0)</f>
        <v>0</v>
      </c>
      <c r="AJ91" s="294"/>
      <c r="AK91" s="294">
        <f>_xlfn.IFNA((VLOOKUP($A91,HN!$A:$M,10,FALSE)/12),0)</f>
        <v>14286</v>
      </c>
      <c r="AL91" s="294">
        <f>_xlfn.IFNA((VLOOKUP($A91,HN!$A:$M,13,FALSE)/12),0)</f>
        <v>0</v>
      </c>
      <c r="AM91" s="293">
        <f t="shared" si="115"/>
        <v>-535.35</v>
      </c>
      <c r="AN91" s="293">
        <f t="shared" si="116"/>
        <v>-4778.5123750000002</v>
      </c>
      <c r="AO91" s="294"/>
      <c r="AP91" s="294"/>
      <c r="AQ91" s="294"/>
      <c r="AR91" s="293">
        <f t="shared" si="117"/>
        <v>152475.00786256377</v>
      </c>
      <c r="AS91" s="286">
        <f t="shared" si="118"/>
        <v>143502.87023756377</v>
      </c>
      <c r="AT91" s="286"/>
      <c r="AU91" s="286">
        <f>_xlfn.IFNA(VLOOKUP(A91,EY!A:AO,40,FALSE),0)</f>
        <v>2758.2126315789446</v>
      </c>
      <c r="AV91" s="287">
        <f>_xlfn.IFNA((VLOOKUP($A91,HN!$A:$M,8,FALSE)/12),0)</f>
        <v>0</v>
      </c>
      <c r="AW91" s="287">
        <f>_xlfn.IFNA((VLOOKUP($A91,HN!$A:$M,12,FALSE)/12),0)+_xlfn.IFNA(VLOOKUP($A91,HN!$A$8:$AU$200,19,FALSE),0)</f>
        <v>0</v>
      </c>
      <c r="AX91" s="287">
        <f>_xlfn.IFNA((VLOOKUP($A91,HN!$A:$M,9,FALSE)/12),0)</f>
        <v>0</v>
      </c>
      <c r="AY91" s="287">
        <f>_xlfn.IFNA((VLOOKUP($A91,'Post 16'!$A:$AR,22,FALSE)/4),0)</f>
        <v>0</v>
      </c>
      <c r="AZ91" s="287">
        <f>_xlfn.IFNA(VLOOKUP(A91,EY!A:AO,41,FALSE),0)</f>
        <v>0</v>
      </c>
      <c r="BA91" s="287">
        <f>_xlfn.IFNA(((VLOOKUP($A91,HN!$A:$M,10,FALSE)-$U91-$AK91)/10),0)+_xlfn.IFNA(VLOOKUP($A91,HN!$A:$R,18,FALSE),0)</f>
        <v>14010.54725</v>
      </c>
      <c r="BB91" s="287">
        <f>_xlfn.IFNA(((VLOOKUP($A91,HN!$A:$M,13,FALSE)-$V91-$AL91)/10),0)+_xlfn.IFNA(VLOOKUP($A91,HN!$A$8:$AU$200,20,FALSE),0)</f>
        <v>0</v>
      </c>
      <c r="BC91" s="286">
        <f t="shared" si="119"/>
        <v>-535.35</v>
      </c>
      <c r="BD91" s="286">
        <f t="shared" si="120"/>
        <v>-4778.5123750000002</v>
      </c>
      <c r="BE91" s="287"/>
      <c r="BF91" s="287"/>
      <c r="BG91" s="287"/>
      <c r="BH91" s="286">
        <f t="shared" si="121"/>
        <v>154957.76774414271</v>
      </c>
      <c r="BI91" s="307">
        <f t="shared" si="122"/>
        <v>143502.87023756377</v>
      </c>
      <c r="BJ91" s="307">
        <f>_xlfn.IFNA(VLOOKUP(A91,'LA Deductions'!A:AH,34,FALSE),0)</f>
        <v>0</v>
      </c>
      <c r="BK91" s="307"/>
      <c r="BL91" s="308">
        <f>_xlfn.IFNA((VLOOKUP($A91,HN!$A:$M,8,FALSE)/12),0)</f>
        <v>0</v>
      </c>
      <c r="BM91" s="308">
        <f>_xlfn.IFNA((VLOOKUP($A91,HN!$A:$M,12,FALSE)/12),0)</f>
        <v>0</v>
      </c>
      <c r="BN91" s="308">
        <f>_xlfn.IFNA((VLOOKUP($A91,HN!$A:$M,9,FALSE)/12),0)</f>
        <v>0</v>
      </c>
      <c r="BO91" s="308">
        <f>_xlfn.IFNA((VLOOKUP($A91,'Post 16'!$A:$AR,22,FALSE)/4),0)</f>
        <v>0</v>
      </c>
      <c r="BP91" s="308"/>
      <c r="BQ91" s="308">
        <f>_xlfn.IFNA(((VLOOKUP($A91,HN!$A:$M,10,FALSE)-$U91-$AK91)/10),0)</f>
        <v>14010.54725</v>
      </c>
      <c r="BR91" s="308">
        <f>_xlfn.IFNA(((VLOOKUP($A91,HN!$A:$M,13,FALSE)-$V91-$AL91)/10),0)</f>
        <v>0</v>
      </c>
      <c r="BS91" s="307">
        <f t="shared" si="123"/>
        <v>-535.35</v>
      </c>
      <c r="BT91" s="307">
        <f t="shared" si="124"/>
        <v>-4778.5123750000002</v>
      </c>
      <c r="BU91" s="308"/>
      <c r="BV91" s="308"/>
      <c r="BW91" s="308"/>
      <c r="BX91" s="307">
        <f t="shared" si="125"/>
        <v>152199.55511256377</v>
      </c>
      <c r="BY91" s="300">
        <f t="shared" si="126"/>
        <v>143502.87023756377</v>
      </c>
      <c r="BZ91" s="300"/>
      <c r="CA91" s="300"/>
      <c r="CB91" s="301">
        <f>_xlfn.IFNA((VLOOKUP($A91,HN!$A:$M,8,FALSE)/12),0)</f>
        <v>0</v>
      </c>
      <c r="CC91" s="301">
        <f>_xlfn.IFNA((VLOOKUP($A91,HN!$A:$M,12,FALSE)/12),0)</f>
        <v>0</v>
      </c>
      <c r="CD91" s="301">
        <f>_xlfn.IFNA((VLOOKUP($A91,HN!$A:$M,9,FALSE)/12),0)</f>
        <v>0</v>
      </c>
      <c r="CE91" s="301">
        <f>_xlfn.IFNA((VLOOKUP($A91,'Post 16'!$A:$AG,33,FALSE)/8),0)</f>
        <v>0</v>
      </c>
      <c r="CF91" s="301"/>
      <c r="CG91" s="301">
        <f>_xlfn.IFNA(((VLOOKUP($A91,HN!$A:$M,10,FALSE)-$U91-$AK91)/10),0)</f>
        <v>14010.54725</v>
      </c>
      <c r="CH91" s="301">
        <f>_xlfn.IFNA(((VLOOKUP($A91,HN!$A:$M,13,FALSE)-$V91-$AL91)/10),0)</f>
        <v>0</v>
      </c>
      <c r="CI91" s="300">
        <f t="shared" si="127"/>
        <v>-535.35</v>
      </c>
      <c r="CJ91" s="300">
        <f t="shared" si="128"/>
        <v>-4778.5123750000002</v>
      </c>
      <c r="CK91" s="301"/>
      <c r="CL91" s="301"/>
      <c r="CM91" s="301"/>
      <c r="CN91" s="300">
        <f t="shared" si="129"/>
        <v>152199.55511256377</v>
      </c>
      <c r="CO91" s="332">
        <f t="shared" si="130"/>
        <v>143502.87023756377</v>
      </c>
      <c r="CP91" s="332"/>
      <c r="CQ91" s="332">
        <f>_xlfn.IFNA((VLOOKUP($A91,EY!$A:$AB,28,FALSE)-$CV91),0)</f>
        <v>30048.720000000001</v>
      </c>
      <c r="CR91" s="333">
        <f>_xlfn.IFNA((VLOOKUP($A91,HN!$A:$M,8,FALSE)/12),0)</f>
        <v>0</v>
      </c>
      <c r="CS91" s="333">
        <f>_xlfn.IFNA((VLOOKUP($A91,HN!$A:$M,12,FALSE)/12),0)</f>
        <v>0</v>
      </c>
      <c r="CT91" s="333">
        <f>_xlfn.IFNA((VLOOKUP($A91,HN!$A:$M,9,FALSE)/12),0)</f>
        <v>0</v>
      </c>
      <c r="CU91" s="333">
        <f>_xlfn.IFNA((VLOOKUP($A91,'Post 16'!$A:$AG,33,FALSE)/8),0)</f>
        <v>0</v>
      </c>
      <c r="CV91" s="333">
        <f>_xlfn.IFNA((VLOOKUP($A91,EY!$A:$AB,26,FALSE)*80%),0)</f>
        <v>0</v>
      </c>
      <c r="CW91" s="333">
        <f>_xlfn.IFNA(((VLOOKUP($A91,HN!$A:$M,10,FALSE)-$U91-$AK91)/10),0)</f>
        <v>14010.54725</v>
      </c>
      <c r="CX91" s="333">
        <f>_xlfn.IFNA(((VLOOKUP($A91,HN!$A:$M,13,FALSE)-$V91-$AL91)/10),0)</f>
        <v>0</v>
      </c>
      <c r="CY91" s="332">
        <f t="shared" si="131"/>
        <v>-535.35</v>
      </c>
      <c r="CZ91" s="332">
        <f t="shared" si="132"/>
        <v>-4778.5123750000002</v>
      </c>
      <c r="DA91" s="333"/>
      <c r="DB91" s="333"/>
      <c r="DC91" s="333"/>
      <c r="DD91" s="332">
        <f t="shared" si="133"/>
        <v>182248.27511256377</v>
      </c>
      <c r="DE91" s="314">
        <f t="shared" si="134"/>
        <v>143502.87023756377</v>
      </c>
      <c r="DF91" s="314"/>
      <c r="DG91" s="314"/>
      <c r="DH91" s="315">
        <f>_xlfn.IFNA((VLOOKUP($A91,HN!$A:$M,8,FALSE)/12),0)</f>
        <v>0</v>
      </c>
      <c r="DI91" s="315">
        <f>_xlfn.IFNA((VLOOKUP($A91,HN!$A:$M,12,FALSE)/12),0)</f>
        <v>0</v>
      </c>
      <c r="DJ91" s="315">
        <f>_xlfn.IFNA((VLOOKUP($A91,HN!$A:$M,9,FALSE)/12),0)</f>
        <v>0</v>
      </c>
      <c r="DK91" s="315">
        <f>_xlfn.IFNA((VLOOKUP($A91,'Post 16'!$A:$AG,33,FALSE)/8),0)</f>
        <v>0</v>
      </c>
      <c r="DL91" s="315"/>
      <c r="DM91" s="315">
        <f>_xlfn.IFNA(((VLOOKUP($A91,HN!$A:$M,10,FALSE)-$U91-$AK91)/10),0)</f>
        <v>14010.54725</v>
      </c>
      <c r="DN91" s="315">
        <f>_xlfn.IFNA(((VLOOKUP($A91,HN!$A:$M,13,FALSE)-$V91-$AL91)/10),0)</f>
        <v>0</v>
      </c>
      <c r="DO91" s="314">
        <f t="shared" si="135"/>
        <v>-535.35</v>
      </c>
      <c r="DP91" s="314">
        <f t="shared" si="136"/>
        <v>-4778.5123750000002</v>
      </c>
      <c r="DQ91" s="315"/>
      <c r="DR91" s="315"/>
      <c r="DS91" s="315"/>
      <c r="DT91" s="314">
        <f t="shared" si="137"/>
        <v>152199.55511256377</v>
      </c>
      <c r="DU91" s="307">
        <f t="shared" si="138"/>
        <v>143502.87023756377</v>
      </c>
      <c r="DV91" s="307"/>
      <c r="DW91" s="307"/>
      <c r="DX91" s="308">
        <f>_xlfn.IFNA((VLOOKUP($A91,HN!$A:$M,8,FALSE)/12),0)</f>
        <v>0</v>
      </c>
      <c r="DY91" s="308">
        <f>_xlfn.IFNA((VLOOKUP($A91,HN!$A:$M,12,FALSE)/12),0)</f>
        <v>0</v>
      </c>
      <c r="DZ91" s="308">
        <f>_xlfn.IFNA((VLOOKUP($A91,HN!$A:$M,9,FALSE)/12),0)</f>
        <v>0</v>
      </c>
      <c r="EA91" s="308">
        <f>_xlfn.IFNA((VLOOKUP($A91,'Post 16'!$A:$AG,33,FALSE)/8),0)</f>
        <v>0</v>
      </c>
      <c r="EB91" s="308"/>
      <c r="EC91" s="308">
        <f>_xlfn.IFNA(((VLOOKUP($A91,HN!$A:$M,10,FALSE)-$U91-$AK91)/10),0)</f>
        <v>14010.54725</v>
      </c>
      <c r="ED91" s="308">
        <f>_xlfn.IFNA(((VLOOKUP($A91,HN!$A:$M,13,FALSE)-$V91-$AL91)/10),0)</f>
        <v>0</v>
      </c>
      <c r="EE91" s="307">
        <f t="shared" si="139"/>
        <v>-535.35</v>
      </c>
      <c r="EF91" s="307">
        <f t="shared" si="140"/>
        <v>-4778.5123750000002</v>
      </c>
      <c r="EG91" s="308"/>
      <c r="EH91" s="308"/>
      <c r="EI91" s="308"/>
      <c r="EJ91" s="307">
        <f t="shared" si="141"/>
        <v>152199.55511256377</v>
      </c>
      <c r="EK91" s="320">
        <f t="shared" si="142"/>
        <v>143502.87023756377</v>
      </c>
      <c r="EL91" s="320"/>
      <c r="EM91" s="320"/>
      <c r="EN91" s="321">
        <f>_xlfn.IFNA((VLOOKUP($A91,HN!$A:$M,8,FALSE)/12),0)</f>
        <v>0</v>
      </c>
      <c r="EO91" s="321">
        <f>_xlfn.IFNA((VLOOKUP($A91,HN!$A:$M,12,FALSE)/12),0)</f>
        <v>0</v>
      </c>
      <c r="EP91" s="321">
        <f>_xlfn.IFNA((VLOOKUP($A91,HN!$A:$M,9,FALSE)/12),0)</f>
        <v>0</v>
      </c>
      <c r="EQ91" s="321">
        <f>_xlfn.IFNA((VLOOKUP($A91,'Post 16'!$A:$AG,33,FALSE)/8),0)</f>
        <v>0</v>
      </c>
      <c r="ER91" s="321"/>
      <c r="ES91" s="321">
        <f>_xlfn.IFNA(((VLOOKUP($A91,HN!$A:$M,10,FALSE)-$U91-$AK91)/10),0)</f>
        <v>14010.54725</v>
      </c>
      <c r="ET91" s="321">
        <f>_xlfn.IFNA(((VLOOKUP($A91,HN!$A:$M,13,FALSE)-$V91-$AL91)/10),0)</f>
        <v>0</v>
      </c>
      <c r="EU91" s="320">
        <f t="shared" si="143"/>
        <v>-535.35</v>
      </c>
      <c r="EV91" s="320">
        <f t="shared" si="144"/>
        <v>-4778.5123750000002</v>
      </c>
      <c r="EW91" s="321"/>
      <c r="EX91" s="321"/>
      <c r="EY91" s="321"/>
      <c r="EZ91" s="320">
        <f t="shared" si="145"/>
        <v>152199.55511256377</v>
      </c>
      <c r="FA91" s="286">
        <f t="shared" si="146"/>
        <v>143502.87023756377</v>
      </c>
      <c r="FB91" s="286"/>
      <c r="FC91" s="286"/>
      <c r="FD91" s="287">
        <f>_xlfn.IFNA((VLOOKUP($A91,HN!$A:$M,8,FALSE)/12),0)</f>
        <v>0</v>
      </c>
      <c r="FE91" s="287">
        <f>_xlfn.IFNA((VLOOKUP($A91,HN!$A:$M,12,FALSE)/12),0)</f>
        <v>0</v>
      </c>
      <c r="FF91" s="287">
        <f>_xlfn.IFNA((VLOOKUP($A91,HN!$A:$M,9,FALSE)/12),0)</f>
        <v>0</v>
      </c>
      <c r="FG91" s="287">
        <f>_xlfn.IFNA((VLOOKUP($A91,'Post 16'!$A:$AG,33,FALSE)/8),0)</f>
        <v>0</v>
      </c>
      <c r="FH91" s="287"/>
      <c r="FI91" s="287">
        <f>_xlfn.IFNA(((VLOOKUP($A91,HN!$A:$M,10,FALSE)-$U91-$AK91)/10),0)</f>
        <v>14010.54725</v>
      </c>
      <c r="FJ91" s="287">
        <f>_xlfn.IFNA(((VLOOKUP($A91,HN!$A:$M,13,FALSE)-$V91-$AL91)/10),0)</f>
        <v>0</v>
      </c>
      <c r="FK91" s="286">
        <f t="shared" si="147"/>
        <v>-535.35</v>
      </c>
      <c r="FL91" s="286">
        <f t="shared" si="148"/>
        <v>-4778.5123750000002</v>
      </c>
      <c r="FM91" s="287"/>
      <c r="FN91" s="287"/>
      <c r="FO91" s="287"/>
      <c r="FP91" s="286">
        <f t="shared" si="149"/>
        <v>152199.55511256377</v>
      </c>
      <c r="FQ91" s="293">
        <f t="shared" si="150"/>
        <v>143502.87023756377</v>
      </c>
      <c r="FR91" s="293"/>
      <c r="FS91" s="293"/>
      <c r="FT91" s="294">
        <f>_xlfn.IFNA((VLOOKUP($A91,HN!$A:$M,8,FALSE)/12),0)</f>
        <v>0</v>
      </c>
      <c r="FU91" s="294">
        <f>_xlfn.IFNA((VLOOKUP($A91,HN!$A:$M,12,FALSE)/12),0)</f>
        <v>0</v>
      </c>
      <c r="FV91" s="294">
        <f>_xlfn.IFNA((VLOOKUP($A91,HN!$A:$M,9,FALSE)/12),0)</f>
        <v>0</v>
      </c>
      <c r="FW91" s="294">
        <f>_xlfn.IFNA((VLOOKUP($A91,'Post 16'!$A:$AG,33,FALSE)/8),0)</f>
        <v>0</v>
      </c>
      <c r="FX91" s="294"/>
      <c r="FY91" s="294">
        <f>_xlfn.IFNA(((VLOOKUP($A91,HN!$A:$M,10,FALSE)-$U91-$AK91)/10),0)</f>
        <v>14010.54725</v>
      </c>
      <c r="FZ91" s="294">
        <f>_xlfn.IFNA(((VLOOKUP($A91,HN!$A:$M,13,FALSE)-$V91-$AL91)/10),0)</f>
        <v>0</v>
      </c>
      <c r="GA91" s="293">
        <f t="shared" si="151"/>
        <v>-535.35</v>
      </c>
      <c r="GB91" s="293">
        <f t="shared" si="152"/>
        <v>-4778.5123750000002</v>
      </c>
      <c r="GC91" s="294"/>
      <c r="GD91" s="294"/>
      <c r="GE91" s="294"/>
      <c r="GF91" s="293">
        <f t="shared" si="153"/>
        <v>152199.55511256377</v>
      </c>
      <c r="GG91" s="300">
        <f t="shared" si="154"/>
        <v>143502.87023756377</v>
      </c>
      <c r="GH91" s="300"/>
      <c r="GI91" s="300"/>
      <c r="GJ91" s="301">
        <f>_xlfn.IFNA((VLOOKUP($A91,HN!$A:$M,8,FALSE)/12),0)</f>
        <v>0</v>
      </c>
      <c r="GK91" s="301">
        <f>_xlfn.IFNA((VLOOKUP($A91,HN!$A:$M,12,FALSE)/12),0)</f>
        <v>0</v>
      </c>
      <c r="GL91" s="301">
        <f>_xlfn.IFNA((VLOOKUP($A91,HN!$A:$M,9,FALSE)/12),0)</f>
        <v>0</v>
      </c>
      <c r="GM91" s="301">
        <f>_xlfn.IFNA((VLOOKUP($A91,'Post 16'!$A:$AG,33,FALSE)/8),0)</f>
        <v>0</v>
      </c>
      <c r="GN91" s="301"/>
      <c r="GO91" s="301">
        <f>_xlfn.IFNA(((VLOOKUP($A91,HN!$A:$M,10,FALSE)-$U91-$AK91)/10),0)</f>
        <v>14010.54725</v>
      </c>
      <c r="GP91" s="301">
        <f>_xlfn.IFNA(((VLOOKUP($A91,HN!$A:$M,13,FALSE)-$V91-$AL91)/10),0)</f>
        <v>0</v>
      </c>
      <c r="GQ91" s="300">
        <f t="shared" si="155"/>
        <v>-535.35</v>
      </c>
      <c r="GR91" s="300">
        <f t="shared" si="156"/>
        <v>-4778.5123750000002</v>
      </c>
      <c r="GS91" s="301"/>
      <c r="GT91" s="301"/>
      <c r="GU91" s="301"/>
      <c r="GV91" s="300">
        <f t="shared" si="157"/>
        <v>152199.55511256377</v>
      </c>
      <c r="GX91" s="146">
        <f t="shared" si="160"/>
        <v>1803589.815482344</v>
      </c>
      <c r="GY91" s="146">
        <f t="shared" si="160"/>
        <v>0</v>
      </c>
      <c r="GZ91" s="146">
        <f t="shared" si="160"/>
        <v>171432.00000000003</v>
      </c>
      <c r="HA91" s="146">
        <f t="shared" si="160"/>
        <v>-6424.2000000000016</v>
      </c>
      <c r="HB91" s="146">
        <f t="shared" si="160"/>
        <v>-57342.148499999988</v>
      </c>
      <c r="HC91" s="146">
        <f t="shared" si="160"/>
        <v>0</v>
      </c>
      <c r="HE91" s="146">
        <f t="shared" si="161"/>
        <v>482015.26334427024</v>
      </c>
      <c r="HF91" s="146">
        <f t="shared" si="161"/>
        <v>0</v>
      </c>
      <c r="HG91" s="146">
        <f t="shared" si="161"/>
        <v>45337.07475</v>
      </c>
      <c r="HH91" s="146">
        <f t="shared" si="161"/>
        <v>-1606.0500000000002</v>
      </c>
      <c r="HI91" s="146">
        <f t="shared" si="161"/>
        <v>-14335.537125000001</v>
      </c>
      <c r="HJ91" s="146">
        <f t="shared" si="161"/>
        <v>0</v>
      </c>
      <c r="HL91" s="146"/>
      <c r="HM91" s="57"/>
    </row>
    <row r="92" spans="1:221">
      <c r="A92" s="185">
        <v>2441</v>
      </c>
      <c r="B92" s="185">
        <v>103368</v>
      </c>
      <c r="C92" s="185" t="s">
        <v>207</v>
      </c>
      <c r="D92" s="2" t="s">
        <v>208</v>
      </c>
      <c r="E92" s="190" t="s">
        <v>39</v>
      </c>
      <c r="F92" s="190" t="s">
        <v>890</v>
      </c>
      <c r="H92" s="271">
        <f>_xlfn.IFNA(VLOOKUP($A92,ISB!$A$4:$BY$441,67,FALSE),0)</f>
        <v>2076564.7781705465</v>
      </c>
      <c r="I92" s="271">
        <f>_xlfn.IFNA(VLOOKUP($A92,ISB!$A$4:$BY$441,72,FALSE),0)</f>
        <v>-7669.2</v>
      </c>
      <c r="J92" s="271">
        <f>-_xlfn.IFNA(VLOOKUP($A92,ISB!$A$4:$BY$441,76,FALSE),0)</f>
        <v>-6281.7026999999998</v>
      </c>
      <c r="K92" s="271">
        <f>_xlfn.IFNA(VLOOKUP($A92,ISB!$A$4:$BY$441,77,FALSE),0)</f>
        <v>2062613.8754705465</v>
      </c>
      <c r="M92" s="279">
        <f t="shared" si="110"/>
        <v>173047.06484754555</v>
      </c>
      <c r="N92" s="279"/>
      <c r="O92" s="279">
        <f>_xlfn.IFNA(VLOOKUP($A92,EY!$A:$H,8,FALSE)+(VLOOKUP($A92,EY!$A:$R,18,FALSE)-$T92),0)</f>
        <v>19913.400000000001</v>
      </c>
      <c r="P92" s="280">
        <f>_xlfn.IFNA((VLOOKUP($A92,HN!$A:$M,8,FALSE)/12),0)</f>
        <v>0</v>
      </c>
      <c r="Q92" s="280">
        <f>_xlfn.IFNA((VLOOKUP($A92,HN!$A:$M,12,FALSE)/12),0)</f>
        <v>0</v>
      </c>
      <c r="R92" s="280">
        <f>_xlfn.IFNA((VLOOKUP($A92,HN!$A:$M,9,FALSE)/12),0)</f>
        <v>0</v>
      </c>
      <c r="S92" s="280">
        <f>_xlfn.IFNA((VLOOKUP($A92,'Post 16'!$A:$AR,22,FALSE)/4),0)</f>
        <v>0</v>
      </c>
      <c r="T92" s="280">
        <f>_xlfn.IFNA((VLOOKUP($A92,EY!$A:$R,16,FALSE)*80%),0)</f>
        <v>0</v>
      </c>
      <c r="U92" s="280">
        <v>11047.450833333334</v>
      </c>
      <c r="V92" s="280">
        <v>0</v>
      </c>
      <c r="W92" s="279">
        <f t="shared" si="111"/>
        <v>-639.1</v>
      </c>
      <c r="X92" s="279">
        <f t="shared" si="112"/>
        <v>-523.47522500000002</v>
      </c>
      <c r="Y92" s="280"/>
      <c r="Z92" s="280"/>
      <c r="AA92" s="280"/>
      <c r="AB92" s="279">
        <f t="shared" si="113"/>
        <v>202845.34045587888</v>
      </c>
      <c r="AC92" s="293">
        <f t="shared" si="114"/>
        <v>173047.06484754555</v>
      </c>
      <c r="AD92" s="293"/>
      <c r="AE92" s="293"/>
      <c r="AF92" s="294">
        <f>_xlfn.IFNA((VLOOKUP($A92,HN!$A:$M,8,FALSE)/12),0)</f>
        <v>0</v>
      </c>
      <c r="AG92" s="294">
        <f>_xlfn.IFNA((VLOOKUP($A92,HN!$A:$M,12,FALSE)/12),0)+_xlfn.IFNA(VLOOKUP($A92,HN!$A:$Q,17,FALSE),0)</f>
        <v>0</v>
      </c>
      <c r="AH92" s="294">
        <f>_xlfn.IFNA((VLOOKUP($A92,HN!$A:$M,9,FALSE)/12),0)</f>
        <v>0</v>
      </c>
      <c r="AI92" s="294">
        <f>_xlfn.IFNA((VLOOKUP($A92,'Post 16'!$A:$AR,22,FALSE)/4),0)</f>
        <v>0</v>
      </c>
      <c r="AJ92" s="294"/>
      <c r="AK92" s="294">
        <f>_xlfn.IFNA((VLOOKUP($A92,HN!$A:$M,10,FALSE)/12),0)</f>
        <v>6745.8474999999999</v>
      </c>
      <c r="AL92" s="294">
        <f>_xlfn.IFNA((VLOOKUP($A92,HN!$A:$M,13,FALSE)/12),0)</f>
        <v>0</v>
      </c>
      <c r="AM92" s="293">
        <f t="shared" si="115"/>
        <v>-639.1</v>
      </c>
      <c r="AN92" s="293">
        <f t="shared" si="116"/>
        <v>-523.47522500000002</v>
      </c>
      <c r="AO92" s="294"/>
      <c r="AP92" s="294"/>
      <c r="AQ92" s="294"/>
      <c r="AR92" s="293">
        <f t="shared" si="117"/>
        <v>178630.33712254555</v>
      </c>
      <c r="AS92" s="286">
        <f t="shared" si="118"/>
        <v>173047.06484754555</v>
      </c>
      <c r="AT92" s="286"/>
      <c r="AU92" s="286">
        <f>_xlfn.IFNA(VLOOKUP(A92,EY!A:AO,40,FALSE),0)</f>
        <v>3280.8238781163409</v>
      </c>
      <c r="AV92" s="287">
        <f>_xlfn.IFNA((VLOOKUP($A92,HN!$A:$M,8,FALSE)/12),0)</f>
        <v>0</v>
      </c>
      <c r="AW92" s="287">
        <f>_xlfn.IFNA((VLOOKUP($A92,HN!$A:$M,12,FALSE)/12),0)+_xlfn.IFNA(VLOOKUP($A92,HN!$A$8:$AU$200,19,FALSE),0)</f>
        <v>0</v>
      </c>
      <c r="AX92" s="287">
        <f>_xlfn.IFNA((VLOOKUP($A92,HN!$A:$M,9,FALSE)/12),0)</f>
        <v>0</v>
      </c>
      <c r="AY92" s="287">
        <f>_xlfn.IFNA((VLOOKUP($A92,'Post 16'!$A:$AR,22,FALSE)/4),0)</f>
        <v>0</v>
      </c>
      <c r="AZ92" s="287">
        <f>_xlfn.IFNA(VLOOKUP(A92,EY!A:AO,41,FALSE),0)</f>
        <v>0</v>
      </c>
      <c r="BA92" s="287">
        <f>_xlfn.IFNA(((VLOOKUP($A92,HN!$A:$M,10,FALSE)-$U92-$AK92)/10),0)+_xlfn.IFNA(VLOOKUP($A92,HN!$A:$R,18,FALSE),0)</f>
        <v>6315.6871666666657</v>
      </c>
      <c r="BB92" s="287">
        <f>_xlfn.IFNA(((VLOOKUP($A92,HN!$A:$M,13,FALSE)-$V92-$AL92)/10),0)+_xlfn.IFNA(VLOOKUP($A92,HN!$A$8:$AU$200,20,FALSE),0)</f>
        <v>0</v>
      </c>
      <c r="BC92" s="286">
        <f t="shared" si="119"/>
        <v>-639.1</v>
      </c>
      <c r="BD92" s="286">
        <f t="shared" si="120"/>
        <v>-523.47522500000002</v>
      </c>
      <c r="BE92" s="287"/>
      <c r="BF92" s="287"/>
      <c r="BG92" s="287"/>
      <c r="BH92" s="286">
        <f t="shared" si="121"/>
        <v>181481.00066732857</v>
      </c>
      <c r="BI92" s="307">
        <f t="shared" si="122"/>
        <v>173047.06484754555</v>
      </c>
      <c r="BJ92" s="307">
        <f>_xlfn.IFNA(VLOOKUP(A92,'LA Deductions'!A:AH,34,FALSE),0)</f>
        <v>0</v>
      </c>
      <c r="BK92" s="307"/>
      <c r="BL92" s="308">
        <f>_xlfn.IFNA((VLOOKUP($A92,HN!$A:$M,8,FALSE)/12),0)</f>
        <v>0</v>
      </c>
      <c r="BM92" s="308">
        <f>_xlfn.IFNA((VLOOKUP($A92,HN!$A:$M,12,FALSE)/12),0)</f>
        <v>0</v>
      </c>
      <c r="BN92" s="308">
        <f>_xlfn.IFNA((VLOOKUP($A92,HN!$A:$M,9,FALSE)/12),0)</f>
        <v>0</v>
      </c>
      <c r="BO92" s="308">
        <f>_xlfn.IFNA((VLOOKUP($A92,'Post 16'!$A:$AR,22,FALSE)/4),0)</f>
        <v>0</v>
      </c>
      <c r="BP92" s="308"/>
      <c r="BQ92" s="308">
        <f>_xlfn.IFNA(((VLOOKUP($A92,HN!$A:$M,10,FALSE)-$U92-$AK92)/10),0)</f>
        <v>6315.6871666666657</v>
      </c>
      <c r="BR92" s="308">
        <f>_xlfn.IFNA(((VLOOKUP($A92,HN!$A:$M,13,FALSE)-$V92-$AL92)/10),0)</f>
        <v>0</v>
      </c>
      <c r="BS92" s="307">
        <f t="shared" si="123"/>
        <v>-639.1</v>
      </c>
      <c r="BT92" s="307">
        <f t="shared" si="124"/>
        <v>-523.47522500000002</v>
      </c>
      <c r="BU92" s="308"/>
      <c r="BV92" s="308"/>
      <c r="BW92" s="308"/>
      <c r="BX92" s="307">
        <f t="shared" si="125"/>
        <v>178200.17678921222</v>
      </c>
      <c r="BY92" s="300">
        <f t="shared" si="126"/>
        <v>173047.06484754555</v>
      </c>
      <c r="BZ92" s="300"/>
      <c r="CA92" s="300"/>
      <c r="CB92" s="301">
        <f>_xlfn.IFNA((VLOOKUP($A92,HN!$A:$M,8,FALSE)/12),0)</f>
        <v>0</v>
      </c>
      <c r="CC92" s="301">
        <f>_xlfn.IFNA((VLOOKUP($A92,HN!$A:$M,12,FALSE)/12),0)</f>
        <v>0</v>
      </c>
      <c r="CD92" s="301">
        <f>_xlfn.IFNA((VLOOKUP($A92,HN!$A:$M,9,FALSE)/12),0)</f>
        <v>0</v>
      </c>
      <c r="CE92" s="301">
        <f>_xlfn.IFNA((VLOOKUP($A92,'Post 16'!$A:$AG,33,FALSE)/8),0)</f>
        <v>0</v>
      </c>
      <c r="CF92" s="301"/>
      <c r="CG92" s="301">
        <f>_xlfn.IFNA(((VLOOKUP($A92,HN!$A:$M,10,FALSE)-$U92-$AK92)/10),0)</f>
        <v>6315.6871666666657</v>
      </c>
      <c r="CH92" s="301">
        <f>_xlfn.IFNA(((VLOOKUP($A92,HN!$A:$M,13,FALSE)-$V92-$AL92)/10),0)</f>
        <v>0</v>
      </c>
      <c r="CI92" s="300">
        <f t="shared" si="127"/>
        <v>-639.1</v>
      </c>
      <c r="CJ92" s="300">
        <f t="shared" si="128"/>
        <v>-523.47522500000002</v>
      </c>
      <c r="CK92" s="301"/>
      <c r="CL92" s="301"/>
      <c r="CM92" s="301"/>
      <c r="CN92" s="300">
        <f t="shared" si="129"/>
        <v>178200.17678921222</v>
      </c>
      <c r="CO92" s="332">
        <f t="shared" si="130"/>
        <v>173047.06484754555</v>
      </c>
      <c r="CP92" s="332"/>
      <c r="CQ92" s="332">
        <f>_xlfn.IFNA((VLOOKUP($A92,EY!$A:$AB,28,FALSE)-$CV92),0)</f>
        <v>21973.640000000003</v>
      </c>
      <c r="CR92" s="333">
        <f>_xlfn.IFNA((VLOOKUP($A92,HN!$A:$M,8,FALSE)/12),0)</f>
        <v>0</v>
      </c>
      <c r="CS92" s="333">
        <f>_xlfn.IFNA((VLOOKUP($A92,HN!$A:$M,12,FALSE)/12),0)</f>
        <v>0</v>
      </c>
      <c r="CT92" s="333">
        <f>_xlfn.IFNA((VLOOKUP($A92,HN!$A:$M,9,FALSE)/12),0)</f>
        <v>0</v>
      </c>
      <c r="CU92" s="333">
        <f>_xlfn.IFNA((VLOOKUP($A92,'Post 16'!$A:$AG,33,FALSE)/8),0)</f>
        <v>0</v>
      </c>
      <c r="CV92" s="333">
        <f>_xlfn.IFNA((VLOOKUP($A92,EY!$A:$AB,26,FALSE)*80%),0)</f>
        <v>0</v>
      </c>
      <c r="CW92" s="333">
        <f>_xlfn.IFNA(((VLOOKUP($A92,HN!$A:$M,10,FALSE)-$U92-$AK92)/10),0)</f>
        <v>6315.6871666666657</v>
      </c>
      <c r="CX92" s="333">
        <f>_xlfn.IFNA(((VLOOKUP($A92,HN!$A:$M,13,FALSE)-$V92-$AL92)/10),0)</f>
        <v>0</v>
      </c>
      <c r="CY92" s="332">
        <f t="shared" si="131"/>
        <v>-639.1</v>
      </c>
      <c r="CZ92" s="332">
        <f t="shared" si="132"/>
        <v>-523.47522500000002</v>
      </c>
      <c r="DA92" s="333"/>
      <c r="DB92" s="333"/>
      <c r="DC92" s="333"/>
      <c r="DD92" s="332">
        <f t="shared" si="133"/>
        <v>200173.81678921223</v>
      </c>
      <c r="DE92" s="314">
        <f t="shared" si="134"/>
        <v>173047.06484754555</v>
      </c>
      <c r="DF92" s="314"/>
      <c r="DG92" s="314"/>
      <c r="DH92" s="315">
        <f>_xlfn.IFNA((VLOOKUP($A92,HN!$A:$M,8,FALSE)/12),0)</f>
        <v>0</v>
      </c>
      <c r="DI92" s="315">
        <f>_xlfn.IFNA((VLOOKUP($A92,HN!$A:$M,12,FALSE)/12),0)</f>
        <v>0</v>
      </c>
      <c r="DJ92" s="315">
        <f>_xlfn.IFNA((VLOOKUP($A92,HN!$A:$M,9,FALSE)/12),0)</f>
        <v>0</v>
      </c>
      <c r="DK92" s="315">
        <f>_xlfn.IFNA((VLOOKUP($A92,'Post 16'!$A:$AG,33,FALSE)/8),0)</f>
        <v>0</v>
      </c>
      <c r="DL92" s="315"/>
      <c r="DM92" s="315">
        <f>_xlfn.IFNA(((VLOOKUP($A92,HN!$A:$M,10,FALSE)-$U92-$AK92)/10),0)</f>
        <v>6315.6871666666657</v>
      </c>
      <c r="DN92" s="315">
        <f>_xlfn.IFNA(((VLOOKUP($A92,HN!$A:$M,13,FALSE)-$V92-$AL92)/10),0)</f>
        <v>0</v>
      </c>
      <c r="DO92" s="314">
        <f t="shared" si="135"/>
        <v>-639.1</v>
      </c>
      <c r="DP92" s="314">
        <f t="shared" si="136"/>
        <v>-523.47522500000002</v>
      </c>
      <c r="DQ92" s="315"/>
      <c r="DR92" s="315"/>
      <c r="DS92" s="315"/>
      <c r="DT92" s="314">
        <f t="shared" si="137"/>
        <v>178200.17678921222</v>
      </c>
      <c r="DU92" s="307">
        <f t="shared" si="138"/>
        <v>173047.06484754555</v>
      </c>
      <c r="DV92" s="307"/>
      <c r="DW92" s="307"/>
      <c r="DX92" s="308">
        <f>_xlfn.IFNA((VLOOKUP($A92,HN!$A:$M,8,FALSE)/12),0)</f>
        <v>0</v>
      </c>
      <c r="DY92" s="308">
        <f>_xlfn.IFNA((VLOOKUP($A92,HN!$A:$M,12,FALSE)/12),0)</f>
        <v>0</v>
      </c>
      <c r="DZ92" s="308">
        <f>_xlfn.IFNA((VLOOKUP($A92,HN!$A:$M,9,FALSE)/12),0)</f>
        <v>0</v>
      </c>
      <c r="EA92" s="308">
        <f>_xlfn.IFNA((VLOOKUP($A92,'Post 16'!$A:$AG,33,FALSE)/8),0)</f>
        <v>0</v>
      </c>
      <c r="EB92" s="308"/>
      <c r="EC92" s="308">
        <f>_xlfn.IFNA(((VLOOKUP($A92,HN!$A:$M,10,FALSE)-$U92-$AK92)/10),0)</f>
        <v>6315.6871666666657</v>
      </c>
      <c r="ED92" s="308">
        <f>_xlfn.IFNA(((VLOOKUP($A92,HN!$A:$M,13,FALSE)-$V92-$AL92)/10),0)</f>
        <v>0</v>
      </c>
      <c r="EE92" s="307">
        <f t="shared" si="139"/>
        <v>-639.1</v>
      </c>
      <c r="EF92" s="307">
        <f t="shared" si="140"/>
        <v>-523.47522500000002</v>
      </c>
      <c r="EG92" s="308"/>
      <c r="EH92" s="308"/>
      <c r="EI92" s="308"/>
      <c r="EJ92" s="307">
        <f t="shared" si="141"/>
        <v>178200.17678921222</v>
      </c>
      <c r="EK92" s="320">
        <f t="shared" si="142"/>
        <v>173047.06484754555</v>
      </c>
      <c r="EL92" s="320"/>
      <c r="EM92" s="320"/>
      <c r="EN92" s="321">
        <f>_xlfn.IFNA((VLOOKUP($A92,HN!$A:$M,8,FALSE)/12),0)</f>
        <v>0</v>
      </c>
      <c r="EO92" s="321">
        <f>_xlfn.IFNA((VLOOKUP($A92,HN!$A:$M,12,FALSE)/12),0)</f>
        <v>0</v>
      </c>
      <c r="EP92" s="321">
        <f>_xlfn.IFNA((VLOOKUP($A92,HN!$A:$M,9,FALSE)/12),0)</f>
        <v>0</v>
      </c>
      <c r="EQ92" s="321">
        <f>_xlfn.IFNA((VLOOKUP($A92,'Post 16'!$A:$AG,33,FALSE)/8),0)</f>
        <v>0</v>
      </c>
      <c r="ER92" s="321"/>
      <c r="ES92" s="321">
        <f>_xlfn.IFNA(((VLOOKUP($A92,HN!$A:$M,10,FALSE)-$U92-$AK92)/10),0)</f>
        <v>6315.6871666666657</v>
      </c>
      <c r="ET92" s="321">
        <f>_xlfn.IFNA(((VLOOKUP($A92,HN!$A:$M,13,FALSE)-$V92-$AL92)/10),0)</f>
        <v>0</v>
      </c>
      <c r="EU92" s="320">
        <f t="shared" si="143"/>
        <v>-639.1</v>
      </c>
      <c r="EV92" s="320">
        <f t="shared" si="144"/>
        <v>-523.47522500000002</v>
      </c>
      <c r="EW92" s="321"/>
      <c r="EX92" s="321"/>
      <c r="EY92" s="321"/>
      <c r="EZ92" s="320">
        <f t="shared" si="145"/>
        <v>178200.17678921222</v>
      </c>
      <c r="FA92" s="286">
        <f t="shared" si="146"/>
        <v>173047.06484754555</v>
      </c>
      <c r="FB92" s="286"/>
      <c r="FC92" s="286"/>
      <c r="FD92" s="287">
        <f>_xlfn.IFNA((VLOOKUP($A92,HN!$A:$M,8,FALSE)/12),0)</f>
        <v>0</v>
      </c>
      <c r="FE92" s="287">
        <f>_xlfn.IFNA((VLOOKUP($A92,HN!$A:$M,12,FALSE)/12),0)</f>
        <v>0</v>
      </c>
      <c r="FF92" s="287">
        <f>_xlfn.IFNA((VLOOKUP($A92,HN!$A:$M,9,FALSE)/12),0)</f>
        <v>0</v>
      </c>
      <c r="FG92" s="287">
        <f>_xlfn.IFNA((VLOOKUP($A92,'Post 16'!$A:$AG,33,FALSE)/8),0)</f>
        <v>0</v>
      </c>
      <c r="FH92" s="287"/>
      <c r="FI92" s="287">
        <f>_xlfn.IFNA(((VLOOKUP($A92,HN!$A:$M,10,FALSE)-$U92-$AK92)/10),0)</f>
        <v>6315.6871666666657</v>
      </c>
      <c r="FJ92" s="287">
        <f>_xlfn.IFNA(((VLOOKUP($A92,HN!$A:$M,13,FALSE)-$V92-$AL92)/10),0)</f>
        <v>0</v>
      </c>
      <c r="FK92" s="286">
        <f t="shared" si="147"/>
        <v>-639.1</v>
      </c>
      <c r="FL92" s="286">
        <f t="shared" si="148"/>
        <v>-523.47522500000002</v>
      </c>
      <c r="FM92" s="287"/>
      <c r="FN92" s="287"/>
      <c r="FO92" s="287"/>
      <c r="FP92" s="286">
        <f t="shared" si="149"/>
        <v>178200.17678921222</v>
      </c>
      <c r="FQ92" s="293">
        <f t="shared" si="150"/>
        <v>173047.06484754555</v>
      </c>
      <c r="FR92" s="293"/>
      <c r="FS92" s="293"/>
      <c r="FT92" s="294">
        <f>_xlfn.IFNA((VLOOKUP($A92,HN!$A:$M,8,FALSE)/12),0)</f>
        <v>0</v>
      </c>
      <c r="FU92" s="294">
        <f>_xlfn.IFNA((VLOOKUP($A92,HN!$A:$M,12,FALSE)/12),0)</f>
        <v>0</v>
      </c>
      <c r="FV92" s="294">
        <f>_xlfn.IFNA((VLOOKUP($A92,HN!$A:$M,9,FALSE)/12),0)</f>
        <v>0</v>
      </c>
      <c r="FW92" s="294">
        <f>_xlfn.IFNA((VLOOKUP($A92,'Post 16'!$A:$AG,33,FALSE)/8),0)</f>
        <v>0</v>
      </c>
      <c r="FX92" s="294"/>
      <c r="FY92" s="294">
        <f>_xlfn.IFNA(((VLOOKUP($A92,HN!$A:$M,10,FALSE)-$U92-$AK92)/10),0)</f>
        <v>6315.6871666666657</v>
      </c>
      <c r="FZ92" s="294">
        <f>_xlfn.IFNA(((VLOOKUP($A92,HN!$A:$M,13,FALSE)-$V92-$AL92)/10),0)</f>
        <v>0</v>
      </c>
      <c r="GA92" s="293">
        <f t="shared" si="151"/>
        <v>-639.1</v>
      </c>
      <c r="GB92" s="293">
        <f t="shared" si="152"/>
        <v>-523.47522500000002</v>
      </c>
      <c r="GC92" s="294"/>
      <c r="GD92" s="294"/>
      <c r="GE92" s="294"/>
      <c r="GF92" s="293">
        <f t="shared" si="153"/>
        <v>178200.17678921222</v>
      </c>
      <c r="GG92" s="300">
        <f t="shared" si="154"/>
        <v>173047.06484754555</v>
      </c>
      <c r="GH92" s="300"/>
      <c r="GI92" s="300"/>
      <c r="GJ92" s="301">
        <f>_xlfn.IFNA((VLOOKUP($A92,HN!$A:$M,8,FALSE)/12),0)</f>
        <v>0</v>
      </c>
      <c r="GK92" s="301">
        <f>_xlfn.IFNA((VLOOKUP($A92,HN!$A:$M,12,FALSE)/12),0)</f>
        <v>0</v>
      </c>
      <c r="GL92" s="301">
        <f>_xlfn.IFNA((VLOOKUP($A92,HN!$A:$M,9,FALSE)/12),0)</f>
        <v>0</v>
      </c>
      <c r="GM92" s="301">
        <f>_xlfn.IFNA((VLOOKUP($A92,'Post 16'!$A:$AG,33,FALSE)/8),0)</f>
        <v>0</v>
      </c>
      <c r="GN92" s="301"/>
      <c r="GO92" s="301">
        <f>_xlfn.IFNA(((VLOOKUP($A92,HN!$A:$M,10,FALSE)-$U92-$AK92)/10),0)</f>
        <v>6315.6871666666657</v>
      </c>
      <c r="GP92" s="301">
        <f>_xlfn.IFNA(((VLOOKUP($A92,HN!$A:$M,13,FALSE)-$V92-$AL92)/10),0)</f>
        <v>0</v>
      </c>
      <c r="GQ92" s="300">
        <f t="shared" si="155"/>
        <v>-639.1</v>
      </c>
      <c r="GR92" s="300">
        <f t="shared" si="156"/>
        <v>-523.47522500000002</v>
      </c>
      <c r="GS92" s="301"/>
      <c r="GT92" s="301"/>
      <c r="GU92" s="301"/>
      <c r="GV92" s="300">
        <f t="shared" si="157"/>
        <v>178200.17678921222</v>
      </c>
      <c r="GX92" s="146">
        <f t="shared" si="160"/>
        <v>2121732.6420486625</v>
      </c>
      <c r="GY92" s="146">
        <f t="shared" si="160"/>
        <v>0</v>
      </c>
      <c r="GZ92" s="146">
        <f t="shared" si="160"/>
        <v>80950.169999999984</v>
      </c>
      <c r="HA92" s="146">
        <f t="shared" si="160"/>
        <v>-7669.2000000000016</v>
      </c>
      <c r="HB92" s="146">
        <f t="shared" si="160"/>
        <v>-6281.7027000000007</v>
      </c>
      <c r="HC92" s="146">
        <f t="shared" si="160"/>
        <v>0</v>
      </c>
      <c r="HE92" s="146">
        <f t="shared" si="161"/>
        <v>542335.41842075298</v>
      </c>
      <c r="HF92" s="146">
        <f t="shared" si="161"/>
        <v>0</v>
      </c>
      <c r="HG92" s="146">
        <f t="shared" si="161"/>
        <v>24108.985499999999</v>
      </c>
      <c r="HH92" s="146">
        <f t="shared" si="161"/>
        <v>-1917.3000000000002</v>
      </c>
      <c r="HI92" s="146">
        <f t="shared" si="161"/>
        <v>-1570.425675</v>
      </c>
      <c r="HJ92" s="146">
        <f t="shared" si="161"/>
        <v>0</v>
      </c>
      <c r="HL92" s="146"/>
      <c r="HM92" s="57"/>
    </row>
    <row r="93" spans="1:221">
      <c r="A93" s="185">
        <v>2321</v>
      </c>
      <c r="B93" s="185">
        <v>103339</v>
      </c>
      <c r="C93" s="185" t="s">
        <v>209</v>
      </c>
      <c r="D93" s="2" t="s">
        <v>210</v>
      </c>
      <c r="E93" s="190" t="s">
        <v>39</v>
      </c>
      <c r="F93" s="190" t="s">
        <v>890</v>
      </c>
      <c r="H93" s="271">
        <f>_xlfn.IFNA(VLOOKUP($A93,ISB!$A$4:$BY$441,67,FALSE),0)</f>
        <v>1247236.0135251079</v>
      </c>
      <c r="I93" s="271">
        <f>_xlfn.IFNA(VLOOKUP($A93,ISB!$A$4:$BY$441,72,FALSE),0)</f>
        <v>-4257.8999999999996</v>
      </c>
      <c r="J93" s="271">
        <f>-_xlfn.IFNA(VLOOKUP($A93,ISB!$A$4:$BY$441,76,FALSE),0)</f>
        <v>-15800.834999999999</v>
      </c>
      <c r="K93" s="271">
        <f>_xlfn.IFNA(VLOOKUP($A93,ISB!$A$4:$BY$441,77,FALSE),0)</f>
        <v>1227177.278525108</v>
      </c>
      <c r="M93" s="279">
        <f t="shared" si="110"/>
        <v>103936.33446042566</v>
      </c>
      <c r="N93" s="279"/>
      <c r="O93" s="279">
        <f>_xlfn.IFNA(VLOOKUP($A93,EY!$A:$H,8,FALSE)+(VLOOKUP($A93,EY!$A:$R,18,FALSE)-$T93),0)</f>
        <v>0</v>
      </c>
      <c r="P93" s="280">
        <f>_xlfn.IFNA((VLOOKUP($A93,HN!$A:$M,8,FALSE)/12),0)</f>
        <v>0</v>
      </c>
      <c r="Q93" s="280">
        <f>_xlfn.IFNA((VLOOKUP($A93,HN!$A:$M,12,FALSE)/12),0)</f>
        <v>0</v>
      </c>
      <c r="R93" s="280">
        <f>_xlfn.IFNA((VLOOKUP($A93,HN!$A:$M,9,FALSE)/12),0)</f>
        <v>0</v>
      </c>
      <c r="S93" s="280">
        <f>_xlfn.IFNA((VLOOKUP($A93,'Post 16'!$A:$AR,22,FALSE)/4),0)</f>
        <v>0</v>
      </c>
      <c r="T93" s="280">
        <f>_xlfn.IFNA((VLOOKUP($A93,EY!$A:$R,16,FALSE)*80%),0)</f>
        <v>0</v>
      </c>
      <c r="U93" s="280">
        <v>13709.840000000002</v>
      </c>
      <c r="V93" s="280">
        <v>0</v>
      </c>
      <c r="W93" s="279">
        <f t="shared" si="111"/>
        <v>-354.82499999999999</v>
      </c>
      <c r="X93" s="279">
        <f t="shared" si="112"/>
        <v>-1316.7362499999999</v>
      </c>
      <c r="Y93" s="280"/>
      <c r="Z93" s="280"/>
      <c r="AA93" s="280"/>
      <c r="AB93" s="279">
        <f t="shared" si="113"/>
        <v>115974.61321042565</v>
      </c>
      <c r="AC93" s="293">
        <f t="shared" si="114"/>
        <v>103936.33446042566</v>
      </c>
      <c r="AD93" s="293"/>
      <c r="AE93" s="293"/>
      <c r="AF93" s="294">
        <f>_xlfn.IFNA((VLOOKUP($A93,HN!$A:$M,8,FALSE)/12),0)</f>
        <v>0</v>
      </c>
      <c r="AG93" s="294">
        <f>_xlfn.IFNA((VLOOKUP($A93,HN!$A:$M,12,FALSE)/12),0)+_xlfn.IFNA(VLOOKUP($A93,HN!$A:$Q,17,FALSE),0)</f>
        <v>0</v>
      </c>
      <c r="AH93" s="294">
        <f>_xlfn.IFNA((VLOOKUP($A93,HN!$A:$M,9,FALSE)/12),0)</f>
        <v>0</v>
      </c>
      <c r="AI93" s="294">
        <f>_xlfn.IFNA((VLOOKUP($A93,'Post 16'!$A:$AR,22,FALSE)/4),0)</f>
        <v>0</v>
      </c>
      <c r="AJ93" s="294"/>
      <c r="AK93" s="294">
        <f>_xlfn.IFNA((VLOOKUP($A93,HN!$A:$M,10,FALSE)/12),0)</f>
        <v>10795.375</v>
      </c>
      <c r="AL93" s="294">
        <f>_xlfn.IFNA((VLOOKUP($A93,HN!$A:$M,13,FALSE)/12),0)</f>
        <v>0</v>
      </c>
      <c r="AM93" s="293">
        <f t="shared" si="115"/>
        <v>-354.82499999999999</v>
      </c>
      <c r="AN93" s="293">
        <f t="shared" si="116"/>
        <v>-1316.7362499999999</v>
      </c>
      <c r="AO93" s="294"/>
      <c r="AP93" s="294"/>
      <c r="AQ93" s="294"/>
      <c r="AR93" s="293">
        <f t="shared" si="117"/>
        <v>113060.14821042566</v>
      </c>
      <c r="AS93" s="286">
        <f t="shared" si="118"/>
        <v>103936.33446042566</v>
      </c>
      <c r="AT93" s="286"/>
      <c r="AU93" s="286">
        <f>_xlfn.IFNA(VLOOKUP(A93,EY!A:AO,40,FALSE),0)</f>
        <v>0</v>
      </c>
      <c r="AV93" s="287">
        <f>_xlfn.IFNA((VLOOKUP($A93,HN!$A:$M,8,FALSE)/12),0)</f>
        <v>0</v>
      </c>
      <c r="AW93" s="287">
        <f>_xlfn.IFNA((VLOOKUP($A93,HN!$A:$M,12,FALSE)/12),0)+_xlfn.IFNA(VLOOKUP($A93,HN!$A$8:$AU$200,19,FALSE),0)</f>
        <v>0</v>
      </c>
      <c r="AX93" s="287">
        <f>_xlfn.IFNA((VLOOKUP($A93,HN!$A:$M,9,FALSE)/12),0)</f>
        <v>0</v>
      </c>
      <c r="AY93" s="287">
        <f>_xlfn.IFNA((VLOOKUP($A93,'Post 16'!$A:$AR,22,FALSE)/4),0)</f>
        <v>0</v>
      </c>
      <c r="AZ93" s="287">
        <f>_xlfn.IFNA(VLOOKUP(A93,EY!A:AO,41,FALSE),0)</f>
        <v>0</v>
      </c>
      <c r="BA93" s="287">
        <f>_xlfn.IFNA(((VLOOKUP($A93,HN!$A:$M,10,FALSE)-$U93-$AK93)/10),0)+_xlfn.IFNA(VLOOKUP($A93,HN!$A:$R,18,FALSE),0)</f>
        <v>10503.9285</v>
      </c>
      <c r="BB93" s="287">
        <f>_xlfn.IFNA(((VLOOKUP($A93,HN!$A:$M,13,FALSE)-$V93-$AL93)/10),0)+_xlfn.IFNA(VLOOKUP($A93,HN!$A$8:$AU$200,20,FALSE),0)</f>
        <v>0</v>
      </c>
      <c r="BC93" s="286">
        <f t="shared" si="119"/>
        <v>-354.82499999999999</v>
      </c>
      <c r="BD93" s="286">
        <f t="shared" si="120"/>
        <v>-1316.7362499999999</v>
      </c>
      <c r="BE93" s="287"/>
      <c r="BF93" s="287"/>
      <c r="BG93" s="287"/>
      <c r="BH93" s="286">
        <f t="shared" si="121"/>
        <v>112768.70171042565</v>
      </c>
      <c r="BI93" s="307">
        <f t="shared" si="122"/>
        <v>103936.33446042566</v>
      </c>
      <c r="BJ93" s="307">
        <f>_xlfn.IFNA(VLOOKUP(A93,'LA Deductions'!A:AH,34,FALSE),0)</f>
        <v>0</v>
      </c>
      <c r="BK93" s="307"/>
      <c r="BL93" s="308">
        <f>_xlfn.IFNA((VLOOKUP($A93,HN!$A:$M,8,FALSE)/12),0)</f>
        <v>0</v>
      </c>
      <c r="BM93" s="308">
        <f>_xlfn.IFNA((VLOOKUP($A93,HN!$A:$M,12,FALSE)/12),0)</f>
        <v>0</v>
      </c>
      <c r="BN93" s="308">
        <f>_xlfn.IFNA((VLOOKUP($A93,HN!$A:$M,9,FALSE)/12),0)</f>
        <v>0</v>
      </c>
      <c r="BO93" s="308">
        <f>_xlfn.IFNA((VLOOKUP($A93,'Post 16'!$A:$AR,22,FALSE)/4),0)</f>
        <v>0</v>
      </c>
      <c r="BP93" s="308"/>
      <c r="BQ93" s="308">
        <f>_xlfn.IFNA(((VLOOKUP($A93,HN!$A:$M,10,FALSE)-$U93-$AK93)/10),0)</f>
        <v>10503.9285</v>
      </c>
      <c r="BR93" s="308">
        <f>_xlfn.IFNA(((VLOOKUP($A93,HN!$A:$M,13,FALSE)-$V93-$AL93)/10),0)</f>
        <v>0</v>
      </c>
      <c r="BS93" s="307">
        <f t="shared" si="123"/>
        <v>-354.82499999999999</v>
      </c>
      <c r="BT93" s="307">
        <f t="shared" si="124"/>
        <v>-1316.7362499999999</v>
      </c>
      <c r="BU93" s="308"/>
      <c r="BV93" s="308"/>
      <c r="BW93" s="308"/>
      <c r="BX93" s="307">
        <f t="shared" si="125"/>
        <v>112768.70171042565</v>
      </c>
      <c r="BY93" s="300">
        <f t="shared" si="126"/>
        <v>103936.33446042566</v>
      </c>
      <c r="BZ93" s="300"/>
      <c r="CA93" s="300"/>
      <c r="CB93" s="301">
        <f>_xlfn.IFNA((VLOOKUP($A93,HN!$A:$M,8,FALSE)/12),0)</f>
        <v>0</v>
      </c>
      <c r="CC93" s="301">
        <f>_xlfn.IFNA((VLOOKUP($A93,HN!$A:$M,12,FALSE)/12),0)</f>
        <v>0</v>
      </c>
      <c r="CD93" s="301">
        <f>_xlfn.IFNA((VLOOKUP($A93,HN!$A:$M,9,FALSE)/12),0)</f>
        <v>0</v>
      </c>
      <c r="CE93" s="301">
        <f>_xlfn.IFNA((VLOOKUP($A93,'Post 16'!$A:$AG,33,FALSE)/8),0)</f>
        <v>0</v>
      </c>
      <c r="CF93" s="301"/>
      <c r="CG93" s="301">
        <f>_xlfn.IFNA(((VLOOKUP($A93,HN!$A:$M,10,FALSE)-$U93-$AK93)/10),0)</f>
        <v>10503.9285</v>
      </c>
      <c r="CH93" s="301">
        <f>_xlfn.IFNA(((VLOOKUP($A93,HN!$A:$M,13,FALSE)-$V93-$AL93)/10),0)</f>
        <v>0</v>
      </c>
      <c r="CI93" s="300">
        <f t="shared" si="127"/>
        <v>-354.82499999999999</v>
      </c>
      <c r="CJ93" s="300">
        <f t="shared" si="128"/>
        <v>-1316.7362499999999</v>
      </c>
      <c r="CK93" s="301"/>
      <c r="CL93" s="301"/>
      <c r="CM93" s="301"/>
      <c r="CN93" s="300">
        <f t="shared" si="129"/>
        <v>112768.70171042565</v>
      </c>
      <c r="CO93" s="332">
        <f t="shared" si="130"/>
        <v>103936.33446042566</v>
      </c>
      <c r="CP93" s="332"/>
      <c r="CQ93" s="332">
        <f>_xlfn.IFNA((VLOOKUP($A93,EY!$A:$AB,28,FALSE)-$CV93),0)</f>
        <v>0</v>
      </c>
      <c r="CR93" s="333">
        <f>_xlfn.IFNA((VLOOKUP($A93,HN!$A:$M,8,FALSE)/12),0)</f>
        <v>0</v>
      </c>
      <c r="CS93" s="333">
        <f>_xlfn.IFNA((VLOOKUP($A93,HN!$A:$M,12,FALSE)/12),0)</f>
        <v>0</v>
      </c>
      <c r="CT93" s="333">
        <f>_xlfn.IFNA((VLOOKUP($A93,HN!$A:$M,9,FALSE)/12),0)</f>
        <v>0</v>
      </c>
      <c r="CU93" s="333">
        <f>_xlfn.IFNA((VLOOKUP($A93,'Post 16'!$A:$AG,33,FALSE)/8),0)</f>
        <v>0</v>
      </c>
      <c r="CV93" s="333">
        <f>_xlfn.IFNA((VLOOKUP($A93,EY!$A:$AB,26,FALSE)*80%),0)</f>
        <v>0</v>
      </c>
      <c r="CW93" s="333">
        <f>_xlfn.IFNA(((VLOOKUP($A93,HN!$A:$M,10,FALSE)-$U93-$AK93)/10),0)</f>
        <v>10503.9285</v>
      </c>
      <c r="CX93" s="333">
        <f>_xlfn.IFNA(((VLOOKUP($A93,HN!$A:$M,13,FALSE)-$V93-$AL93)/10),0)</f>
        <v>0</v>
      </c>
      <c r="CY93" s="332">
        <f t="shared" si="131"/>
        <v>-354.82499999999999</v>
      </c>
      <c r="CZ93" s="332">
        <f t="shared" si="132"/>
        <v>-1316.7362499999999</v>
      </c>
      <c r="DA93" s="333"/>
      <c r="DB93" s="333"/>
      <c r="DC93" s="333"/>
      <c r="DD93" s="332">
        <f t="shared" si="133"/>
        <v>112768.70171042565</v>
      </c>
      <c r="DE93" s="314">
        <f t="shared" si="134"/>
        <v>103936.33446042566</v>
      </c>
      <c r="DF93" s="314"/>
      <c r="DG93" s="314"/>
      <c r="DH93" s="315">
        <f>_xlfn.IFNA((VLOOKUP($A93,HN!$A:$M,8,FALSE)/12),0)</f>
        <v>0</v>
      </c>
      <c r="DI93" s="315">
        <f>_xlfn.IFNA((VLOOKUP($A93,HN!$A:$M,12,FALSE)/12),0)</f>
        <v>0</v>
      </c>
      <c r="DJ93" s="315">
        <f>_xlfn.IFNA((VLOOKUP($A93,HN!$A:$M,9,FALSE)/12),0)</f>
        <v>0</v>
      </c>
      <c r="DK93" s="315">
        <f>_xlfn.IFNA((VLOOKUP($A93,'Post 16'!$A:$AG,33,FALSE)/8),0)</f>
        <v>0</v>
      </c>
      <c r="DL93" s="315"/>
      <c r="DM93" s="315">
        <f>_xlfn.IFNA(((VLOOKUP($A93,HN!$A:$M,10,FALSE)-$U93-$AK93)/10),0)</f>
        <v>10503.9285</v>
      </c>
      <c r="DN93" s="315">
        <f>_xlfn.IFNA(((VLOOKUP($A93,HN!$A:$M,13,FALSE)-$V93-$AL93)/10),0)</f>
        <v>0</v>
      </c>
      <c r="DO93" s="314">
        <f t="shared" si="135"/>
        <v>-354.82499999999999</v>
      </c>
      <c r="DP93" s="314">
        <f t="shared" si="136"/>
        <v>-1316.7362499999999</v>
      </c>
      <c r="DQ93" s="315"/>
      <c r="DR93" s="315"/>
      <c r="DS93" s="315"/>
      <c r="DT93" s="314">
        <f t="shared" si="137"/>
        <v>112768.70171042565</v>
      </c>
      <c r="DU93" s="307">
        <f t="shared" si="138"/>
        <v>103936.33446042566</v>
      </c>
      <c r="DV93" s="307"/>
      <c r="DW93" s="307"/>
      <c r="DX93" s="308">
        <f>_xlfn.IFNA((VLOOKUP($A93,HN!$A:$M,8,FALSE)/12),0)</f>
        <v>0</v>
      </c>
      <c r="DY93" s="308">
        <f>_xlfn.IFNA((VLOOKUP($A93,HN!$A:$M,12,FALSE)/12),0)</f>
        <v>0</v>
      </c>
      <c r="DZ93" s="308">
        <f>_xlfn.IFNA((VLOOKUP($A93,HN!$A:$M,9,FALSE)/12),0)</f>
        <v>0</v>
      </c>
      <c r="EA93" s="308">
        <f>_xlfn.IFNA((VLOOKUP($A93,'Post 16'!$A:$AG,33,FALSE)/8),0)</f>
        <v>0</v>
      </c>
      <c r="EB93" s="308"/>
      <c r="EC93" s="308">
        <f>_xlfn.IFNA(((VLOOKUP($A93,HN!$A:$M,10,FALSE)-$U93-$AK93)/10),0)</f>
        <v>10503.9285</v>
      </c>
      <c r="ED93" s="308">
        <f>_xlfn.IFNA(((VLOOKUP($A93,HN!$A:$M,13,FALSE)-$V93-$AL93)/10),0)</f>
        <v>0</v>
      </c>
      <c r="EE93" s="307">
        <f t="shared" si="139"/>
        <v>-354.82499999999999</v>
      </c>
      <c r="EF93" s="307">
        <f t="shared" si="140"/>
        <v>-1316.7362499999999</v>
      </c>
      <c r="EG93" s="308"/>
      <c r="EH93" s="308"/>
      <c r="EI93" s="308"/>
      <c r="EJ93" s="307">
        <f t="shared" si="141"/>
        <v>112768.70171042565</v>
      </c>
      <c r="EK93" s="320">
        <f t="shared" si="142"/>
        <v>103936.33446042566</v>
      </c>
      <c r="EL93" s="320"/>
      <c r="EM93" s="320"/>
      <c r="EN93" s="321">
        <f>_xlfn.IFNA((VLOOKUP($A93,HN!$A:$M,8,FALSE)/12),0)</f>
        <v>0</v>
      </c>
      <c r="EO93" s="321">
        <f>_xlfn.IFNA((VLOOKUP($A93,HN!$A:$M,12,FALSE)/12),0)</f>
        <v>0</v>
      </c>
      <c r="EP93" s="321">
        <f>_xlfn.IFNA((VLOOKUP($A93,HN!$A:$M,9,FALSE)/12),0)</f>
        <v>0</v>
      </c>
      <c r="EQ93" s="321">
        <f>_xlfn.IFNA((VLOOKUP($A93,'Post 16'!$A:$AG,33,FALSE)/8),0)</f>
        <v>0</v>
      </c>
      <c r="ER93" s="321"/>
      <c r="ES93" s="321">
        <f>_xlfn.IFNA(((VLOOKUP($A93,HN!$A:$M,10,FALSE)-$U93-$AK93)/10),0)</f>
        <v>10503.9285</v>
      </c>
      <c r="ET93" s="321">
        <f>_xlfn.IFNA(((VLOOKUP($A93,HN!$A:$M,13,FALSE)-$V93-$AL93)/10),0)</f>
        <v>0</v>
      </c>
      <c r="EU93" s="320">
        <f t="shared" si="143"/>
        <v>-354.82499999999999</v>
      </c>
      <c r="EV93" s="320">
        <f t="shared" si="144"/>
        <v>-1316.7362499999999</v>
      </c>
      <c r="EW93" s="321"/>
      <c r="EX93" s="321"/>
      <c r="EY93" s="321"/>
      <c r="EZ93" s="320">
        <f t="shared" si="145"/>
        <v>112768.70171042565</v>
      </c>
      <c r="FA93" s="286">
        <f t="shared" si="146"/>
        <v>103936.33446042566</v>
      </c>
      <c r="FB93" s="286"/>
      <c r="FC93" s="286"/>
      <c r="FD93" s="287">
        <f>_xlfn.IFNA((VLOOKUP($A93,HN!$A:$M,8,FALSE)/12),0)</f>
        <v>0</v>
      </c>
      <c r="FE93" s="287">
        <f>_xlfn.IFNA((VLOOKUP($A93,HN!$A:$M,12,FALSE)/12),0)</f>
        <v>0</v>
      </c>
      <c r="FF93" s="287">
        <f>_xlfn.IFNA((VLOOKUP($A93,HN!$A:$M,9,FALSE)/12),0)</f>
        <v>0</v>
      </c>
      <c r="FG93" s="287">
        <f>_xlfn.IFNA((VLOOKUP($A93,'Post 16'!$A:$AG,33,FALSE)/8),0)</f>
        <v>0</v>
      </c>
      <c r="FH93" s="287"/>
      <c r="FI93" s="287">
        <f>_xlfn.IFNA(((VLOOKUP($A93,HN!$A:$M,10,FALSE)-$U93-$AK93)/10),0)</f>
        <v>10503.9285</v>
      </c>
      <c r="FJ93" s="287">
        <f>_xlfn.IFNA(((VLOOKUP($A93,HN!$A:$M,13,FALSE)-$V93-$AL93)/10),0)</f>
        <v>0</v>
      </c>
      <c r="FK93" s="286">
        <f t="shared" si="147"/>
        <v>-354.82499999999999</v>
      </c>
      <c r="FL93" s="286">
        <f t="shared" si="148"/>
        <v>-1316.7362499999999</v>
      </c>
      <c r="FM93" s="287"/>
      <c r="FN93" s="287"/>
      <c r="FO93" s="287"/>
      <c r="FP93" s="286">
        <f t="shared" si="149"/>
        <v>112768.70171042565</v>
      </c>
      <c r="FQ93" s="293">
        <f t="shared" si="150"/>
        <v>103936.33446042566</v>
      </c>
      <c r="FR93" s="293"/>
      <c r="FS93" s="293"/>
      <c r="FT93" s="294">
        <f>_xlfn.IFNA((VLOOKUP($A93,HN!$A:$M,8,FALSE)/12),0)</f>
        <v>0</v>
      </c>
      <c r="FU93" s="294">
        <f>_xlfn.IFNA((VLOOKUP($A93,HN!$A:$M,12,FALSE)/12),0)</f>
        <v>0</v>
      </c>
      <c r="FV93" s="294">
        <f>_xlfn.IFNA((VLOOKUP($A93,HN!$A:$M,9,FALSE)/12),0)</f>
        <v>0</v>
      </c>
      <c r="FW93" s="294">
        <f>_xlfn.IFNA((VLOOKUP($A93,'Post 16'!$A:$AG,33,FALSE)/8),0)</f>
        <v>0</v>
      </c>
      <c r="FX93" s="294"/>
      <c r="FY93" s="294">
        <f>_xlfn.IFNA(((VLOOKUP($A93,HN!$A:$M,10,FALSE)-$U93-$AK93)/10),0)</f>
        <v>10503.9285</v>
      </c>
      <c r="FZ93" s="294">
        <f>_xlfn.IFNA(((VLOOKUP($A93,HN!$A:$M,13,FALSE)-$V93-$AL93)/10),0)</f>
        <v>0</v>
      </c>
      <c r="GA93" s="293">
        <f t="shared" si="151"/>
        <v>-354.82499999999999</v>
      </c>
      <c r="GB93" s="293">
        <f t="shared" si="152"/>
        <v>-1316.7362499999999</v>
      </c>
      <c r="GC93" s="294"/>
      <c r="GD93" s="294"/>
      <c r="GE93" s="294"/>
      <c r="GF93" s="293">
        <f t="shared" si="153"/>
        <v>112768.70171042565</v>
      </c>
      <c r="GG93" s="300">
        <f t="shared" si="154"/>
        <v>103936.33446042566</v>
      </c>
      <c r="GH93" s="300"/>
      <c r="GI93" s="300"/>
      <c r="GJ93" s="301">
        <f>_xlfn.IFNA((VLOOKUP($A93,HN!$A:$M,8,FALSE)/12),0)</f>
        <v>0</v>
      </c>
      <c r="GK93" s="301">
        <f>_xlfn.IFNA((VLOOKUP($A93,HN!$A:$M,12,FALSE)/12),0)</f>
        <v>0</v>
      </c>
      <c r="GL93" s="301">
        <f>_xlfn.IFNA((VLOOKUP($A93,HN!$A:$M,9,FALSE)/12),0)</f>
        <v>0</v>
      </c>
      <c r="GM93" s="301">
        <f>_xlfn.IFNA((VLOOKUP($A93,'Post 16'!$A:$AG,33,FALSE)/8),0)</f>
        <v>0</v>
      </c>
      <c r="GN93" s="301"/>
      <c r="GO93" s="301">
        <f>_xlfn.IFNA(((VLOOKUP($A93,HN!$A:$M,10,FALSE)-$U93-$AK93)/10),0)</f>
        <v>10503.9285</v>
      </c>
      <c r="GP93" s="301">
        <f>_xlfn.IFNA(((VLOOKUP($A93,HN!$A:$M,13,FALSE)-$V93-$AL93)/10),0)</f>
        <v>0</v>
      </c>
      <c r="GQ93" s="300">
        <f t="shared" si="155"/>
        <v>-354.82499999999999</v>
      </c>
      <c r="GR93" s="300">
        <f t="shared" si="156"/>
        <v>-1316.7362499999999</v>
      </c>
      <c r="GS93" s="301"/>
      <c r="GT93" s="301"/>
      <c r="GU93" s="301"/>
      <c r="GV93" s="300">
        <f t="shared" si="157"/>
        <v>112768.70171042565</v>
      </c>
      <c r="GX93" s="146">
        <f t="shared" si="160"/>
        <v>1247236.0135251079</v>
      </c>
      <c r="GY93" s="146">
        <f t="shared" si="160"/>
        <v>0</v>
      </c>
      <c r="GZ93" s="146">
        <f t="shared" si="160"/>
        <v>129544.49999999997</v>
      </c>
      <c r="HA93" s="146">
        <f t="shared" si="160"/>
        <v>-4257.8999999999987</v>
      </c>
      <c r="HB93" s="146">
        <f t="shared" si="160"/>
        <v>-15800.834999999999</v>
      </c>
      <c r="HC93" s="146">
        <f t="shared" si="160"/>
        <v>0</v>
      </c>
      <c r="HE93" s="146">
        <f t="shared" si="161"/>
        <v>311809.00338127697</v>
      </c>
      <c r="HF93" s="146">
        <f t="shared" si="161"/>
        <v>0</v>
      </c>
      <c r="HG93" s="146">
        <f t="shared" si="161"/>
        <v>35009.143500000006</v>
      </c>
      <c r="HH93" s="146">
        <f t="shared" si="161"/>
        <v>-1064.4749999999999</v>
      </c>
      <c r="HI93" s="146">
        <f t="shared" si="161"/>
        <v>-3950.2087499999998</v>
      </c>
      <c r="HJ93" s="146">
        <f t="shared" si="161"/>
        <v>0</v>
      </c>
      <c r="HL93" s="146"/>
      <c r="HM93" s="57"/>
    </row>
    <row r="94" spans="1:221">
      <c r="A94" s="185">
        <v>2189</v>
      </c>
      <c r="B94" s="185">
        <v>103265</v>
      </c>
      <c r="C94" s="185" t="s">
        <v>211</v>
      </c>
      <c r="D94" s="2" t="s">
        <v>212</v>
      </c>
      <c r="E94" s="190" t="s">
        <v>39</v>
      </c>
      <c r="F94" s="190" t="s">
        <v>890</v>
      </c>
      <c r="H94" s="271">
        <f>_xlfn.IFNA(VLOOKUP($A94,ISB!$A$4:$BY$441,67,FALSE),0)</f>
        <v>1525171.2326038715</v>
      </c>
      <c r="I94" s="271">
        <f>_xlfn.IFNA(VLOOKUP($A94,ISB!$A$4:$BY$441,72,FALSE),0)</f>
        <v>-5179.2</v>
      </c>
      <c r="J94" s="271">
        <f>-_xlfn.IFNA(VLOOKUP($A94,ISB!$A$4:$BY$441,76,FALSE),0)</f>
        <v>-33713.7255</v>
      </c>
      <c r="K94" s="271">
        <f>_xlfn.IFNA(VLOOKUP($A94,ISB!$A$4:$BY$441,77,FALSE),0)</f>
        <v>1486278.3071038716</v>
      </c>
      <c r="M94" s="279">
        <f t="shared" si="110"/>
        <v>127097.60271698929</v>
      </c>
      <c r="N94" s="279"/>
      <c r="O94" s="279">
        <f>_xlfn.IFNA(VLOOKUP($A94,EY!$A:$H,8,FALSE)+(VLOOKUP($A94,EY!$A:$R,18,FALSE)-$T94),0)</f>
        <v>31169.528000000006</v>
      </c>
      <c r="P94" s="280">
        <f>_xlfn.IFNA((VLOOKUP($A94,HN!$A:$M,8,FALSE)/12),0)</f>
        <v>0</v>
      </c>
      <c r="Q94" s="280">
        <f>_xlfn.IFNA((VLOOKUP($A94,HN!$A:$M,12,FALSE)/12),0)</f>
        <v>0</v>
      </c>
      <c r="R94" s="280">
        <f>_xlfn.IFNA((VLOOKUP($A94,HN!$A:$M,9,FALSE)/12),0)</f>
        <v>0</v>
      </c>
      <c r="S94" s="280">
        <f>_xlfn.IFNA((VLOOKUP($A94,'Post 16'!$A:$AR,22,FALSE)/4),0)</f>
        <v>0</v>
      </c>
      <c r="T94" s="280">
        <f>_xlfn.IFNA((VLOOKUP($A94,EY!$A:$R,16,FALSE)*80%),0)</f>
        <v>0</v>
      </c>
      <c r="U94" s="280">
        <v>4212.6391666666668</v>
      </c>
      <c r="V94" s="280">
        <v>0</v>
      </c>
      <c r="W94" s="279">
        <f t="shared" si="111"/>
        <v>-431.59999999999997</v>
      </c>
      <c r="X94" s="279">
        <f t="shared" si="112"/>
        <v>-2809.4771249999999</v>
      </c>
      <c r="Y94" s="280"/>
      <c r="Z94" s="280"/>
      <c r="AA94" s="280"/>
      <c r="AB94" s="279">
        <f t="shared" si="113"/>
        <v>159238.69275865593</v>
      </c>
      <c r="AC94" s="293">
        <f t="shared" si="114"/>
        <v>127097.60271698929</v>
      </c>
      <c r="AD94" s="293"/>
      <c r="AE94" s="293"/>
      <c r="AF94" s="294">
        <f>_xlfn.IFNA((VLOOKUP($A94,HN!$A:$M,8,FALSE)/12),0)</f>
        <v>0</v>
      </c>
      <c r="AG94" s="294">
        <f>_xlfn.IFNA((VLOOKUP($A94,HN!$A:$M,12,FALSE)/12),0)+_xlfn.IFNA(VLOOKUP($A94,HN!$A:$Q,17,FALSE),0)</f>
        <v>0</v>
      </c>
      <c r="AH94" s="294">
        <f>_xlfn.IFNA((VLOOKUP($A94,HN!$A:$M,9,FALSE)/12),0)</f>
        <v>0</v>
      </c>
      <c r="AI94" s="294">
        <f>_xlfn.IFNA((VLOOKUP($A94,'Post 16'!$A:$AR,22,FALSE)/4),0)</f>
        <v>0</v>
      </c>
      <c r="AJ94" s="294"/>
      <c r="AK94" s="294">
        <f>_xlfn.IFNA((VLOOKUP($A94,HN!$A:$M,10,FALSE)/12),0)</f>
        <v>2163.9933333333333</v>
      </c>
      <c r="AL94" s="294">
        <f>_xlfn.IFNA((VLOOKUP($A94,HN!$A:$M,13,FALSE)/12),0)</f>
        <v>0</v>
      </c>
      <c r="AM94" s="293">
        <f t="shared" si="115"/>
        <v>-431.59999999999997</v>
      </c>
      <c r="AN94" s="293">
        <f t="shared" si="116"/>
        <v>-2809.4771249999999</v>
      </c>
      <c r="AO94" s="294"/>
      <c r="AP94" s="294"/>
      <c r="AQ94" s="294"/>
      <c r="AR94" s="293">
        <f t="shared" si="117"/>
        <v>126020.51892532261</v>
      </c>
      <c r="AS94" s="286">
        <f t="shared" si="118"/>
        <v>127097.60271698929</v>
      </c>
      <c r="AT94" s="286"/>
      <c r="AU94" s="286">
        <f>_xlfn.IFNA(VLOOKUP(A94,EY!A:AO,40,FALSE),0)</f>
        <v>11122.275263157893</v>
      </c>
      <c r="AV94" s="287">
        <f>_xlfn.IFNA((VLOOKUP($A94,HN!$A:$M,8,FALSE)/12),0)</f>
        <v>0</v>
      </c>
      <c r="AW94" s="287">
        <f>_xlfn.IFNA((VLOOKUP($A94,HN!$A:$M,12,FALSE)/12),0)+_xlfn.IFNA(VLOOKUP($A94,HN!$A$8:$AU$200,19,FALSE),0)</f>
        <v>0</v>
      </c>
      <c r="AX94" s="287">
        <f>_xlfn.IFNA((VLOOKUP($A94,HN!$A:$M,9,FALSE)/12),0)</f>
        <v>0</v>
      </c>
      <c r="AY94" s="287">
        <f>_xlfn.IFNA((VLOOKUP($A94,'Post 16'!$A:$AR,22,FALSE)/4),0)</f>
        <v>0</v>
      </c>
      <c r="AZ94" s="287">
        <f>_xlfn.IFNA(VLOOKUP(A94,EY!A:AO,41,FALSE),0)</f>
        <v>0</v>
      </c>
      <c r="BA94" s="287">
        <f>_xlfn.IFNA(((VLOOKUP($A94,HN!$A:$M,10,FALSE)-$U94-$AK94)/10),0)+_xlfn.IFNA(VLOOKUP($A94,HN!$A:$R,18,FALSE),0)</f>
        <v>1959.1287499999999</v>
      </c>
      <c r="BB94" s="287">
        <f>_xlfn.IFNA(((VLOOKUP($A94,HN!$A:$M,13,FALSE)-$V94-$AL94)/10),0)+_xlfn.IFNA(VLOOKUP($A94,HN!$A$8:$AU$200,20,FALSE),0)</f>
        <v>0</v>
      </c>
      <c r="BC94" s="286">
        <f t="shared" si="119"/>
        <v>-431.59999999999997</v>
      </c>
      <c r="BD94" s="286">
        <f t="shared" si="120"/>
        <v>-2809.4771249999999</v>
      </c>
      <c r="BE94" s="287"/>
      <c r="BF94" s="287"/>
      <c r="BG94" s="287"/>
      <c r="BH94" s="286">
        <f t="shared" si="121"/>
        <v>136937.92960514719</v>
      </c>
      <c r="BI94" s="307">
        <f t="shared" si="122"/>
        <v>127097.60271698929</v>
      </c>
      <c r="BJ94" s="307">
        <f>_xlfn.IFNA(VLOOKUP(A94,'LA Deductions'!A:AH,34,FALSE),0)</f>
        <v>0</v>
      </c>
      <c r="BK94" s="307"/>
      <c r="BL94" s="308">
        <f>_xlfn.IFNA((VLOOKUP($A94,HN!$A:$M,8,FALSE)/12),0)</f>
        <v>0</v>
      </c>
      <c r="BM94" s="308">
        <f>_xlfn.IFNA((VLOOKUP($A94,HN!$A:$M,12,FALSE)/12),0)</f>
        <v>0</v>
      </c>
      <c r="BN94" s="308">
        <f>_xlfn.IFNA((VLOOKUP($A94,HN!$A:$M,9,FALSE)/12),0)</f>
        <v>0</v>
      </c>
      <c r="BO94" s="308">
        <f>_xlfn.IFNA((VLOOKUP($A94,'Post 16'!$A:$AR,22,FALSE)/4),0)</f>
        <v>0</v>
      </c>
      <c r="BP94" s="308"/>
      <c r="BQ94" s="308">
        <f>_xlfn.IFNA(((VLOOKUP($A94,HN!$A:$M,10,FALSE)-$U94-$AK94)/10),0)</f>
        <v>1959.1287499999999</v>
      </c>
      <c r="BR94" s="308">
        <f>_xlfn.IFNA(((VLOOKUP($A94,HN!$A:$M,13,FALSE)-$V94-$AL94)/10),0)</f>
        <v>0</v>
      </c>
      <c r="BS94" s="307">
        <f t="shared" si="123"/>
        <v>-431.59999999999997</v>
      </c>
      <c r="BT94" s="307">
        <f t="shared" si="124"/>
        <v>-2809.4771249999999</v>
      </c>
      <c r="BU94" s="308"/>
      <c r="BV94" s="308"/>
      <c r="BW94" s="308"/>
      <c r="BX94" s="307">
        <f t="shared" si="125"/>
        <v>125815.65434198928</v>
      </c>
      <c r="BY94" s="300">
        <f t="shared" si="126"/>
        <v>127097.60271698929</v>
      </c>
      <c r="BZ94" s="300"/>
      <c r="CA94" s="300"/>
      <c r="CB94" s="301">
        <f>_xlfn.IFNA((VLOOKUP($A94,HN!$A:$M,8,FALSE)/12),0)</f>
        <v>0</v>
      </c>
      <c r="CC94" s="301">
        <f>_xlfn.IFNA((VLOOKUP($A94,HN!$A:$M,12,FALSE)/12),0)</f>
        <v>0</v>
      </c>
      <c r="CD94" s="301">
        <f>_xlfn.IFNA((VLOOKUP($A94,HN!$A:$M,9,FALSE)/12),0)</f>
        <v>0</v>
      </c>
      <c r="CE94" s="301">
        <f>_xlfn.IFNA((VLOOKUP($A94,'Post 16'!$A:$AG,33,FALSE)/8),0)</f>
        <v>0</v>
      </c>
      <c r="CF94" s="301"/>
      <c r="CG94" s="301">
        <f>_xlfn.IFNA(((VLOOKUP($A94,HN!$A:$M,10,FALSE)-$U94-$AK94)/10),0)</f>
        <v>1959.1287499999999</v>
      </c>
      <c r="CH94" s="301">
        <f>_xlfn.IFNA(((VLOOKUP($A94,HN!$A:$M,13,FALSE)-$V94-$AL94)/10),0)</f>
        <v>0</v>
      </c>
      <c r="CI94" s="300">
        <f t="shared" si="127"/>
        <v>-431.59999999999997</v>
      </c>
      <c r="CJ94" s="300">
        <f t="shared" si="128"/>
        <v>-2809.4771249999999</v>
      </c>
      <c r="CK94" s="301"/>
      <c r="CL94" s="301"/>
      <c r="CM94" s="301"/>
      <c r="CN94" s="300">
        <f t="shared" si="129"/>
        <v>125815.65434198928</v>
      </c>
      <c r="CO94" s="332">
        <f t="shared" si="130"/>
        <v>127097.60271698929</v>
      </c>
      <c r="CP94" s="332"/>
      <c r="CQ94" s="332">
        <f>_xlfn.IFNA((VLOOKUP($A94,EY!$A:$AB,28,FALSE)-$CV94),0)</f>
        <v>19475.248000000003</v>
      </c>
      <c r="CR94" s="333">
        <f>_xlfn.IFNA((VLOOKUP($A94,HN!$A:$M,8,FALSE)/12),0)</f>
        <v>0</v>
      </c>
      <c r="CS94" s="333">
        <f>_xlfn.IFNA((VLOOKUP($A94,HN!$A:$M,12,FALSE)/12),0)</f>
        <v>0</v>
      </c>
      <c r="CT94" s="333">
        <f>_xlfn.IFNA((VLOOKUP($A94,HN!$A:$M,9,FALSE)/12),0)</f>
        <v>0</v>
      </c>
      <c r="CU94" s="333">
        <f>_xlfn.IFNA((VLOOKUP($A94,'Post 16'!$A:$AG,33,FALSE)/8),0)</f>
        <v>0</v>
      </c>
      <c r="CV94" s="333">
        <f>_xlfn.IFNA((VLOOKUP($A94,EY!$A:$AB,26,FALSE)*80%),0)</f>
        <v>0</v>
      </c>
      <c r="CW94" s="333">
        <f>_xlfn.IFNA(((VLOOKUP($A94,HN!$A:$M,10,FALSE)-$U94-$AK94)/10),0)</f>
        <v>1959.1287499999999</v>
      </c>
      <c r="CX94" s="333">
        <f>_xlfn.IFNA(((VLOOKUP($A94,HN!$A:$M,13,FALSE)-$V94-$AL94)/10),0)</f>
        <v>0</v>
      </c>
      <c r="CY94" s="332">
        <f t="shared" si="131"/>
        <v>-431.59999999999997</v>
      </c>
      <c r="CZ94" s="332">
        <f t="shared" si="132"/>
        <v>-2809.4771249999999</v>
      </c>
      <c r="DA94" s="333"/>
      <c r="DB94" s="333"/>
      <c r="DC94" s="333"/>
      <c r="DD94" s="332">
        <f t="shared" si="133"/>
        <v>145290.90234198928</v>
      </c>
      <c r="DE94" s="314">
        <f t="shared" si="134"/>
        <v>127097.60271698929</v>
      </c>
      <c r="DF94" s="314"/>
      <c r="DG94" s="314"/>
      <c r="DH94" s="315">
        <f>_xlfn.IFNA((VLOOKUP($A94,HN!$A:$M,8,FALSE)/12),0)</f>
        <v>0</v>
      </c>
      <c r="DI94" s="315">
        <f>_xlfn.IFNA((VLOOKUP($A94,HN!$A:$M,12,FALSE)/12),0)</f>
        <v>0</v>
      </c>
      <c r="DJ94" s="315">
        <f>_xlfn.IFNA((VLOOKUP($A94,HN!$A:$M,9,FALSE)/12),0)</f>
        <v>0</v>
      </c>
      <c r="DK94" s="315">
        <f>_xlfn.IFNA((VLOOKUP($A94,'Post 16'!$A:$AG,33,FALSE)/8),0)</f>
        <v>0</v>
      </c>
      <c r="DL94" s="315"/>
      <c r="DM94" s="315">
        <f>_xlfn.IFNA(((VLOOKUP($A94,HN!$A:$M,10,FALSE)-$U94-$AK94)/10),0)</f>
        <v>1959.1287499999999</v>
      </c>
      <c r="DN94" s="315">
        <f>_xlfn.IFNA(((VLOOKUP($A94,HN!$A:$M,13,FALSE)-$V94-$AL94)/10),0)</f>
        <v>0</v>
      </c>
      <c r="DO94" s="314">
        <f t="shared" si="135"/>
        <v>-431.59999999999997</v>
      </c>
      <c r="DP94" s="314">
        <f t="shared" si="136"/>
        <v>-2809.4771249999999</v>
      </c>
      <c r="DQ94" s="315"/>
      <c r="DR94" s="315"/>
      <c r="DS94" s="315"/>
      <c r="DT94" s="314">
        <f t="shared" si="137"/>
        <v>125815.65434198928</v>
      </c>
      <c r="DU94" s="307">
        <f t="shared" si="138"/>
        <v>127097.60271698929</v>
      </c>
      <c r="DV94" s="307"/>
      <c r="DW94" s="307"/>
      <c r="DX94" s="308">
        <f>_xlfn.IFNA((VLOOKUP($A94,HN!$A:$M,8,FALSE)/12),0)</f>
        <v>0</v>
      </c>
      <c r="DY94" s="308">
        <f>_xlfn.IFNA((VLOOKUP($A94,HN!$A:$M,12,FALSE)/12),0)</f>
        <v>0</v>
      </c>
      <c r="DZ94" s="308">
        <f>_xlfn.IFNA((VLOOKUP($A94,HN!$A:$M,9,FALSE)/12),0)</f>
        <v>0</v>
      </c>
      <c r="EA94" s="308">
        <f>_xlfn.IFNA((VLOOKUP($A94,'Post 16'!$A:$AG,33,FALSE)/8),0)</f>
        <v>0</v>
      </c>
      <c r="EB94" s="308"/>
      <c r="EC94" s="308">
        <f>_xlfn.IFNA(((VLOOKUP($A94,HN!$A:$M,10,FALSE)-$U94-$AK94)/10),0)</f>
        <v>1959.1287499999999</v>
      </c>
      <c r="ED94" s="308">
        <f>_xlfn.IFNA(((VLOOKUP($A94,HN!$A:$M,13,FALSE)-$V94-$AL94)/10),0)</f>
        <v>0</v>
      </c>
      <c r="EE94" s="307">
        <f t="shared" si="139"/>
        <v>-431.59999999999997</v>
      </c>
      <c r="EF94" s="307">
        <f t="shared" si="140"/>
        <v>-2809.4771249999999</v>
      </c>
      <c r="EG94" s="308"/>
      <c r="EH94" s="308"/>
      <c r="EI94" s="308"/>
      <c r="EJ94" s="307">
        <f t="shared" si="141"/>
        <v>125815.65434198928</v>
      </c>
      <c r="EK94" s="320">
        <f t="shared" si="142"/>
        <v>127097.60271698929</v>
      </c>
      <c r="EL94" s="320"/>
      <c r="EM94" s="320"/>
      <c r="EN94" s="321">
        <f>_xlfn.IFNA((VLOOKUP($A94,HN!$A:$M,8,FALSE)/12),0)</f>
        <v>0</v>
      </c>
      <c r="EO94" s="321">
        <f>_xlfn.IFNA((VLOOKUP($A94,HN!$A:$M,12,FALSE)/12),0)</f>
        <v>0</v>
      </c>
      <c r="EP94" s="321">
        <f>_xlfn.IFNA((VLOOKUP($A94,HN!$A:$M,9,FALSE)/12),0)</f>
        <v>0</v>
      </c>
      <c r="EQ94" s="321">
        <f>_xlfn.IFNA((VLOOKUP($A94,'Post 16'!$A:$AG,33,FALSE)/8),0)</f>
        <v>0</v>
      </c>
      <c r="ER94" s="321"/>
      <c r="ES94" s="321">
        <f>_xlfn.IFNA(((VLOOKUP($A94,HN!$A:$M,10,FALSE)-$U94-$AK94)/10),0)</f>
        <v>1959.1287499999999</v>
      </c>
      <c r="ET94" s="321">
        <f>_xlfn.IFNA(((VLOOKUP($A94,HN!$A:$M,13,FALSE)-$V94-$AL94)/10),0)</f>
        <v>0</v>
      </c>
      <c r="EU94" s="320">
        <f t="shared" si="143"/>
        <v>-431.59999999999997</v>
      </c>
      <c r="EV94" s="320">
        <f t="shared" si="144"/>
        <v>-2809.4771249999999</v>
      </c>
      <c r="EW94" s="321"/>
      <c r="EX94" s="321"/>
      <c r="EY94" s="321"/>
      <c r="EZ94" s="320">
        <f t="shared" si="145"/>
        <v>125815.65434198928</v>
      </c>
      <c r="FA94" s="286">
        <f t="shared" si="146"/>
        <v>127097.60271698929</v>
      </c>
      <c r="FB94" s="286"/>
      <c r="FC94" s="286"/>
      <c r="FD94" s="287">
        <f>_xlfn.IFNA((VLOOKUP($A94,HN!$A:$M,8,FALSE)/12),0)</f>
        <v>0</v>
      </c>
      <c r="FE94" s="287">
        <f>_xlfn.IFNA((VLOOKUP($A94,HN!$A:$M,12,FALSE)/12),0)</f>
        <v>0</v>
      </c>
      <c r="FF94" s="287">
        <f>_xlfn.IFNA((VLOOKUP($A94,HN!$A:$M,9,FALSE)/12),0)</f>
        <v>0</v>
      </c>
      <c r="FG94" s="287">
        <f>_xlfn.IFNA((VLOOKUP($A94,'Post 16'!$A:$AG,33,FALSE)/8),0)</f>
        <v>0</v>
      </c>
      <c r="FH94" s="287"/>
      <c r="FI94" s="287">
        <f>_xlfn.IFNA(((VLOOKUP($A94,HN!$A:$M,10,FALSE)-$U94-$AK94)/10),0)</f>
        <v>1959.1287499999999</v>
      </c>
      <c r="FJ94" s="287">
        <f>_xlfn.IFNA(((VLOOKUP($A94,HN!$A:$M,13,FALSE)-$V94-$AL94)/10),0)</f>
        <v>0</v>
      </c>
      <c r="FK94" s="286">
        <f t="shared" si="147"/>
        <v>-431.59999999999997</v>
      </c>
      <c r="FL94" s="286">
        <f t="shared" si="148"/>
        <v>-2809.4771249999999</v>
      </c>
      <c r="FM94" s="287"/>
      <c r="FN94" s="287"/>
      <c r="FO94" s="287"/>
      <c r="FP94" s="286">
        <f t="shared" si="149"/>
        <v>125815.65434198928</v>
      </c>
      <c r="FQ94" s="293">
        <f t="shared" si="150"/>
        <v>127097.60271698929</v>
      </c>
      <c r="FR94" s="293"/>
      <c r="FS94" s="293"/>
      <c r="FT94" s="294">
        <f>_xlfn.IFNA((VLOOKUP($A94,HN!$A:$M,8,FALSE)/12),0)</f>
        <v>0</v>
      </c>
      <c r="FU94" s="294">
        <f>_xlfn.IFNA((VLOOKUP($A94,HN!$A:$M,12,FALSE)/12),0)</f>
        <v>0</v>
      </c>
      <c r="FV94" s="294">
        <f>_xlfn.IFNA((VLOOKUP($A94,HN!$A:$M,9,FALSE)/12),0)</f>
        <v>0</v>
      </c>
      <c r="FW94" s="294">
        <f>_xlfn.IFNA((VLOOKUP($A94,'Post 16'!$A:$AG,33,FALSE)/8),0)</f>
        <v>0</v>
      </c>
      <c r="FX94" s="294"/>
      <c r="FY94" s="294">
        <f>_xlfn.IFNA(((VLOOKUP($A94,HN!$A:$M,10,FALSE)-$U94-$AK94)/10),0)</f>
        <v>1959.1287499999999</v>
      </c>
      <c r="FZ94" s="294">
        <f>_xlfn.IFNA(((VLOOKUP($A94,HN!$A:$M,13,FALSE)-$V94-$AL94)/10),0)</f>
        <v>0</v>
      </c>
      <c r="GA94" s="293">
        <f t="shared" si="151"/>
        <v>-431.59999999999997</v>
      </c>
      <c r="GB94" s="293">
        <f t="shared" si="152"/>
        <v>-2809.4771249999999</v>
      </c>
      <c r="GC94" s="294"/>
      <c r="GD94" s="294"/>
      <c r="GE94" s="294"/>
      <c r="GF94" s="293">
        <f t="shared" si="153"/>
        <v>125815.65434198928</v>
      </c>
      <c r="GG94" s="300">
        <f t="shared" si="154"/>
        <v>127097.60271698929</v>
      </c>
      <c r="GH94" s="300"/>
      <c r="GI94" s="300"/>
      <c r="GJ94" s="301">
        <f>_xlfn.IFNA((VLOOKUP($A94,HN!$A:$M,8,FALSE)/12),0)</f>
        <v>0</v>
      </c>
      <c r="GK94" s="301">
        <f>_xlfn.IFNA((VLOOKUP($A94,HN!$A:$M,12,FALSE)/12),0)</f>
        <v>0</v>
      </c>
      <c r="GL94" s="301">
        <f>_xlfn.IFNA((VLOOKUP($A94,HN!$A:$M,9,FALSE)/12),0)</f>
        <v>0</v>
      </c>
      <c r="GM94" s="301">
        <f>_xlfn.IFNA((VLOOKUP($A94,'Post 16'!$A:$AG,33,FALSE)/8),0)</f>
        <v>0</v>
      </c>
      <c r="GN94" s="301"/>
      <c r="GO94" s="301">
        <f>_xlfn.IFNA(((VLOOKUP($A94,HN!$A:$M,10,FALSE)-$U94-$AK94)/10),0)</f>
        <v>1959.1287499999999</v>
      </c>
      <c r="GP94" s="301">
        <f>_xlfn.IFNA(((VLOOKUP($A94,HN!$A:$M,13,FALSE)-$V94-$AL94)/10),0)</f>
        <v>0</v>
      </c>
      <c r="GQ94" s="300">
        <f t="shared" si="155"/>
        <v>-431.59999999999997</v>
      </c>
      <c r="GR94" s="300">
        <f t="shared" si="156"/>
        <v>-2809.4771249999999</v>
      </c>
      <c r="GS94" s="301"/>
      <c r="GT94" s="301"/>
      <c r="GU94" s="301"/>
      <c r="GV94" s="300">
        <f t="shared" si="157"/>
        <v>125815.65434198928</v>
      </c>
      <c r="GX94" s="146">
        <f t="shared" si="160"/>
        <v>1586938.2838670297</v>
      </c>
      <c r="GY94" s="146">
        <f t="shared" si="160"/>
        <v>0</v>
      </c>
      <c r="GZ94" s="146">
        <f t="shared" si="160"/>
        <v>25967.919999999998</v>
      </c>
      <c r="HA94" s="146">
        <f t="shared" si="160"/>
        <v>-5179.2000000000007</v>
      </c>
      <c r="HB94" s="146">
        <f t="shared" si="160"/>
        <v>-33713.725500000008</v>
      </c>
      <c r="HC94" s="146">
        <f t="shared" si="160"/>
        <v>0</v>
      </c>
      <c r="HE94" s="146">
        <f t="shared" si="161"/>
        <v>423584.61141412577</v>
      </c>
      <c r="HF94" s="146">
        <f t="shared" si="161"/>
        <v>0</v>
      </c>
      <c r="HG94" s="146">
        <f t="shared" si="161"/>
        <v>8335.7612499999996</v>
      </c>
      <c r="HH94" s="146">
        <f t="shared" si="161"/>
        <v>-1294.8</v>
      </c>
      <c r="HI94" s="146">
        <f t="shared" si="161"/>
        <v>-8428.4313750000001</v>
      </c>
      <c r="HJ94" s="146">
        <f t="shared" si="161"/>
        <v>0</v>
      </c>
      <c r="HL94" s="146"/>
      <c r="HM94" s="57"/>
    </row>
    <row r="95" spans="1:221">
      <c r="A95" s="185">
        <v>7060</v>
      </c>
      <c r="B95" s="185">
        <v>103630</v>
      </c>
      <c r="C95" s="185" t="s">
        <v>213</v>
      </c>
      <c r="D95" s="2" t="s">
        <v>214</v>
      </c>
      <c r="E95" s="190" t="s">
        <v>56</v>
      </c>
      <c r="F95" s="190" t="s">
        <v>890</v>
      </c>
      <c r="H95" s="271">
        <f>_xlfn.IFNA(VLOOKUP($A95,ISB!$A$4:$BY$441,67,FALSE),0)</f>
        <v>0</v>
      </c>
      <c r="I95" s="271">
        <f>_xlfn.IFNA(VLOOKUP($A95,ISB!$A$4:$BY$441,72,FALSE),0)</f>
        <v>0</v>
      </c>
      <c r="J95" s="271">
        <f>-_xlfn.IFNA(VLOOKUP($A95,ISB!$A$4:$BY$441,76,FALSE),0)</f>
        <v>0</v>
      </c>
      <c r="K95" s="271">
        <f>_xlfn.IFNA(VLOOKUP($A95,ISB!$A$4:$BY$441,77,FALSE),0)</f>
        <v>0</v>
      </c>
      <c r="M95" s="279">
        <f t="shared" si="110"/>
        <v>0</v>
      </c>
      <c r="N95" s="279"/>
      <c r="O95" s="279">
        <f>_xlfn.IFNA(VLOOKUP($A95,EY!$A:$H,8,FALSE)+(VLOOKUP($A95,EY!$A:$R,18,FALSE)-$T95),0)</f>
        <v>0</v>
      </c>
      <c r="P95" s="280">
        <f>_xlfn.IFNA((VLOOKUP($A95,HN!$A:$M,8,FALSE)/12),0)</f>
        <v>104166.66666666667</v>
      </c>
      <c r="Q95" s="280">
        <f>_xlfn.IFNA((VLOOKUP($A95,HN!$A:$M,12,FALSE)/12),0)</f>
        <v>0</v>
      </c>
      <c r="R95" s="280">
        <f>_xlfn.IFNA((VLOOKUP($A95,HN!$A:$M,9,FALSE)/12),0)</f>
        <v>0</v>
      </c>
      <c r="S95" s="280">
        <f>_xlfn.IFNA((VLOOKUP($A95,'Post 16'!$A:$AR,22,FALSE)/4),0)</f>
        <v>0</v>
      </c>
      <c r="T95" s="280">
        <f>_xlfn.IFNA((VLOOKUP($A95,EY!$A:$R,16,FALSE)*80%),0)</f>
        <v>0</v>
      </c>
      <c r="U95" s="280">
        <v>194284.44833333333</v>
      </c>
      <c r="V95" s="280">
        <v>0</v>
      </c>
      <c r="W95" s="279">
        <f t="shared" si="111"/>
        <v>0</v>
      </c>
      <c r="X95" s="279">
        <f t="shared" si="112"/>
        <v>0</v>
      </c>
      <c r="Y95" s="280"/>
      <c r="Z95" s="280"/>
      <c r="AA95" s="280"/>
      <c r="AB95" s="279">
        <f t="shared" si="113"/>
        <v>298451.11499999999</v>
      </c>
      <c r="AC95" s="293">
        <f t="shared" si="114"/>
        <v>0</v>
      </c>
      <c r="AD95" s="293"/>
      <c r="AE95" s="293"/>
      <c r="AF95" s="294">
        <f>_xlfn.IFNA((VLOOKUP($A95,HN!$A:$M,8,FALSE)/12),0)</f>
        <v>104166.66666666667</v>
      </c>
      <c r="AG95" s="294">
        <f>_xlfn.IFNA((VLOOKUP($A95,HN!$A:$M,12,FALSE)/12),0)+_xlfn.IFNA(VLOOKUP($A95,HN!$A:$Q,17,FALSE),0)</f>
        <v>0</v>
      </c>
      <c r="AH95" s="294">
        <f>_xlfn.IFNA((VLOOKUP($A95,HN!$A:$M,9,FALSE)/12),0)</f>
        <v>0</v>
      </c>
      <c r="AI95" s="294">
        <f>_xlfn.IFNA((VLOOKUP($A95,'Post 16'!$A:$AR,22,FALSE)/4),0)</f>
        <v>0</v>
      </c>
      <c r="AJ95" s="294"/>
      <c r="AK95" s="294">
        <f>_xlfn.IFNA((VLOOKUP($A95,HN!$A:$M,10,FALSE)/12),0)</f>
        <v>194284.44833333333</v>
      </c>
      <c r="AL95" s="294">
        <f>_xlfn.IFNA((VLOOKUP($A95,HN!$A:$M,13,FALSE)/12),0)</f>
        <v>0</v>
      </c>
      <c r="AM95" s="293">
        <f t="shared" si="115"/>
        <v>0</v>
      </c>
      <c r="AN95" s="293">
        <f t="shared" si="116"/>
        <v>0</v>
      </c>
      <c r="AO95" s="294"/>
      <c r="AP95" s="294"/>
      <c r="AQ95" s="294"/>
      <c r="AR95" s="293">
        <f t="shared" si="117"/>
        <v>298451.11499999999</v>
      </c>
      <c r="AS95" s="286">
        <f t="shared" si="118"/>
        <v>0</v>
      </c>
      <c r="AT95" s="286"/>
      <c r="AU95" s="286">
        <f>_xlfn.IFNA(VLOOKUP(A95,EY!A:AO,40,FALSE),0)</f>
        <v>0</v>
      </c>
      <c r="AV95" s="287">
        <f>_xlfn.IFNA((VLOOKUP($A95,HN!$A:$M,8,FALSE)/12),0)</f>
        <v>104166.66666666667</v>
      </c>
      <c r="AW95" s="287">
        <f>_xlfn.IFNA((VLOOKUP($A95,HN!$A:$M,12,FALSE)/12),0)+_xlfn.IFNA(VLOOKUP($A95,HN!$A$8:$AU$200,19,FALSE),0)</f>
        <v>0</v>
      </c>
      <c r="AX95" s="287">
        <f>_xlfn.IFNA((VLOOKUP($A95,HN!$A:$M,9,FALSE)/12),0)</f>
        <v>0</v>
      </c>
      <c r="AY95" s="287">
        <f>_xlfn.IFNA((VLOOKUP($A95,'Post 16'!$A:$AR,22,FALSE)/4),0)</f>
        <v>0</v>
      </c>
      <c r="AZ95" s="287">
        <f>_xlfn.IFNA(VLOOKUP(A95,EY!A:AO,41,FALSE),0)</f>
        <v>0</v>
      </c>
      <c r="BA95" s="287">
        <f>_xlfn.IFNA(((VLOOKUP($A95,HN!$A:$M,10,FALSE)-$U95-$AK95)/10),0)+_xlfn.IFNA(VLOOKUP($A95,HN!$A:$R,18,FALSE),0)</f>
        <v>194284.44833333333</v>
      </c>
      <c r="BB95" s="287">
        <f>_xlfn.IFNA(((VLOOKUP($A95,HN!$A:$M,13,FALSE)-$V95-$AL95)/10),0)+_xlfn.IFNA(VLOOKUP($A95,HN!$A$8:$AU$200,20,FALSE),0)</f>
        <v>0</v>
      </c>
      <c r="BC95" s="286">
        <f t="shared" si="119"/>
        <v>0</v>
      </c>
      <c r="BD95" s="286">
        <f t="shared" si="120"/>
        <v>0</v>
      </c>
      <c r="BE95" s="287"/>
      <c r="BF95" s="287"/>
      <c r="BG95" s="287"/>
      <c r="BH95" s="286">
        <f t="shared" si="121"/>
        <v>298451.11499999999</v>
      </c>
      <c r="BI95" s="307">
        <f t="shared" si="122"/>
        <v>0</v>
      </c>
      <c r="BJ95" s="307">
        <f>_xlfn.IFNA(VLOOKUP(A95,'LA Deductions'!A:AH,34,FALSE),0)</f>
        <v>0</v>
      </c>
      <c r="BK95" s="307"/>
      <c r="BL95" s="308">
        <f>_xlfn.IFNA((VLOOKUP($A95,HN!$A:$M,8,FALSE)/12),0)</f>
        <v>104166.66666666667</v>
      </c>
      <c r="BM95" s="308">
        <f>_xlfn.IFNA((VLOOKUP($A95,HN!$A:$M,12,FALSE)/12),0)</f>
        <v>0</v>
      </c>
      <c r="BN95" s="308">
        <f>_xlfn.IFNA((VLOOKUP($A95,HN!$A:$M,9,FALSE)/12),0)</f>
        <v>0</v>
      </c>
      <c r="BO95" s="308">
        <f>_xlfn.IFNA((VLOOKUP($A95,'Post 16'!$A:$AR,22,FALSE)/4),0)</f>
        <v>0</v>
      </c>
      <c r="BP95" s="308"/>
      <c r="BQ95" s="308">
        <f>_xlfn.IFNA(((VLOOKUP($A95,HN!$A:$M,10,FALSE)-$U95-$AK95)/10),0)</f>
        <v>194284.44833333333</v>
      </c>
      <c r="BR95" s="308">
        <f>_xlfn.IFNA(((VLOOKUP($A95,HN!$A:$M,13,FALSE)-$V95-$AL95)/10),0)</f>
        <v>0</v>
      </c>
      <c r="BS95" s="307">
        <f t="shared" si="123"/>
        <v>0</v>
      </c>
      <c r="BT95" s="307">
        <f t="shared" si="124"/>
        <v>0</v>
      </c>
      <c r="BU95" s="308"/>
      <c r="BV95" s="308"/>
      <c r="BW95" s="308"/>
      <c r="BX95" s="307">
        <f t="shared" si="125"/>
        <v>298451.11499999999</v>
      </c>
      <c r="BY95" s="300">
        <f t="shared" si="126"/>
        <v>0</v>
      </c>
      <c r="BZ95" s="300"/>
      <c r="CA95" s="300"/>
      <c r="CB95" s="301">
        <f>_xlfn.IFNA((VLOOKUP($A95,HN!$A:$M,8,FALSE)/12),0)</f>
        <v>104166.66666666667</v>
      </c>
      <c r="CC95" s="301">
        <f>_xlfn.IFNA((VLOOKUP($A95,HN!$A:$M,12,FALSE)/12),0)</f>
        <v>0</v>
      </c>
      <c r="CD95" s="301">
        <f>_xlfn.IFNA((VLOOKUP($A95,HN!$A:$M,9,FALSE)/12),0)</f>
        <v>0</v>
      </c>
      <c r="CE95" s="301">
        <f>_xlfn.IFNA((VLOOKUP($A95,'Post 16'!$A:$AG,33,FALSE)/8),0)</f>
        <v>0</v>
      </c>
      <c r="CF95" s="301"/>
      <c r="CG95" s="301">
        <f>_xlfn.IFNA(((VLOOKUP($A95,HN!$A:$M,10,FALSE)-$U95-$AK95)/10),0)</f>
        <v>194284.44833333333</v>
      </c>
      <c r="CH95" s="301">
        <f>_xlfn.IFNA(((VLOOKUP($A95,HN!$A:$M,13,FALSE)-$V95-$AL95)/10),0)</f>
        <v>0</v>
      </c>
      <c r="CI95" s="300">
        <f t="shared" si="127"/>
        <v>0</v>
      </c>
      <c r="CJ95" s="300">
        <f t="shared" si="128"/>
        <v>0</v>
      </c>
      <c r="CK95" s="301"/>
      <c r="CL95" s="301"/>
      <c r="CM95" s="301"/>
      <c r="CN95" s="300">
        <f t="shared" si="129"/>
        <v>298451.11499999999</v>
      </c>
      <c r="CO95" s="332">
        <f t="shared" si="130"/>
        <v>0</v>
      </c>
      <c r="CP95" s="332"/>
      <c r="CQ95" s="332">
        <f>_xlfn.IFNA((VLOOKUP($A95,EY!$A:$AB,28,FALSE)-$CV95),0)</f>
        <v>0</v>
      </c>
      <c r="CR95" s="333">
        <f>_xlfn.IFNA((VLOOKUP($A95,HN!$A:$M,8,FALSE)/12),0)</f>
        <v>104166.66666666667</v>
      </c>
      <c r="CS95" s="333">
        <f>_xlfn.IFNA((VLOOKUP($A95,HN!$A:$M,12,FALSE)/12),0)</f>
        <v>0</v>
      </c>
      <c r="CT95" s="333">
        <f>_xlfn.IFNA((VLOOKUP($A95,HN!$A:$M,9,FALSE)/12),0)</f>
        <v>0</v>
      </c>
      <c r="CU95" s="333">
        <f>_xlfn.IFNA((VLOOKUP($A95,'Post 16'!$A:$AG,33,FALSE)/8),0)</f>
        <v>0</v>
      </c>
      <c r="CV95" s="333">
        <f>_xlfn.IFNA((VLOOKUP($A95,EY!$A:$AB,26,FALSE)*80%),0)</f>
        <v>0</v>
      </c>
      <c r="CW95" s="333">
        <f>_xlfn.IFNA(((VLOOKUP($A95,HN!$A:$M,10,FALSE)-$U95-$AK95)/10),0)</f>
        <v>194284.44833333333</v>
      </c>
      <c r="CX95" s="333">
        <f>_xlfn.IFNA(((VLOOKUP($A95,HN!$A:$M,13,FALSE)-$V95-$AL95)/10),0)</f>
        <v>0</v>
      </c>
      <c r="CY95" s="332">
        <f t="shared" si="131"/>
        <v>0</v>
      </c>
      <c r="CZ95" s="332">
        <f t="shared" si="132"/>
        <v>0</v>
      </c>
      <c r="DA95" s="333"/>
      <c r="DB95" s="333"/>
      <c r="DC95" s="333"/>
      <c r="DD95" s="332">
        <f t="shared" si="133"/>
        <v>298451.11499999999</v>
      </c>
      <c r="DE95" s="314">
        <f t="shared" si="134"/>
        <v>0</v>
      </c>
      <c r="DF95" s="314"/>
      <c r="DG95" s="314"/>
      <c r="DH95" s="315">
        <f>_xlfn.IFNA((VLOOKUP($A95,HN!$A:$M,8,FALSE)/12),0)</f>
        <v>104166.66666666667</v>
      </c>
      <c r="DI95" s="315">
        <f>_xlfn.IFNA((VLOOKUP($A95,HN!$A:$M,12,FALSE)/12),0)</f>
        <v>0</v>
      </c>
      <c r="DJ95" s="315">
        <f>_xlfn.IFNA((VLOOKUP($A95,HN!$A:$M,9,FALSE)/12),0)</f>
        <v>0</v>
      </c>
      <c r="DK95" s="315">
        <f>_xlfn.IFNA((VLOOKUP($A95,'Post 16'!$A:$AG,33,FALSE)/8),0)</f>
        <v>0</v>
      </c>
      <c r="DL95" s="315"/>
      <c r="DM95" s="315">
        <f>_xlfn.IFNA(((VLOOKUP($A95,HN!$A:$M,10,FALSE)-$U95-$AK95)/10),0)</f>
        <v>194284.44833333333</v>
      </c>
      <c r="DN95" s="315">
        <f>_xlfn.IFNA(((VLOOKUP($A95,HN!$A:$M,13,FALSE)-$V95-$AL95)/10),0)</f>
        <v>0</v>
      </c>
      <c r="DO95" s="314">
        <f t="shared" si="135"/>
        <v>0</v>
      </c>
      <c r="DP95" s="314">
        <f t="shared" si="136"/>
        <v>0</v>
      </c>
      <c r="DQ95" s="315"/>
      <c r="DR95" s="315"/>
      <c r="DS95" s="315"/>
      <c r="DT95" s="314">
        <f t="shared" si="137"/>
        <v>298451.11499999999</v>
      </c>
      <c r="DU95" s="307">
        <f t="shared" si="138"/>
        <v>0</v>
      </c>
      <c r="DV95" s="307"/>
      <c r="DW95" s="307"/>
      <c r="DX95" s="308">
        <f>_xlfn.IFNA((VLOOKUP($A95,HN!$A:$M,8,FALSE)/12),0)</f>
        <v>104166.66666666667</v>
      </c>
      <c r="DY95" s="308">
        <f>_xlfn.IFNA((VLOOKUP($A95,HN!$A:$M,12,FALSE)/12),0)</f>
        <v>0</v>
      </c>
      <c r="DZ95" s="308">
        <f>_xlfn.IFNA((VLOOKUP($A95,HN!$A:$M,9,FALSE)/12),0)</f>
        <v>0</v>
      </c>
      <c r="EA95" s="308">
        <f>_xlfn.IFNA((VLOOKUP($A95,'Post 16'!$A:$AG,33,FALSE)/8),0)</f>
        <v>0</v>
      </c>
      <c r="EB95" s="308"/>
      <c r="EC95" s="308">
        <f>_xlfn.IFNA(((VLOOKUP($A95,HN!$A:$M,10,FALSE)-$U95-$AK95)/10),0)</f>
        <v>194284.44833333333</v>
      </c>
      <c r="ED95" s="308">
        <f>_xlfn.IFNA(((VLOOKUP($A95,HN!$A:$M,13,FALSE)-$V95-$AL95)/10),0)</f>
        <v>0</v>
      </c>
      <c r="EE95" s="307">
        <f t="shared" si="139"/>
        <v>0</v>
      </c>
      <c r="EF95" s="307">
        <f t="shared" si="140"/>
        <v>0</v>
      </c>
      <c r="EG95" s="308"/>
      <c r="EH95" s="308"/>
      <c r="EI95" s="308"/>
      <c r="EJ95" s="307">
        <f t="shared" si="141"/>
        <v>298451.11499999999</v>
      </c>
      <c r="EK95" s="320">
        <f t="shared" si="142"/>
        <v>0</v>
      </c>
      <c r="EL95" s="320"/>
      <c r="EM95" s="320"/>
      <c r="EN95" s="321">
        <f>_xlfn.IFNA((VLOOKUP($A95,HN!$A:$M,8,FALSE)/12),0)</f>
        <v>104166.66666666667</v>
      </c>
      <c r="EO95" s="321">
        <f>_xlfn.IFNA((VLOOKUP($A95,HN!$A:$M,12,FALSE)/12),0)</f>
        <v>0</v>
      </c>
      <c r="EP95" s="321">
        <f>_xlfn.IFNA((VLOOKUP($A95,HN!$A:$M,9,FALSE)/12),0)</f>
        <v>0</v>
      </c>
      <c r="EQ95" s="321">
        <f>_xlfn.IFNA((VLOOKUP($A95,'Post 16'!$A:$AG,33,FALSE)/8),0)</f>
        <v>0</v>
      </c>
      <c r="ER95" s="321"/>
      <c r="ES95" s="321">
        <f>_xlfn.IFNA(((VLOOKUP($A95,HN!$A:$M,10,FALSE)-$U95-$AK95)/10),0)</f>
        <v>194284.44833333333</v>
      </c>
      <c r="ET95" s="321">
        <f>_xlfn.IFNA(((VLOOKUP($A95,HN!$A:$M,13,FALSE)-$V95-$AL95)/10),0)</f>
        <v>0</v>
      </c>
      <c r="EU95" s="320">
        <f t="shared" si="143"/>
        <v>0</v>
      </c>
      <c r="EV95" s="320">
        <f t="shared" si="144"/>
        <v>0</v>
      </c>
      <c r="EW95" s="321"/>
      <c r="EX95" s="321"/>
      <c r="EY95" s="321"/>
      <c r="EZ95" s="320">
        <f t="shared" si="145"/>
        <v>298451.11499999999</v>
      </c>
      <c r="FA95" s="286">
        <f t="shared" si="146"/>
        <v>0</v>
      </c>
      <c r="FB95" s="286"/>
      <c r="FC95" s="286"/>
      <c r="FD95" s="287">
        <f>_xlfn.IFNA((VLOOKUP($A95,HN!$A:$M,8,FALSE)/12),0)</f>
        <v>104166.66666666667</v>
      </c>
      <c r="FE95" s="287">
        <f>_xlfn.IFNA((VLOOKUP($A95,HN!$A:$M,12,FALSE)/12),0)</f>
        <v>0</v>
      </c>
      <c r="FF95" s="287">
        <f>_xlfn.IFNA((VLOOKUP($A95,HN!$A:$M,9,FALSE)/12),0)</f>
        <v>0</v>
      </c>
      <c r="FG95" s="287">
        <f>_xlfn.IFNA((VLOOKUP($A95,'Post 16'!$A:$AG,33,FALSE)/8),0)</f>
        <v>0</v>
      </c>
      <c r="FH95" s="287"/>
      <c r="FI95" s="287">
        <f>_xlfn.IFNA(((VLOOKUP($A95,HN!$A:$M,10,FALSE)-$U95-$AK95)/10),0)</f>
        <v>194284.44833333333</v>
      </c>
      <c r="FJ95" s="287">
        <f>_xlfn.IFNA(((VLOOKUP($A95,HN!$A:$M,13,FALSE)-$V95-$AL95)/10),0)</f>
        <v>0</v>
      </c>
      <c r="FK95" s="286">
        <f t="shared" si="147"/>
        <v>0</v>
      </c>
      <c r="FL95" s="286">
        <f t="shared" si="148"/>
        <v>0</v>
      </c>
      <c r="FM95" s="287"/>
      <c r="FN95" s="287"/>
      <c r="FO95" s="287"/>
      <c r="FP95" s="286">
        <f t="shared" si="149"/>
        <v>298451.11499999999</v>
      </c>
      <c r="FQ95" s="293">
        <f t="shared" si="150"/>
        <v>0</v>
      </c>
      <c r="FR95" s="293"/>
      <c r="FS95" s="293"/>
      <c r="FT95" s="294">
        <f>_xlfn.IFNA((VLOOKUP($A95,HN!$A:$M,8,FALSE)/12),0)</f>
        <v>104166.66666666667</v>
      </c>
      <c r="FU95" s="294">
        <f>_xlfn.IFNA((VLOOKUP($A95,HN!$A:$M,12,FALSE)/12),0)</f>
        <v>0</v>
      </c>
      <c r="FV95" s="294">
        <f>_xlfn.IFNA((VLOOKUP($A95,HN!$A:$M,9,FALSE)/12),0)</f>
        <v>0</v>
      </c>
      <c r="FW95" s="294">
        <f>_xlfn.IFNA((VLOOKUP($A95,'Post 16'!$A:$AG,33,FALSE)/8),0)</f>
        <v>0</v>
      </c>
      <c r="FX95" s="294"/>
      <c r="FY95" s="294">
        <f>_xlfn.IFNA(((VLOOKUP($A95,HN!$A:$M,10,FALSE)-$U95-$AK95)/10),0)</f>
        <v>194284.44833333333</v>
      </c>
      <c r="FZ95" s="294">
        <f>_xlfn.IFNA(((VLOOKUP($A95,HN!$A:$M,13,FALSE)-$V95-$AL95)/10),0)</f>
        <v>0</v>
      </c>
      <c r="GA95" s="293">
        <f t="shared" si="151"/>
        <v>0</v>
      </c>
      <c r="GB95" s="293">
        <f t="shared" si="152"/>
        <v>0</v>
      </c>
      <c r="GC95" s="294"/>
      <c r="GD95" s="294"/>
      <c r="GE95" s="294"/>
      <c r="GF95" s="293">
        <f t="shared" si="153"/>
        <v>298451.11499999999</v>
      </c>
      <c r="GG95" s="300">
        <f t="shared" si="154"/>
        <v>0</v>
      </c>
      <c r="GH95" s="300"/>
      <c r="GI95" s="300"/>
      <c r="GJ95" s="301">
        <f>_xlfn.IFNA((VLOOKUP($A95,HN!$A:$M,8,FALSE)/12),0)</f>
        <v>104166.66666666667</v>
      </c>
      <c r="GK95" s="301">
        <f>_xlfn.IFNA((VLOOKUP($A95,HN!$A:$M,12,FALSE)/12),0)</f>
        <v>0</v>
      </c>
      <c r="GL95" s="301">
        <f>_xlfn.IFNA((VLOOKUP($A95,HN!$A:$M,9,FALSE)/12),0)</f>
        <v>0</v>
      </c>
      <c r="GM95" s="301">
        <f>_xlfn.IFNA((VLOOKUP($A95,'Post 16'!$A:$AG,33,FALSE)/8),0)</f>
        <v>0</v>
      </c>
      <c r="GN95" s="301"/>
      <c r="GO95" s="301">
        <f>_xlfn.IFNA(((VLOOKUP($A95,HN!$A:$M,10,FALSE)-$U95-$AK95)/10),0)</f>
        <v>194284.44833333333</v>
      </c>
      <c r="GP95" s="301">
        <f>_xlfn.IFNA(((VLOOKUP($A95,HN!$A:$M,13,FALSE)-$V95-$AL95)/10),0)</f>
        <v>0</v>
      </c>
      <c r="GQ95" s="300">
        <f t="shared" si="155"/>
        <v>0</v>
      </c>
      <c r="GR95" s="300">
        <f t="shared" si="156"/>
        <v>0</v>
      </c>
      <c r="GS95" s="301"/>
      <c r="GT95" s="301"/>
      <c r="GU95" s="301"/>
      <c r="GV95" s="300">
        <f t="shared" si="157"/>
        <v>298451.11499999999</v>
      </c>
      <c r="GX95" s="146">
        <f t="shared" si="160"/>
        <v>1250000</v>
      </c>
      <c r="GY95" s="146">
        <f t="shared" si="160"/>
        <v>0</v>
      </c>
      <c r="GZ95" s="146">
        <f t="shared" si="160"/>
        <v>2331413.3799999994</v>
      </c>
      <c r="HA95" s="146">
        <f t="shared" si="160"/>
        <v>0</v>
      </c>
      <c r="HB95" s="146">
        <f t="shared" si="160"/>
        <v>0</v>
      </c>
      <c r="HC95" s="146">
        <f t="shared" si="160"/>
        <v>0</v>
      </c>
      <c r="HE95" s="146">
        <f t="shared" si="161"/>
        <v>312500</v>
      </c>
      <c r="HF95" s="146">
        <f t="shared" si="161"/>
        <v>0</v>
      </c>
      <c r="HG95" s="146">
        <f t="shared" si="161"/>
        <v>582853.34499999997</v>
      </c>
      <c r="HH95" s="146">
        <f t="shared" si="161"/>
        <v>0</v>
      </c>
      <c r="HI95" s="146">
        <f t="shared" si="161"/>
        <v>0</v>
      </c>
      <c r="HJ95" s="146">
        <f t="shared" si="161"/>
        <v>0</v>
      </c>
      <c r="HL95" s="146"/>
      <c r="HM95" s="57"/>
    </row>
    <row r="96" spans="1:221">
      <c r="A96" s="185">
        <v>1024</v>
      </c>
      <c r="B96" s="185">
        <v>103137</v>
      </c>
      <c r="C96" s="185" t="s">
        <v>215</v>
      </c>
      <c r="D96" s="2" t="s">
        <v>216</v>
      </c>
      <c r="E96" s="190" t="s">
        <v>36</v>
      </c>
      <c r="F96" s="190" t="s">
        <v>890</v>
      </c>
      <c r="H96" s="271">
        <f>_xlfn.IFNA(VLOOKUP($A96,ISB!$A$4:$BY$441,67,FALSE),0)</f>
        <v>0</v>
      </c>
      <c r="I96" s="271">
        <f>_xlfn.IFNA(VLOOKUP($A96,ISB!$A$4:$BY$441,72,FALSE),0)</f>
        <v>0</v>
      </c>
      <c r="J96" s="271">
        <f>-_xlfn.IFNA(VLOOKUP($A96,ISB!$A$4:$BY$441,76,FALSE),0)</f>
        <v>0</v>
      </c>
      <c r="K96" s="271">
        <f>_xlfn.IFNA(VLOOKUP($A96,ISB!$A$4:$BY$441,77,FALSE),0)</f>
        <v>0</v>
      </c>
      <c r="M96" s="279">
        <f t="shared" si="110"/>
        <v>0</v>
      </c>
      <c r="N96" s="279"/>
      <c r="O96" s="279">
        <f>_xlfn.IFNA(VLOOKUP($A96,EY!$A:$H,8,FALSE)+(VLOOKUP($A96,EY!$A:$R,18,FALSE)-$T96),0)</f>
        <v>333072.21190007403</v>
      </c>
      <c r="P96" s="280">
        <f>_xlfn.IFNA((VLOOKUP($A96,HN!$A:$M,8,FALSE)/12),0)</f>
        <v>0</v>
      </c>
      <c r="Q96" s="280">
        <f>_xlfn.IFNA((VLOOKUP($A96,HN!$A:$M,12,FALSE)/12),0)</f>
        <v>0</v>
      </c>
      <c r="R96" s="280">
        <f>_xlfn.IFNA((VLOOKUP($A96,HN!$A:$M,9,FALSE)/12),0)</f>
        <v>0</v>
      </c>
      <c r="S96" s="280">
        <f>_xlfn.IFNA((VLOOKUP($A96,'Post 16'!$A:$AR,22,FALSE)/4),0)</f>
        <v>0</v>
      </c>
      <c r="T96" s="280">
        <f>_xlfn.IFNA((VLOOKUP($A96,EY!$A:$R,16,FALSE)*80%),0)</f>
        <v>780</v>
      </c>
      <c r="U96" s="280">
        <v>0</v>
      </c>
      <c r="V96" s="280">
        <v>0</v>
      </c>
      <c r="W96" s="279">
        <f t="shared" si="111"/>
        <v>0</v>
      </c>
      <c r="X96" s="279">
        <f t="shared" si="112"/>
        <v>0</v>
      </c>
      <c r="Y96" s="280"/>
      <c r="Z96" s="280"/>
      <c r="AA96" s="280"/>
      <c r="AB96" s="279">
        <f t="shared" si="113"/>
        <v>333852.21190007403</v>
      </c>
      <c r="AC96" s="293">
        <f t="shared" si="114"/>
        <v>0</v>
      </c>
      <c r="AD96" s="293"/>
      <c r="AE96" s="293"/>
      <c r="AF96" s="294">
        <f>_xlfn.IFNA((VLOOKUP($A96,HN!$A:$M,8,FALSE)/12),0)</f>
        <v>0</v>
      </c>
      <c r="AG96" s="294">
        <f>_xlfn.IFNA((VLOOKUP($A96,HN!$A:$M,12,FALSE)/12),0)+_xlfn.IFNA(VLOOKUP($A96,HN!$A:$Q,17,FALSE),0)</f>
        <v>0</v>
      </c>
      <c r="AH96" s="294">
        <f>_xlfn.IFNA((VLOOKUP($A96,HN!$A:$M,9,FALSE)/12),0)</f>
        <v>0</v>
      </c>
      <c r="AI96" s="294">
        <f>_xlfn.IFNA((VLOOKUP($A96,'Post 16'!$A:$AR,22,FALSE)/4),0)</f>
        <v>0</v>
      </c>
      <c r="AJ96" s="294"/>
      <c r="AK96" s="294">
        <f>_xlfn.IFNA((VLOOKUP($A96,HN!$A:$M,10,FALSE)/12),0)</f>
        <v>0</v>
      </c>
      <c r="AL96" s="294">
        <f>_xlfn.IFNA((VLOOKUP($A96,HN!$A:$M,13,FALSE)/12),0)</f>
        <v>0</v>
      </c>
      <c r="AM96" s="293">
        <f t="shared" si="115"/>
        <v>0</v>
      </c>
      <c r="AN96" s="293">
        <f t="shared" si="116"/>
        <v>0</v>
      </c>
      <c r="AO96" s="294"/>
      <c r="AP96" s="294"/>
      <c r="AQ96" s="294"/>
      <c r="AR96" s="293">
        <f t="shared" si="117"/>
        <v>0</v>
      </c>
      <c r="AS96" s="286">
        <f t="shared" si="118"/>
        <v>0</v>
      </c>
      <c r="AT96" s="286"/>
      <c r="AU96" s="286">
        <f>_xlfn.IFNA(VLOOKUP(A96,EY!A:AO,40,FALSE),0)</f>
        <v>24497.704819944578</v>
      </c>
      <c r="AV96" s="287">
        <f>_xlfn.IFNA((VLOOKUP($A96,HN!$A:$M,8,FALSE)/12),0)</f>
        <v>0</v>
      </c>
      <c r="AW96" s="287">
        <f>_xlfn.IFNA((VLOOKUP($A96,HN!$A:$M,12,FALSE)/12),0)+_xlfn.IFNA(VLOOKUP($A96,HN!$A$8:$AU$200,19,FALSE),0)</f>
        <v>0</v>
      </c>
      <c r="AX96" s="287">
        <f>_xlfn.IFNA((VLOOKUP($A96,HN!$A:$M,9,FALSE)/12),0)</f>
        <v>0</v>
      </c>
      <c r="AY96" s="287">
        <f>_xlfn.IFNA((VLOOKUP($A96,'Post 16'!$A:$AR,22,FALSE)/4),0)</f>
        <v>0</v>
      </c>
      <c r="AZ96" s="287">
        <f>_xlfn.IFNA(VLOOKUP(A96,EY!A:AO,41,FALSE),0)</f>
        <v>0</v>
      </c>
      <c r="BA96" s="287">
        <f>_xlfn.IFNA(((VLOOKUP($A96,HN!$A:$M,10,FALSE)-$U96-$AK96)/10),0)+_xlfn.IFNA(VLOOKUP($A96,HN!$A:$R,18,FALSE),0)</f>
        <v>0</v>
      </c>
      <c r="BB96" s="287">
        <f>_xlfn.IFNA(((VLOOKUP($A96,HN!$A:$M,13,FALSE)-$V96-$AL96)/10),0)+_xlfn.IFNA(VLOOKUP($A96,HN!$A$8:$AU$200,20,FALSE),0)</f>
        <v>0</v>
      </c>
      <c r="BC96" s="286">
        <f t="shared" si="119"/>
        <v>0</v>
      </c>
      <c r="BD96" s="286">
        <f t="shared" si="120"/>
        <v>0</v>
      </c>
      <c r="BE96" s="287"/>
      <c r="BF96" s="287"/>
      <c r="BG96" s="287"/>
      <c r="BH96" s="286">
        <f t="shared" si="121"/>
        <v>24497.704819944578</v>
      </c>
      <c r="BI96" s="307">
        <f t="shared" si="122"/>
        <v>0</v>
      </c>
      <c r="BJ96" s="307">
        <f>_xlfn.IFNA(VLOOKUP(A96,'LA Deductions'!A:AH,34,FALSE),0)</f>
        <v>0</v>
      </c>
      <c r="BK96" s="307"/>
      <c r="BL96" s="308">
        <f>_xlfn.IFNA((VLOOKUP($A96,HN!$A:$M,8,FALSE)/12),0)</f>
        <v>0</v>
      </c>
      <c r="BM96" s="308">
        <f>_xlfn.IFNA((VLOOKUP($A96,HN!$A:$M,12,FALSE)/12),0)</f>
        <v>0</v>
      </c>
      <c r="BN96" s="308">
        <f>_xlfn.IFNA((VLOOKUP($A96,HN!$A:$M,9,FALSE)/12),0)</f>
        <v>0</v>
      </c>
      <c r="BO96" s="308">
        <f>_xlfn.IFNA((VLOOKUP($A96,'Post 16'!$A:$AR,22,FALSE)/4),0)</f>
        <v>0</v>
      </c>
      <c r="BP96" s="308"/>
      <c r="BQ96" s="308">
        <f>_xlfn.IFNA(((VLOOKUP($A96,HN!$A:$M,10,FALSE)-$U96-$AK96)/10),0)</f>
        <v>0</v>
      </c>
      <c r="BR96" s="308">
        <f>_xlfn.IFNA(((VLOOKUP($A96,HN!$A:$M,13,FALSE)-$V96-$AL96)/10),0)</f>
        <v>0</v>
      </c>
      <c r="BS96" s="307">
        <f t="shared" si="123"/>
        <v>0</v>
      </c>
      <c r="BT96" s="307">
        <f t="shared" si="124"/>
        <v>0</v>
      </c>
      <c r="BU96" s="308"/>
      <c r="BV96" s="308"/>
      <c r="BW96" s="308"/>
      <c r="BX96" s="307">
        <f t="shared" si="125"/>
        <v>0</v>
      </c>
      <c r="BY96" s="300">
        <f t="shared" si="126"/>
        <v>0</v>
      </c>
      <c r="BZ96" s="300"/>
      <c r="CA96" s="300"/>
      <c r="CB96" s="301">
        <f>_xlfn.IFNA((VLOOKUP($A96,HN!$A:$M,8,FALSE)/12),0)</f>
        <v>0</v>
      </c>
      <c r="CC96" s="301">
        <f>_xlfn.IFNA((VLOOKUP($A96,HN!$A:$M,12,FALSE)/12),0)</f>
        <v>0</v>
      </c>
      <c r="CD96" s="301">
        <f>_xlfn.IFNA((VLOOKUP($A96,HN!$A:$M,9,FALSE)/12),0)</f>
        <v>0</v>
      </c>
      <c r="CE96" s="301">
        <f>_xlfn.IFNA((VLOOKUP($A96,'Post 16'!$A:$AG,33,FALSE)/8),0)</f>
        <v>0</v>
      </c>
      <c r="CF96" s="301"/>
      <c r="CG96" s="301">
        <f>_xlfn.IFNA(((VLOOKUP($A96,HN!$A:$M,10,FALSE)-$U96-$AK96)/10),0)</f>
        <v>0</v>
      </c>
      <c r="CH96" s="301">
        <f>_xlfn.IFNA(((VLOOKUP($A96,HN!$A:$M,13,FALSE)-$V96-$AL96)/10),0)</f>
        <v>0</v>
      </c>
      <c r="CI96" s="300">
        <f t="shared" si="127"/>
        <v>0</v>
      </c>
      <c r="CJ96" s="300">
        <f t="shared" si="128"/>
        <v>0</v>
      </c>
      <c r="CK96" s="301"/>
      <c r="CL96" s="301"/>
      <c r="CM96" s="301"/>
      <c r="CN96" s="300">
        <f t="shared" si="129"/>
        <v>0</v>
      </c>
      <c r="CO96" s="332">
        <f t="shared" si="130"/>
        <v>0</v>
      </c>
      <c r="CP96" s="332"/>
      <c r="CQ96" s="332">
        <f>_xlfn.IFNA((VLOOKUP($A96,EY!$A:$AB,28,FALSE)-$CV96),0)</f>
        <v>111175.98400000001</v>
      </c>
      <c r="CR96" s="333">
        <f>_xlfn.IFNA((VLOOKUP($A96,HN!$A:$M,8,FALSE)/12),0)</f>
        <v>0</v>
      </c>
      <c r="CS96" s="333">
        <f>_xlfn.IFNA((VLOOKUP($A96,HN!$A:$M,12,FALSE)/12),0)</f>
        <v>0</v>
      </c>
      <c r="CT96" s="333">
        <f>_xlfn.IFNA((VLOOKUP($A96,HN!$A:$M,9,FALSE)/12),0)</f>
        <v>0</v>
      </c>
      <c r="CU96" s="333">
        <f>_xlfn.IFNA((VLOOKUP($A96,'Post 16'!$A:$AG,33,FALSE)/8),0)</f>
        <v>0</v>
      </c>
      <c r="CV96" s="333">
        <f>_xlfn.IFNA((VLOOKUP($A96,EY!$A:$AB,26,FALSE)*80%),0)</f>
        <v>0</v>
      </c>
      <c r="CW96" s="333">
        <f>_xlfn.IFNA(((VLOOKUP($A96,HN!$A:$M,10,FALSE)-$U96-$AK96)/10),0)</f>
        <v>0</v>
      </c>
      <c r="CX96" s="333">
        <f>_xlfn.IFNA(((VLOOKUP($A96,HN!$A:$M,13,FALSE)-$V96-$AL96)/10),0)</f>
        <v>0</v>
      </c>
      <c r="CY96" s="332">
        <f t="shared" si="131"/>
        <v>0</v>
      </c>
      <c r="CZ96" s="332">
        <f t="shared" si="132"/>
        <v>0</v>
      </c>
      <c r="DA96" s="333"/>
      <c r="DB96" s="333"/>
      <c r="DC96" s="333"/>
      <c r="DD96" s="332">
        <f t="shared" si="133"/>
        <v>111175.98400000001</v>
      </c>
      <c r="DE96" s="314">
        <f t="shared" si="134"/>
        <v>0</v>
      </c>
      <c r="DF96" s="314"/>
      <c r="DG96" s="314"/>
      <c r="DH96" s="315">
        <f>_xlfn.IFNA((VLOOKUP($A96,HN!$A:$M,8,FALSE)/12),0)</f>
        <v>0</v>
      </c>
      <c r="DI96" s="315">
        <f>_xlfn.IFNA((VLOOKUP($A96,HN!$A:$M,12,FALSE)/12),0)</f>
        <v>0</v>
      </c>
      <c r="DJ96" s="315">
        <f>_xlfn.IFNA((VLOOKUP($A96,HN!$A:$M,9,FALSE)/12),0)</f>
        <v>0</v>
      </c>
      <c r="DK96" s="315">
        <f>_xlfn.IFNA((VLOOKUP($A96,'Post 16'!$A:$AG,33,FALSE)/8),0)</f>
        <v>0</v>
      </c>
      <c r="DL96" s="315"/>
      <c r="DM96" s="315">
        <f>_xlfn.IFNA(((VLOOKUP($A96,HN!$A:$M,10,FALSE)-$U96-$AK96)/10),0)</f>
        <v>0</v>
      </c>
      <c r="DN96" s="315">
        <f>_xlfn.IFNA(((VLOOKUP($A96,HN!$A:$M,13,FALSE)-$V96-$AL96)/10),0)</f>
        <v>0</v>
      </c>
      <c r="DO96" s="314">
        <f t="shared" si="135"/>
        <v>0</v>
      </c>
      <c r="DP96" s="314">
        <f t="shared" si="136"/>
        <v>0</v>
      </c>
      <c r="DQ96" s="315"/>
      <c r="DR96" s="315"/>
      <c r="DS96" s="315"/>
      <c r="DT96" s="314">
        <f t="shared" si="137"/>
        <v>0</v>
      </c>
      <c r="DU96" s="307">
        <f t="shared" si="138"/>
        <v>0</v>
      </c>
      <c r="DV96" s="307"/>
      <c r="DW96" s="307"/>
      <c r="DX96" s="308">
        <f>_xlfn.IFNA((VLOOKUP($A96,HN!$A:$M,8,FALSE)/12),0)</f>
        <v>0</v>
      </c>
      <c r="DY96" s="308">
        <f>_xlfn.IFNA((VLOOKUP($A96,HN!$A:$M,12,FALSE)/12),0)</f>
        <v>0</v>
      </c>
      <c r="DZ96" s="308">
        <f>_xlfn.IFNA((VLOOKUP($A96,HN!$A:$M,9,FALSE)/12),0)</f>
        <v>0</v>
      </c>
      <c r="EA96" s="308">
        <f>_xlfn.IFNA((VLOOKUP($A96,'Post 16'!$A:$AG,33,FALSE)/8),0)</f>
        <v>0</v>
      </c>
      <c r="EB96" s="308"/>
      <c r="EC96" s="308">
        <f>_xlfn.IFNA(((VLOOKUP($A96,HN!$A:$M,10,FALSE)-$U96-$AK96)/10),0)</f>
        <v>0</v>
      </c>
      <c r="ED96" s="308">
        <f>_xlfn.IFNA(((VLOOKUP($A96,HN!$A:$M,13,FALSE)-$V96-$AL96)/10),0)</f>
        <v>0</v>
      </c>
      <c r="EE96" s="307">
        <f t="shared" si="139"/>
        <v>0</v>
      </c>
      <c r="EF96" s="307">
        <f t="shared" si="140"/>
        <v>0</v>
      </c>
      <c r="EG96" s="308"/>
      <c r="EH96" s="308"/>
      <c r="EI96" s="308"/>
      <c r="EJ96" s="307">
        <f t="shared" si="141"/>
        <v>0</v>
      </c>
      <c r="EK96" s="320">
        <f t="shared" si="142"/>
        <v>0</v>
      </c>
      <c r="EL96" s="320"/>
      <c r="EM96" s="320"/>
      <c r="EN96" s="321">
        <f>_xlfn.IFNA((VLOOKUP($A96,HN!$A:$M,8,FALSE)/12),0)</f>
        <v>0</v>
      </c>
      <c r="EO96" s="321">
        <f>_xlfn.IFNA((VLOOKUP($A96,HN!$A:$M,12,FALSE)/12),0)</f>
        <v>0</v>
      </c>
      <c r="EP96" s="321">
        <f>_xlfn.IFNA((VLOOKUP($A96,HN!$A:$M,9,FALSE)/12),0)</f>
        <v>0</v>
      </c>
      <c r="EQ96" s="321">
        <f>_xlfn.IFNA((VLOOKUP($A96,'Post 16'!$A:$AG,33,FALSE)/8),0)</f>
        <v>0</v>
      </c>
      <c r="ER96" s="321"/>
      <c r="ES96" s="321">
        <f>_xlfn.IFNA(((VLOOKUP($A96,HN!$A:$M,10,FALSE)-$U96-$AK96)/10),0)</f>
        <v>0</v>
      </c>
      <c r="ET96" s="321">
        <f>_xlfn.IFNA(((VLOOKUP($A96,HN!$A:$M,13,FALSE)-$V96-$AL96)/10),0)</f>
        <v>0</v>
      </c>
      <c r="EU96" s="320">
        <f t="shared" si="143"/>
        <v>0</v>
      </c>
      <c r="EV96" s="320">
        <f t="shared" si="144"/>
        <v>0</v>
      </c>
      <c r="EW96" s="321"/>
      <c r="EX96" s="321"/>
      <c r="EY96" s="321"/>
      <c r="EZ96" s="320">
        <f t="shared" si="145"/>
        <v>0</v>
      </c>
      <c r="FA96" s="286">
        <f t="shared" si="146"/>
        <v>0</v>
      </c>
      <c r="FB96" s="286"/>
      <c r="FC96" s="286"/>
      <c r="FD96" s="287">
        <f>_xlfn.IFNA((VLOOKUP($A96,HN!$A:$M,8,FALSE)/12),0)</f>
        <v>0</v>
      </c>
      <c r="FE96" s="287">
        <f>_xlfn.IFNA((VLOOKUP($A96,HN!$A:$M,12,FALSE)/12),0)</f>
        <v>0</v>
      </c>
      <c r="FF96" s="287">
        <f>_xlfn.IFNA((VLOOKUP($A96,HN!$A:$M,9,FALSE)/12),0)</f>
        <v>0</v>
      </c>
      <c r="FG96" s="287">
        <f>_xlfn.IFNA((VLOOKUP($A96,'Post 16'!$A:$AG,33,FALSE)/8),0)</f>
        <v>0</v>
      </c>
      <c r="FH96" s="287"/>
      <c r="FI96" s="287">
        <f>_xlfn.IFNA(((VLOOKUP($A96,HN!$A:$M,10,FALSE)-$U96-$AK96)/10),0)</f>
        <v>0</v>
      </c>
      <c r="FJ96" s="287">
        <f>_xlfn.IFNA(((VLOOKUP($A96,HN!$A:$M,13,FALSE)-$V96-$AL96)/10),0)</f>
        <v>0</v>
      </c>
      <c r="FK96" s="286">
        <f t="shared" si="147"/>
        <v>0</v>
      </c>
      <c r="FL96" s="286">
        <f t="shared" si="148"/>
        <v>0</v>
      </c>
      <c r="FM96" s="287"/>
      <c r="FN96" s="287"/>
      <c r="FO96" s="287"/>
      <c r="FP96" s="286">
        <f t="shared" si="149"/>
        <v>0</v>
      </c>
      <c r="FQ96" s="293">
        <f t="shared" si="150"/>
        <v>0</v>
      </c>
      <c r="FR96" s="293"/>
      <c r="FS96" s="293"/>
      <c r="FT96" s="294">
        <f>_xlfn.IFNA((VLOOKUP($A96,HN!$A:$M,8,FALSE)/12),0)</f>
        <v>0</v>
      </c>
      <c r="FU96" s="294">
        <f>_xlfn.IFNA((VLOOKUP($A96,HN!$A:$M,12,FALSE)/12),0)</f>
        <v>0</v>
      </c>
      <c r="FV96" s="294">
        <f>_xlfn.IFNA((VLOOKUP($A96,HN!$A:$M,9,FALSE)/12),0)</f>
        <v>0</v>
      </c>
      <c r="FW96" s="294">
        <f>_xlfn.IFNA((VLOOKUP($A96,'Post 16'!$A:$AG,33,FALSE)/8),0)</f>
        <v>0</v>
      </c>
      <c r="FX96" s="294"/>
      <c r="FY96" s="294">
        <f>_xlfn.IFNA(((VLOOKUP($A96,HN!$A:$M,10,FALSE)-$U96-$AK96)/10),0)</f>
        <v>0</v>
      </c>
      <c r="FZ96" s="294">
        <f>_xlfn.IFNA(((VLOOKUP($A96,HN!$A:$M,13,FALSE)-$V96-$AL96)/10),0)</f>
        <v>0</v>
      </c>
      <c r="GA96" s="293">
        <f t="shared" si="151"/>
        <v>0</v>
      </c>
      <c r="GB96" s="293">
        <f t="shared" si="152"/>
        <v>0</v>
      </c>
      <c r="GC96" s="294"/>
      <c r="GD96" s="294"/>
      <c r="GE96" s="294"/>
      <c r="GF96" s="293">
        <f t="shared" si="153"/>
        <v>0</v>
      </c>
      <c r="GG96" s="300">
        <f t="shared" si="154"/>
        <v>0</v>
      </c>
      <c r="GH96" s="300"/>
      <c r="GI96" s="300"/>
      <c r="GJ96" s="301">
        <f>_xlfn.IFNA((VLOOKUP($A96,HN!$A:$M,8,FALSE)/12),0)</f>
        <v>0</v>
      </c>
      <c r="GK96" s="301">
        <f>_xlfn.IFNA((VLOOKUP($A96,HN!$A:$M,12,FALSE)/12),0)</f>
        <v>0</v>
      </c>
      <c r="GL96" s="301">
        <f>_xlfn.IFNA((VLOOKUP($A96,HN!$A:$M,9,FALSE)/12),0)</f>
        <v>0</v>
      </c>
      <c r="GM96" s="301">
        <f>_xlfn.IFNA((VLOOKUP($A96,'Post 16'!$A:$AG,33,FALSE)/8),0)</f>
        <v>0</v>
      </c>
      <c r="GN96" s="301"/>
      <c r="GO96" s="301">
        <f>_xlfn.IFNA(((VLOOKUP($A96,HN!$A:$M,10,FALSE)-$U96-$AK96)/10),0)</f>
        <v>0</v>
      </c>
      <c r="GP96" s="301">
        <f>_xlfn.IFNA(((VLOOKUP($A96,HN!$A:$M,13,FALSE)-$V96-$AL96)/10),0)</f>
        <v>0</v>
      </c>
      <c r="GQ96" s="300">
        <f t="shared" si="155"/>
        <v>0</v>
      </c>
      <c r="GR96" s="300">
        <f t="shared" si="156"/>
        <v>0</v>
      </c>
      <c r="GS96" s="301"/>
      <c r="GT96" s="301"/>
      <c r="GU96" s="301"/>
      <c r="GV96" s="300">
        <f t="shared" si="157"/>
        <v>0</v>
      </c>
      <c r="GX96" s="146">
        <f t="shared" si="160"/>
        <v>468745.9007200186</v>
      </c>
      <c r="GY96" s="146">
        <f t="shared" si="160"/>
        <v>0</v>
      </c>
      <c r="GZ96" s="146">
        <f t="shared" si="160"/>
        <v>780</v>
      </c>
      <c r="HA96" s="146">
        <f t="shared" si="160"/>
        <v>0</v>
      </c>
      <c r="HB96" s="146">
        <f t="shared" si="160"/>
        <v>0</v>
      </c>
      <c r="HC96" s="146">
        <f t="shared" si="160"/>
        <v>0</v>
      </c>
      <c r="HE96" s="146">
        <f t="shared" si="161"/>
        <v>357569.91672001861</v>
      </c>
      <c r="HF96" s="146">
        <f t="shared" si="161"/>
        <v>0</v>
      </c>
      <c r="HG96" s="146">
        <f t="shared" si="161"/>
        <v>780</v>
      </c>
      <c r="HH96" s="146">
        <f t="shared" si="161"/>
        <v>0</v>
      </c>
      <c r="HI96" s="146">
        <f t="shared" si="161"/>
        <v>0</v>
      </c>
      <c r="HJ96" s="146">
        <f t="shared" si="161"/>
        <v>0</v>
      </c>
      <c r="HL96" s="146"/>
      <c r="HM96" s="57"/>
    </row>
    <row r="97" spans="1:221">
      <c r="A97" s="185">
        <v>7062</v>
      </c>
      <c r="B97" s="185">
        <v>103632</v>
      </c>
      <c r="C97" s="185" t="s">
        <v>217</v>
      </c>
      <c r="D97" s="2" t="s">
        <v>218</v>
      </c>
      <c r="E97" s="190" t="s">
        <v>56</v>
      </c>
      <c r="F97" s="190" t="s">
        <v>890</v>
      </c>
      <c r="H97" s="271">
        <f>_xlfn.IFNA(VLOOKUP($A97,ISB!$A$4:$BY$441,67,FALSE),0)</f>
        <v>0</v>
      </c>
      <c r="I97" s="271">
        <f>_xlfn.IFNA(VLOOKUP($A97,ISB!$A$4:$BY$441,72,FALSE),0)</f>
        <v>0</v>
      </c>
      <c r="J97" s="271">
        <f>-_xlfn.IFNA(VLOOKUP($A97,ISB!$A$4:$BY$441,76,FALSE),0)</f>
        <v>0</v>
      </c>
      <c r="K97" s="271">
        <f>_xlfn.IFNA(VLOOKUP($A97,ISB!$A$4:$BY$441,77,FALSE),0)</f>
        <v>0</v>
      </c>
      <c r="M97" s="279">
        <f t="shared" si="110"/>
        <v>0</v>
      </c>
      <c r="N97" s="279"/>
      <c r="O97" s="279">
        <f>_xlfn.IFNA(VLOOKUP($A97,EY!$A:$H,8,FALSE)+(VLOOKUP($A97,EY!$A:$R,18,FALSE)-$T97),0)</f>
        <v>0</v>
      </c>
      <c r="P97" s="280">
        <f>_xlfn.IFNA((VLOOKUP($A97,HN!$A:$M,8,FALSE)/12),0)</f>
        <v>127083.33333333333</v>
      </c>
      <c r="Q97" s="280">
        <f>_xlfn.IFNA((VLOOKUP($A97,HN!$A:$M,12,FALSE)/12),0)</f>
        <v>0</v>
      </c>
      <c r="R97" s="280">
        <f>_xlfn.IFNA((VLOOKUP($A97,HN!$A:$M,9,FALSE)/12),0)</f>
        <v>0</v>
      </c>
      <c r="S97" s="280">
        <f>_xlfn.IFNA((VLOOKUP($A97,'Post 16'!$A:$AR,22,FALSE)/4),0)</f>
        <v>0</v>
      </c>
      <c r="T97" s="280">
        <f>_xlfn.IFNA((VLOOKUP($A97,EY!$A:$R,16,FALSE)*80%),0)</f>
        <v>0</v>
      </c>
      <c r="U97" s="280">
        <v>293242.03499999997</v>
      </c>
      <c r="V97" s="280">
        <v>0</v>
      </c>
      <c r="W97" s="279">
        <f t="shared" si="111"/>
        <v>0</v>
      </c>
      <c r="X97" s="279">
        <f t="shared" si="112"/>
        <v>0</v>
      </c>
      <c r="Y97" s="280"/>
      <c r="Z97" s="280"/>
      <c r="AA97" s="280"/>
      <c r="AB97" s="279">
        <f t="shared" si="113"/>
        <v>420325.36833333329</v>
      </c>
      <c r="AC97" s="293">
        <f t="shared" si="114"/>
        <v>0</v>
      </c>
      <c r="AD97" s="293"/>
      <c r="AE97" s="293"/>
      <c r="AF97" s="294">
        <f>_xlfn.IFNA((VLOOKUP($A97,HN!$A:$M,8,FALSE)/12),0)</f>
        <v>127083.33333333333</v>
      </c>
      <c r="AG97" s="294">
        <f>_xlfn.IFNA((VLOOKUP($A97,HN!$A:$M,12,FALSE)/12),0)+_xlfn.IFNA(VLOOKUP($A97,HN!$A:$Q,17,FALSE),0)</f>
        <v>0</v>
      </c>
      <c r="AH97" s="294">
        <f>_xlfn.IFNA((VLOOKUP($A97,HN!$A:$M,9,FALSE)/12),0)</f>
        <v>0</v>
      </c>
      <c r="AI97" s="294">
        <f>_xlfn.IFNA((VLOOKUP($A97,'Post 16'!$A:$AR,22,FALSE)/4),0)</f>
        <v>0</v>
      </c>
      <c r="AJ97" s="294"/>
      <c r="AK97" s="294">
        <f>_xlfn.IFNA((VLOOKUP($A97,HN!$A:$M,10,FALSE)/12),0)</f>
        <v>293242.03499999997</v>
      </c>
      <c r="AL97" s="294">
        <f>_xlfn.IFNA((VLOOKUP($A97,HN!$A:$M,13,FALSE)/12),0)</f>
        <v>0</v>
      </c>
      <c r="AM97" s="293">
        <f t="shared" si="115"/>
        <v>0</v>
      </c>
      <c r="AN97" s="293">
        <f t="shared" si="116"/>
        <v>0</v>
      </c>
      <c r="AO97" s="294"/>
      <c r="AP97" s="294"/>
      <c r="AQ97" s="294"/>
      <c r="AR97" s="293">
        <f t="shared" si="117"/>
        <v>420325.36833333329</v>
      </c>
      <c r="AS97" s="286">
        <f t="shared" si="118"/>
        <v>0</v>
      </c>
      <c r="AT97" s="286"/>
      <c r="AU97" s="286">
        <f>_xlfn.IFNA(VLOOKUP(A97,EY!A:AO,40,FALSE),0)</f>
        <v>0</v>
      </c>
      <c r="AV97" s="287">
        <f>_xlfn.IFNA((VLOOKUP($A97,HN!$A:$M,8,FALSE)/12),0)</f>
        <v>127083.33333333333</v>
      </c>
      <c r="AW97" s="287">
        <f>_xlfn.IFNA((VLOOKUP($A97,HN!$A:$M,12,FALSE)/12),0)+_xlfn.IFNA(VLOOKUP($A97,HN!$A$8:$AU$200,19,FALSE),0)</f>
        <v>0</v>
      </c>
      <c r="AX97" s="287">
        <f>_xlfn.IFNA((VLOOKUP($A97,HN!$A:$M,9,FALSE)/12),0)</f>
        <v>0</v>
      </c>
      <c r="AY97" s="287">
        <f>_xlfn.IFNA((VLOOKUP($A97,'Post 16'!$A:$AR,22,FALSE)/4),0)</f>
        <v>0</v>
      </c>
      <c r="AZ97" s="287">
        <f>_xlfn.IFNA(VLOOKUP(A97,EY!A:AO,41,FALSE),0)</f>
        <v>0</v>
      </c>
      <c r="BA97" s="287">
        <f>_xlfn.IFNA(((VLOOKUP($A97,HN!$A:$M,10,FALSE)-$U97-$AK97)/10),0)+_xlfn.IFNA(VLOOKUP($A97,HN!$A:$R,18,FALSE),0)</f>
        <v>293242.03499999997</v>
      </c>
      <c r="BB97" s="287">
        <f>_xlfn.IFNA(((VLOOKUP($A97,HN!$A:$M,13,FALSE)-$V97-$AL97)/10),0)+_xlfn.IFNA(VLOOKUP($A97,HN!$A$8:$AU$200,20,FALSE),0)</f>
        <v>0</v>
      </c>
      <c r="BC97" s="286">
        <f t="shared" si="119"/>
        <v>0</v>
      </c>
      <c r="BD97" s="286">
        <f t="shared" si="120"/>
        <v>0</v>
      </c>
      <c r="BE97" s="287"/>
      <c r="BF97" s="287"/>
      <c r="BG97" s="287"/>
      <c r="BH97" s="286">
        <f t="shared" si="121"/>
        <v>420325.36833333329</v>
      </c>
      <c r="BI97" s="307">
        <f t="shared" si="122"/>
        <v>0</v>
      </c>
      <c r="BJ97" s="307">
        <f>_xlfn.IFNA(VLOOKUP(A97,'LA Deductions'!A:AH,34,FALSE),0)</f>
        <v>0</v>
      </c>
      <c r="BK97" s="307"/>
      <c r="BL97" s="308">
        <f>_xlfn.IFNA((VLOOKUP($A97,HN!$A:$M,8,FALSE)/12),0)</f>
        <v>127083.33333333333</v>
      </c>
      <c r="BM97" s="308">
        <f>_xlfn.IFNA((VLOOKUP($A97,HN!$A:$M,12,FALSE)/12),0)</f>
        <v>0</v>
      </c>
      <c r="BN97" s="308">
        <f>_xlfn.IFNA((VLOOKUP($A97,HN!$A:$M,9,FALSE)/12),0)</f>
        <v>0</v>
      </c>
      <c r="BO97" s="308">
        <f>_xlfn.IFNA((VLOOKUP($A97,'Post 16'!$A:$AR,22,FALSE)/4),0)</f>
        <v>0</v>
      </c>
      <c r="BP97" s="308"/>
      <c r="BQ97" s="308">
        <f>_xlfn.IFNA(((VLOOKUP($A97,HN!$A:$M,10,FALSE)-$U97-$AK97)/10),0)</f>
        <v>293242.03499999997</v>
      </c>
      <c r="BR97" s="308">
        <f>_xlfn.IFNA(((VLOOKUP($A97,HN!$A:$M,13,FALSE)-$V97-$AL97)/10),0)</f>
        <v>0</v>
      </c>
      <c r="BS97" s="307">
        <f t="shared" si="123"/>
        <v>0</v>
      </c>
      <c r="BT97" s="307">
        <f t="shared" si="124"/>
        <v>0</v>
      </c>
      <c r="BU97" s="308"/>
      <c r="BV97" s="308"/>
      <c r="BW97" s="308"/>
      <c r="BX97" s="307">
        <f t="shared" si="125"/>
        <v>420325.36833333329</v>
      </c>
      <c r="BY97" s="300">
        <f t="shared" si="126"/>
        <v>0</v>
      </c>
      <c r="BZ97" s="300"/>
      <c r="CA97" s="300"/>
      <c r="CB97" s="301">
        <f>_xlfn.IFNA((VLOOKUP($A97,HN!$A:$M,8,FALSE)/12),0)</f>
        <v>127083.33333333333</v>
      </c>
      <c r="CC97" s="301">
        <f>_xlfn.IFNA((VLOOKUP($A97,HN!$A:$M,12,FALSE)/12),0)</f>
        <v>0</v>
      </c>
      <c r="CD97" s="301">
        <f>_xlfn.IFNA((VLOOKUP($A97,HN!$A:$M,9,FALSE)/12),0)</f>
        <v>0</v>
      </c>
      <c r="CE97" s="301">
        <f>_xlfn.IFNA((VLOOKUP($A97,'Post 16'!$A:$AG,33,FALSE)/8),0)</f>
        <v>0</v>
      </c>
      <c r="CF97" s="301"/>
      <c r="CG97" s="301">
        <f>_xlfn.IFNA(((VLOOKUP($A97,HN!$A:$M,10,FALSE)-$U97-$AK97)/10),0)</f>
        <v>293242.03499999997</v>
      </c>
      <c r="CH97" s="301">
        <f>_xlfn.IFNA(((VLOOKUP($A97,HN!$A:$M,13,FALSE)-$V97-$AL97)/10),0)</f>
        <v>0</v>
      </c>
      <c r="CI97" s="300">
        <f t="shared" si="127"/>
        <v>0</v>
      </c>
      <c r="CJ97" s="300">
        <f t="shared" si="128"/>
        <v>0</v>
      </c>
      <c r="CK97" s="301"/>
      <c r="CL97" s="301"/>
      <c r="CM97" s="301"/>
      <c r="CN97" s="300">
        <f t="shared" si="129"/>
        <v>420325.36833333329</v>
      </c>
      <c r="CO97" s="332">
        <f t="shared" si="130"/>
        <v>0</v>
      </c>
      <c r="CP97" s="332"/>
      <c r="CQ97" s="332">
        <f>_xlfn.IFNA((VLOOKUP($A97,EY!$A:$AB,28,FALSE)-$CV97),0)</f>
        <v>0</v>
      </c>
      <c r="CR97" s="333">
        <f>_xlfn.IFNA((VLOOKUP($A97,HN!$A:$M,8,FALSE)/12),0)</f>
        <v>127083.33333333333</v>
      </c>
      <c r="CS97" s="333">
        <f>_xlfn.IFNA((VLOOKUP($A97,HN!$A:$M,12,FALSE)/12),0)</f>
        <v>0</v>
      </c>
      <c r="CT97" s="333">
        <f>_xlfn.IFNA((VLOOKUP($A97,HN!$A:$M,9,FALSE)/12),0)</f>
        <v>0</v>
      </c>
      <c r="CU97" s="333">
        <f>_xlfn.IFNA((VLOOKUP($A97,'Post 16'!$A:$AG,33,FALSE)/8),0)</f>
        <v>0</v>
      </c>
      <c r="CV97" s="333">
        <f>_xlfn.IFNA((VLOOKUP($A97,EY!$A:$AB,26,FALSE)*80%),0)</f>
        <v>0</v>
      </c>
      <c r="CW97" s="333">
        <f>_xlfn.IFNA(((VLOOKUP($A97,HN!$A:$M,10,FALSE)-$U97-$AK97)/10),0)</f>
        <v>293242.03499999997</v>
      </c>
      <c r="CX97" s="333">
        <f>_xlfn.IFNA(((VLOOKUP($A97,HN!$A:$M,13,FALSE)-$V97-$AL97)/10),0)</f>
        <v>0</v>
      </c>
      <c r="CY97" s="332">
        <f t="shared" si="131"/>
        <v>0</v>
      </c>
      <c r="CZ97" s="332">
        <f t="shared" si="132"/>
        <v>0</v>
      </c>
      <c r="DA97" s="333"/>
      <c r="DB97" s="333"/>
      <c r="DC97" s="333"/>
      <c r="DD97" s="332">
        <f t="shared" si="133"/>
        <v>420325.36833333329</v>
      </c>
      <c r="DE97" s="314">
        <f t="shared" si="134"/>
        <v>0</v>
      </c>
      <c r="DF97" s="314"/>
      <c r="DG97" s="314"/>
      <c r="DH97" s="315">
        <f>_xlfn.IFNA((VLOOKUP($A97,HN!$A:$M,8,FALSE)/12),0)</f>
        <v>127083.33333333333</v>
      </c>
      <c r="DI97" s="315">
        <f>_xlfn.IFNA((VLOOKUP($A97,HN!$A:$M,12,FALSE)/12),0)</f>
        <v>0</v>
      </c>
      <c r="DJ97" s="315">
        <f>_xlfn.IFNA((VLOOKUP($A97,HN!$A:$M,9,FALSE)/12),0)</f>
        <v>0</v>
      </c>
      <c r="DK97" s="315">
        <f>_xlfn.IFNA((VLOOKUP($A97,'Post 16'!$A:$AG,33,FALSE)/8),0)</f>
        <v>0</v>
      </c>
      <c r="DL97" s="315"/>
      <c r="DM97" s="315">
        <f>_xlfn.IFNA(((VLOOKUP($A97,HN!$A:$M,10,FALSE)-$U97-$AK97)/10),0)</f>
        <v>293242.03499999997</v>
      </c>
      <c r="DN97" s="315">
        <f>_xlfn.IFNA(((VLOOKUP($A97,HN!$A:$M,13,FALSE)-$V97-$AL97)/10),0)</f>
        <v>0</v>
      </c>
      <c r="DO97" s="314">
        <f t="shared" si="135"/>
        <v>0</v>
      </c>
      <c r="DP97" s="314">
        <f t="shared" si="136"/>
        <v>0</v>
      </c>
      <c r="DQ97" s="315"/>
      <c r="DR97" s="315"/>
      <c r="DS97" s="315"/>
      <c r="DT97" s="314">
        <f t="shared" si="137"/>
        <v>420325.36833333329</v>
      </c>
      <c r="DU97" s="307">
        <f t="shared" si="138"/>
        <v>0</v>
      </c>
      <c r="DV97" s="307"/>
      <c r="DW97" s="307"/>
      <c r="DX97" s="308">
        <f>_xlfn.IFNA((VLOOKUP($A97,HN!$A:$M,8,FALSE)/12),0)</f>
        <v>127083.33333333333</v>
      </c>
      <c r="DY97" s="308">
        <f>_xlfn.IFNA((VLOOKUP($A97,HN!$A:$M,12,FALSE)/12),0)</f>
        <v>0</v>
      </c>
      <c r="DZ97" s="308">
        <f>_xlfn.IFNA((VLOOKUP($A97,HN!$A:$M,9,FALSE)/12),0)</f>
        <v>0</v>
      </c>
      <c r="EA97" s="308">
        <f>_xlfn.IFNA((VLOOKUP($A97,'Post 16'!$A:$AG,33,FALSE)/8),0)</f>
        <v>0</v>
      </c>
      <c r="EB97" s="308"/>
      <c r="EC97" s="308">
        <f>_xlfn.IFNA(((VLOOKUP($A97,HN!$A:$M,10,FALSE)-$U97-$AK97)/10),0)</f>
        <v>293242.03499999997</v>
      </c>
      <c r="ED97" s="308">
        <f>_xlfn.IFNA(((VLOOKUP($A97,HN!$A:$M,13,FALSE)-$V97-$AL97)/10),0)</f>
        <v>0</v>
      </c>
      <c r="EE97" s="307">
        <f t="shared" si="139"/>
        <v>0</v>
      </c>
      <c r="EF97" s="307">
        <f t="shared" si="140"/>
        <v>0</v>
      </c>
      <c r="EG97" s="308"/>
      <c r="EH97" s="308"/>
      <c r="EI97" s="308"/>
      <c r="EJ97" s="307">
        <f t="shared" si="141"/>
        <v>420325.36833333329</v>
      </c>
      <c r="EK97" s="320">
        <f t="shared" si="142"/>
        <v>0</v>
      </c>
      <c r="EL97" s="320"/>
      <c r="EM97" s="320"/>
      <c r="EN97" s="321">
        <f>_xlfn.IFNA((VLOOKUP($A97,HN!$A:$M,8,FALSE)/12),0)</f>
        <v>127083.33333333333</v>
      </c>
      <c r="EO97" s="321">
        <f>_xlfn.IFNA((VLOOKUP($A97,HN!$A:$M,12,FALSE)/12),0)</f>
        <v>0</v>
      </c>
      <c r="EP97" s="321">
        <f>_xlfn.IFNA((VLOOKUP($A97,HN!$A:$M,9,FALSE)/12),0)</f>
        <v>0</v>
      </c>
      <c r="EQ97" s="321">
        <f>_xlfn.IFNA((VLOOKUP($A97,'Post 16'!$A:$AG,33,FALSE)/8),0)</f>
        <v>0</v>
      </c>
      <c r="ER97" s="321"/>
      <c r="ES97" s="321">
        <f>_xlfn.IFNA(((VLOOKUP($A97,HN!$A:$M,10,FALSE)-$U97-$AK97)/10),0)</f>
        <v>293242.03499999997</v>
      </c>
      <c r="ET97" s="321">
        <f>_xlfn.IFNA(((VLOOKUP($A97,HN!$A:$M,13,FALSE)-$V97-$AL97)/10),0)</f>
        <v>0</v>
      </c>
      <c r="EU97" s="320">
        <f t="shared" si="143"/>
        <v>0</v>
      </c>
      <c r="EV97" s="320">
        <f t="shared" si="144"/>
        <v>0</v>
      </c>
      <c r="EW97" s="321"/>
      <c r="EX97" s="321"/>
      <c r="EY97" s="321"/>
      <c r="EZ97" s="320">
        <f t="shared" si="145"/>
        <v>420325.36833333329</v>
      </c>
      <c r="FA97" s="286">
        <f t="shared" si="146"/>
        <v>0</v>
      </c>
      <c r="FB97" s="286"/>
      <c r="FC97" s="286"/>
      <c r="FD97" s="287">
        <f>_xlfn.IFNA((VLOOKUP($A97,HN!$A:$M,8,FALSE)/12),0)</f>
        <v>127083.33333333333</v>
      </c>
      <c r="FE97" s="287">
        <f>_xlfn.IFNA((VLOOKUP($A97,HN!$A:$M,12,FALSE)/12),0)</f>
        <v>0</v>
      </c>
      <c r="FF97" s="287">
        <f>_xlfn.IFNA((VLOOKUP($A97,HN!$A:$M,9,FALSE)/12),0)</f>
        <v>0</v>
      </c>
      <c r="FG97" s="287">
        <f>_xlfn.IFNA((VLOOKUP($A97,'Post 16'!$A:$AG,33,FALSE)/8),0)</f>
        <v>0</v>
      </c>
      <c r="FH97" s="287"/>
      <c r="FI97" s="287">
        <f>_xlfn.IFNA(((VLOOKUP($A97,HN!$A:$M,10,FALSE)-$U97-$AK97)/10),0)</f>
        <v>293242.03499999997</v>
      </c>
      <c r="FJ97" s="287">
        <f>_xlfn.IFNA(((VLOOKUP($A97,HN!$A:$M,13,FALSE)-$V97-$AL97)/10),0)</f>
        <v>0</v>
      </c>
      <c r="FK97" s="286">
        <f t="shared" si="147"/>
        <v>0</v>
      </c>
      <c r="FL97" s="286">
        <f t="shared" si="148"/>
        <v>0</v>
      </c>
      <c r="FM97" s="287"/>
      <c r="FN97" s="287"/>
      <c r="FO97" s="287"/>
      <c r="FP97" s="286">
        <f t="shared" si="149"/>
        <v>420325.36833333329</v>
      </c>
      <c r="FQ97" s="293">
        <f t="shared" si="150"/>
        <v>0</v>
      </c>
      <c r="FR97" s="293"/>
      <c r="FS97" s="293"/>
      <c r="FT97" s="294">
        <f>_xlfn.IFNA((VLOOKUP($A97,HN!$A:$M,8,FALSE)/12),0)</f>
        <v>127083.33333333333</v>
      </c>
      <c r="FU97" s="294">
        <f>_xlfn.IFNA((VLOOKUP($A97,HN!$A:$M,12,FALSE)/12),0)</f>
        <v>0</v>
      </c>
      <c r="FV97" s="294">
        <f>_xlfn.IFNA((VLOOKUP($A97,HN!$A:$M,9,FALSE)/12),0)</f>
        <v>0</v>
      </c>
      <c r="FW97" s="294">
        <f>_xlfn.IFNA((VLOOKUP($A97,'Post 16'!$A:$AG,33,FALSE)/8),0)</f>
        <v>0</v>
      </c>
      <c r="FX97" s="294"/>
      <c r="FY97" s="294">
        <f>_xlfn.IFNA(((VLOOKUP($A97,HN!$A:$M,10,FALSE)-$U97-$AK97)/10),0)</f>
        <v>293242.03499999997</v>
      </c>
      <c r="FZ97" s="294">
        <f>_xlfn.IFNA(((VLOOKUP($A97,HN!$A:$M,13,FALSE)-$V97-$AL97)/10),0)</f>
        <v>0</v>
      </c>
      <c r="GA97" s="293">
        <f t="shared" si="151"/>
        <v>0</v>
      </c>
      <c r="GB97" s="293">
        <f t="shared" si="152"/>
        <v>0</v>
      </c>
      <c r="GC97" s="294"/>
      <c r="GD97" s="294"/>
      <c r="GE97" s="294"/>
      <c r="GF97" s="293">
        <f t="shared" si="153"/>
        <v>420325.36833333329</v>
      </c>
      <c r="GG97" s="300">
        <f t="shared" si="154"/>
        <v>0</v>
      </c>
      <c r="GH97" s="300"/>
      <c r="GI97" s="300"/>
      <c r="GJ97" s="301">
        <f>_xlfn.IFNA((VLOOKUP($A97,HN!$A:$M,8,FALSE)/12),0)</f>
        <v>127083.33333333333</v>
      </c>
      <c r="GK97" s="301">
        <f>_xlfn.IFNA((VLOOKUP($A97,HN!$A:$M,12,FALSE)/12),0)</f>
        <v>0</v>
      </c>
      <c r="GL97" s="301">
        <f>_xlfn.IFNA((VLOOKUP($A97,HN!$A:$M,9,FALSE)/12),0)</f>
        <v>0</v>
      </c>
      <c r="GM97" s="301">
        <f>_xlfn.IFNA((VLOOKUP($A97,'Post 16'!$A:$AG,33,FALSE)/8),0)</f>
        <v>0</v>
      </c>
      <c r="GN97" s="301"/>
      <c r="GO97" s="301">
        <f>_xlfn.IFNA(((VLOOKUP($A97,HN!$A:$M,10,FALSE)-$U97-$AK97)/10),0)</f>
        <v>293242.03499999997</v>
      </c>
      <c r="GP97" s="301">
        <f>_xlfn.IFNA(((VLOOKUP($A97,HN!$A:$M,13,FALSE)-$V97-$AL97)/10),0)</f>
        <v>0</v>
      </c>
      <c r="GQ97" s="300">
        <f t="shared" si="155"/>
        <v>0</v>
      </c>
      <c r="GR97" s="300">
        <f t="shared" si="156"/>
        <v>0</v>
      </c>
      <c r="GS97" s="301"/>
      <c r="GT97" s="301"/>
      <c r="GU97" s="301"/>
      <c r="GV97" s="300">
        <f t="shared" si="157"/>
        <v>420325.36833333329</v>
      </c>
      <c r="GX97" s="146">
        <f t="shared" si="160"/>
        <v>1524999.9999999998</v>
      </c>
      <c r="GY97" s="146">
        <f t="shared" si="160"/>
        <v>0</v>
      </c>
      <c r="GZ97" s="146">
        <f t="shared" si="160"/>
        <v>3518904.4200000004</v>
      </c>
      <c r="HA97" s="146">
        <f t="shared" si="160"/>
        <v>0</v>
      </c>
      <c r="HB97" s="146">
        <f t="shared" si="160"/>
        <v>0</v>
      </c>
      <c r="HC97" s="146">
        <f t="shared" si="160"/>
        <v>0</v>
      </c>
      <c r="HE97" s="146">
        <f t="shared" si="161"/>
        <v>381250</v>
      </c>
      <c r="HF97" s="146">
        <f t="shared" si="161"/>
        <v>0</v>
      </c>
      <c r="HG97" s="146">
        <f t="shared" si="161"/>
        <v>879726.10499999998</v>
      </c>
      <c r="HH97" s="146">
        <f t="shared" si="161"/>
        <v>0</v>
      </c>
      <c r="HI97" s="146">
        <f t="shared" si="161"/>
        <v>0</v>
      </c>
      <c r="HJ97" s="146">
        <f t="shared" si="161"/>
        <v>0</v>
      </c>
      <c r="HL97" s="146"/>
      <c r="HM97" s="57"/>
    </row>
    <row r="98" spans="1:221">
      <c r="A98" s="185">
        <v>2462</v>
      </c>
      <c r="B98" s="185">
        <v>103388</v>
      </c>
      <c r="C98" s="185" t="s">
        <v>219</v>
      </c>
      <c r="D98" s="2" t="s">
        <v>220</v>
      </c>
      <c r="E98" s="190" t="s">
        <v>39</v>
      </c>
      <c r="F98" s="190" t="s">
        <v>890</v>
      </c>
      <c r="H98" s="271">
        <f>_xlfn.IFNA(VLOOKUP($A98,ISB!$A$4:$BY$441,67,FALSE),0)</f>
        <v>2185759.6950000003</v>
      </c>
      <c r="I98" s="271">
        <f>_xlfn.IFNA(VLOOKUP($A98,ISB!$A$4:$BY$441,72,FALSE),0)</f>
        <v>-10458</v>
      </c>
      <c r="J98" s="271">
        <f>-_xlfn.IFNA(VLOOKUP($A98,ISB!$A$4:$BY$441,76,FALSE),0)</f>
        <v>-37459.695</v>
      </c>
      <c r="K98" s="271">
        <f>_xlfn.IFNA(VLOOKUP($A98,ISB!$A$4:$BY$441,77,FALSE),0)</f>
        <v>2137842.0000000005</v>
      </c>
      <c r="M98" s="279">
        <f t="shared" si="110"/>
        <v>182146.64125000002</v>
      </c>
      <c r="N98" s="279"/>
      <c r="O98" s="279">
        <f>_xlfn.IFNA(VLOOKUP($A98,EY!$A:$H,8,FALSE)+(VLOOKUP($A98,EY!$A:$R,18,FALSE)-$T98),0)</f>
        <v>0</v>
      </c>
      <c r="P98" s="280">
        <f>_xlfn.IFNA((VLOOKUP($A98,HN!$A:$M,8,FALSE)/12),0)</f>
        <v>0</v>
      </c>
      <c r="Q98" s="280">
        <f>_xlfn.IFNA((VLOOKUP($A98,HN!$A:$M,12,FALSE)/12),0)</f>
        <v>0</v>
      </c>
      <c r="R98" s="280">
        <f>_xlfn.IFNA((VLOOKUP($A98,HN!$A:$M,9,FALSE)/12),0)</f>
        <v>0</v>
      </c>
      <c r="S98" s="280">
        <f>_xlfn.IFNA((VLOOKUP($A98,'Post 16'!$A:$AR,22,FALSE)/4),0)</f>
        <v>0</v>
      </c>
      <c r="T98" s="280">
        <f>_xlfn.IFNA((VLOOKUP($A98,EY!$A:$R,16,FALSE)*80%),0)</f>
        <v>0</v>
      </c>
      <c r="U98" s="280">
        <v>3458.5</v>
      </c>
      <c r="V98" s="280">
        <v>0</v>
      </c>
      <c r="W98" s="279">
        <f t="shared" si="111"/>
        <v>-871.5</v>
      </c>
      <c r="X98" s="279">
        <f t="shared" si="112"/>
        <v>-3121.6412500000001</v>
      </c>
      <c r="Y98" s="280"/>
      <c r="Z98" s="280"/>
      <c r="AA98" s="280"/>
      <c r="AB98" s="279">
        <f t="shared" si="113"/>
        <v>181612.00000000003</v>
      </c>
      <c r="AC98" s="293">
        <f t="shared" si="114"/>
        <v>182146.64125000002</v>
      </c>
      <c r="AD98" s="293"/>
      <c r="AE98" s="293"/>
      <c r="AF98" s="294">
        <f>_xlfn.IFNA((VLOOKUP($A98,HN!$A:$M,8,FALSE)/12),0)</f>
        <v>0</v>
      </c>
      <c r="AG98" s="294">
        <f>_xlfn.IFNA((VLOOKUP($A98,HN!$A:$M,12,FALSE)/12),0)+_xlfn.IFNA(VLOOKUP($A98,HN!$A:$Q,17,FALSE),0)</f>
        <v>0</v>
      </c>
      <c r="AH98" s="294">
        <f>_xlfn.IFNA((VLOOKUP($A98,HN!$A:$M,9,FALSE)/12),0)</f>
        <v>0</v>
      </c>
      <c r="AI98" s="294">
        <f>_xlfn.IFNA((VLOOKUP($A98,'Post 16'!$A:$AR,22,FALSE)/4),0)</f>
        <v>0</v>
      </c>
      <c r="AJ98" s="294"/>
      <c r="AK98" s="294">
        <f>_xlfn.IFNA((VLOOKUP($A98,HN!$A:$M,10,FALSE)/12),0)</f>
        <v>2676.4583333333335</v>
      </c>
      <c r="AL98" s="294">
        <f>_xlfn.IFNA((VLOOKUP($A98,HN!$A:$M,13,FALSE)/12),0)</f>
        <v>0</v>
      </c>
      <c r="AM98" s="293">
        <f t="shared" si="115"/>
        <v>-871.5</v>
      </c>
      <c r="AN98" s="293">
        <f t="shared" si="116"/>
        <v>-3121.6412500000001</v>
      </c>
      <c r="AO98" s="294"/>
      <c r="AP98" s="294"/>
      <c r="AQ98" s="294"/>
      <c r="AR98" s="293">
        <f t="shared" si="117"/>
        <v>180829.95833333337</v>
      </c>
      <c r="AS98" s="286">
        <f t="shared" si="118"/>
        <v>182146.64125000002</v>
      </c>
      <c r="AT98" s="286"/>
      <c r="AU98" s="286">
        <f>_xlfn.IFNA(VLOOKUP(A98,EY!A:AO,40,FALSE),0)</f>
        <v>0</v>
      </c>
      <c r="AV98" s="287">
        <f>_xlfn.IFNA((VLOOKUP($A98,HN!$A:$M,8,FALSE)/12),0)</f>
        <v>0</v>
      </c>
      <c r="AW98" s="287">
        <f>_xlfn.IFNA((VLOOKUP($A98,HN!$A:$M,12,FALSE)/12),0)+_xlfn.IFNA(VLOOKUP($A98,HN!$A$8:$AU$200,19,FALSE),0)</f>
        <v>0</v>
      </c>
      <c r="AX98" s="287">
        <f>_xlfn.IFNA((VLOOKUP($A98,HN!$A:$M,9,FALSE)/12),0)</f>
        <v>0</v>
      </c>
      <c r="AY98" s="287">
        <f>_xlfn.IFNA((VLOOKUP($A98,'Post 16'!$A:$AR,22,FALSE)/4),0)</f>
        <v>0</v>
      </c>
      <c r="AZ98" s="287">
        <f>_xlfn.IFNA(VLOOKUP(A98,EY!A:AO,41,FALSE),0)</f>
        <v>0</v>
      </c>
      <c r="BA98" s="287">
        <f>_xlfn.IFNA(((VLOOKUP($A98,HN!$A:$M,10,FALSE)-$U98-$AK98)/10),0)+_xlfn.IFNA(VLOOKUP($A98,HN!$A:$R,18,FALSE),0)</f>
        <v>2598.2541666666666</v>
      </c>
      <c r="BB98" s="287">
        <f>_xlfn.IFNA(((VLOOKUP($A98,HN!$A:$M,13,FALSE)-$V98-$AL98)/10),0)+_xlfn.IFNA(VLOOKUP($A98,HN!$A$8:$AU$200,20,FALSE),0)</f>
        <v>0</v>
      </c>
      <c r="BC98" s="286">
        <f t="shared" si="119"/>
        <v>-871.5</v>
      </c>
      <c r="BD98" s="286">
        <f t="shared" si="120"/>
        <v>-3121.6412500000001</v>
      </c>
      <c r="BE98" s="287"/>
      <c r="BF98" s="287"/>
      <c r="BG98" s="287"/>
      <c r="BH98" s="286">
        <f t="shared" si="121"/>
        <v>180751.75416666671</v>
      </c>
      <c r="BI98" s="307">
        <f t="shared" si="122"/>
        <v>182146.64125000002</v>
      </c>
      <c r="BJ98" s="307">
        <f>_xlfn.IFNA(VLOOKUP(A98,'LA Deductions'!A:AH,34,FALSE),0)</f>
        <v>0</v>
      </c>
      <c r="BK98" s="307"/>
      <c r="BL98" s="308">
        <f>_xlfn.IFNA((VLOOKUP($A98,HN!$A:$M,8,FALSE)/12),0)</f>
        <v>0</v>
      </c>
      <c r="BM98" s="308">
        <f>_xlfn.IFNA((VLOOKUP($A98,HN!$A:$M,12,FALSE)/12),0)</f>
        <v>0</v>
      </c>
      <c r="BN98" s="308">
        <f>_xlfn.IFNA((VLOOKUP($A98,HN!$A:$M,9,FALSE)/12),0)</f>
        <v>0</v>
      </c>
      <c r="BO98" s="308">
        <f>_xlfn.IFNA((VLOOKUP($A98,'Post 16'!$A:$AR,22,FALSE)/4),0)</f>
        <v>0</v>
      </c>
      <c r="BP98" s="308"/>
      <c r="BQ98" s="308">
        <f>_xlfn.IFNA(((VLOOKUP($A98,HN!$A:$M,10,FALSE)-$U98-$AK98)/10),0)</f>
        <v>2598.2541666666666</v>
      </c>
      <c r="BR98" s="308">
        <f>_xlfn.IFNA(((VLOOKUP($A98,HN!$A:$M,13,FALSE)-$V98-$AL98)/10),0)</f>
        <v>0</v>
      </c>
      <c r="BS98" s="307">
        <f t="shared" si="123"/>
        <v>-871.5</v>
      </c>
      <c r="BT98" s="307">
        <f t="shared" si="124"/>
        <v>-3121.6412500000001</v>
      </c>
      <c r="BU98" s="308"/>
      <c r="BV98" s="308"/>
      <c r="BW98" s="308"/>
      <c r="BX98" s="307">
        <f t="shared" si="125"/>
        <v>180751.75416666671</v>
      </c>
      <c r="BY98" s="300">
        <f t="shared" si="126"/>
        <v>182146.64125000002</v>
      </c>
      <c r="BZ98" s="300"/>
      <c r="CA98" s="300"/>
      <c r="CB98" s="301">
        <f>_xlfn.IFNA((VLOOKUP($A98,HN!$A:$M,8,FALSE)/12),0)</f>
        <v>0</v>
      </c>
      <c r="CC98" s="301">
        <f>_xlfn.IFNA((VLOOKUP($A98,HN!$A:$M,12,FALSE)/12),0)</f>
        <v>0</v>
      </c>
      <c r="CD98" s="301">
        <f>_xlfn.IFNA((VLOOKUP($A98,HN!$A:$M,9,FALSE)/12),0)</f>
        <v>0</v>
      </c>
      <c r="CE98" s="301">
        <f>_xlfn.IFNA((VLOOKUP($A98,'Post 16'!$A:$AG,33,FALSE)/8),0)</f>
        <v>0</v>
      </c>
      <c r="CF98" s="301"/>
      <c r="CG98" s="301">
        <f>_xlfn.IFNA(((VLOOKUP($A98,HN!$A:$M,10,FALSE)-$U98-$AK98)/10),0)</f>
        <v>2598.2541666666666</v>
      </c>
      <c r="CH98" s="301">
        <f>_xlfn.IFNA(((VLOOKUP($A98,HN!$A:$M,13,FALSE)-$V98-$AL98)/10),0)</f>
        <v>0</v>
      </c>
      <c r="CI98" s="300">
        <f t="shared" si="127"/>
        <v>-871.5</v>
      </c>
      <c r="CJ98" s="300">
        <f t="shared" si="128"/>
        <v>-3121.6412500000001</v>
      </c>
      <c r="CK98" s="301"/>
      <c r="CL98" s="301"/>
      <c r="CM98" s="301"/>
      <c r="CN98" s="300">
        <f t="shared" si="129"/>
        <v>180751.75416666671</v>
      </c>
      <c r="CO98" s="332">
        <f t="shared" si="130"/>
        <v>182146.64125000002</v>
      </c>
      <c r="CP98" s="332"/>
      <c r="CQ98" s="332">
        <f>_xlfn.IFNA((VLOOKUP($A98,EY!$A:$AB,28,FALSE)-$CV98),0)</f>
        <v>0</v>
      </c>
      <c r="CR98" s="333">
        <f>_xlfn.IFNA((VLOOKUP($A98,HN!$A:$M,8,FALSE)/12),0)</f>
        <v>0</v>
      </c>
      <c r="CS98" s="333">
        <f>_xlfn.IFNA((VLOOKUP($A98,HN!$A:$M,12,FALSE)/12),0)</f>
        <v>0</v>
      </c>
      <c r="CT98" s="333">
        <f>_xlfn.IFNA((VLOOKUP($A98,HN!$A:$M,9,FALSE)/12),0)</f>
        <v>0</v>
      </c>
      <c r="CU98" s="333">
        <f>_xlfn.IFNA((VLOOKUP($A98,'Post 16'!$A:$AG,33,FALSE)/8),0)</f>
        <v>0</v>
      </c>
      <c r="CV98" s="333">
        <f>_xlfn.IFNA((VLOOKUP($A98,EY!$A:$AB,26,FALSE)*80%),0)</f>
        <v>0</v>
      </c>
      <c r="CW98" s="333">
        <f>_xlfn.IFNA(((VLOOKUP($A98,HN!$A:$M,10,FALSE)-$U98-$AK98)/10),0)</f>
        <v>2598.2541666666666</v>
      </c>
      <c r="CX98" s="333">
        <f>_xlfn.IFNA(((VLOOKUP($A98,HN!$A:$M,13,FALSE)-$V98-$AL98)/10),0)</f>
        <v>0</v>
      </c>
      <c r="CY98" s="332">
        <f t="shared" si="131"/>
        <v>-871.5</v>
      </c>
      <c r="CZ98" s="332">
        <f t="shared" si="132"/>
        <v>-3121.6412500000001</v>
      </c>
      <c r="DA98" s="333"/>
      <c r="DB98" s="333"/>
      <c r="DC98" s="333"/>
      <c r="DD98" s="332">
        <f t="shared" si="133"/>
        <v>180751.75416666671</v>
      </c>
      <c r="DE98" s="314">
        <f t="shared" si="134"/>
        <v>182146.64125000002</v>
      </c>
      <c r="DF98" s="314"/>
      <c r="DG98" s="314"/>
      <c r="DH98" s="315">
        <f>_xlfn.IFNA((VLOOKUP($A98,HN!$A:$M,8,FALSE)/12),0)</f>
        <v>0</v>
      </c>
      <c r="DI98" s="315">
        <f>_xlfn.IFNA((VLOOKUP($A98,HN!$A:$M,12,FALSE)/12),0)</f>
        <v>0</v>
      </c>
      <c r="DJ98" s="315">
        <f>_xlfn.IFNA((VLOOKUP($A98,HN!$A:$M,9,FALSE)/12),0)</f>
        <v>0</v>
      </c>
      <c r="DK98" s="315">
        <f>_xlfn.IFNA((VLOOKUP($A98,'Post 16'!$A:$AG,33,FALSE)/8),0)</f>
        <v>0</v>
      </c>
      <c r="DL98" s="315"/>
      <c r="DM98" s="315">
        <f>_xlfn.IFNA(((VLOOKUP($A98,HN!$A:$M,10,FALSE)-$U98-$AK98)/10),0)</f>
        <v>2598.2541666666666</v>
      </c>
      <c r="DN98" s="315">
        <f>_xlfn.IFNA(((VLOOKUP($A98,HN!$A:$M,13,FALSE)-$V98-$AL98)/10),0)</f>
        <v>0</v>
      </c>
      <c r="DO98" s="314">
        <f t="shared" si="135"/>
        <v>-871.5</v>
      </c>
      <c r="DP98" s="314">
        <f t="shared" si="136"/>
        <v>-3121.6412500000001</v>
      </c>
      <c r="DQ98" s="315"/>
      <c r="DR98" s="315"/>
      <c r="DS98" s="315"/>
      <c r="DT98" s="314">
        <f t="shared" si="137"/>
        <v>180751.75416666671</v>
      </c>
      <c r="DU98" s="307">
        <f t="shared" si="138"/>
        <v>182146.64125000002</v>
      </c>
      <c r="DV98" s="307"/>
      <c r="DW98" s="307"/>
      <c r="DX98" s="308">
        <f>_xlfn.IFNA((VLOOKUP($A98,HN!$A:$M,8,FALSE)/12),0)</f>
        <v>0</v>
      </c>
      <c r="DY98" s="308">
        <f>_xlfn.IFNA((VLOOKUP($A98,HN!$A:$M,12,FALSE)/12),0)</f>
        <v>0</v>
      </c>
      <c r="DZ98" s="308">
        <f>_xlfn.IFNA((VLOOKUP($A98,HN!$A:$M,9,FALSE)/12),0)</f>
        <v>0</v>
      </c>
      <c r="EA98" s="308">
        <f>_xlfn.IFNA((VLOOKUP($A98,'Post 16'!$A:$AG,33,FALSE)/8),0)</f>
        <v>0</v>
      </c>
      <c r="EB98" s="308"/>
      <c r="EC98" s="308">
        <f>_xlfn.IFNA(((VLOOKUP($A98,HN!$A:$M,10,FALSE)-$U98-$AK98)/10),0)</f>
        <v>2598.2541666666666</v>
      </c>
      <c r="ED98" s="308">
        <f>_xlfn.IFNA(((VLOOKUP($A98,HN!$A:$M,13,FALSE)-$V98-$AL98)/10),0)</f>
        <v>0</v>
      </c>
      <c r="EE98" s="307">
        <f t="shared" si="139"/>
        <v>-871.5</v>
      </c>
      <c r="EF98" s="307">
        <f t="shared" si="140"/>
        <v>-3121.6412500000001</v>
      </c>
      <c r="EG98" s="308"/>
      <c r="EH98" s="308"/>
      <c r="EI98" s="308"/>
      <c r="EJ98" s="307">
        <f t="shared" si="141"/>
        <v>180751.75416666671</v>
      </c>
      <c r="EK98" s="320">
        <f t="shared" si="142"/>
        <v>182146.64125000002</v>
      </c>
      <c r="EL98" s="320"/>
      <c r="EM98" s="320"/>
      <c r="EN98" s="321">
        <f>_xlfn.IFNA((VLOOKUP($A98,HN!$A:$M,8,FALSE)/12),0)</f>
        <v>0</v>
      </c>
      <c r="EO98" s="321">
        <f>_xlfn.IFNA((VLOOKUP($A98,HN!$A:$M,12,FALSE)/12),0)</f>
        <v>0</v>
      </c>
      <c r="EP98" s="321">
        <f>_xlfn.IFNA((VLOOKUP($A98,HN!$A:$M,9,FALSE)/12),0)</f>
        <v>0</v>
      </c>
      <c r="EQ98" s="321">
        <f>_xlfn.IFNA((VLOOKUP($A98,'Post 16'!$A:$AG,33,FALSE)/8),0)</f>
        <v>0</v>
      </c>
      <c r="ER98" s="321"/>
      <c r="ES98" s="321">
        <f>_xlfn.IFNA(((VLOOKUP($A98,HN!$A:$M,10,FALSE)-$U98-$AK98)/10),0)</f>
        <v>2598.2541666666666</v>
      </c>
      <c r="ET98" s="321">
        <f>_xlfn.IFNA(((VLOOKUP($A98,HN!$A:$M,13,FALSE)-$V98-$AL98)/10),0)</f>
        <v>0</v>
      </c>
      <c r="EU98" s="320">
        <f t="shared" si="143"/>
        <v>-871.5</v>
      </c>
      <c r="EV98" s="320">
        <f t="shared" si="144"/>
        <v>-3121.6412500000001</v>
      </c>
      <c r="EW98" s="321"/>
      <c r="EX98" s="321"/>
      <c r="EY98" s="321"/>
      <c r="EZ98" s="320">
        <f t="shared" si="145"/>
        <v>180751.75416666671</v>
      </c>
      <c r="FA98" s="286">
        <f t="shared" si="146"/>
        <v>182146.64125000002</v>
      </c>
      <c r="FB98" s="286"/>
      <c r="FC98" s="286"/>
      <c r="FD98" s="287">
        <f>_xlfn.IFNA((VLOOKUP($A98,HN!$A:$M,8,FALSE)/12),0)</f>
        <v>0</v>
      </c>
      <c r="FE98" s="287">
        <f>_xlfn.IFNA((VLOOKUP($A98,HN!$A:$M,12,FALSE)/12),0)</f>
        <v>0</v>
      </c>
      <c r="FF98" s="287">
        <f>_xlfn.IFNA((VLOOKUP($A98,HN!$A:$M,9,FALSE)/12),0)</f>
        <v>0</v>
      </c>
      <c r="FG98" s="287">
        <f>_xlfn.IFNA((VLOOKUP($A98,'Post 16'!$A:$AG,33,FALSE)/8),0)</f>
        <v>0</v>
      </c>
      <c r="FH98" s="287"/>
      <c r="FI98" s="287">
        <f>_xlfn.IFNA(((VLOOKUP($A98,HN!$A:$M,10,FALSE)-$U98-$AK98)/10),0)</f>
        <v>2598.2541666666666</v>
      </c>
      <c r="FJ98" s="287">
        <f>_xlfn.IFNA(((VLOOKUP($A98,HN!$A:$M,13,FALSE)-$V98-$AL98)/10),0)</f>
        <v>0</v>
      </c>
      <c r="FK98" s="286">
        <f t="shared" si="147"/>
        <v>-871.5</v>
      </c>
      <c r="FL98" s="286">
        <f t="shared" si="148"/>
        <v>-3121.6412500000001</v>
      </c>
      <c r="FM98" s="287"/>
      <c r="FN98" s="287"/>
      <c r="FO98" s="287"/>
      <c r="FP98" s="286">
        <f t="shared" si="149"/>
        <v>180751.75416666671</v>
      </c>
      <c r="FQ98" s="293">
        <f t="shared" si="150"/>
        <v>182146.64125000002</v>
      </c>
      <c r="FR98" s="293"/>
      <c r="FS98" s="293"/>
      <c r="FT98" s="294">
        <f>_xlfn.IFNA((VLOOKUP($A98,HN!$A:$M,8,FALSE)/12),0)</f>
        <v>0</v>
      </c>
      <c r="FU98" s="294">
        <f>_xlfn.IFNA((VLOOKUP($A98,HN!$A:$M,12,FALSE)/12),0)</f>
        <v>0</v>
      </c>
      <c r="FV98" s="294">
        <f>_xlfn.IFNA((VLOOKUP($A98,HN!$A:$M,9,FALSE)/12),0)</f>
        <v>0</v>
      </c>
      <c r="FW98" s="294">
        <f>_xlfn.IFNA((VLOOKUP($A98,'Post 16'!$A:$AG,33,FALSE)/8),0)</f>
        <v>0</v>
      </c>
      <c r="FX98" s="294"/>
      <c r="FY98" s="294">
        <f>_xlfn.IFNA(((VLOOKUP($A98,HN!$A:$M,10,FALSE)-$U98-$AK98)/10),0)</f>
        <v>2598.2541666666666</v>
      </c>
      <c r="FZ98" s="294">
        <f>_xlfn.IFNA(((VLOOKUP($A98,HN!$A:$M,13,FALSE)-$V98-$AL98)/10),0)</f>
        <v>0</v>
      </c>
      <c r="GA98" s="293">
        <f t="shared" si="151"/>
        <v>-871.5</v>
      </c>
      <c r="GB98" s="293">
        <f t="shared" si="152"/>
        <v>-3121.6412500000001</v>
      </c>
      <c r="GC98" s="294"/>
      <c r="GD98" s="294"/>
      <c r="GE98" s="294"/>
      <c r="GF98" s="293">
        <f t="shared" si="153"/>
        <v>180751.75416666671</v>
      </c>
      <c r="GG98" s="300">
        <f t="shared" si="154"/>
        <v>182146.64125000002</v>
      </c>
      <c r="GH98" s="300"/>
      <c r="GI98" s="300"/>
      <c r="GJ98" s="301">
        <f>_xlfn.IFNA((VLOOKUP($A98,HN!$A:$M,8,FALSE)/12),0)</f>
        <v>0</v>
      </c>
      <c r="GK98" s="301">
        <f>_xlfn.IFNA((VLOOKUP($A98,HN!$A:$M,12,FALSE)/12),0)</f>
        <v>0</v>
      </c>
      <c r="GL98" s="301">
        <f>_xlfn.IFNA((VLOOKUP($A98,HN!$A:$M,9,FALSE)/12),0)</f>
        <v>0</v>
      </c>
      <c r="GM98" s="301">
        <f>_xlfn.IFNA((VLOOKUP($A98,'Post 16'!$A:$AG,33,FALSE)/8),0)</f>
        <v>0</v>
      </c>
      <c r="GN98" s="301"/>
      <c r="GO98" s="301">
        <f>_xlfn.IFNA(((VLOOKUP($A98,HN!$A:$M,10,FALSE)-$U98-$AK98)/10),0)</f>
        <v>2598.2541666666666</v>
      </c>
      <c r="GP98" s="301">
        <f>_xlfn.IFNA(((VLOOKUP($A98,HN!$A:$M,13,FALSE)-$V98-$AL98)/10),0)</f>
        <v>0</v>
      </c>
      <c r="GQ98" s="300">
        <f t="shared" si="155"/>
        <v>-871.5</v>
      </c>
      <c r="GR98" s="300">
        <f t="shared" si="156"/>
        <v>-3121.6412500000001</v>
      </c>
      <c r="GS98" s="301"/>
      <c r="GT98" s="301"/>
      <c r="GU98" s="301"/>
      <c r="GV98" s="300">
        <f t="shared" si="157"/>
        <v>180751.75416666671</v>
      </c>
      <c r="GX98" s="146">
        <f t="shared" ref="GX98:HC107" si="162">SUMIFS($M98:$GV98,$M$7:$GV$7,GX$7)</f>
        <v>2185759.6950000008</v>
      </c>
      <c r="GY98" s="146">
        <f t="shared" si="162"/>
        <v>0</v>
      </c>
      <c r="GZ98" s="146">
        <f t="shared" si="162"/>
        <v>32117.499999999993</v>
      </c>
      <c r="HA98" s="146">
        <f t="shared" si="162"/>
        <v>-10458</v>
      </c>
      <c r="HB98" s="146">
        <f t="shared" si="162"/>
        <v>-37459.695</v>
      </c>
      <c r="HC98" s="146">
        <f t="shared" si="162"/>
        <v>0</v>
      </c>
      <c r="HE98" s="146">
        <f t="shared" ref="HE98:HJ107" si="163">SUMIFS($M98:$GV98,$M$7:$GV$7,HE$7,$M$4:$GV$4,$HE$6)</f>
        <v>546439.92375000007</v>
      </c>
      <c r="HF98" s="146">
        <f t="shared" si="163"/>
        <v>0</v>
      </c>
      <c r="HG98" s="146">
        <f t="shared" si="163"/>
        <v>8733.2125000000015</v>
      </c>
      <c r="HH98" s="146">
        <f t="shared" si="163"/>
        <v>-2614.5</v>
      </c>
      <c r="HI98" s="146">
        <f t="shared" si="163"/>
        <v>-9364.9237499999999</v>
      </c>
      <c r="HJ98" s="146">
        <f t="shared" si="163"/>
        <v>0</v>
      </c>
      <c r="HL98" s="146"/>
      <c r="HM98" s="57"/>
    </row>
    <row r="99" spans="1:221">
      <c r="A99" s="185">
        <v>7012</v>
      </c>
      <c r="B99" s="185">
        <v>103603</v>
      </c>
      <c r="C99" s="185" t="s">
        <v>221</v>
      </c>
      <c r="D99" s="2" t="s">
        <v>222</v>
      </c>
      <c r="E99" s="190" t="s">
        <v>56</v>
      </c>
      <c r="F99" s="190" t="s">
        <v>890</v>
      </c>
      <c r="H99" s="271">
        <f>_xlfn.IFNA(VLOOKUP($A99,ISB!$A$4:$BY$441,67,FALSE),0)</f>
        <v>0</v>
      </c>
      <c r="I99" s="271">
        <f>_xlfn.IFNA(VLOOKUP($A99,ISB!$A$4:$BY$441,72,FALSE),0)</f>
        <v>0</v>
      </c>
      <c r="J99" s="271">
        <f>-_xlfn.IFNA(VLOOKUP($A99,ISB!$A$4:$BY$441,76,FALSE),0)</f>
        <v>0</v>
      </c>
      <c r="K99" s="271">
        <f>_xlfn.IFNA(VLOOKUP($A99,ISB!$A$4:$BY$441,77,FALSE),0)</f>
        <v>0</v>
      </c>
      <c r="M99" s="279">
        <f t="shared" si="110"/>
        <v>0</v>
      </c>
      <c r="N99" s="279"/>
      <c r="O99" s="279">
        <f>_xlfn.IFNA(VLOOKUP($A99,EY!$A:$H,8,FALSE)+(VLOOKUP($A99,EY!$A:$R,18,FALSE)-$T99),0)</f>
        <v>0</v>
      </c>
      <c r="P99" s="280">
        <f>_xlfn.IFNA((VLOOKUP($A99,HN!$A:$M,8,FALSE)/12),0)</f>
        <v>54166.666666666664</v>
      </c>
      <c r="Q99" s="280">
        <f>_xlfn.IFNA((VLOOKUP($A99,HN!$A:$M,12,FALSE)/12),0)</f>
        <v>0</v>
      </c>
      <c r="R99" s="280">
        <f>_xlfn.IFNA((VLOOKUP($A99,HN!$A:$M,9,FALSE)/12),0)</f>
        <v>0</v>
      </c>
      <c r="S99" s="280">
        <f>_xlfn.IFNA((VLOOKUP($A99,'Post 16'!$A:$AR,22,FALSE)/4),0)</f>
        <v>0</v>
      </c>
      <c r="T99" s="280">
        <f>_xlfn.IFNA((VLOOKUP($A99,EY!$A:$R,16,FALSE)*80%),0)</f>
        <v>0</v>
      </c>
      <c r="U99" s="280">
        <v>72043.688333333339</v>
      </c>
      <c r="V99" s="280">
        <v>0</v>
      </c>
      <c r="W99" s="279">
        <f t="shared" si="111"/>
        <v>0</v>
      </c>
      <c r="X99" s="279">
        <f t="shared" si="112"/>
        <v>0</v>
      </c>
      <c r="Y99" s="280"/>
      <c r="Z99" s="280"/>
      <c r="AA99" s="280"/>
      <c r="AB99" s="279">
        <f t="shared" si="113"/>
        <v>126210.35500000001</v>
      </c>
      <c r="AC99" s="293">
        <f t="shared" si="114"/>
        <v>0</v>
      </c>
      <c r="AD99" s="293"/>
      <c r="AE99" s="293"/>
      <c r="AF99" s="294">
        <f>_xlfn.IFNA((VLOOKUP($A99,HN!$A:$M,8,FALSE)/12),0)</f>
        <v>54166.666666666664</v>
      </c>
      <c r="AG99" s="294">
        <f>_xlfn.IFNA((VLOOKUP($A99,HN!$A:$M,12,FALSE)/12),0)+_xlfn.IFNA(VLOOKUP($A99,HN!$A:$Q,17,FALSE),0)</f>
        <v>0</v>
      </c>
      <c r="AH99" s="294">
        <f>_xlfn.IFNA((VLOOKUP($A99,HN!$A:$M,9,FALSE)/12),0)</f>
        <v>0</v>
      </c>
      <c r="AI99" s="294">
        <f>_xlfn.IFNA((VLOOKUP($A99,'Post 16'!$A:$AR,22,FALSE)/4),0)</f>
        <v>0</v>
      </c>
      <c r="AJ99" s="294"/>
      <c r="AK99" s="294">
        <f>_xlfn.IFNA((VLOOKUP($A99,HN!$A:$M,10,FALSE)/12),0)</f>
        <v>72043.688333333339</v>
      </c>
      <c r="AL99" s="294">
        <f>_xlfn.IFNA((VLOOKUP($A99,HN!$A:$M,13,FALSE)/12),0)</f>
        <v>0</v>
      </c>
      <c r="AM99" s="293">
        <f t="shared" si="115"/>
        <v>0</v>
      </c>
      <c r="AN99" s="293">
        <f t="shared" si="116"/>
        <v>0</v>
      </c>
      <c r="AO99" s="294"/>
      <c r="AP99" s="294"/>
      <c r="AQ99" s="294"/>
      <c r="AR99" s="293">
        <f t="shared" si="117"/>
        <v>126210.35500000001</v>
      </c>
      <c r="AS99" s="286">
        <f t="shared" si="118"/>
        <v>0</v>
      </c>
      <c r="AT99" s="286"/>
      <c r="AU99" s="286">
        <f>_xlfn.IFNA(VLOOKUP(A99,EY!A:AO,40,FALSE),0)</f>
        <v>0</v>
      </c>
      <c r="AV99" s="287">
        <f>_xlfn.IFNA((VLOOKUP($A99,HN!$A:$M,8,FALSE)/12),0)</f>
        <v>54166.666666666664</v>
      </c>
      <c r="AW99" s="287">
        <f>_xlfn.IFNA((VLOOKUP($A99,HN!$A:$M,12,FALSE)/12),0)+_xlfn.IFNA(VLOOKUP($A99,HN!$A$8:$AU$200,19,FALSE),0)</f>
        <v>0</v>
      </c>
      <c r="AX99" s="287">
        <f>_xlfn.IFNA((VLOOKUP($A99,HN!$A:$M,9,FALSE)/12),0)</f>
        <v>0</v>
      </c>
      <c r="AY99" s="287">
        <f>_xlfn.IFNA((VLOOKUP($A99,'Post 16'!$A:$AR,22,FALSE)/4),0)</f>
        <v>0</v>
      </c>
      <c r="AZ99" s="287">
        <f>_xlfn.IFNA(VLOOKUP(A99,EY!A:AO,41,FALSE),0)</f>
        <v>0</v>
      </c>
      <c r="BA99" s="287">
        <f>_xlfn.IFNA(((VLOOKUP($A99,HN!$A:$M,10,FALSE)-$U99-$AK99)/10),0)+_xlfn.IFNA(VLOOKUP($A99,HN!$A:$R,18,FALSE),0)</f>
        <v>72043.688333333324</v>
      </c>
      <c r="BB99" s="287">
        <f>_xlfn.IFNA(((VLOOKUP($A99,HN!$A:$M,13,FALSE)-$V99-$AL99)/10),0)+_xlfn.IFNA(VLOOKUP($A99,HN!$A$8:$AU$200,20,FALSE),0)</f>
        <v>0</v>
      </c>
      <c r="BC99" s="286">
        <f t="shared" si="119"/>
        <v>0</v>
      </c>
      <c r="BD99" s="286">
        <f t="shared" si="120"/>
        <v>0</v>
      </c>
      <c r="BE99" s="287"/>
      <c r="BF99" s="287"/>
      <c r="BG99" s="287"/>
      <c r="BH99" s="286">
        <f t="shared" si="121"/>
        <v>126210.35499999998</v>
      </c>
      <c r="BI99" s="307">
        <f t="shared" si="122"/>
        <v>0</v>
      </c>
      <c r="BJ99" s="307">
        <f>_xlfn.IFNA(VLOOKUP(A99,'LA Deductions'!A:AH,34,FALSE),0)</f>
        <v>0</v>
      </c>
      <c r="BK99" s="307"/>
      <c r="BL99" s="308">
        <f>_xlfn.IFNA((VLOOKUP($A99,HN!$A:$M,8,FALSE)/12),0)</f>
        <v>54166.666666666664</v>
      </c>
      <c r="BM99" s="308">
        <f>_xlfn.IFNA((VLOOKUP($A99,HN!$A:$M,12,FALSE)/12),0)</f>
        <v>0</v>
      </c>
      <c r="BN99" s="308">
        <f>_xlfn.IFNA((VLOOKUP($A99,HN!$A:$M,9,FALSE)/12),0)</f>
        <v>0</v>
      </c>
      <c r="BO99" s="308">
        <f>_xlfn.IFNA((VLOOKUP($A99,'Post 16'!$A:$AR,22,FALSE)/4),0)</f>
        <v>0</v>
      </c>
      <c r="BP99" s="308"/>
      <c r="BQ99" s="308">
        <f>_xlfn.IFNA(((VLOOKUP($A99,HN!$A:$M,10,FALSE)-$U99-$AK99)/10),0)</f>
        <v>72043.688333333324</v>
      </c>
      <c r="BR99" s="308">
        <f>_xlfn.IFNA(((VLOOKUP($A99,HN!$A:$M,13,FALSE)-$V99-$AL99)/10),0)</f>
        <v>0</v>
      </c>
      <c r="BS99" s="307">
        <f t="shared" si="123"/>
        <v>0</v>
      </c>
      <c r="BT99" s="307">
        <f t="shared" si="124"/>
        <v>0</v>
      </c>
      <c r="BU99" s="308"/>
      <c r="BV99" s="308"/>
      <c r="BW99" s="308"/>
      <c r="BX99" s="307">
        <f t="shared" si="125"/>
        <v>126210.35499999998</v>
      </c>
      <c r="BY99" s="300">
        <f t="shared" si="126"/>
        <v>0</v>
      </c>
      <c r="BZ99" s="300"/>
      <c r="CA99" s="300"/>
      <c r="CB99" s="301">
        <f>_xlfn.IFNA((VLOOKUP($A99,HN!$A:$M,8,FALSE)/12),0)</f>
        <v>54166.666666666664</v>
      </c>
      <c r="CC99" s="301">
        <f>_xlfn.IFNA((VLOOKUP($A99,HN!$A:$M,12,FALSE)/12),0)</f>
        <v>0</v>
      </c>
      <c r="CD99" s="301">
        <f>_xlfn.IFNA((VLOOKUP($A99,HN!$A:$M,9,FALSE)/12),0)</f>
        <v>0</v>
      </c>
      <c r="CE99" s="301">
        <f>_xlfn.IFNA((VLOOKUP($A99,'Post 16'!$A:$AG,33,FALSE)/8),0)</f>
        <v>0</v>
      </c>
      <c r="CF99" s="301"/>
      <c r="CG99" s="301">
        <f>_xlfn.IFNA(((VLOOKUP($A99,HN!$A:$M,10,FALSE)-$U99-$AK99)/10),0)</f>
        <v>72043.688333333324</v>
      </c>
      <c r="CH99" s="301">
        <f>_xlfn.IFNA(((VLOOKUP($A99,HN!$A:$M,13,FALSE)-$V99-$AL99)/10),0)</f>
        <v>0</v>
      </c>
      <c r="CI99" s="300">
        <f t="shared" si="127"/>
        <v>0</v>
      </c>
      <c r="CJ99" s="300">
        <f t="shared" si="128"/>
        <v>0</v>
      </c>
      <c r="CK99" s="301"/>
      <c r="CL99" s="301"/>
      <c r="CM99" s="301"/>
      <c r="CN99" s="300">
        <f t="shared" si="129"/>
        <v>126210.35499999998</v>
      </c>
      <c r="CO99" s="332">
        <f t="shared" si="130"/>
        <v>0</v>
      </c>
      <c r="CP99" s="332"/>
      <c r="CQ99" s="332">
        <f>_xlfn.IFNA((VLOOKUP($A99,EY!$A:$AB,28,FALSE)-$CV99),0)</f>
        <v>0</v>
      </c>
      <c r="CR99" s="333">
        <f>_xlfn.IFNA((VLOOKUP($A99,HN!$A:$M,8,FALSE)/12),0)</f>
        <v>54166.666666666664</v>
      </c>
      <c r="CS99" s="333">
        <f>_xlfn.IFNA((VLOOKUP($A99,HN!$A:$M,12,FALSE)/12),0)</f>
        <v>0</v>
      </c>
      <c r="CT99" s="333">
        <f>_xlfn.IFNA((VLOOKUP($A99,HN!$A:$M,9,FALSE)/12),0)</f>
        <v>0</v>
      </c>
      <c r="CU99" s="333">
        <f>_xlfn.IFNA((VLOOKUP($A99,'Post 16'!$A:$AG,33,FALSE)/8),0)</f>
        <v>0</v>
      </c>
      <c r="CV99" s="333">
        <f>_xlfn.IFNA((VLOOKUP($A99,EY!$A:$AB,26,FALSE)*80%),0)</f>
        <v>0</v>
      </c>
      <c r="CW99" s="333">
        <f>_xlfn.IFNA(((VLOOKUP($A99,HN!$A:$M,10,FALSE)-$U99-$AK99)/10),0)</f>
        <v>72043.688333333324</v>
      </c>
      <c r="CX99" s="333">
        <f>_xlfn.IFNA(((VLOOKUP($A99,HN!$A:$M,13,FALSE)-$V99-$AL99)/10),0)</f>
        <v>0</v>
      </c>
      <c r="CY99" s="332">
        <f t="shared" si="131"/>
        <v>0</v>
      </c>
      <c r="CZ99" s="332">
        <f t="shared" si="132"/>
        <v>0</v>
      </c>
      <c r="DA99" s="333"/>
      <c r="DB99" s="333"/>
      <c r="DC99" s="333"/>
      <c r="DD99" s="332">
        <f t="shared" si="133"/>
        <v>126210.35499999998</v>
      </c>
      <c r="DE99" s="314">
        <f t="shared" si="134"/>
        <v>0</v>
      </c>
      <c r="DF99" s="314"/>
      <c r="DG99" s="314"/>
      <c r="DH99" s="315">
        <f>_xlfn.IFNA((VLOOKUP($A99,HN!$A:$M,8,FALSE)/12),0)</f>
        <v>54166.666666666664</v>
      </c>
      <c r="DI99" s="315">
        <f>_xlfn.IFNA((VLOOKUP($A99,HN!$A:$M,12,FALSE)/12),0)</f>
        <v>0</v>
      </c>
      <c r="DJ99" s="315">
        <f>_xlfn.IFNA((VLOOKUP($A99,HN!$A:$M,9,FALSE)/12),0)</f>
        <v>0</v>
      </c>
      <c r="DK99" s="315">
        <f>_xlfn.IFNA((VLOOKUP($A99,'Post 16'!$A:$AG,33,FALSE)/8),0)</f>
        <v>0</v>
      </c>
      <c r="DL99" s="315"/>
      <c r="DM99" s="315">
        <f>_xlfn.IFNA(((VLOOKUP($A99,HN!$A:$M,10,FALSE)-$U99-$AK99)/10),0)</f>
        <v>72043.688333333324</v>
      </c>
      <c r="DN99" s="315">
        <f>_xlfn.IFNA(((VLOOKUP($A99,HN!$A:$M,13,FALSE)-$V99-$AL99)/10),0)</f>
        <v>0</v>
      </c>
      <c r="DO99" s="314">
        <f t="shared" si="135"/>
        <v>0</v>
      </c>
      <c r="DP99" s="314">
        <f t="shared" si="136"/>
        <v>0</v>
      </c>
      <c r="DQ99" s="315"/>
      <c r="DR99" s="315"/>
      <c r="DS99" s="315"/>
      <c r="DT99" s="314">
        <f t="shared" si="137"/>
        <v>126210.35499999998</v>
      </c>
      <c r="DU99" s="307">
        <f t="shared" si="138"/>
        <v>0</v>
      </c>
      <c r="DV99" s="307"/>
      <c r="DW99" s="307"/>
      <c r="DX99" s="308">
        <f>_xlfn.IFNA((VLOOKUP($A99,HN!$A:$M,8,FALSE)/12),0)</f>
        <v>54166.666666666664</v>
      </c>
      <c r="DY99" s="308">
        <f>_xlfn.IFNA((VLOOKUP($A99,HN!$A:$M,12,FALSE)/12),0)</f>
        <v>0</v>
      </c>
      <c r="DZ99" s="308">
        <f>_xlfn.IFNA((VLOOKUP($A99,HN!$A:$M,9,FALSE)/12),0)</f>
        <v>0</v>
      </c>
      <c r="EA99" s="308">
        <f>_xlfn.IFNA((VLOOKUP($A99,'Post 16'!$A:$AG,33,FALSE)/8),0)</f>
        <v>0</v>
      </c>
      <c r="EB99" s="308"/>
      <c r="EC99" s="308">
        <f>_xlfn.IFNA(((VLOOKUP($A99,HN!$A:$M,10,FALSE)-$U99-$AK99)/10),0)</f>
        <v>72043.688333333324</v>
      </c>
      <c r="ED99" s="308">
        <f>_xlfn.IFNA(((VLOOKUP($A99,HN!$A:$M,13,FALSE)-$V99-$AL99)/10),0)</f>
        <v>0</v>
      </c>
      <c r="EE99" s="307">
        <f t="shared" si="139"/>
        <v>0</v>
      </c>
      <c r="EF99" s="307">
        <f t="shared" si="140"/>
        <v>0</v>
      </c>
      <c r="EG99" s="308"/>
      <c r="EH99" s="308"/>
      <c r="EI99" s="308"/>
      <c r="EJ99" s="307">
        <f t="shared" si="141"/>
        <v>126210.35499999998</v>
      </c>
      <c r="EK99" s="320">
        <f t="shared" si="142"/>
        <v>0</v>
      </c>
      <c r="EL99" s="320"/>
      <c r="EM99" s="320"/>
      <c r="EN99" s="321">
        <f>_xlfn.IFNA((VLOOKUP($A99,HN!$A:$M,8,FALSE)/12),0)</f>
        <v>54166.666666666664</v>
      </c>
      <c r="EO99" s="321">
        <f>_xlfn.IFNA((VLOOKUP($A99,HN!$A:$M,12,FALSE)/12),0)</f>
        <v>0</v>
      </c>
      <c r="EP99" s="321">
        <f>_xlfn.IFNA((VLOOKUP($A99,HN!$A:$M,9,FALSE)/12),0)</f>
        <v>0</v>
      </c>
      <c r="EQ99" s="321">
        <f>_xlfn.IFNA((VLOOKUP($A99,'Post 16'!$A:$AG,33,FALSE)/8),0)</f>
        <v>0</v>
      </c>
      <c r="ER99" s="321"/>
      <c r="ES99" s="321">
        <f>_xlfn.IFNA(((VLOOKUP($A99,HN!$A:$M,10,FALSE)-$U99-$AK99)/10),0)</f>
        <v>72043.688333333324</v>
      </c>
      <c r="ET99" s="321">
        <f>_xlfn.IFNA(((VLOOKUP($A99,HN!$A:$M,13,FALSE)-$V99-$AL99)/10),0)</f>
        <v>0</v>
      </c>
      <c r="EU99" s="320">
        <f t="shared" si="143"/>
        <v>0</v>
      </c>
      <c r="EV99" s="320">
        <f t="shared" si="144"/>
        <v>0</v>
      </c>
      <c r="EW99" s="321"/>
      <c r="EX99" s="321"/>
      <c r="EY99" s="321"/>
      <c r="EZ99" s="320">
        <f t="shared" si="145"/>
        <v>126210.35499999998</v>
      </c>
      <c r="FA99" s="286">
        <f t="shared" si="146"/>
        <v>0</v>
      </c>
      <c r="FB99" s="286"/>
      <c r="FC99" s="286"/>
      <c r="FD99" s="287">
        <f>_xlfn.IFNA((VLOOKUP($A99,HN!$A:$M,8,FALSE)/12),0)</f>
        <v>54166.666666666664</v>
      </c>
      <c r="FE99" s="287">
        <f>_xlfn.IFNA((VLOOKUP($A99,HN!$A:$M,12,FALSE)/12),0)</f>
        <v>0</v>
      </c>
      <c r="FF99" s="287">
        <f>_xlfn.IFNA((VLOOKUP($A99,HN!$A:$M,9,FALSE)/12),0)</f>
        <v>0</v>
      </c>
      <c r="FG99" s="287">
        <f>_xlfn.IFNA((VLOOKUP($A99,'Post 16'!$A:$AG,33,FALSE)/8),0)</f>
        <v>0</v>
      </c>
      <c r="FH99" s="287"/>
      <c r="FI99" s="287">
        <f>_xlfn.IFNA(((VLOOKUP($A99,HN!$A:$M,10,FALSE)-$U99-$AK99)/10),0)</f>
        <v>72043.688333333324</v>
      </c>
      <c r="FJ99" s="287">
        <f>_xlfn.IFNA(((VLOOKUP($A99,HN!$A:$M,13,FALSE)-$V99-$AL99)/10),0)</f>
        <v>0</v>
      </c>
      <c r="FK99" s="286">
        <f t="shared" si="147"/>
        <v>0</v>
      </c>
      <c r="FL99" s="286">
        <f t="shared" si="148"/>
        <v>0</v>
      </c>
      <c r="FM99" s="287"/>
      <c r="FN99" s="287"/>
      <c r="FO99" s="287"/>
      <c r="FP99" s="286">
        <f t="shared" si="149"/>
        <v>126210.35499999998</v>
      </c>
      <c r="FQ99" s="293">
        <f t="shared" si="150"/>
        <v>0</v>
      </c>
      <c r="FR99" s="293"/>
      <c r="FS99" s="293"/>
      <c r="FT99" s="294">
        <f>_xlfn.IFNA((VLOOKUP($A99,HN!$A:$M,8,FALSE)/12),0)</f>
        <v>54166.666666666664</v>
      </c>
      <c r="FU99" s="294">
        <f>_xlfn.IFNA((VLOOKUP($A99,HN!$A:$M,12,FALSE)/12),0)</f>
        <v>0</v>
      </c>
      <c r="FV99" s="294">
        <f>_xlfn.IFNA((VLOOKUP($A99,HN!$A:$M,9,FALSE)/12),0)</f>
        <v>0</v>
      </c>
      <c r="FW99" s="294">
        <f>_xlfn.IFNA((VLOOKUP($A99,'Post 16'!$A:$AG,33,FALSE)/8),0)</f>
        <v>0</v>
      </c>
      <c r="FX99" s="294"/>
      <c r="FY99" s="294">
        <f>_xlfn.IFNA(((VLOOKUP($A99,HN!$A:$M,10,FALSE)-$U99-$AK99)/10),0)</f>
        <v>72043.688333333324</v>
      </c>
      <c r="FZ99" s="294">
        <f>_xlfn.IFNA(((VLOOKUP($A99,HN!$A:$M,13,FALSE)-$V99-$AL99)/10),0)</f>
        <v>0</v>
      </c>
      <c r="GA99" s="293">
        <f t="shared" si="151"/>
        <v>0</v>
      </c>
      <c r="GB99" s="293">
        <f t="shared" si="152"/>
        <v>0</v>
      </c>
      <c r="GC99" s="294"/>
      <c r="GD99" s="294"/>
      <c r="GE99" s="294"/>
      <c r="GF99" s="293">
        <f t="shared" si="153"/>
        <v>126210.35499999998</v>
      </c>
      <c r="GG99" s="300">
        <f t="shared" si="154"/>
        <v>0</v>
      </c>
      <c r="GH99" s="300"/>
      <c r="GI99" s="300"/>
      <c r="GJ99" s="301">
        <f>_xlfn.IFNA((VLOOKUP($A99,HN!$A:$M,8,FALSE)/12),0)</f>
        <v>54166.666666666664</v>
      </c>
      <c r="GK99" s="301">
        <f>_xlfn.IFNA((VLOOKUP($A99,HN!$A:$M,12,FALSE)/12),0)</f>
        <v>0</v>
      </c>
      <c r="GL99" s="301">
        <f>_xlfn.IFNA((VLOOKUP($A99,HN!$A:$M,9,FALSE)/12),0)</f>
        <v>0</v>
      </c>
      <c r="GM99" s="301">
        <f>_xlfn.IFNA((VLOOKUP($A99,'Post 16'!$A:$AG,33,FALSE)/8),0)</f>
        <v>0</v>
      </c>
      <c r="GN99" s="301"/>
      <c r="GO99" s="301">
        <f>_xlfn.IFNA(((VLOOKUP($A99,HN!$A:$M,10,FALSE)-$U99-$AK99)/10),0)</f>
        <v>72043.688333333324</v>
      </c>
      <c r="GP99" s="301">
        <f>_xlfn.IFNA(((VLOOKUP($A99,HN!$A:$M,13,FALSE)-$V99-$AL99)/10),0)</f>
        <v>0</v>
      </c>
      <c r="GQ99" s="300">
        <f t="shared" si="155"/>
        <v>0</v>
      </c>
      <c r="GR99" s="300">
        <f t="shared" si="156"/>
        <v>0</v>
      </c>
      <c r="GS99" s="301"/>
      <c r="GT99" s="301"/>
      <c r="GU99" s="301"/>
      <c r="GV99" s="300">
        <f t="shared" si="157"/>
        <v>126210.35499999998</v>
      </c>
      <c r="GX99" s="146">
        <f t="shared" si="162"/>
        <v>650000</v>
      </c>
      <c r="GY99" s="146">
        <f t="shared" si="162"/>
        <v>0</v>
      </c>
      <c r="GZ99" s="146">
        <f t="shared" si="162"/>
        <v>864524.26000000013</v>
      </c>
      <c r="HA99" s="146">
        <f t="shared" si="162"/>
        <v>0</v>
      </c>
      <c r="HB99" s="146">
        <f t="shared" si="162"/>
        <v>0</v>
      </c>
      <c r="HC99" s="146">
        <f t="shared" si="162"/>
        <v>0</v>
      </c>
      <c r="HE99" s="146">
        <f t="shared" si="163"/>
        <v>162500</v>
      </c>
      <c r="HF99" s="146">
        <f t="shared" si="163"/>
        <v>0</v>
      </c>
      <c r="HG99" s="146">
        <f t="shared" si="163"/>
        <v>216131.065</v>
      </c>
      <c r="HH99" s="146">
        <f t="shared" si="163"/>
        <v>0</v>
      </c>
      <c r="HI99" s="146">
        <f t="shared" si="163"/>
        <v>0</v>
      </c>
      <c r="HJ99" s="146">
        <f t="shared" si="163"/>
        <v>0</v>
      </c>
      <c r="HL99" s="146"/>
      <c r="HM99" s="57"/>
    </row>
    <row r="100" spans="1:221">
      <c r="A100" s="185">
        <v>2127</v>
      </c>
      <c r="B100" s="185">
        <v>103227</v>
      </c>
      <c r="C100" s="185" t="s">
        <v>223</v>
      </c>
      <c r="D100" s="2" t="s">
        <v>224</v>
      </c>
      <c r="E100" s="190" t="s">
        <v>39</v>
      </c>
      <c r="F100" s="190" t="s">
        <v>890</v>
      </c>
      <c r="H100" s="271">
        <f>_xlfn.IFNA(VLOOKUP($A100,ISB!$A$4:$BY$441,67,FALSE),0)</f>
        <v>2807082.1772610145</v>
      </c>
      <c r="I100" s="271">
        <f>_xlfn.IFNA(VLOOKUP($A100,ISB!$A$4:$BY$441,72,FALSE),0)</f>
        <v>-10308.599999999999</v>
      </c>
      <c r="J100" s="271">
        <f>-_xlfn.IFNA(VLOOKUP($A100,ISB!$A$4:$BY$441,76,FALSE),0)</f>
        <v>-77224.601999999999</v>
      </c>
      <c r="K100" s="271">
        <f>_xlfn.IFNA(VLOOKUP($A100,ISB!$A$4:$BY$441,77,FALSE),0)</f>
        <v>2719548.9752610144</v>
      </c>
      <c r="M100" s="279">
        <f t="shared" si="110"/>
        <v>233923.51477175122</v>
      </c>
      <c r="N100" s="279"/>
      <c r="O100" s="279">
        <f>_xlfn.IFNA(VLOOKUP($A100,EY!$A:$H,8,FALSE)+(VLOOKUP($A100,EY!$A:$R,18,FALSE)-$T100),0)</f>
        <v>51549.181894736845</v>
      </c>
      <c r="P100" s="280">
        <f>_xlfn.IFNA((VLOOKUP($A100,HN!$A:$M,8,FALSE)/12),0)</f>
        <v>0</v>
      </c>
      <c r="Q100" s="280">
        <f>_xlfn.IFNA((VLOOKUP($A100,HN!$A:$M,12,FALSE)/12),0)</f>
        <v>0</v>
      </c>
      <c r="R100" s="280">
        <f>_xlfn.IFNA((VLOOKUP($A100,HN!$A:$M,9,FALSE)/12),0)</f>
        <v>0</v>
      </c>
      <c r="S100" s="280">
        <f>_xlfn.IFNA((VLOOKUP($A100,'Post 16'!$A:$AR,22,FALSE)/4),0)</f>
        <v>0</v>
      </c>
      <c r="T100" s="280">
        <f>_xlfn.IFNA((VLOOKUP($A100,EY!$A:$R,16,FALSE)*80%),0)</f>
        <v>780</v>
      </c>
      <c r="U100" s="280">
        <v>35960.5</v>
      </c>
      <c r="V100" s="280">
        <v>0</v>
      </c>
      <c r="W100" s="279">
        <f t="shared" si="111"/>
        <v>-859.04999999999984</v>
      </c>
      <c r="X100" s="279">
        <f t="shared" si="112"/>
        <v>-6435.3834999999999</v>
      </c>
      <c r="Y100" s="280"/>
      <c r="Z100" s="280"/>
      <c r="AA100" s="280"/>
      <c r="AB100" s="279">
        <f t="shared" si="113"/>
        <v>314918.76316648809</v>
      </c>
      <c r="AC100" s="293">
        <f t="shared" si="114"/>
        <v>233923.51477175122</v>
      </c>
      <c r="AD100" s="293"/>
      <c r="AE100" s="293"/>
      <c r="AF100" s="294">
        <f>_xlfn.IFNA((VLOOKUP($A100,HN!$A:$M,8,FALSE)/12),0)</f>
        <v>0</v>
      </c>
      <c r="AG100" s="294">
        <f>_xlfn.IFNA((VLOOKUP($A100,HN!$A:$M,12,FALSE)/12),0)+_xlfn.IFNA(VLOOKUP($A100,HN!$A:$Q,17,FALSE),0)</f>
        <v>0</v>
      </c>
      <c r="AH100" s="294">
        <f>_xlfn.IFNA((VLOOKUP($A100,HN!$A:$M,9,FALSE)/12),0)</f>
        <v>0</v>
      </c>
      <c r="AI100" s="294">
        <f>_xlfn.IFNA((VLOOKUP($A100,'Post 16'!$A:$AR,22,FALSE)/4),0)</f>
        <v>0</v>
      </c>
      <c r="AJ100" s="294"/>
      <c r="AK100" s="294">
        <f>_xlfn.IFNA((VLOOKUP($A100,HN!$A:$M,10,FALSE)/12),0)</f>
        <v>17101.4375</v>
      </c>
      <c r="AL100" s="294">
        <f>_xlfn.IFNA((VLOOKUP($A100,HN!$A:$M,13,FALSE)/12),0)</f>
        <v>0</v>
      </c>
      <c r="AM100" s="293">
        <f t="shared" si="115"/>
        <v>-859.04999999999984</v>
      </c>
      <c r="AN100" s="293">
        <f t="shared" si="116"/>
        <v>-6435.3834999999999</v>
      </c>
      <c r="AO100" s="294"/>
      <c r="AP100" s="294"/>
      <c r="AQ100" s="294"/>
      <c r="AR100" s="293">
        <f t="shared" si="117"/>
        <v>243730.51877175123</v>
      </c>
      <c r="AS100" s="286">
        <f t="shared" si="118"/>
        <v>233923.51477175122</v>
      </c>
      <c r="AT100" s="286"/>
      <c r="AU100" s="286">
        <f>_xlfn.IFNA(VLOOKUP(A100,EY!A:AO,40,FALSE),0)</f>
        <v>15941.69135734072</v>
      </c>
      <c r="AV100" s="287">
        <f>_xlfn.IFNA((VLOOKUP($A100,HN!$A:$M,8,FALSE)/12),0)</f>
        <v>0</v>
      </c>
      <c r="AW100" s="287">
        <f>_xlfn.IFNA((VLOOKUP($A100,HN!$A:$M,12,FALSE)/12),0)+_xlfn.IFNA(VLOOKUP($A100,HN!$A$8:$AU$200,19,FALSE),0)</f>
        <v>0</v>
      </c>
      <c r="AX100" s="287">
        <f>_xlfn.IFNA((VLOOKUP($A100,HN!$A:$M,9,FALSE)/12),0)</f>
        <v>0</v>
      </c>
      <c r="AY100" s="287">
        <f>_xlfn.IFNA((VLOOKUP($A100,'Post 16'!$A:$AR,22,FALSE)/4),0)</f>
        <v>0</v>
      </c>
      <c r="AZ100" s="287">
        <f>_xlfn.IFNA(VLOOKUP(A100,EY!A:AO,41,FALSE),0)</f>
        <v>-74.832132963988926</v>
      </c>
      <c r="BA100" s="287">
        <f>_xlfn.IFNA(((VLOOKUP($A100,HN!$A:$M,10,FALSE)-$U100-$AK100)/10),0)+_xlfn.IFNA(VLOOKUP($A100,HN!$A:$R,18,FALSE),0)</f>
        <v>15215.53125</v>
      </c>
      <c r="BB100" s="287">
        <f>_xlfn.IFNA(((VLOOKUP($A100,HN!$A:$M,13,FALSE)-$V100-$AL100)/10),0)+_xlfn.IFNA(VLOOKUP($A100,HN!$A$8:$AU$200,20,FALSE),0)</f>
        <v>0</v>
      </c>
      <c r="BC100" s="286">
        <f t="shared" si="119"/>
        <v>-859.04999999999984</v>
      </c>
      <c r="BD100" s="286">
        <f t="shared" si="120"/>
        <v>-6435.3834999999999</v>
      </c>
      <c r="BE100" s="287"/>
      <c r="BF100" s="287"/>
      <c r="BG100" s="287"/>
      <c r="BH100" s="286">
        <f t="shared" si="121"/>
        <v>257711.47174612799</v>
      </c>
      <c r="BI100" s="307">
        <f t="shared" si="122"/>
        <v>233923.51477175122</v>
      </c>
      <c r="BJ100" s="307">
        <f>_xlfn.IFNA(VLOOKUP(A100,'LA Deductions'!A:AH,34,FALSE),0)</f>
        <v>0</v>
      </c>
      <c r="BK100" s="307"/>
      <c r="BL100" s="308">
        <f>_xlfn.IFNA((VLOOKUP($A100,HN!$A:$M,8,FALSE)/12),0)</f>
        <v>0</v>
      </c>
      <c r="BM100" s="308">
        <f>_xlfn.IFNA((VLOOKUP($A100,HN!$A:$M,12,FALSE)/12),0)</f>
        <v>0</v>
      </c>
      <c r="BN100" s="308">
        <f>_xlfn.IFNA((VLOOKUP($A100,HN!$A:$M,9,FALSE)/12),0)</f>
        <v>0</v>
      </c>
      <c r="BO100" s="308">
        <f>_xlfn.IFNA((VLOOKUP($A100,'Post 16'!$A:$AR,22,FALSE)/4),0)</f>
        <v>0</v>
      </c>
      <c r="BP100" s="308"/>
      <c r="BQ100" s="308">
        <f>_xlfn.IFNA(((VLOOKUP($A100,HN!$A:$M,10,FALSE)-$U100-$AK100)/10),0)</f>
        <v>15215.53125</v>
      </c>
      <c r="BR100" s="308">
        <f>_xlfn.IFNA(((VLOOKUP($A100,HN!$A:$M,13,FALSE)-$V100-$AL100)/10),0)</f>
        <v>0</v>
      </c>
      <c r="BS100" s="307">
        <f t="shared" si="123"/>
        <v>-859.04999999999984</v>
      </c>
      <c r="BT100" s="307">
        <f t="shared" si="124"/>
        <v>-6435.3834999999999</v>
      </c>
      <c r="BU100" s="308"/>
      <c r="BV100" s="308"/>
      <c r="BW100" s="308"/>
      <c r="BX100" s="307">
        <f t="shared" si="125"/>
        <v>241844.61252175123</v>
      </c>
      <c r="BY100" s="300">
        <f t="shared" si="126"/>
        <v>233923.51477175122</v>
      </c>
      <c r="BZ100" s="300"/>
      <c r="CA100" s="300"/>
      <c r="CB100" s="301">
        <f>_xlfn.IFNA((VLOOKUP($A100,HN!$A:$M,8,FALSE)/12),0)</f>
        <v>0</v>
      </c>
      <c r="CC100" s="301">
        <f>_xlfn.IFNA((VLOOKUP($A100,HN!$A:$M,12,FALSE)/12),0)</f>
        <v>0</v>
      </c>
      <c r="CD100" s="301">
        <f>_xlfn.IFNA((VLOOKUP($A100,HN!$A:$M,9,FALSE)/12),0)</f>
        <v>0</v>
      </c>
      <c r="CE100" s="301">
        <f>_xlfn.IFNA((VLOOKUP($A100,'Post 16'!$A:$AG,33,FALSE)/8),0)</f>
        <v>0</v>
      </c>
      <c r="CF100" s="301"/>
      <c r="CG100" s="301">
        <f>_xlfn.IFNA(((VLOOKUP($A100,HN!$A:$M,10,FALSE)-$U100-$AK100)/10),0)</f>
        <v>15215.53125</v>
      </c>
      <c r="CH100" s="301">
        <f>_xlfn.IFNA(((VLOOKUP($A100,HN!$A:$M,13,FALSE)-$V100-$AL100)/10),0)</f>
        <v>0</v>
      </c>
      <c r="CI100" s="300">
        <f t="shared" si="127"/>
        <v>-859.04999999999984</v>
      </c>
      <c r="CJ100" s="300">
        <f t="shared" si="128"/>
        <v>-6435.3834999999999</v>
      </c>
      <c r="CK100" s="301"/>
      <c r="CL100" s="301"/>
      <c r="CM100" s="301"/>
      <c r="CN100" s="300">
        <f t="shared" si="129"/>
        <v>241844.61252175123</v>
      </c>
      <c r="CO100" s="332">
        <f t="shared" si="130"/>
        <v>233923.51477175122</v>
      </c>
      <c r="CP100" s="332"/>
      <c r="CQ100" s="332">
        <f>_xlfn.IFNA((VLOOKUP($A100,EY!$A:$AB,28,FALSE)-$CV100),0)</f>
        <v>44035.515789473691</v>
      </c>
      <c r="CR100" s="333">
        <f>_xlfn.IFNA((VLOOKUP($A100,HN!$A:$M,8,FALSE)/12),0)</f>
        <v>0</v>
      </c>
      <c r="CS100" s="333">
        <f>_xlfn.IFNA((VLOOKUP($A100,HN!$A:$M,12,FALSE)/12),0)</f>
        <v>0</v>
      </c>
      <c r="CT100" s="333">
        <f>_xlfn.IFNA((VLOOKUP($A100,HN!$A:$M,9,FALSE)/12),0)</f>
        <v>0</v>
      </c>
      <c r="CU100" s="333">
        <f>_xlfn.IFNA((VLOOKUP($A100,'Post 16'!$A:$AG,33,FALSE)/8),0)</f>
        <v>0</v>
      </c>
      <c r="CV100" s="333">
        <f>_xlfn.IFNA((VLOOKUP($A100,EY!$A:$AB,26,FALSE)*80%),0)</f>
        <v>0</v>
      </c>
      <c r="CW100" s="333">
        <f>_xlfn.IFNA(((VLOOKUP($A100,HN!$A:$M,10,FALSE)-$U100-$AK100)/10),0)</f>
        <v>15215.53125</v>
      </c>
      <c r="CX100" s="333">
        <f>_xlfn.IFNA(((VLOOKUP($A100,HN!$A:$M,13,FALSE)-$V100-$AL100)/10),0)</f>
        <v>0</v>
      </c>
      <c r="CY100" s="332">
        <f t="shared" si="131"/>
        <v>-859.04999999999984</v>
      </c>
      <c r="CZ100" s="332">
        <f t="shared" si="132"/>
        <v>-6435.3834999999999</v>
      </c>
      <c r="DA100" s="333"/>
      <c r="DB100" s="333"/>
      <c r="DC100" s="333"/>
      <c r="DD100" s="332">
        <f t="shared" si="133"/>
        <v>285880.12831122492</v>
      </c>
      <c r="DE100" s="314">
        <f t="shared" si="134"/>
        <v>233923.51477175122</v>
      </c>
      <c r="DF100" s="314"/>
      <c r="DG100" s="314"/>
      <c r="DH100" s="315">
        <f>_xlfn.IFNA((VLOOKUP($A100,HN!$A:$M,8,FALSE)/12),0)</f>
        <v>0</v>
      </c>
      <c r="DI100" s="315">
        <f>_xlfn.IFNA((VLOOKUP($A100,HN!$A:$M,12,FALSE)/12),0)</f>
        <v>0</v>
      </c>
      <c r="DJ100" s="315">
        <f>_xlfn.IFNA((VLOOKUP($A100,HN!$A:$M,9,FALSE)/12),0)</f>
        <v>0</v>
      </c>
      <c r="DK100" s="315">
        <f>_xlfn.IFNA((VLOOKUP($A100,'Post 16'!$A:$AG,33,FALSE)/8),0)</f>
        <v>0</v>
      </c>
      <c r="DL100" s="315"/>
      <c r="DM100" s="315">
        <f>_xlfn.IFNA(((VLOOKUP($A100,HN!$A:$M,10,FALSE)-$U100-$AK100)/10),0)</f>
        <v>15215.53125</v>
      </c>
      <c r="DN100" s="315">
        <f>_xlfn.IFNA(((VLOOKUP($A100,HN!$A:$M,13,FALSE)-$V100-$AL100)/10),0)</f>
        <v>0</v>
      </c>
      <c r="DO100" s="314">
        <f t="shared" si="135"/>
        <v>-859.04999999999984</v>
      </c>
      <c r="DP100" s="314">
        <f t="shared" si="136"/>
        <v>-6435.3834999999999</v>
      </c>
      <c r="DQ100" s="315"/>
      <c r="DR100" s="315"/>
      <c r="DS100" s="315"/>
      <c r="DT100" s="314">
        <f t="shared" si="137"/>
        <v>241844.61252175123</v>
      </c>
      <c r="DU100" s="307">
        <f t="shared" si="138"/>
        <v>233923.51477175122</v>
      </c>
      <c r="DV100" s="307"/>
      <c r="DW100" s="307"/>
      <c r="DX100" s="308">
        <f>_xlfn.IFNA((VLOOKUP($A100,HN!$A:$M,8,FALSE)/12),0)</f>
        <v>0</v>
      </c>
      <c r="DY100" s="308">
        <f>_xlfn.IFNA((VLOOKUP($A100,HN!$A:$M,12,FALSE)/12),0)</f>
        <v>0</v>
      </c>
      <c r="DZ100" s="308">
        <f>_xlfn.IFNA((VLOOKUP($A100,HN!$A:$M,9,FALSE)/12),0)</f>
        <v>0</v>
      </c>
      <c r="EA100" s="308">
        <f>_xlfn.IFNA((VLOOKUP($A100,'Post 16'!$A:$AG,33,FALSE)/8),0)</f>
        <v>0</v>
      </c>
      <c r="EB100" s="308"/>
      <c r="EC100" s="308">
        <f>_xlfn.IFNA(((VLOOKUP($A100,HN!$A:$M,10,FALSE)-$U100-$AK100)/10),0)</f>
        <v>15215.53125</v>
      </c>
      <c r="ED100" s="308">
        <f>_xlfn.IFNA(((VLOOKUP($A100,HN!$A:$M,13,FALSE)-$V100-$AL100)/10),0)</f>
        <v>0</v>
      </c>
      <c r="EE100" s="307">
        <f t="shared" si="139"/>
        <v>-859.04999999999984</v>
      </c>
      <c r="EF100" s="307">
        <f t="shared" si="140"/>
        <v>-6435.3834999999999</v>
      </c>
      <c r="EG100" s="308"/>
      <c r="EH100" s="308"/>
      <c r="EI100" s="308"/>
      <c r="EJ100" s="307">
        <f t="shared" si="141"/>
        <v>241844.61252175123</v>
      </c>
      <c r="EK100" s="320">
        <f t="shared" si="142"/>
        <v>233923.51477175122</v>
      </c>
      <c r="EL100" s="320"/>
      <c r="EM100" s="320"/>
      <c r="EN100" s="321">
        <f>_xlfn.IFNA((VLOOKUP($A100,HN!$A:$M,8,FALSE)/12),0)</f>
        <v>0</v>
      </c>
      <c r="EO100" s="321">
        <f>_xlfn.IFNA((VLOOKUP($A100,HN!$A:$M,12,FALSE)/12),0)</f>
        <v>0</v>
      </c>
      <c r="EP100" s="321">
        <f>_xlfn.IFNA((VLOOKUP($A100,HN!$A:$M,9,FALSE)/12),0)</f>
        <v>0</v>
      </c>
      <c r="EQ100" s="321">
        <f>_xlfn.IFNA((VLOOKUP($A100,'Post 16'!$A:$AG,33,FALSE)/8),0)</f>
        <v>0</v>
      </c>
      <c r="ER100" s="321"/>
      <c r="ES100" s="321">
        <f>_xlfn.IFNA(((VLOOKUP($A100,HN!$A:$M,10,FALSE)-$U100-$AK100)/10),0)</f>
        <v>15215.53125</v>
      </c>
      <c r="ET100" s="321">
        <f>_xlfn.IFNA(((VLOOKUP($A100,HN!$A:$M,13,FALSE)-$V100-$AL100)/10),0)</f>
        <v>0</v>
      </c>
      <c r="EU100" s="320">
        <f t="shared" si="143"/>
        <v>-859.04999999999984</v>
      </c>
      <c r="EV100" s="320">
        <f t="shared" si="144"/>
        <v>-6435.3834999999999</v>
      </c>
      <c r="EW100" s="321"/>
      <c r="EX100" s="321"/>
      <c r="EY100" s="321"/>
      <c r="EZ100" s="320">
        <f t="shared" si="145"/>
        <v>241844.61252175123</v>
      </c>
      <c r="FA100" s="286">
        <f t="shared" si="146"/>
        <v>233923.51477175122</v>
      </c>
      <c r="FB100" s="286"/>
      <c r="FC100" s="286"/>
      <c r="FD100" s="287">
        <f>_xlfn.IFNA((VLOOKUP($A100,HN!$A:$M,8,FALSE)/12),0)</f>
        <v>0</v>
      </c>
      <c r="FE100" s="287">
        <f>_xlfn.IFNA((VLOOKUP($A100,HN!$A:$M,12,FALSE)/12),0)</f>
        <v>0</v>
      </c>
      <c r="FF100" s="287">
        <f>_xlfn.IFNA((VLOOKUP($A100,HN!$A:$M,9,FALSE)/12),0)</f>
        <v>0</v>
      </c>
      <c r="FG100" s="287">
        <f>_xlfn.IFNA((VLOOKUP($A100,'Post 16'!$A:$AG,33,FALSE)/8),0)</f>
        <v>0</v>
      </c>
      <c r="FH100" s="287"/>
      <c r="FI100" s="287">
        <f>_xlfn.IFNA(((VLOOKUP($A100,HN!$A:$M,10,FALSE)-$U100-$AK100)/10),0)</f>
        <v>15215.53125</v>
      </c>
      <c r="FJ100" s="287">
        <f>_xlfn.IFNA(((VLOOKUP($A100,HN!$A:$M,13,FALSE)-$V100-$AL100)/10),0)</f>
        <v>0</v>
      </c>
      <c r="FK100" s="286">
        <f t="shared" si="147"/>
        <v>-859.04999999999984</v>
      </c>
      <c r="FL100" s="286">
        <f t="shared" si="148"/>
        <v>-6435.3834999999999</v>
      </c>
      <c r="FM100" s="287"/>
      <c r="FN100" s="287"/>
      <c r="FO100" s="287"/>
      <c r="FP100" s="286">
        <f t="shared" si="149"/>
        <v>241844.61252175123</v>
      </c>
      <c r="FQ100" s="293">
        <f t="shared" si="150"/>
        <v>233923.51477175122</v>
      </c>
      <c r="FR100" s="293"/>
      <c r="FS100" s="293"/>
      <c r="FT100" s="294">
        <f>_xlfn.IFNA((VLOOKUP($A100,HN!$A:$M,8,FALSE)/12),0)</f>
        <v>0</v>
      </c>
      <c r="FU100" s="294">
        <f>_xlfn.IFNA((VLOOKUP($A100,HN!$A:$M,12,FALSE)/12),0)</f>
        <v>0</v>
      </c>
      <c r="FV100" s="294">
        <f>_xlfn.IFNA((VLOOKUP($A100,HN!$A:$M,9,FALSE)/12),0)</f>
        <v>0</v>
      </c>
      <c r="FW100" s="294">
        <f>_xlfn.IFNA((VLOOKUP($A100,'Post 16'!$A:$AG,33,FALSE)/8),0)</f>
        <v>0</v>
      </c>
      <c r="FX100" s="294"/>
      <c r="FY100" s="294">
        <f>_xlfn.IFNA(((VLOOKUP($A100,HN!$A:$M,10,FALSE)-$U100-$AK100)/10),0)</f>
        <v>15215.53125</v>
      </c>
      <c r="FZ100" s="294">
        <f>_xlfn.IFNA(((VLOOKUP($A100,HN!$A:$M,13,FALSE)-$V100-$AL100)/10),0)</f>
        <v>0</v>
      </c>
      <c r="GA100" s="293">
        <f t="shared" si="151"/>
        <v>-859.04999999999984</v>
      </c>
      <c r="GB100" s="293">
        <f t="shared" si="152"/>
        <v>-6435.3834999999999</v>
      </c>
      <c r="GC100" s="294"/>
      <c r="GD100" s="294"/>
      <c r="GE100" s="294"/>
      <c r="GF100" s="293">
        <f t="shared" si="153"/>
        <v>241844.61252175123</v>
      </c>
      <c r="GG100" s="300">
        <f t="shared" si="154"/>
        <v>233923.51477175122</v>
      </c>
      <c r="GH100" s="300"/>
      <c r="GI100" s="300"/>
      <c r="GJ100" s="301">
        <f>_xlfn.IFNA((VLOOKUP($A100,HN!$A:$M,8,FALSE)/12),0)</f>
        <v>0</v>
      </c>
      <c r="GK100" s="301">
        <f>_xlfn.IFNA((VLOOKUP($A100,HN!$A:$M,12,FALSE)/12),0)</f>
        <v>0</v>
      </c>
      <c r="GL100" s="301">
        <f>_xlfn.IFNA((VLOOKUP($A100,HN!$A:$M,9,FALSE)/12),0)</f>
        <v>0</v>
      </c>
      <c r="GM100" s="301">
        <f>_xlfn.IFNA((VLOOKUP($A100,'Post 16'!$A:$AG,33,FALSE)/8),0)</f>
        <v>0</v>
      </c>
      <c r="GN100" s="301"/>
      <c r="GO100" s="301">
        <f>_xlfn.IFNA(((VLOOKUP($A100,HN!$A:$M,10,FALSE)-$U100-$AK100)/10),0)</f>
        <v>15215.53125</v>
      </c>
      <c r="GP100" s="301">
        <f>_xlfn.IFNA(((VLOOKUP($A100,HN!$A:$M,13,FALSE)-$V100-$AL100)/10),0)</f>
        <v>0</v>
      </c>
      <c r="GQ100" s="300">
        <f t="shared" si="155"/>
        <v>-859.04999999999984</v>
      </c>
      <c r="GR100" s="300">
        <f t="shared" si="156"/>
        <v>-6435.3834999999999</v>
      </c>
      <c r="GS100" s="301"/>
      <c r="GT100" s="301"/>
      <c r="GU100" s="301"/>
      <c r="GV100" s="300">
        <f t="shared" si="157"/>
        <v>241844.61252175123</v>
      </c>
      <c r="GX100" s="146">
        <f t="shared" si="162"/>
        <v>2918608.5663025654</v>
      </c>
      <c r="GY100" s="146">
        <f t="shared" si="162"/>
        <v>0</v>
      </c>
      <c r="GZ100" s="146">
        <f t="shared" si="162"/>
        <v>205922.41786703601</v>
      </c>
      <c r="HA100" s="146">
        <f t="shared" si="162"/>
        <v>-10308.599999999999</v>
      </c>
      <c r="HB100" s="146">
        <f t="shared" si="162"/>
        <v>-77224.601999999984</v>
      </c>
      <c r="HC100" s="146">
        <f t="shared" si="162"/>
        <v>0</v>
      </c>
      <c r="HE100" s="146">
        <f t="shared" si="163"/>
        <v>769261.41756733123</v>
      </c>
      <c r="HF100" s="146">
        <f t="shared" si="163"/>
        <v>0</v>
      </c>
      <c r="HG100" s="146">
        <f t="shared" si="163"/>
        <v>68982.636617036012</v>
      </c>
      <c r="HH100" s="146">
        <f t="shared" si="163"/>
        <v>-2577.1499999999996</v>
      </c>
      <c r="HI100" s="146">
        <f t="shared" si="163"/>
        <v>-19306.1505</v>
      </c>
      <c r="HJ100" s="146">
        <f t="shared" si="163"/>
        <v>0</v>
      </c>
      <c r="HL100" s="146"/>
      <c r="HM100" s="57"/>
    </row>
    <row r="101" spans="1:221">
      <c r="A101" s="185">
        <v>2129</v>
      </c>
      <c r="B101" s="185">
        <v>103229</v>
      </c>
      <c r="C101" s="185" t="s">
        <v>225</v>
      </c>
      <c r="D101" s="2" t="s">
        <v>226</v>
      </c>
      <c r="E101" s="190" t="s">
        <v>39</v>
      </c>
      <c r="F101" s="190" t="s">
        <v>890</v>
      </c>
      <c r="H101" s="271">
        <f>_xlfn.IFNA(VLOOKUP($A101,ISB!$A$4:$BY$441,67,FALSE),0)</f>
        <v>1407558.7699442217</v>
      </c>
      <c r="I101" s="271">
        <f>_xlfn.IFNA(VLOOKUP($A101,ISB!$A$4:$BY$441,72,FALSE),0)</f>
        <v>-5901.2999999999993</v>
      </c>
      <c r="J101" s="271">
        <f>-_xlfn.IFNA(VLOOKUP($A101,ISB!$A$4:$BY$441,76,FALSE),0)</f>
        <v>-18527.719300000001</v>
      </c>
      <c r="K101" s="271">
        <f>_xlfn.IFNA(VLOOKUP($A101,ISB!$A$4:$BY$441,77,FALSE),0)</f>
        <v>1383129.7506442217</v>
      </c>
      <c r="M101" s="279">
        <f t="shared" si="110"/>
        <v>117296.56416201848</v>
      </c>
      <c r="N101" s="279"/>
      <c r="O101" s="279">
        <f>_xlfn.IFNA(VLOOKUP($A101,EY!$A:$H,8,FALSE)+(VLOOKUP($A101,EY!$A:$R,18,FALSE)-$T101),0)</f>
        <v>0</v>
      </c>
      <c r="P101" s="280">
        <f>_xlfn.IFNA((VLOOKUP($A101,HN!$A:$M,8,FALSE)/12),0)</f>
        <v>0</v>
      </c>
      <c r="Q101" s="280">
        <f>_xlfn.IFNA((VLOOKUP($A101,HN!$A:$M,12,FALSE)/12),0)</f>
        <v>6333.333333333333</v>
      </c>
      <c r="R101" s="280">
        <f>_xlfn.IFNA((VLOOKUP($A101,HN!$A:$M,9,FALSE)/12),0)</f>
        <v>0</v>
      </c>
      <c r="S101" s="280">
        <f>_xlfn.IFNA((VLOOKUP($A101,'Post 16'!$A:$AR,22,FALSE)/4),0)</f>
        <v>0</v>
      </c>
      <c r="T101" s="280">
        <f>_xlfn.IFNA((VLOOKUP($A101,EY!$A:$R,16,FALSE)*80%),0)</f>
        <v>0</v>
      </c>
      <c r="U101" s="280">
        <v>0</v>
      </c>
      <c r="V101" s="280">
        <v>14379.823333333332</v>
      </c>
      <c r="W101" s="279">
        <f t="shared" si="111"/>
        <v>-491.77499999999992</v>
      </c>
      <c r="X101" s="279">
        <f t="shared" si="112"/>
        <v>-1543.9766083333334</v>
      </c>
      <c r="Y101" s="280"/>
      <c r="Z101" s="280"/>
      <c r="AA101" s="280"/>
      <c r="AB101" s="279">
        <f t="shared" si="113"/>
        <v>135973.96922035181</v>
      </c>
      <c r="AC101" s="293">
        <f t="shared" si="114"/>
        <v>117296.56416201848</v>
      </c>
      <c r="AD101" s="293"/>
      <c r="AE101" s="293"/>
      <c r="AF101" s="294">
        <f>_xlfn.IFNA((VLOOKUP($A101,HN!$A:$M,8,FALSE)/12),0)</f>
        <v>0</v>
      </c>
      <c r="AG101" s="294">
        <f>_xlfn.IFNA((VLOOKUP($A101,HN!$A:$M,12,FALSE)/12),0)+_xlfn.IFNA(VLOOKUP($A101,HN!$A:$Q,17,FALSE),0)</f>
        <v>6333.333333333333</v>
      </c>
      <c r="AH101" s="294">
        <f>_xlfn.IFNA((VLOOKUP($A101,HN!$A:$M,9,FALSE)/12),0)</f>
        <v>0</v>
      </c>
      <c r="AI101" s="294">
        <f>_xlfn.IFNA((VLOOKUP($A101,'Post 16'!$A:$AR,22,FALSE)/4),0)</f>
        <v>0</v>
      </c>
      <c r="AJ101" s="294"/>
      <c r="AK101" s="294">
        <f>_xlfn.IFNA((VLOOKUP($A101,HN!$A:$M,10,FALSE)/12),0)</f>
        <v>0</v>
      </c>
      <c r="AL101" s="294">
        <f>_xlfn.IFNA((VLOOKUP($A101,HN!$A:$M,13,FALSE)/12),0)</f>
        <v>11594.053333333335</v>
      </c>
      <c r="AM101" s="293">
        <f t="shared" si="115"/>
        <v>-491.77499999999992</v>
      </c>
      <c r="AN101" s="293">
        <f t="shared" si="116"/>
        <v>-1543.9766083333334</v>
      </c>
      <c r="AO101" s="294"/>
      <c r="AP101" s="294"/>
      <c r="AQ101" s="294"/>
      <c r="AR101" s="293">
        <f t="shared" si="117"/>
        <v>133188.19922035182</v>
      </c>
      <c r="AS101" s="286">
        <f t="shared" si="118"/>
        <v>117296.56416201848</v>
      </c>
      <c r="AT101" s="286"/>
      <c r="AU101" s="286">
        <f>_xlfn.IFNA(VLOOKUP(A101,EY!A:AO,40,FALSE),0)</f>
        <v>0</v>
      </c>
      <c r="AV101" s="287">
        <f>_xlfn.IFNA((VLOOKUP($A101,HN!$A:$M,8,FALSE)/12),0)</f>
        <v>0</v>
      </c>
      <c r="AW101" s="287">
        <f>_xlfn.IFNA((VLOOKUP($A101,HN!$A:$M,12,FALSE)/12),0)+_xlfn.IFNA(VLOOKUP($A101,HN!$A$8:$AU$200,19,FALSE),0)</f>
        <v>6333.333333333333</v>
      </c>
      <c r="AX101" s="287">
        <f>_xlfn.IFNA((VLOOKUP($A101,HN!$A:$M,9,FALSE)/12),0)</f>
        <v>0</v>
      </c>
      <c r="AY101" s="287">
        <f>_xlfn.IFNA((VLOOKUP($A101,'Post 16'!$A:$AR,22,FALSE)/4),0)</f>
        <v>0</v>
      </c>
      <c r="AZ101" s="287">
        <f>_xlfn.IFNA(VLOOKUP(A101,EY!A:AO,41,FALSE),0)</f>
        <v>0</v>
      </c>
      <c r="BA101" s="287">
        <f>_xlfn.IFNA(((VLOOKUP($A101,HN!$A:$M,10,FALSE)-$U101-$AK101)/10),0)+_xlfn.IFNA(VLOOKUP($A101,HN!$A:$R,18,FALSE),0)</f>
        <v>0</v>
      </c>
      <c r="BB101" s="287">
        <f>_xlfn.IFNA(((VLOOKUP($A101,HN!$A:$M,13,FALSE)-$V101-$AL101)/10),0)+_xlfn.IFNA(VLOOKUP($A101,HN!$A$8:$AU$200,20,FALSE),0)</f>
        <v>11315.476333333336</v>
      </c>
      <c r="BC101" s="286">
        <f t="shared" si="119"/>
        <v>-491.77499999999992</v>
      </c>
      <c r="BD101" s="286">
        <f t="shared" si="120"/>
        <v>-1543.9766083333334</v>
      </c>
      <c r="BE101" s="287"/>
      <c r="BF101" s="287"/>
      <c r="BG101" s="287"/>
      <c r="BH101" s="286">
        <f t="shared" si="121"/>
        <v>132909.62222035183</v>
      </c>
      <c r="BI101" s="307">
        <f t="shared" si="122"/>
        <v>117296.56416201848</v>
      </c>
      <c r="BJ101" s="307">
        <f>_xlfn.IFNA(VLOOKUP(A101,'LA Deductions'!A:AH,34,FALSE),0)</f>
        <v>0</v>
      </c>
      <c r="BK101" s="307"/>
      <c r="BL101" s="308">
        <f>_xlfn.IFNA((VLOOKUP($A101,HN!$A:$M,8,FALSE)/12),0)</f>
        <v>0</v>
      </c>
      <c r="BM101" s="308">
        <f>_xlfn.IFNA((VLOOKUP($A101,HN!$A:$M,12,FALSE)/12),0)</f>
        <v>6333.333333333333</v>
      </c>
      <c r="BN101" s="308">
        <f>_xlfn.IFNA((VLOOKUP($A101,HN!$A:$M,9,FALSE)/12),0)</f>
        <v>0</v>
      </c>
      <c r="BO101" s="308">
        <f>_xlfn.IFNA((VLOOKUP($A101,'Post 16'!$A:$AR,22,FALSE)/4),0)</f>
        <v>0</v>
      </c>
      <c r="BP101" s="308"/>
      <c r="BQ101" s="308">
        <f>_xlfn.IFNA(((VLOOKUP($A101,HN!$A:$M,10,FALSE)-$U101-$AK101)/10),0)</f>
        <v>0</v>
      </c>
      <c r="BR101" s="308">
        <f>_xlfn.IFNA(((VLOOKUP($A101,HN!$A:$M,13,FALSE)-$V101-$AL101)/10),0)</f>
        <v>11315.476333333336</v>
      </c>
      <c r="BS101" s="307">
        <f t="shared" si="123"/>
        <v>-491.77499999999992</v>
      </c>
      <c r="BT101" s="307">
        <f t="shared" si="124"/>
        <v>-1543.9766083333334</v>
      </c>
      <c r="BU101" s="308"/>
      <c r="BV101" s="308"/>
      <c r="BW101" s="308"/>
      <c r="BX101" s="307">
        <f t="shared" si="125"/>
        <v>132909.62222035183</v>
      </c>
      <c r="BY101" s="300">
        <f t="shared" si="126"/>
        <v>117296.56416201848</v>
      </c>
      <c r="BZ101" s="300"/>
      <c r="CA101" s="300"/>
      <c r="CB101" s="301">
        <f>_xlfn.IFNA((VLOOKUP($A101,HN!$A:$M,8,FALSE)/12),0)</f>
        <v>0</v>
      </c>
      <c r="CC101" s="301">
        <f>_xlfn.IFNA((VLOOKUP($A101,HN!$A:$M,12,FALSE)/12),0)</f>
        <v>6333.333333333333</v>
      </c>
      <c r="CD101" s="301">
        <f>_xlfn.IFNA((VLOOKUP($A101,HN!$A:$M,9,FALSE)/12),0)</f>
        <v>0</v>
      </c>
      <c r="CE101" s="301">
        <f>_xlfn.IFNA((VLOOKUP($A101,'Post 16'!$A:$AG,33,FALSE)/8),0)</f>
        <v>0</v>
      </c>
      <c r="CF101" s="301"/>
      <c r="CG101" s="301">
        <f>_xlfn.IFNA(((VLOOKUP($A101,HN!$A:$M,10,FALSE)-$U101-$AK101)/10),0)</f>
        <v>0</v>
      </c>
      <c r="CH101" s="301">
        <f>_xlfn.IFNA(((VLOOKUP($A101,HN!$A:$M,13,FALSE)-$V101-$AL101)/10),0)</f>
        <v>11315.476333333336</v>
      </c>
      <c r="CI101" s="300">
        <f t="shared" si="127"/>
        <v>-491.77499999999992</v>
      </c>
      <c r="CJ101" s="300">
        <f t="shared" si="128"/>
        <v>-1543.9766083333334</v>
      </c>
      <c r="CK101" s="301"/>
      <c r="CL101" s="301"/>
      <c r="CM101" s="301"/>
      <c r="CN101" s="300">
        <f t="shared" si="129"/>
        <v>132909.62222035183</v>
      </c>
      <c r="CO101" s="332">
        <f t="shared" si="130"/>
        <v>117296.56416201848</v>
      </c>
      <c r="CP101" s="332"/>
      <c r="CQ101" s="332">
        <f>_xlfn.IFNA((VLOOKUP($A101,EY!$A:$AB,28,FALSE)-$CV101),0)</f>
        <v>0</v>
      </c>
      <c r="CR101" s="333">
        <f>_xlfn.IFNA((VLOOKUP($A101,HN!$A:$M,8,FALSE)/12),0)</f>
        <v>0</v>
      </c>
      <c r="CS101" s="333">
        <f>_xlfn.IFNA((VLOOKUP($A101,HN!$A:$M,12,FALSE)/12),0)</f>
        <v>6333.333333333333</v>
      </c>
      <c r="CT101" s="333">
        <f>_xlfn.IFNA((VLOOKUP($A101,HN!$A:$M,9,FALSE)/12),0)</f>
        <v>0</v>
      </c>
      <c r="CU101" s="333">
        <f>_xlfn.IFNA((VLOOKUP($A101,'Post 16'!$A:$AG,33,FALSE)/8),0)</f>
        <v>0</v>
      </c>
      <c r="CV101" s="333">
        <f>_xlfn.IFNA((VLOOKUP($A101,EY!$A:$AB,26,FALSE)*80%),0)</f>
        <v>0</v>
      </c>
      <c r="CW101" s="333">
        <f>_xlfn.IFNA(((VLOOKUP($A101,HN!$A:$M,10,FALSE)-$U101-$AK101)/10),0)</f>
        <v>0</v>
      </c>
      <c r="CX101" s="333">
        <f>_xlfn.IFNA(((VLOOKUP($A101,HN!$A:$M,13,FALSE)-$V101-$AL101)/10),0)</f>
        <v>11315.476333333336</v>
      </c>
      <c r="CY101" s="332">
        <f t="shared" si="131"/>
        <v>-491.77499999999992</v>
      </c>
      <c r="CZ101" s="332">
        <f t="shared" si="132"/>
        <v>-1543.9766083333334</v>
      </c>
      <c r="DA101" s="333"/>
      <c r="DB101" s="333"/>
      <c r="DC101" s="333"/>
      <c r="DD101" s="332">
        <f t="shared" si="133"/>
        <v>132909.62222035183</v>
      </c>
      <c r="DE101" s="314">
        <f t="shared" si="134"/>
        <v>117296.56416201848</v>
      </c>
      <c r="DF101" s="314"/>
      <c r="DG101" s="314"/>
      <c r="DH101" s="315">
        <f>_xlfn.IFNA((VLOOKUP($A101,HN!$A:$M,8,FALSE)/12),0)</f>
        <v>0</v>
      </c>
      <c r="DI101" s="315">
        <f>_xlfn.IFNA((VLOOKUP($A101,HN!$A:$M,12,FALSE)/12),0)</f>
        <v>6333.333333333333</v>
      </c>
      <c r="DJ101" s="315">
        <f>_xlfn.IFNA((VLOOKUP($A101,HN!$A:$M,9,FALSE)/12),0)</f>
        <v>0</v>
      </c>
      <c r="DK101" s="315">
        <f>_xlfn.IFNA((VLOOKUP($A101,'Post 16'!$A:$AG,33,FALSE)/8),0)</f>
        <v>0</v>
      </c>
      <c r="DL101" s="315"/>
      <c r="DM101" s="315">
        <f>_xlfn.IFNA(((VLOOKUP($A101,HN!$A:$M,10,FALSE)-$U101-$AK101)/10),0)</f>
        <v>0</v>
      </c>
      <c r="DN101" s="315">
        <f>_xlfn.IFNA(((VLOOKUP($A101,HN!$A:$M,13,FALSE)-$V101-$AL101)/10),0)</f>
        <v>11315.476333333336</v>
      </c>
      <c r="DO101" s="314">
        <f t="shared" si="135"/>
        <v>-491.77499999999992</v>
      </c>
      <c r="DP101" s="314">
        <f t="shared" si="136"/>
        <v>-1543.9766083333334</v>
      </c>
      <c r="DQ101" s="315"/>
      <c r="DR101" s="315"/>
      <c r="DS101" s="315"/>
      <c r="DT101" s="314">
        <f t="shared" si="137"/>
        <v>132909.62222035183</v>
      </c>
      <c r="DU101" s="307">
        <f t="shared" si="138"/>
        <v>117296.56416201848</v>
      </c>
      <c r="DV101" s="307"/>
      <c r="DW101" s="307"/>
      <c r="DX101" s="308">
        <f>_xlfn.IFNA((VLOOKUP($A101,HN!$A:$M,8,FALSE)/12),0)</f>
        <v>0</v>
      </c>
      <c r="DY101" s="308">
        <f>_xlfn.IFNA((VLOOKUP($A101,HN!$A:$M,12,FALSE)/12),0)</f>
        <v>6333.333333333333</v>
      </c>
      <c r="DZ101" s="308">
        <f>_xlfn.IFNA((VLOOKUP($A101,HN!$A:$M,9,FALSE)/12),0)</f>
        <v>0</v>
      </c>
      <c r="EA101" s="308">
        <f>_xlfn.IFNA((VLOOKUP($A101,'Post 16'!$A:$AG,33,FALSE)/8),0)</f>
        <v>0</v>
      </c>
      <c r="EB101" s="308"/>
      <c r="EC101" s="308">
        <f>_xlfn.IFNA(((VLOOKUP($A101,HN!$A:$M,10,FALSE)-$U101-$AK101)/10),0)</f>
        <v>0</v>
      </c>
      <c r="ED101" s="308">
        <f>_xlfn.IFNA(((VLOOKUP($A101,HN!$A:$M,13,FALSE)-$V101-$AL101)/10),0)</f>
        <v>11315.476333333336</v>
      </c>
      <c r="EE101" s="307">
        <f t="shared" si="139"/>
        <v>-491.77499999999992</v>
      </c>
      <c r="EF101" s="307">
        <f t="shared" si="140"/>
        <v>-1543.9766083333334</v>
      </c>
      <c r="EG101" s="308"/>
      <c r="EH101" s="308"/>
      <c r="EI101" s="308"/>
      <c r="EJ101" s="307">
        <f t="shared" si="141"/>
        <v>132909.62222035183</v>
      </c>
      <c r="EK101" s="320">
        <f t="shared" si="142"/>
        <v>117296.56416201848</v>
      </c>
      <c r="EL101" s="320"/>
      <c r="EM101" s="320"/>
      <c r="EN101" s="321">
        <f>_xlfn.IFNA((VLOOKUP($A101,HN!$A:$M,8,FALSE)/12),0)</f>
        <v>0</v>
      </c>
      <c r="EO101" s="321">
        <f>_xlfn.IFNA((VLOOKUP($A101,HN!$A:$M,12,FALSE)/12),0)</f>
        <v>6333.333333333333</v>
      </c>
      <c r="EP101" s="321">
        <f>_xlfn.IFNA((VLOOKUP($A101,HN!$A:$M,9,FALSE)/12),0)</f>
        <v>0</v>
      </c>
      <c r="EQ101" s="321">
        <f>_xlfn.IFNA((VLOOKUP($A101,'Post 16'!$A:$AG,33,FALSE)/8),0)</f>
        <v>0</v>
      </c>
      <c r="ER101" s="321"/>
      <c r="ES101" s="321">
        <f>_xlfn.IFNA(((VLOOKUP($A101,HN!$A:$M,10,FALSE)-$U101-$AK101)/10),0)</f>
        <v>0</v>
      </c>
      <c r="ET101" s="321">
        <f>_xlfn.IFNA(((VLOOKUP($A101,HN!$A:$M,13,FALSE)-$V101-$AL101)/10),0)</f>
        <v>11315.476333333336</v>
      </c>
      <c r="EU101" s="320">
        <f t="shared" si="143"/>
        <v>-491.77499999999992</v>
      </c>
      <c r="EV101" s="320">
        <f t="shared" si="144"/>
        <v>-1543.9766083333334</v>
      </c>
      <c r="EW101" s="321"/>
      <c r="EX101" s="321"/>
      <c r="EY101" s="321"/>
      <c r="EZ101" s="320">
        <f t="shared" si="145"/>
        <v>132909.62222035183</v>
      </c>
      <c r="FA101" s="286">
        <f t="shared" si="146"/>
        <v>117296.56416201848</v>
      </c>
      <c r="FB101" s="286"/>
      <c r="FC101" s="286"/>
      <c r="FD101" s="287">
        <f>_xlfn.IFNA((VLOOKUP($A101,HN!$A:$M,8,FALSE)/12),0)</f>
        <v>0</v>
      </c>
      <c r="FE101" s="287">
        <f>_xlfn.IFNA((VLOOKUP($A101,HN!$A:$M,12,FALSE)/12),0)</f>
        <v>6333.333333333333</v>
      </c>
      <c r="FF101" s="287">
        <f>_xlfn.IFNA((VLOOKUP($A101,HN!$A:$M,9,FALSE)/12),0)</f>
        <v>0</v>
      </c>
      <c r="FG101" s="287">
        <f>_xlfn.IFNA((VLOOKUP($A101,'Post 16'!$A:$AG,33,FALSE)/8),0)</f>
        <v>0</v>
      </c>
      <c r="FH101" s="287"/>
      <c r="FI101" s="287">
        <f>_xlfn.IFNA(((VLOOKUP($A101,HN!$A:$M,10,FALSE)-$U101-$AK101)/10),0)</f>
        <v>0</v>
      </c>
      <c r="FJ101" s="287">
        <f>_xlfn.IFNA(((VLOOKUP($A101,HN!$A:$M,13,FALSE)-$V101-$AL101)/10),0)</f>
        <v>11315.476333333336</v>
      </c>
      <c r="FK101" s="286">
        <f t="shared" si="147"/>
        <v>-491.77499999999992</v>
      </c>
      <c r="FL101" s="286">
        <f t="shared" si="148"/>
        <v>-1543.9766083333334</v>
      </c>
      <c r="FM101" s="287"/>
      <c r="FN101" s="287"/>
      <c r="FO101" s="287"/>
      <c r="FP101" s="286">
        <f t="shared" si="149"/>
        <v>132909.62222035183</v>
      </c>
      <c r="FQ101" s="293">
        <f t="shared" si="150"/>
        <v>117296.56416201848</v>
      </c>
      <c r="FR101" s="293"/>
      <c r="FS101" s="293"/>
      <c r="FT101" s="294">
        <f>_xlfn.IFNA((VLOOKUP($A101,HN!$A:$M,8,FALSE)/12),0)</f>
        <v>0</v>
      </c>
      <c r="FU101" s="294">
        <f>_xlfn.IFNA((VLOOKUP($A101,HN!$A:$M,12,FALSE)/12),0)</f>
        <v>6333.333333333333</v>
      </c>
      <c r="FV101" s="294">
        <f>_xlfn.IFNA((VLOOKUP($A101,HN!$A:$M,9,FALSE)/12),0)</f>
        <v>0</v>
      </c>
      <c r="FW101" s="294">
        <f>_xlfn.IFNA((VLOOKUP($A101,'Post 16'!$A:$AG,33,FALSE)/8),0)</f>
        <v>0</v>
      </c>
      <c r="FX101" s="294"/>
      <c r="FY101" s="294">
        <f>_xlfn.IFNA(((VLOOKUP($A101,HN!$A:$M,10,FALSE)-$U101-$AK101)/10),0)</f>
        <v>0</v>
      </c>
      <c r="FZ101" s="294">
        <f>_xlfn.IFNA(((VLOOKUP($A101,HN!$A:$M,13,FALSE)-$V101-$AL101)/10),0)</f>
        <v>11315.476333333336</v>
      </c>
      <c r="GA101" s="293">
        <f t="shared" si="151"/>
        <v>-491.77499999999992</v>
      </c>
      <c r="GB101" s="293">
        <f t="shared" si="152"/>
        <v>-1543.9766083333334</v>
      </c>
      <c r="GC101" s="294"/>
      <c r="GD101" s="294"/>
      <c r="GE101" s="294"/>
      <c r="GF101" s="293">
        <f t="shared" si="153"/>
        <v>132909.62222035183</v>
      </c>
      <c r="GG101" s="300">
        <f t="shared" si="154"/>
        <v>117296.56416201848</v>
      </c>
      <c r="GH101" s="300"/>
      <c r="GI101" s="300"/>
      <c r="GJ101" s="301">
        <f>_xlfn.IFNA((VLOOKUP($A101,HN!$A:$M,8,FALSE)/12),0)</f>
        <v>0</v>
      </c>
      <c r="GK101" s="301">
        <f>_xlfn.IFNA((VLOOKUP($A101,HN!$A:$M,12,FALSE)/12),0)</f>
        <v>6333.333333333333</v>
      </c>
      <c r="GL101" s="301">
        <f>_xlfn.IFNA((VLOOKUP($A101,HN!$A:$M,9,FALSE)/12),0)</f>
        <v>0</v>
      </c>
      <c r="GM101" s="301">
        <f>_xlfn.IFNA((VLOOKUP($A101,'Post 16'!$A:$AG,33,FALSE)/8),0)</f>
        <v>0</v>
      </c>
      <c r="GN101" s="301"/>
      <c r="GO101" s="301">
        <f>_xlfn.IFNA(((VLOOKUP($A101,HN!$A:$M,10,FALSE)-$U101-$AK101)/10),0)</f>
        <v>0</v>
      </c>
      <c r="GP101" s="301">
        <f>_xlfn.IFNA(((VLOOKUP($A101,HN!$A:$M,13,FALSE)-$V101-$AL101)/10),0)</f>
        <v>11315.476333333336</v>
      </c>
      <c r="GQ101" s="300">
        <f t="shared" si="155"/>
        <v>-491.77499999999992</v>
      </c>
      <c r="GR101" s="300">
        <f t="shared" si="156"/>
        <v>-1543.9766083333334</v>
      </c>
      <c r="GS101" s="301"/>
      <c r="GT101" s="301"/>
      <c r="GU101" s="301"/>
      <c r="GV101" s="300">
        <f t="shared" si="157"/>
        <v>132909.62222035183</v>
      </c>
      <c r="GX101" s="146">
        <f t="shared" si="162"/>
        <v>1483558.7699442215</v>
      </c>
      <c r="GY101" s="146">
        <f t="shared" si="162"/>
        <v>0</v>
      </c>
      <c r="GZ101" s="146">
        <f t="shared" si="162"/>
        <v>139128.64000000004</v>
      </c>
      <c r="HA101" s="146">
        <f t="shared" si="162"/>
        <v>-5901.2999999999984</v>
      </c>
      <c r="HB101" s="146">
        <f t="shared" si="162"/>
        <v>-18527.719300000004</v>
      </c>
      <c r="HC101" s="146">
        <f t="shared" si="162"/>
        <v>0</v>
      </c>
      <c r="HE101" s="146">
        <f t="shared" si="163"/>
        <v>370889.69248605537</v>
      </c>
      <c r="HF101" s="146">
        <f t="shared" si="163"/>
        <v>0</v>
      </c>
      <c r="HG101" s="146">
        <f t="shared" si="163"/>
        <v>37289.353000000003</v>
      </c>
      <c r="HH101" s="146">
        <f t="shared" si="163"/>
        <v>-1475.3249999999998</v>
      </c>
      <c r="HI101" s="146">
        <f t="shared" si="163"/>
        <v>-4631.9298250000002</v>
      </c>
      <c r="HJ101" s="146">
        <f t="shared" si="163"/>
        <v>0</v>
      </c>
      <c r="HL101" s="146"/>
      <c r="HM101" s="57"/>
    </row>
    <row r="102" spans="1:221">
      <c r="A102" s="185">
        <v>2128</v>
      </c>
      <c r="B102" s="185">
        <v>103228</v>
      </c>
      <c r="C102" s="185" t="s">
        <v>227</v>
      </c>
      <c r="D102" s="2" t="s">
        <v>228</v>
      </c>
      <c r="E102" s="190" t="s">
        <v>39</v>
      </c>
      <c r="F102" s="190" t="s">
        <v>890</v>
      </c>
      <c r="H102" s="271">
        <f>_xlfn.IFNA(VLOOKUP($A102,ISB!$A$4:$BY$441,67,FALSE),0)</f>
        <v>2112113.2321747425</v>
      </c>
      <c r="I102" s="271">
        <f>_xlfn.IFNA(VLOOKUP($A102,ISB!$A$4:$BY$441,72,FALSE),0)</f>
        <v>-9138.2999999999993</v>
      </c>
      <c r="J102" s="271">
        <f>-_xlfn.IFNA(VLOOKUP($A102,ISB!$A$4:$BY$441,76,FALSE),0)</f>
        <v>-20071.683499999999</v>
      </c>
      <c r="K102" s="271">
        <f>_xlfn.IFNA(VLOOKUP($A102,ISB!$A$4:$BY$441,77,FALSE),0)</f>
        <v>2082903.2486747426</v>
      </c>
      <c r="M102" s="279">
        <f t="shared" si="110"/>
        <v>176009.43601456188</v>
      </c>
      <c r="N102" s="279"/>
      <c r="O102" s="279">
        <f>_xlfn.IFNA(VLOOKUP($A102,EY!$A:$H,8,FALSE)+(VLOOKUP($A102,EY!$A:$R,18,FALSE)-$T102),0)</f>
        <v>0</v>
      </c>
      <c r="P102" s="280">
        <f>_xlfn.IFNA((VLOOKUP($A102,HN!$A:$M,8,FALSE)/12),0)</f>
        <v>0</v>
      </c>
      <c r="Q102" s="280">
        <f>_xlfn.IFNA((VLOOKUP($A102,HN!$A:$M,12,FALSE)/12),0)</f>
        <v>5166.666666666667</v>
      </c>
      <c r="R102" s="280">
        <f>_xlfn.IFNA((VLOOKUP($A102,HN!$A:$M,9,FALSE)/12),0)</f>
        <v>0</v>
      </c>
      <c r="S102" s="280">
        <f>_xlfn.IFNA((VLOOKUP($A102,'Post 16'!$A:$AR,22,FALSE)/4),0)</f>
        <v>0</v>
      </c>
      <c r="T102" s="280">
        <f>_xlfn.IFNA((VLOOKUP($A102,EY!$A:$R,16,FALSE)*80%),0)</f>
        <v>0</v>
      </c>
      <c r="U102" s="280">
        <v>0</v>
      </c>
      <c r="V102" s="280">
        <v>14772.955833333333</v>
      </c>
      <c r="W102" s="279">
        <f t="shared" si="111"/>
        <v>-761.52499999999998</v>
      </c>
      <c r="X102" s="279">
        <f t="shared" si="112"/>
        <v>-1672.6402916666666</v>
      </c>
      <c r="Y102" s="280"/>
      <c r="Z102" s="280"/>
      <c r="AA102" s="280"/>
      <c r="AB102" s="279">
        <f t="shared" si="113"/>
        <v>193514.89322289522</v>
      </c>
      <c r="AC102" s="293">
        <f t="shared" si="114"/>
        <v>176009.43601456188</v>
      </c>
      <c r="AD102" s="293"/>
      <c r="AE102" s="293"/>
      <c r="AF102" s="294">
        <f>_xlfn.IFNA((VLOOKUP($A102,HN!$A:$M,8,FALSE)/12),0)</f>
        <v>0</v>
      </c>
      <c r="AG102" s="294">
        <f>_xlfn.IFNA((VLOOKUP($A102,HN!$A:$M,12,FALSE)/12),0)+_xlfn.IFNA(VLOOKUP($A102,HN!$A:$Q,17,FALSE),0)</f>
        <v>5166.666666666667</v>
      </c>
      <c r="AH102" s="294">
        <f>_xlfn.IFNA((VLOOKUP($A102,HN!$A:$M,9,FALSE)/12),0)</f>
        <v>0</v>
      </c>
      <c r="AI102" s="294">
        <f>_xlfn.IFNA((VLOOKUP($A102,'Post 16'!$A:$AR,22,FALSE)/4),0)</f>
        <v>0</v>
      </c>
      <c r="AJ102" s="294"/>
      <c r="AK102" s="294">
        <f>_xlfn.IFNA((VLOOKUP($A102,HN!$A:$M,10,FALSE)/12),0)</f>
        <v>0</v>
      </c>
      <c r="AL102" s="294">
        <f>_xlfn.IFNA((VLOOKUP($A102,HN!$A:$M,13,FALSE)/12),0)</f>
        <v>11386.281666666668</v>
      </c>
      <c r="AM102" s="293">
        <f t="shared" si="115"/>
        <v>-761.52499999999998</v>
      </c>
      <c r="AN102" s="293">
        <f t="shared" si="116"/>
        <v>-1672.6402916666666</v>
      </c>
      <c r="AO102" s="294"/>
      <c r="AP102" s="294"/>
      <c r="AQ102" s="294"/>
      <c r="AR102" s="293">
        <f t="shared" si="117"/>
        <v>190128.21905622855</v>
      </c>
      <c r="AS102" s="286">
        <f t="shared" si="118"/>
        <v>176009.43601456188</v>
      </c>
      <c r="AT102" s="286"/>
      <c r="AU102" s="286">
        <f>_xlfn.IFNA(VLOOKUP(A102,EY!A:AO,40,FALSE),0)</f>
        <v>0</v>
      </c>
      <c r="AV102" s="287">
        <f>_xlfn.IFNA((VLOOKUP($A102,HN!$A:$M,8,FALSE)/12),0)</f>
        <v>0</v>
      </c>
      <c r="AW102" s="287">
        <f>_xlfn.IFNA((VLOOKUP($A102,HN!$A:$M,12,FALSE)/12),0)+_xlfn.IFNA(VLOOKUP($A102,HN!$A$8:$AU$200,19,FALSE),0)</f>
        <v>5166.666666666667</v>
      </c>
      <c r="AX102" s="287">
        <f>_xlfn.IFNA((VLOOKUP($A102,HN!$A:$M,9,FALSE)/12),0)</f>
        <v>0</v>
      </c>
      <c r="AY102" s="287">
        <f>_xlfn.IFNA((VLOOKUP($A102,'Post 16'!$A:$AR,22,FALSE)/4),0)</f>
        <v>0</v>
      </c>
      <c r="AZ102" s="287">
        <f>_xlfn.IFNA(VLOOKUP(A102,EY!A:AO,41,FALSE),0)</f>
        <v>0</v>
      </c>
      <c r="BA102" s="287">
        <f>_xlfn.IFNA(((VLOOKUP($A102,HN!$A:$M,10,FALSE)-$U102-$AK102)/10),0)+_xlfn.IFNA(VLOOKUP($A102,HN!$A:$R,18,FALSE),0)</f>
        <v>0</v>
      </c>
      <c r="BB102" s="287">
        <f>_xlfn.IFNA(((VLOOKUP($A102,HN!$A:$M,13,FALSE)-$V102-$AL102)/10),0)+_xlfn.IFNA(VLOOKUP($A102,HN!$A$8:$AU$200,20,FALSE),0)</f>
        <v>11047.614250000001</v>
      </c>
      <c r="BC102" s="286">
        <f t="shared" si="119"/>
        <v>-761.52499999999998</v>
      </c>
      <c r="BD102" s="286">
        <f t="shared" si="120"/>
        <v>-1672.6402916666666</v>
      </c>
      <c r="BE102" s="287"/>
      <c r="BF102" s="287"/>
      <c r="BG102" s="287"/>
      <c r="BH102" s="286">
        <f t="shared" si="121"/>
        <v>189789.55163956189</v>
      </c>
      <c r="BI102" s="307">
        <f t="shared" si="122"/>
        <v>176009.43601456188</v>
      </c>
      <c r="BJ102" s="307">
        <f>_xlfn.IFNA(VLOOKUP(A102,'LA Deductions'!A:AH,34,FALSE),0)</f>
        <v>0</v>
      </c>
      <c r="BK102" s="307"/>
      <c r="BL102" s="308">
        <f>_xlfn.IFNA((VLOOKUP($A102,HN!$A:$M,8,FALSE)/12),0)</f>
        <v>0</v>
      </c>
      <c r="BM102" s="308">
        <f>_xlfn.IFNA((VLOOKUP($A102,HN!$A:$M,12,FALSE)/12),0)</f>
        <v>5166.666666666667</v>
      </c>
      <c r="BN102" s="308">
        <f>_xlfn.IFNA((VLOOKUP($A102,HN!$A:$M,9,FALSE)/12),0)</f>
        <v>0</v>
      </c>
      <c r="BO102" s="308">
        <f>_xlfn.IFNA((VLOOKUP($A102,'Post 16'!$A:$AR,22,FALSE)/4),0)</f>
        <v>0</v>
      </c>
      <c r="BP102" s="308"/>
      <c r="BQ102" s="308">
        <f>_xlfn.IFNA(((VLOOKUP($A102,HN!$A:$M,10,FALSE)-$U102-$AK102)/10),0)</f>
        <v>0</v>
      </c>
      <c r="BR102" s="308">
        <f>_xlfn.IFNA(((VLOOKUP($A102,HN!$A:$M,13,FALSE)-$V102-$AL102)/10),0)</f>
        <v>11047.614250000001</v>
      </c>
      <c r="BS102" s="307">
        <f t="shared" si="123"/>
        <v>-761.52499999999998</v>
      </c>
      <c r="BT102" s="307">
        <f t="shared" si="124"/>
        <v>-1672.6402916666666</v>
      </c>
      <c r="BU102" s="308"/>
      <c r="BV102" s="308"/>
      <c r="BW102" s="308"/>
      <c r="BX102" s="307">
        <f t="shared" si="125"/>
        <v>189789.55163956189</v>
      </c>
      <c r="BY102" s="300">
        <f t="shared" si="126"/>
        <v>176009.43601456188</v>
      </c>
      <c r="BZ102" s="300"/>
      <c r="CA102" s="300"/>
      <c r="CB102" s="301">
        <f>_xlfn.IFNA((VLOOKUP($A102,HN!$A:$M,8,FALSE)/12),0)</f>
        <v>0</v>
      </c>
      <c r="CC102" s="301">
        <f>_xlfn.IFNA((VLOOKUP($A102,HN!$A:$M,12,FALSE)/12),0)</f>
        <v>5166.666666666667</v>
      </c>
      <c r="CD102" s="301">
        <f>_xlfn.IFNA((VLOOKUP($A102,HN!$A:$M,9,FALSE)/12),0)</f>
        <v>0</v>
      </c>
      <c r="CE102" s="301">
        <f>_xlfn.IFNA((VLOOKUP($A102,'Post 16'!$A:$AG,33,FALSE)/8),0)</f>
        <v>0</v>
      </c>
      <c r="CF102" s="301"/>
      <c r="CG102" s="301">
        <f>_xlfn.IFNA(((VLOOKUP($A102,HN!$A:$M,10,FALSE)-$U102-$AK102)/10),0)</f>
        <v>0</v>
      </c>
      <c r="CH102" s="301">
        <f>_xlfn.IFNA(((VLOOKUP($A102,HN!$A:$M,13,FALSE)-$V102-$AL102)/10),0)</f>
        <v>11047.614250000001</v>
      </c>
      <c r="CI102" s="300">
        <f t="shared" si="127"/>
        <v>-761.52499999999998</v>
      </c>
      <c r="CJ102" s="300">
        <f t="shared" si="128"/>
        <v>-1672.6402916666666</v>
      </c>
      <c r="CK102" s="301"/>
      <c r="CL102" s="301"/>
      <c r="CM102" s="301"/>
      <c r="CN102" s="300">
        <f t="shared" si="129"/>
        <v>189789.55163956189</v>
      </c>
      <c r="CO102" s="332">
        <f t="shared" si="130"/>
        <v>176009.43601456188</v>
      </c>
      <c r="CP102" s="332"/>
      <c r="CQ102" s="332">
        <f>_xlfn.IFNA((VLOOKUP($A102,EY!$A:$AB,28,FALSE)-$CV102),0)</f>
        <v>0</v>
      </c>
      <c r="CR102" s="333">
        <f>_xlfn.IFNA((VLOOKUP($A102,HN!$A:$M,8,FALSE)/12),0)</f>
        <v>0</v>
      </c>
      <c r="CS102" s="333">
        <f>_xlfn.IFNA((VLOOKUP($A102,HN!$A:$M,12,FALSE)/12),0)</f>
        <v>5166.666666666667</v>
      </c>
      <c r="CT102" s="333">
        <f>_xlfn.IFNA((VLOOKUP($A102,HN!$A:$M,9,FALSE)/12),0)</f>
        <v>0</v>
      </c>
      <c r="CU102" s="333">
        <f>_xlfn.IFNA((VLOOKUP($A102,'Post 16'!$A:$AG,33,FALSE)/8),0)</f>
        <v>0</v>
      </c>
      <c r="CV102" s="333">
        <f>_xlfn.IFNA((VLOOKUP($A102,EY!$A:$AB,26,FALSE)*80%),0)</f>
        <v>0</v>
      </c>
      <c r="CW102" s="333">
        <f>_xlfn.IFNA(((VLOOKUP($A102,HN!$A:$M,10,FALSE)-$U102-$AK102)/10),0)</f>
        <v>0</v>
      </c>
      <c r="CX102" s="333">
        <f>_xlfn.IFNA(((VLOOKUP($A102,HN!$A:$M,13,FALSE)-$V102-$AL102)/10),0)</f>
        <v>11047.614250000001</v>
      </c>
      <c r="CY102" s="332">
        <f t="shared" si="131"/>
        <v>-761.52499999999998</v>
      </c>
      <c r="CZ102" s="332">
        <f t="shared" si="132"/>
        <v>-1672.6402916666666</v>
      </c>
      <c r="DA102" s="333"/>
      <c r="DB102" s="333"/>
      <c r="DC102" s="333"/>
      <c r="DD102" s="332">
        <f t="shared" si="133"/>
        <v>189789.55163956189</v>
      </c>
      <c r="DE102" s="314">
        <f t="shared" si="134"/>
        <v>176009.43601456188</v>
      </c>
      <c r="DF102" s="314"/>
      <c r="DG102" s="314"/>
      <c r="DH102" s="315">
        <f>_xlfn.IFNA((VLOOKUP($A102,HN!$A:$M,8,FALSE)/12),0)</f>
        <v>0</v>
      </c>
      <c r="DI102" s="315">
        <f>_xlfn.IFNA((VLOOKUP($A102,HN!$A:$M,12,FALSE)/12),0)</f>
        <v>5166.666666666667</v>
      </c>
      <c r="DJ102" s="315">
        <f>_xlfn.IFNA((VLOOKUP($A102,HN!$A:$M,9,FALSE)/12),0)</f>
        <v>0</v>
      </c>
      <c r="DK102" s="315">
        <f>_xlfn.IFNA((VLOOKUP($A102,'Post 16'!$A:$AG,33,FALSE)/8),0)</f>
        <v>0</v>
      </c>
      <c r="DL102" s="315"/>
      <c r="DM102" s="315">
        <f>_xlfn.IFNA(((VLOOKUP($A102,HN!$A:$M,10,FALSE)-$U102-$AK102)/10),0)</f>
        <v>0</v>
      </c>
      <c r="DN102" s="315">
        <f>_xlfn.IFNA(((VLOOKUP($A102,HN!$A:$M,13,FALSE)-$V102-$AL102)/10),0)</f>
        <v>11047.614250000001</v>
      </c>
      <c r="DO102" s="314">
        <f t="shared" si="135"/>
        <v>-761.52499999999998</v>
      </c>
      <c r="DP102" s="314">
        <f t="shared" si="136"/>
        <v>-1672.6402916666666</v>
      </c>
      <c r="DQ102" s="315"/>
      <c r="DR102" s="315"/>
      <c r="DS102" s="315"/>
      <c r="DT102" s="314">
        <f t="shared" si="137"/>
        <v>189789.55163956189</v>
      </c>
      <c r="DU102" s="307">
        <f t="shared" si="138"/>
        <v>176009.43601456188</v>
      </c>
      <c r="DV102" s="307"/>
      <c r="DW102" s="307"/>
      <c r="DX102" s="308">
        <f>_xlfn.IFNA((VLOOKUP($A102,HN!$A:$M,8,FALSE)/12),0)</f>
        <v>0</v>
      </c>
      <c r="DY102" s="308">
        <f>_xlfn.IFNA((VLOOKUP($A102,HN!$A:$M,12,FALSE)/12),0)</f>
        <v>5166.666666666667</v>
      </c>
      <c r="DZ102" s="308">
        <f>_xlfn.IFNA((VLOOKUP($A102,HN!$A:$M,9,FALSE)/12),0)</f>
        <v>0</v>
      </c>
      <c r="EA102" s="308">
        <f>_xlfn.IFNA((VLOOKUP($A102,'Post 16'!$A:$AG,33,FALSE)/8),0)</f>
        <v>0</v>
      </c>
      <c r="EB102" s="308"/>
      <c r="EC102" s="308">
        <f>_xlfn.IFNA(((VLOOKUP($A102,HN!$A:$M,10,FALSE)-$U102-$AK102)/10),0)</f>
        <v>0</v>
      </c>
      <c r="ED102" s="308">
        <f>_xlfn.IFNA(((VLOOKUP($A102,HN!$A:$M,13,FALSE)-$V102-$AL102)/10),0)</f>
        <v>11047.614250000001</v>
      </c>
      <c r="EE102" s="307">
        <f t="shared" si="139"/>
        <v>-761.52499999999998</v>
      </c>
      <c r="EF102" s="307">
        <f t="shared" si="140"/>
        <v>-1672.6402916666666</v>
      </c>
      <c r="EG102" s="308"/>
      <c r="EH102" s="308"/>
      <c r="EI102" s="308"/>
      <c r="EJ102" s="307">
        <f t="shared" si="141"/>
        <v>189789.55163956189</v>
      </c>
      <c r="EK102" s="320">
        <f t="shared" si="142"/>
        <v>176009.43601456188</v>
      </c>
      <c r="EL102" s="320"/>
      <c r="EM102" s="320"/>
      <c r="EN102" s="321">
        <f>_xlfn.IFNA((VLOOKUP($A102,HN!$A:$M,8,FALSE)/12),0)</f>
        <v>0</v>
      </c>
      <c r="EO102" s="321">
        <f>_xlfn.IFNA((VLOOKUP($A102,HN!$A:$M,12,FALSE)/12),0)</f>
        <v>5166.666666666667</v>
      </c>
      <c r="EP102" s="321">
        <f>_xlfn.IFNA((VLOOKUP($A102,HN!$A:$M,9,FALSE)/12),0)</f>
        <v>0</v>
      </c>
      <c r="EQ102" s="321">
        <f>_xlfn.IFNA((VLOOKUP($A102,'Post 16'!$A:$AG,33,FALSE)/8),0)</f>
        <v>0</v>
      </c>
      <c r="ER102" s="321"/>
      <c r="ES102" s="321">
        <f>_xlfn.IFNA(((VLOOKUP($A102,HN!$A:$M,10,FALSE)-$U102-$AK102)/10),0)</f>
        <v>0</v>
      </c>
      <c r="ET102" s="321">
        <f>_xlfn.IFNA(((VLOOKUP($A102,HN!$A:$M,13,FALSE)-$V102-$AL102)/10),0)</f>
        <v>11047.614250000001</v>
      </c>
      <c r="EU102" s="320">
        <f t="shared" si="143"/>
        <v>-761.52499999999998</v>
      </c>
      <c r="EV102" s="320">
        <f t="shared" si="144"/>
        <v>-1672.6402916666666</v>
      </c>
      <c r="EW102" s="321"/>
      <c r="EX102" s="321"/>
      <c r="EY102" s="321"/>
      <c r="EZ102" s="320">
        <f t="shared" si="145"/>
        <v>189789.55163956189</v>
      </c>
      <c r="FA102" s="286">
        <f t="shared" si="146"/>
        <v>176009.43601456188</v>
      </c>
      <c r="FB102" s="286"/>
      <c r="FC102" s="286"/>
      <c r="FD102" s="287">
        <f>_xlfn.IFNA((VLOOKUP($A102,HN!$A:$M,8,FALSE)/12),0)</f>
        <v>0</v>
      </c>
      <c r="FE102" s="287">
        <f>_xlfn.IFNA((VLOOKUP($A102,HN!$A:$M,12,FALSE)/12),0)</f>
        <v>5166.666666666667</v>
      </c>
      <c r="FF102" s="287">
        <f>_xlfn.IFNA((VLOOKUP($A102,HN!$A:$M,9,FALSE)/12),0)</f>
        <v>0</v>
      </c>
      <c r="FG102" s="287">
        <f>_xlfn.IFNA((VLOOKUP($A102,'Post 16'!$A:$AG,33,FALSE)/8),0)</f>
        <v>0</v>
      </c>
      <c r="FH102" s="287"/>
      <c r="FI102" s="287">
        <f>_xlfn.IFNA(((VLOOKUP($A102,HN!$A:$M,10,FALSE)-$U102-$AK102)/10),0)</f>
        <v>0</v>
      </c>
      <c r="FJ102" s="287">
        <f>_xlfn.IFNA(((VLOOKUP($A102,HN!$A:$M,13,FALSE)-$V102-$AL102)/10),0)</f>
        <v>11047.614250000001</v>
      </c>
      <c r="FK102" s="286">
        <f t="shared" si="147"/>
        <v>-761.52499999999998</v>
      </c>
      <c r="FL102" s="286">
        <f t="shared" si="148"/>
        <v>-1672.6402916666666</v>
      </c>
      <c r="FM102" s="287"/>
      <c r="FN102" s="287"/>
      <c r="FO102" s="287"/>
      <c r="FP102" s="286">
        <f t="shared" si="149"/>
        <v>189789.55163956189</v>
      </c>
      <c r="FQ102" s="293">
        <f t="shared" si="150"/>
        <v>176009.43601456188</v>
      </c>
      <c r="FR102" s="293"/>
      <c r="FS102" s="293"/>
      <c r="FT102" s="294">
        <f>_xlfn.IFNA((VLOOKUP($A102,HN!$A:$M,8,FALSE)/12),0)</f>
        <v>0</v>
      </c>
      <c r="FU102" s="294">
        <f>_xlfn.IFNA((VLOOKUP($A102,HN!$A:$M,12,FALSE)/12),0)</f>
        <v>5166.666666666667</v>
      </c>
      <c r="FV102" s="294">
        <f>_xlfn.IFNA((VLOOKUP($A102,HN!$A:$M,9,FALSE)/12),0)</f>
        <v>0</v>
      </c>
      <c r="FW102" s="294">
        <f>_xlfn.IFNA((VLOOKUP($A102,'Post 16'!$A:$AG,33,FALSE)/8),0)</f>
        <v>0</v>
      </c>
      <c r="FX102" s="294"/>
      <c r="FY102" s="294">
        <f>_xlfn.IFNA(((VLOOKUP($A102,HN!$A:$M,10,FALSE)-$U102-$AK102)/10),0)</f>
        <v>0</v>
      </c>
      <c r="FZ102" s="294">
        <f>_xlfn.IFNA(((VLOOKUP($A102,HN!$A:$M,13,FALSE)-$V102-$AL102)/10),0)</f>
        <v>11047.614250000001</v>
      </c>
      <c r="GA102" s="293">
        <f t="shared" si="151"/>
        <v>-761.52499999999998</v>
      </c>
      <c r="GB102" s="293">
        <f t="shared" si="152"/>
        <v>-1672.6402916666666</v>
      </c>
      <c r="GC102" s="294"/>
      <c r="GD102" s="294"/>
      <c r="GE102" s="294"/>
      <c r="GF102" s="293">
        <f t="shared" si="153"/>
        <v>189789.55163956189</v>
      </c>
      <c r="GG102" s="300">
        <f t="shared" si="154"/>
        <v>176009.43601456188</v>
      </c>
      <c r="GH102" s="300"/>
      <c r="GI102" s="300"/>
      <c r="GJ102" s="301">
        <f>_xlfn.IFNA((VLOOKUP($A102,HN!$A:$M,8,FALSE)/12),0)</f>
        <v>0</v>
      </c>
      <c r="GK102" s="301">
        <f>_xlfn.IFNA((VLOOKUP($A102,HN!$A:$M,12,FALSE)/12),0)</f>
        <v>5166.666666666667</v>
      </c>
      <c r="GL102" s="301">
        <f>_xlfn.IFNA((VLOOKUP($A102,HN!$A:$M,9,FALSE)/12),0)</f>
        <v>0</v>
      </c>
      <c r="GM102" s="301">
        <f>_xlfn.IFNA((VLOOKUP($A102,'Post 16'!$A:$AG,33,FALSE)/8),0)</f>
        <v>0</v>
      </c>
      <c r="GN102" s="301"/>
      <c r="GO102" s="301">
        <f>_xlfn.IFNA(((VLOOKUP($A102,HN!$A:$M,10,FALSE)-$U102-$AK102)/10),0)</f>
        <v>0</v>
      </c>
      <c r="GP102" s="301">
        <f>_xlfn.IFNA(((VLOOKUP($A102,HN!$A:$M,13,FALSE)-$V102-$AL102)/10),0)</f>
        <v>11047.614250000001</v>
      </c>
      <c r="GQ102" s="300">
        <f t="shared" si="155"/>
        <v>-761.52499999999998</v>
      </c>
      <c r="GR102" s="300">
        <f t="shared" si="156"/>
        <v>-1672.6402916666666</v>
      </c>
      <c r="GS102" s="301"/>
      <c r="GT102" s="301"/>
      <c r="GU102" s="301"/>
      <c r="GV102" s="300">
        <f t="shared" si="157"/>
        <v>189789.55163956189</v>
      </c>
      <c r="GX102" s="146">
        <f t="shared" si="162"/>
        <v>2174113.232174743</v>
      </c>
      <c r="GY102" s="146">
        <f t="shared" si="162"/>
        <v>0</v>
      </c>
      <c r="GZ102" s="146">
        <f t="shared" si="162"/>
        <v>136635.38</v>
      </c>
      <c r="HA102" s="146">
        <f t="shared" si="162"/>
        <v>-9138.2999999999975</v>
      </c>
      <c r="HB102" s="146">
        <f t="shared" si="162"/>
        <v>-20071.683499999999</v>
      </c>
      <c r="HC102" s="146">
        <f t="shared" si="162"/>
        <v>0</v>
      </c>
      <c r="HE102" s="146">
        <f t="shared" si="163"/>
        <v>543528.30804368563</v>
      </c>
      <c r="HF102" s="146">
        <f t="shared" si="163"/>
        <v>0</v>
      </c>
      <c r="HG102" s="146">
        <f t="shared" si="163"/>
        <v>37206.851750000002</v>
      </c>
      <c r="HH102" s="146">
        <f t="shared" si="163"/>
        <v>-2284.5749999999998</v>
      </c>
      <c r="HI102" s="146">
        <f t="shared" si="163"/>
        <v>-5017.9208749999998</v>
      </c>
      <c r="HJ102" s="146">
        <f t="shared" si="163"/>
        <v>0</v>
      </c>
      <c r="HL102" s="146"/>
      <c r="HM102" s="57"/>
    </row>
    <row r="103" spans="1:221">
      <c r="A103" s="185">
        <v>2420</v>
      </c>
      <c r="B103" s="185">
        <v>103353</v>
      </c>
      <c r="C103" s="185" t="s">
        <v>229</v>
      </c>
      <c r="D103" s="2" t="s">
        <v>230</v>
      </c>
      <c r="E103" s="190" t="s">
        <v>39</v>
      </c>
      <c r="F103" s="190" t="s">
        <v>890</v>
      </c>
      <c r="H103" s="271">
        <f>_xlfn.IFNA(VLOOKUP($A103,ISB!$A$4:$BY$441,67,FALSE),0)</f>
        <v>2194016.7496000002</v>
      </c>
      <c r="I103" s="271">
        <f>_xlfn.IFNA(VLOOKUP($A103,ISB!$A$4:$BY$441,72,FALSE),0)</f>
        <v>-10482.9</v>
      </c>
      <c r="J103" s="271">
        <f>-_xlfn.IFNA(VLOOKUP($A103,ISB!$A$4:$BY$441,76,FALSE),0)</f>
        <v>-40601.749600000003</v>
      </c>
      <c r="K103" s="271">
        <f>_xlfn.IFNA(VLOOKUP($A103,ISB!$A$4:$BY$441,77,FALSE),0)</f>
        <v>2142932.1</v>
      </c>
      <c r="M103" s="279">
        <f t="shared" si="110"/>
        <v>182834.72913333334</v>
      </c>
      <c r="N103" s="279"/>
      <c r="O103" s="279">
        <f>_xlfn.IFNA(VLOOKUP($A103,EY!$A:$H,8,FALSE)+(VLOOKUP($A103,EY!$A:$R,18,FALSE)-$T103),0)</f>
        <v>0</v>
      </c>
      <c r="P103" s="280">
        <f>_xlfn.IFNA((VLOOKUP($A103,HN!$A:$M,8,FALSE)/12),0)</f>
        <v>0</v>
      </c>
      <c r="Q103" s="280">
        <f>_xlfn.IFNA((VLOOKUP($A103,HN!$A:$M,12,FALSE)/12),0)</f>
        <v>0</v>
      </c>
      <c r="R103" s="280">
        <f>_xlfn.IFNA((VLOOKUP($A103,HN!$A:$M,9,FALSE)/12),0)</f>
        <v>0</v>
      </c>
      <c r="S103" s="280">
        <f>_xlfn.IFNA((VLOOKUP($A103,'Post 16'!$A:$AR,22,FALSE)/4),0)</f>
        <v>0</v>
      </c>
      <c r="T103" s="280">
        <f>_xlfn.IFNA((VLOOKUP($A103,EY!$A:$R,16,FALSE)*80%),0)</f>
        <v>0</v>
      </c>
      <c r="U103" s="280">
        <v>12972.291666666666</v>
      </c>
      <c r="V103" s="280">
        <v>0</v>
      </c>
      <c r="W103" s="279">
        <f t="shared" si="111"/>
        <v>-873.57499999999993</v>
      </c>
      <c r="X103" s="279">
        <f t="shared" si="112"/>
        <v>-3383.4791333333337</v>
      </c>
      <c r="Y103" s="280"/>
      <c r="Z103" s="280"/>
      <c r="AA103" s="280"/>
      <c r="AB103" s="279">
        <f t="shared" si="113"/>
        <v>191549.96666666665</v>
      </c>
      <c r="AC103" s="293">
        <f t="shared" si="114"/>
        <v>182834.72913333334</v>
      </c>
      <c r="AD103" s="293"/>
      <c r="AE103" s="293"/>
      <c r="AF103" s="294">
        <f>_xlfn.IFNA((VLOOKUP($A103,HN!$A:$M,8,FALSE)/12),0)</f>
        <v>0</v>
      </c>
      <c r="AG103" s="294">
        <f>_xlfn.IFNA((VLOOKUP($A103,HN!$A:$M,12,FALSE)/12),0)+_xlfn.IFNA(VLOOKUP($A103,HN!$A:$Q,17,FALSE),0)</f>
        <v>0</v>
      </c>
      <c r="AH103" s="294">
        <f>_xlfn.IFNA((VLOOKUP($A103,HN!$A:$M,9,FALSE)/12),0)</f>
        <v>0</v>
      </c>
      <c r="AI103" s="294">
        <f>_xlfn.IFNA((VLOOKUP($A103,'Post 16'!$A:$AR,22,FALSE)/4),0)</f>
        <v>0</v>
      </c>
      <c r="AJ103" s="294"/>
      <c r="AK103" s="294">
        <f>_xlfn.IFNA((VLOOKUP($A103,HN!$A:$M,10,FALSE)/12),0)</f>
        <v>4729.4724999999999</v>
      </c>
      <c r="AL103" s="294">
        <f>_xlfn.IFNA((VLOOKUP($A103,HN!$A:$M,13,FALSE)/12),0)</f>
        <v>0</v>
      </c>
      <c r="AM103" s="293">
        <f t="shared" si="115"/>
        <v>-873.57499999999993</v>
      </c>
      <c r="AN103" s="293">
        <f t="shared" si="116"/>
        <v>-3383.4791333333337</v>
      </c>
      <c r="AO103" s="294"/>
      <c r="AP103" s="294"/>
      <c r="AQ103" s="294"/>
      <c r="AR103" s="293">
        <f t="shared" si="117"/>
        <v>183307.14749999999</v>
      </c>
      <c r="AS103" s="286">
        <f t="shared" si="118"/>
        <v>182834.72913333334</v>
      </c>
      <c r="AT103" s="286"/>
      <c r="AU103" s="286">
        <f>_xlfn.IFNA(VLOOKUP(A103,EY!A:AO,40,FALSE),0)</f>
        <v>0</v>
      </c>
      <c r="AV103" s="287">
        <f>_xlfn.IFNA((VLOOKUP($A103,HN!$A:$M,8,FALSE)/12),0)</f>
        <v>0</v>
      </c>
      <c r="AW103" s="287">
        <f>_xlfn.IFNA((VLOOKUP($A103,HN!$A:$M,12,FALSE)/12),0)+_xlfn.IFNA(VLOOKUP($A103,HN!$A$8:$AU$200,19,FALSE),0)</f>
        <v>0</v>
      </c>
      <c r="AX103" s="287">
        <f>_xlfn.IFNA((VLOOKUP($A103,HN!$A:$M,9,FALSE)/12),0)</f>
        <v>0</v>
      </c>
      <c r="AY103" s="287">
        <f>_xlfn.IFNA((VLOOKUP($A103,'Post 16'!$A:$AR,22,FALSE)/4),0)</f>
        <v>0</v>
      </c>
      <c r="AZ103" s="287">
        <f>_xlfn.IFNA(VLOOKUP(A103,EY!A:AO,41,FALSE),0)</f>
        <v>0</v>
      </c>
      <c r="BA103" s="287">
        <f>_xlfn.IFNA(((VLOOKUP($A103,HN!$A:$M,10,FALSE)-$U103-$AK103)/10),0)+_xlfn.IFNA(VLOOKUP($A103,HN!$A:$R,18,FALSE),0)</f>
        <v>3905.190583333334</v>
      </c>
      <c r="BB103" s="287">
        <f>_xlfn.IFNA(((VLOOKUP($A103,HN!$A:$M,13,FALSE)-$V103-$AL103)/10),0)+_xlfn.IFNA(VLOOKUP($A103,HN!$A$8:$AU$200,20,FALSE),0)</f>
        <v>0</v>
      </c>
      <c r="BC103" s="286">
        <f t="shared" si="119"/>
        <v>-873.57499999999993</v>
      </c>
      <c r="BD103" s="286">
        <f t="shared" si="120"/>
        <v>-3383.4791333333337</v>
      </c>
      <c r="BE103" s="287"/>
      <c r="BF103" s="287"/>
      <c r="BG103" s="287"/>
      <c r="BH103" s="286">
        <f t="shared" si="121"/>
        <v>182482.86558333333</v>
      </c>
      <c r="BI103" s="307">
        <f t="shared" si="122"/>
        <v>182834.72913333334</v>
      </c>
      <c r="BJ103" s="307">
        <f>_xlfn.IFNA(VLOOKUP(A103,'LA Deductions'!A:AH,34,FALSE),0)</f>
        <v>0</v>
      </c>
      <c r="BK103" s="307"/>
      <c r="BL103" s="308">
        <f>_xlfn.IFNA((VLOOKUP($A103,HN!$A:$M,8,FALSE)/12),0)</f>
        <v>0</v>
      </c>
      <c r="BM103" s="308">
        <f>_xlfn.IFNA((VLOOKUP($A103,HN!$A:$M,12,FALSE)/12),0)</f>
        <v>0</v>
      </c>
      <c r="BN103" s="308">
        <f>_xlfn.IFNA((VLOOKUP($A103,HN!$A:$M,9,FALSE)/12),0)</f>
        <v>0</v>
      </c>
      <c r="BO103" s="308">
        <f>_xlfn.IFNA((VLOOKUP($A103,'Post 16'!$A:$AR,22,FALSE)/4),0)</f>
        <v>0</v>
      </c>
      <c r="BP103" s="308"/>
      <c r="BQ103" s="308">
        <f>_xlfn.IFNA(((VLOOKUP($A103,HN!$A:$M,10,FALSE)-$U103-$AK103)/10),0)</f>
        <v>3905.190583333334</v>
      </c>
      <c r="BR103" s="308">
        <f>_xlfn.IFNA(((VLOOKUP($A103,HN!$A:$M,13,FALSE)-$V103-$AL103)/10),0)</f>
        <v>0</v>
      </c>
      <c r="BS103" s="307">
        <f t="shared" si="123"/>
        <v>-873.57499999999993</v>
      </c>
      <c r="BT103" s="307">
        <f t="shared" si="124"/>
        <v>-3383.4791333333337</v>
      </c>
      <c r="BU103" s="308"/>
      <c r="BV103" s="308"/>
      <c r="BW103" s="308"/>
      <c r="BX103" s="307">
        <f t="shared" si="125"/>
        <v>182482.86558333333</v>
      </c>
      <c r="BY103" s="300">
        <f t="shared" si="126"/>
        <v>182834.72913333334</v>
      </c>
      <c r="BZ103" s="300"/>
      <c r="CA103" s="300"/>
      <c r="CB103" s="301">
        <f>_xlfn.IFNA((VLOOKUP($A103,HN!$A:$M,8,FALSE)/12),0)</f>
        <v>0</v>
      </c>
      <c r="CC103" s="301">
        <f>_xlfn.IFNA((VLOOKUP($A103,HN!$A:$M,12,FALSE)/12),0)</f>
        <v>0</v>
      </c>
      <c r="CD103" s="301">
        <f>_xlfn.IFNA((VLOOKUP($A103,HN!$A:$M,9,FALSE)/12),0)</f>
        <v>0</v>
      </c>
      <c r="CE103" s="301">
        <f>_xlfn.IFNA((VLOOKUP($A103,'Post 16'!$A:$AG,33,FALSE)/8),0)</f>
        <v>0</v>
      </c>
      <c r="CF103" s="301"/>
      <c r="CG103" s="301">
        <f>_xlfn.IFNA(((VLOOKUP($A103,HN!$A:$M,10,FALSE)-$U103-$AK103)/10),0)</f>
        <v>3905.190583333334</v>
      </c>
      <c r="CH103" s="301">
        <f>_xlfn.IFNA(((VLOOKUP($A103,HN!$A:$M,13,FALSE)-$V103-$AL103)/10),0)</f>
        <v>0</v>
      </c>
      <c r="CI103" s="300">
        <f t="shared" si="127"/>
        <v>-873.57499999999993</v>
      </c>
      <c r="CJ103" s="300">
        <f t="shared" si="128"/>
        <v>-3383.4791333333337</v>
      </c>
      <c r="CK103" s="301"/>
      <c r="CL103" s="301"/>
      <c r="CM103" s="301"/>
      <c r="CN103" s="300">
        <f t="shared" si="129"/>
        <v>182482.86558333333</v>
      </c>
      <c r="CO103" s="332">
        <f t="shared" si="130"/>
        <v>182834.72913333334</v>
      </c>
      <c r="CP103" s="332"/>
      <c r="CQ103" s="332">
        <f>_xlfn.IFNA((VLOOKUP($A103,EY!$A:$AB,28,FALSE)-$CV103),0)</f>
        <v>0</v>
      </c>
      <c r="CR103" s="333">
        <f>_xlfn.IFNA((VLOOKUP($A103,HN!$A:$M,8,FALSE)/12),0)</f>
        <v>0</v>
      </c>
      <c r="CS103" s="333">
        <f>_xlfn.IFNA((VLOOKUP($A103,HN!$A:$M,12,FALSE)/12),0)</f>
        <v>0</v>
      </c>
      <c r="CT103" s="333">
        <f>_xlfn.IFNA((VLOOKUP($A103,HN!$A:$M,9,FALSE)/12),0)</f>
        <v>0</v>
      </c>
      <c r="CU103" s="333">
        <f>_xlfn.IFNA((VLOOKUP($A103,'Post 16'!$A:$AG,33,FALSE)/8),0)</f>
        <v>0</v>
      </c>
      <c r="CV103" s="333">
        <f>_xlfn.IFNA((VLOOKUP($A103,EY!$A:$AB,26,FALSE)*80%),0)</f>
        <v>0</v>
      </c>
      <c r="CW103" s="333">
        <f>_xlfn.IFNA(((VLOOKUP($A103,HN!$A:$M,10,FALSE)-$U103-$AK103)/10),0)</f>
        <v>3905.190583333334</v>
      </c>
      <c r="CX103" s="333">
        <f>_xlfn.IFNA(((VLOOKUP($A103,HN!$A:$M,13,FALSE)-$V103-$AL103)/10),0)</f>
        <v>0</v>
      </c>
      <c r="CY103" s="332">
        <f t="shared" si="131"/>
        <v>-873.57499999999993</v>
      </c>
      <c r="CZ103" s="332">
        <f t="shared" si="132"/>
        <v>-3383.4791333333337</v>
      </c>
      <c r="DA103" s="333"/>
      <c r="DB103" s="333"/>
      <c r="DC103" s="333"/>
      <c r="DD103" s="332">
        <f t="shared" si="133"/>
        <v>182482.86558333333</v>
      </c>
      <c r="DE103" s="314">
        <f t="shared" si="134"/>
        <v>182834.72913333334</v>
      </c>
      <c r="DF103" s="314"/>
      <c r="DG103" s="314"/>
      <c r="DH103" s="315">
        <f>_xlfn.IFNA((VLOOKUP($A103,HN!$A:$M,8,FALSE)/12),0)</f>
        <v>0</v>
      </c>
      <c r="DI103" s="315">
        <f>_xlfn.IFNA((VLOOKUP($A103,HN!$A:$M,12,FALSE)/12),0)</f>
        <v>0</v>
      </c>
      <c r="DJ103" s="315">
        <f>_xlfn.IFNA((VLOOKUP($A103,HN!$A:$M,9,FALSE)/12),0)</f>
        <v>0</v>
      </c>
      <c r="DK103" s="315">
        <f>_xlfn.IFNA((VLOOKUP($A103,'Post 16'!$A:$AG,33,FALSE)/8),0)</f>
        <v>0</v>
      </c>
      <c r="DL103" s="315"/>
      <c r="DM103" s="315">
        <f>_xlfn.IFNA(((VLOOKUP($A103,HN!$A:$M,10,FALSE)-$U103-$AK103)/10),0)</f>
        <v>3905.190583333334</v>
      </c>
      <c r="DN103" s="315">
        <f>_xlfn.IFNA(((VLOOKUP($A103,HN!$A:$M,13,FALSE)-$V103-$AL103)/10),0)</f>
        <v>0</v>
      </c>
      <c r="DO103" s="314">
        <f t="shared" si="135"/>
        <v>-873.57499999999993</v>
      </c>
      <c r="DP103" s="314">
        <f t="shared" si="136"/>
        <v>-3383.4791333333337</v>
      </c>
      <c r="DQ103" s="315"/>
      <c r="DR103" s="315"/>
      <c r="DS103" s="315"/>
      <c r="DT103" s="314">
        <f t="shared" si="137"/>
        <v>182482.86558333333</v>
      </c>
      <c r="DU103" s="307">
        <f t="shared" si="138"/>
        <v>182834.72913333334</v>
      </c>
      <c r="DV103" s="307"/>
      <c r="DW103" s="307"/>
      <c r="DX103" s="308">
        <f>_xlfn.IFNA((VLOOKUP($A103,HN!$A:$M,8,FALSE)/12),0)</f>
        <v>0</v>
      </c>
      <c r="DY103" s="308">
        <f>_xlfn.IFNA((VLOOKUP($A103,HN!$A:$M,12,FALSE)/12),0)</f>
        <v>0</v>
      </c>
      <c r="DZ103" s="308">
        <f>_xlfn.IFNA((VLOOKUP($A103,HN!$A:$M,9,FALSE)/12),0)</f>
        <v>0</v>
      </c>
      <c r="EA103" s="308">
        <f>_xlfn.IFNA((VLOOKUP($A103,'Post 16'!$A:$AG,33,FALSE)/8),0)</f>
        <v>0</v>
      </c>
      <c r="EB103" s="308"/>
      <c r="EC103" s="308">
        <f>_xlfn.IFNA(((VLOOKUP($A103,HN!$A:$M,10,FALSE)-$U103-$AK103)/10),0)</f>
        <v>3905.190583333334</v>
      </c>
      <c r="ED103" s="308">
        <f>_xlfn.IFNA(((VLOOKUP($A103,HN!$A:$M,13,FALSE)-$V103-$AL103)/10),0)</f>
        <v>0</v>
      </c>
      <c r="EE103" s="307">
        <f t="shared" si="139"/>
        <v>-873.57499999999993</v>
      </c>
      <c r="EF103" s="307">
        <f t="shared" si="140"/>
        <v>-3383.4791333333337</v>
      </c>
      <c r="EG103" s="308"/>
      <c r="EH103" s="308"/>
      <c r="EI103" s="308"/>
      <c r="EJ103" s="307">
        <f t="shared" si="141"/>
        <v>182482.86558333333</v>
      </c>
      <c r="EK103" s="320">
        <f t="shared" si="142"/>
        <v>182834.72913333334</v>
      </c>
      <c r="EL103" s="320"/>
      <c r="EM103" s="320"/>
      <c r="EN103" s="321">
        <f>_xlfn.IFNA((VLOOKUP($A103,HN!$A:$M,8,FALSE)/12),0)</f>
        <v>0</v>
      </c>
      <c r="EO103" s="321">
        <f>_xlfn.IFNA((VLOOKUP($A103,HN!$A:$M,12,FALSE)/12),0)</f>
        <v>0</v>
      </c>
      <c r="EP103" s="321">
        <f>_xlfn.IFNA((VLOOKUP($A103,HN!$A:$M,9,FALSE)/12),0)</f>
        <v>0</v>
      </c>
      <c r="EQ103" s="321">
        <f>_xlfn.IFNA((VLOOKUP($A103,'Post 16'!$A:$AG,33,FALSE)/8),0)</f>
        <v>0</v>
      </c>
      <c r="ER103" s="321"/>
      <c r="ES103" s="321">
        <f>_xlfn.IFNA(((VLOOKUP($A103,HN!$A:$M,10,FALSE)-$U103-$AK103)/10),0)</f>
        <v>3905.190583333334</v>
      </c>
      <c r="ET103" s="321">
        <f>_xlfn.IFNA(((VLOOKUP($A103,HN!$A:$M,13,FALSE)-$V103-$AL103)/10),0)</f>
        <v>0</v>
      </c>
      <c r="EU103" s="320">
        <f t="shared" si="143"/>
        <v>-873.57499999999993</v>
      </c>
      <c r="EV103" s="320">
        <f t="shared" si="144"/>
        <v>-3383.4791333333337</v>
      </c>
      <c r="EW103" s="321"/>
      <c r="EX103" s="321"/>
      <c r="EY103" s="321"/>
      <c r="EZ103" s="320">
        <f t="shared" si="145"/>
        <v>182482.86558333333</v>
      </c>
      <c r="FA103" s="286">
        <f t="shared" si="146"/>
        <v>182834.72913333334</v>
      </c>
      <c r="FB103" s="286"/>
      <c r="FC103" s="286"/>
      <c r="FD103" s="287">
        <f>_xlfn.IFNA((VLOOKUP($A103,HN!$A:$M,8,FALSE)/12),0)</f>
        <v>0</v>
      </c>
      <c r="FE103" s="287">
        <f>_xlfn.IFNA((VLOOKUP($A103,HN!$A:$M,12,FALSE)/12),0)</f>
        <v>0</v>
      </c>
      <c r="FF103" s="287">
        <f>_xlfn.IFNA((VLOOKUP($A103,HN!$A:$M,9,FALSE)/12),0)</f>
        <v>0</v>
      </c>
      <c r="FG103" s="287">
        <f>_xlfn.IFNA((VLOOKUP($A103,'Post 16'!$A:$AG,33,FALSE)/8),0)</f>
        <v>0</v>
      </c>
      <c r="FH103" s="287"/>
      <c r="FI103" s="287">
        <f>_xlfn.IFNA(((VLOOKUP($A103,HN!$A:$M,10,FALSE)-$U103-$AK103)/10),0)</f>
        <v>3905.190583333334</v>
      </c>
      <c r="FJ103" s="287">
        <f>_xlfn.IFNA(((VLOOKUP($A103,HN!$A:$M,13,FALSE)-$V103-$AL103)/10),0)</f>
        <v>0</v>
      </c>
      <c r="FK103" s="286">
        <f t="shared" si="147"/>
        <v>-873.57499999999993</v>
      </c>
      <c r="FL103" s="286">
        <f t="shared" si="148"/>
        <v>-3383.4791333333337</v>
      </c>
      <c r="FM103" s="287"/>
      <c r="FN103" s="287"/>
      <c r="FO103" s="287"/>
      <c r="FP103" s="286">
        <f t="shared" si="149"/>
        <v>182482.86558333333</v>
      </c>
      <c r="FQ103" s="293">
        <f t="shared" si="150"/>
        <v>182834.72913333334</v>
      </c>
      <c r="FR103" s="293"/>
      <c r="FS103" s="293"/>
      <c r="FT103" s="294">
        <f>_xlfn.IFNA((VLOOKUP($A103,HN!$A:$M,8,FALSE)/12),0)</f>
        <v>0</v>
      </c>
      <c r="FU103" s="294">
        <f>_xlfn.IFNA((VLOOKUP($A103,HN!$A:$M,12,FALSE)/12),0)</f>
        <v>0</v>
      </c>
      <c r="FV103" s="294">
        <f>_xlfn.IFNA((VLOOKUP($A103,HN!$A:$M,9,FALSE)/12),0)</f>
        <v>0</v>
      </c>
      <c r="FW103" s="294">
        <f>_xlfn.IFNA((VLOOKUP($A103,'Post 16'!$A:$AG,33,FALSE)/8),0)</f>
        <v>0</v>
      </c>
      <c r="FX103" s="294"/>
      <c r="FY103" s="294">
        <f>_xlfn.IFNA(((VLOOKUP($A103,HN!$A:$M,10,FALSE)-$U103-$AK103)/10),0)</f>
        <v>3905.190583333334</v>
      </c>
      <c r="FZ103" s="294">
        <f>_xlfn.IFNA(((VLOOKUP($A103,HN!$A:$M,13,FALSE)-$V103-$AL103)/10),0)</f>
        <v>0</v>
      </c>
      <c r="GA103" s="293">
        <f t="shared" si="151"/>
        <v>-873.57499999999993</v>
      </c>
      <c r="GB103" s="293">
        <f t="shared" si="152"/>
        <v>-3383.4791333333337</v>
      </c>
      <c r="GC103" s="294"/>
      <c r="GD103" s="294"/>
      <c r="GE103" s="294"/>
      <c r="GF103" s="293">
        <f t="shared" si="153"/>
        <v>182482.86558333333</v>
      </c>
      <c r="GG103" s="300">
        <f t="shared" si="154"/>
        <v>182834.72913333334</v>
      </c>
      <c r="GH103" s="300"/>
      <c r="GI103" s="300"/>
      <c r="GJ103" s="301">
        <f>_xlfn.IFNA((VLOOKUP($A103,HN!$A:$M,8,FALSE)/12),0)</f>
        <v>0</v>
      </c>
      <c r="GK103" s="301">
        <f>_xlfn.IFNA((VLOOKUP($A103,HN!$A:$M,12,FALSE)/12),0)</f>
        <v>0</v>
      </c>
      <c r="GL103" s="301">
        <f>_xlfn.IFNA((VLOOKUP($A103,HN!$A:$M,9,FALSE)/12),0)</f>
        <v>0</v>
      </c>
      <c r="GM103" s="301">
        <f>_xlfn.IFNA((VLOOKUP($A103,'Post 16'!$A:$AG,33,FALSE)/8),0)</f>
        <v>0</v>
      </c>
      <c r="GN103" s="301"/>
      <c r="GO103" s="301">
        <f>_xlfn.IFNA(((VLOOKUP($A103,HN!$A:$M,10,FALSE)-$U103-$AK103)/10),0)</f>
        <v>3905.190583333334</v>
      </c>
      <c r="GP103" s="301">
        <f>_xlfn.IFNA(((VLOOKUP($A103,HN!$A:$M,13,FALSE)-$V103-$AL103)/10),0)</f>
        <v>0</v>
      </c>
      <c r="GQ103" s="300">
        <f t="shared" si="155"/>
        <v>-873.57499999999993</v>
      </c>
      <c r="GR103" s="300">
        <f t="shared" si="156"/>
        <v>-3383.4791333333337</v>
      </c>
      <c r="GS103" s="301"/>
      <c r="GT103" s="301"/>
      <c r="GU103" s="301"/>
      <c r="GV103" s="300">
        <f t="shared" si="157"/>
        <v>182482.86558333333</v>
      </c>
      <c r="GX103" s="146">
        <f t="shared" si="162"/>
        <v>2194016.7496000002</v>
      </c>
      <c r="GY103" s="146">
        <f t="shared" si="162"/>
        <v>0</v>
      </c>
      <c r="GZ103" s="146">
        <f t="shared" si="162"/>
        <v>56753.67000000002</v>
      </c>
      <c r="HA103" s="146">
        <f t="shared" si="162"/>
        <v>-10482.900000000001</v>
      </c>
      <c r="HB103" s="146">
        <f t="shared" si="162"/>
        <v>-40601.749600000003</v>
      </c>
      <c r="HC103" s="146">
        <f t="shared" si="162"/>
        <v>0</v>
      </c>
      <c r="HE103" s="146">
        <f t="shared" si="163"/>
        <v>548504.18740000005</v>
      </c>
      <c r="HF103" s="146">
        <f t="shared" si="163"/>
        <v>0</v>
      </c>
      <c r="HG103" s="146">
        <f t="shared" si="163"/>
        <v>21606.954750000001</v>
      </c>
      <c r="HH103" s="146">
        <f t="shared" si="163"/>
        <v>-2620.7249999999999</v>
      </c>
      <c r="HI103" s="146">
        <f t="shared" si="163"/>
        <v>-10150.437400000001</v>
      </c>
      <c r="HJ103" s="146">
        <f t="shared" si="163"/>
        <v>0</v>
      </c>
      <c r="HL103" s="146"/>
      <c r="HM103" s="57"/>
    </row>
    <row r="104" spans="1:221">
      <c r="A104" s="185">
        <v>2004</v>
      </c>
      <c r="B104" s="185">
        <v>134094</v>
      </c>
      <c r="C104" s="185" t="s">
        <v>231</v>
      </c>
      <c r="D104" s="2" t="s">
        <v>232</v>
      </c>
      <c r="E104" s="190" t="s">
        <v>39</v>
      </c>
      <c r="F104" s="190" t="s">
        <v>890</v>
      </c>
      <c r="H104" s="271">
        <f>_xlfn.IFNA(VLOOKUP($A104,ISB!$A$4:$BY$441,67,FALSE),0)</f>
        <v>1805019.294883321</v>
      </c>
      <c r="I104" s="271">
        <f>_xlfn.IFNA(VLOOKUP($A104,ISB!$A$4:$BY$441,72,FALSE),0)</f>
        <v>-7295.7</v>
      </c>
      <c r="J104" s="271">
        <f>-_xlfn.IFNA(VLOOKUP($A104,ISB!$A$4:$BY$441,76,FALSE),0)</f>
        <v>-29679.604500000001</v>
      </c>
      <c r="K104" s="271">
        <f>_xlfn.IFNA(VLOOKUP($A104,ISB!$A$4:$BY$441,77,FALSE),0)</f>
        <v>1768043.9903833212</v>
      </c>
      <c r="M104" s="279">
        <f t="shared" ref="M104:M135" si="164">$H104/12</f>
        <v>150418.27457361008</v>
      </c>
      <c r="N104" s="279"/>
      <c r="O104" s="279">
        <f>_xlfn.IFNA(VLOOKUP($A104,EY!$A:$H,8,FALSE)+(VLOOKUP($A104,EY!$A:$R,18,FALSE)-$T104),0)</f>
        <v>0</v>
      </c>
      <c r="P104" s="280">
        <f>_xlfn.IFNA((VLOOKUP($A104,HN!$A:$M,8,FALSE)/12),0)</f>
        <v>0</v>
      </c>
      <c r="Q104" s="280">
        <f>_xlfn.IFNA((VLOOKUP($A104,HN!$A:$M,12,FALSE)/12),0)</f>
        <v>0</v>
      </c>
      <c r="R104" s="280">
        <f>_xlfn.IFNA((VLOOKUP($A104,HN!$A:$M,9,FALSE)/12),0)</f>
        <v>0</v>
      </c>
      <c r="S104" s="280">
        <f>_xlfn.IFNA((VLOOKUP($A104,'Post 16'!$A:$AR,22,FALSE)/4),0)</f>
        <v>0</v>
      </c>
      <c r="T104" s="280">
        <f>_xlfn.IFNA((VLOOKUP($A104,EY!$A:$R,16,FALSE)*80%),0)</f>
        <v>0</v>
      </c>
      <c r="U104" s="280">
        <v>4330.541666666667</v>
      </c>
      <c r="V104" s="280">
        <v>0</v>
      </c>
      <c r="W104" s="279">
        <f t="shared" ref="W104:W135" si="165">$I104/12</f>
        <v>-607.97500000000002</v>
      </c>
      <c r="X104" s="279">
        <f t="shared" ref="X104:X135" si="166">$J104/12</f>
        <v>-2473.3003750000003</v>
      </c>
      <c r="Y104" s="280"/>
      <c r="Z104" s="280"/>
      <c r="AA104" s="280"/>
      <c r="AB104" s="279">
        <f t="shared" ref="AB104:AB135" si="167">SUM(M104:AA104)</f>
        <v>151667.54086527674</v>
      </c>
      <c r="AC104" s="293">
        <f t="shared" ref="AC104:AC135" si="168">$H104/12</f>
        <v>150418.27457361008</v>
      </c>
      <c r="AD104" s="293"/>
      <c r="AE104" s="293"/>
      <c r="AF104" s="294">
        <f>_xlfn.IFNA((VLOOKUP($A104,HN!$A:$M,8,FALSE)/12),0)</f>
        <v>0</v>
      </c>
      <c r="AG104" s="294">
        <f>_xlfn.IFNA((VLOOKUP($A104,HN!$A:$M,12,FALSE)/12),0)+_xlfn.IFNA(VLOOKUP($A104,HN!$A:$Q,17,FALSE),0)</f>
        <v>0</v>
      </c>
      <c r="AH104" s="294">
        <f>_xlfn.IFNA((VLOOKUP($A104,HN!$A:$M,9,FALSE)/12),0)</f>
        <v>0</v>
      </c>
      <c r="AI104" s="294">
        <f>_xlfn.IFNA((VLOOKUP($A104,'Post 16'!$A:$AR,22,FALSE)/4),0)</f>
        <v>0</v>
      </c>
      <c r="AJ104" s="294"/>
      <c r="AK104" s="294">
        <f>_xlfn.IFNA((VLOOKUP($A104,HN!$A:$M,10,FALSE)/12),0)</f>
        <v>4931.4858333333332</v>
      </c>
      <c r="AL104" s="294">
        <f>_xlfn.IFNA((VLOOKUP($A104,HN!$A:$M,13,FALSE)/12),0)</f>
        <v>0</v>
      </c>
      <c r="AM104" s="293">
        <f t="shared" ref="AM104:AM135" si="169">$I104/12</f>
        <v>-607.97500000000002</v>
      </c>
      <c r="AN104" s="293">
        <f t="shared" ref="AN104:AN135" si="170">$J104/12</f>
        <v>-2473.3003750000003</v>
      </c>
      <c r="AO104" s="294"/>
      <c r="AP104" s="294"/>
      <c r="AQ104" s="294"/>
      <c r="AR104" s="293">
        <f t="shared" ref="AR104:AR135" si="171">SUM(AC104:AQ104)</f>
        <v>152268.48503194342</v>
      </c>
      <c r="AS104" s="286">
        <f t="shared" ref="AS104:AS135" si="172">$H104/12</f>
        <v>150418.27457361008</v>
      </c>
      <c r="AT104" s="286"/>
      <c r="AU104" s="286">
        <f>_xlfn.IFNA(VLOOKUP(A104,EY!A:AO,40,FALSE),0)</f>
        <v>-12429.776842105264</v>
      </c>
      <c r="AV104" s="287">
        <f>_xlfn.IFNA((VLOOKUP($A104,HN!$A:$M,8,FALSE)/12),0)</f>
        <v>0</v>
      </c>
      <c r="AW104" s="287">
        <f>_xlfn.IFNA((VLOOKUP($A104,HN!$A:$M,12,FALSE)/12),0)+_xlfn.IFNA(VLOOKUP($A104,HN!$A$8:$AU$200,19,FALSE),0)</f>
        <v>0</v>
      </c>
      <c r="AX104" s="287">
        <f>_xlfn.IFNA((VLOOKUP($A104,HN!$A:$M,9,FALSE)/12),0)</f>
        <v>0</v>
      </c>
      <c r="AY104" s="287">
        <f>_xlfn.IFNA((VLOOKUP($A104,'Post 16'!$A:$AR,22,FALSE)/4),0)</f>
        <v>0</v>
      </c>
      <c r="AZ104" s="287">
        <f>_xlfn.IFNA(VLOOKUP(A104,EY!A:AO,41,FALSE),0)</f>
        <v>0</v>
      </c>
      <c r="BA104" s="287">
        <f>_xlfn.IFNA(((VLOOKUP($A104,HN!$A:$M,10,FALSE)-$U104-$AK104)/10),0)+_xlfn.IFNA(VLOOKUP($A104,HN!$A:$R,18,FALSE),0)</f>
        <v>4991.5802500000009</v>
      </c>
      <c r="BB104" s="287">
        <f>_xlfn.IFNA(((VLOOKUP($A104,HN!$A:$M,13,FALSE)-$V104-$AL104)/10),0)+_xlfn.IFNA(VLOOKUP($A104,HN!$A$8:$AU$200,20,FALSE),0)</f>
        <v>0</v>
      </c>
      <c r="BC104" s="286">
        <f t="shared" ref="BC104:BC135" si="173">$I104/12</f>
        <v>-607.97500000000002</v>
      </c>
      <c r="BD104" s="286">
        <f t="shared" ref="BD104:BD135" si="174">$J104/12</f>
        <v>-2473.3003750000003</v>
      </c>
      <c r="BE104" s="287"/>
      <c r="BF104" s="287"/>
      <c r="BG104" s="287"/>
      <c r="BH104" s="286">
        <f t="shared" ref="BH104:BH135" si="175">SUM(AS104:BG104)</f>
        <v>139898.80260650482</v>
      </c>
      <c r="BI104" s="307">
        <f t="shared" ref="BI104:BI135" si="176">$H104/12</f>
        <v>150418.27457361008</v>
      </c>
      <c r="BJ104" s="307">
        <f>_xlfn.IFNA(VLOOKUP(A104,'LA Deductions'!A:AH,34,FALSE),0)</f>
        <v>0</v>
      </c>
      <c r="BK104" s="307"/>
      <c r="BL104" s="308">
        <f>_xlfn.IFNA((VLOOKUP($A104,HN!$A:$M,8,FALSE)/12),0)</f>
        <v>0</v>
      </c>
      <c r="BM104" s="308">
        <f>_xlfn.IFNA((VLOOKUP($A104,HN!$A:$M,12,FALSE)/12),0)</f>
        <v>0</v>
      </c>
      <c r="BN104" s="308">
        <f>_xlfn.IFNA((VLOOKUP($A104,HN!$A:$M,9,FALSE)/12),0)</f>
        <v>0</v>
      </c>
      <c r="BO104" s="308">
        <f>_xlfn.IFNA((VLOOKUP($A104,'Post 16'!$A:$AR,22,FALSE)/4),0)</f>
        <v>0</v>
      </c>
      <c r="BP104" s="308"/>
      <c r="BQ104" s="308">
        <f>_xlfn.IFNA(((VLOOKUP($A104,HN!$A:$M,10,FALSE)-$U104-$AK104)/10),0)</f>
        <v>4991.5802500000009</v>
      </c>
      <c r="BR104" s="308">
        <f>_xlfn.IFNA(((VLOOKUP($A104,HN!$A:$M,13,FALSE)-$V104-$AL104)/10),0)</f>
        <v>0</v>
      </c>
      <c r="BS104" s="307">
        <f t="shared" ref="BS104:BS135" si="177">$I104/12</f>
        <v>-607.97500000000002</v>
      </c>
      <c r="BT104" s="307">
        <f t="shared" ref="BT104:BT135" si="178">$J104/12</f>
        <v>-2473.3003750000003</v>
      </c>
      <c r="BU104" s="308"/>
      <c r="BV104" s="308"/>
      <c r="BW104" s="308"/>
      <c r="BX104" s="307">
        <f t="shared" ref="BX104:BX135" si="179">SUM(BI104:BW104)</f>
        <v>152328.57944861008</v>
      </c>
      <c r="BY104" s="300">
        <f t="shared" ref="BY104:BY135" si="180">$H104/12</f>
        <v>150418.27457361008</v>
      </c>
      <c r="BZ104" s="300"/>
      <c r="CA104" s="300"/>
      <c r="CB104" s="301">
        <f>_xlfn.IFNA((VLOOKUP($A104,HN!$A:$M,8,FALSE)/12),0)</f>
        <v>0</v>
      </c>
      <c r="CC104" s="301">
        <f>_xlfn.IFNA((VLOOKUP($A104,HN!$A:$M,12,FALSE)/12),0)</f>
        <v>0</v>
      </c>
      <c r="CD104" s="301">
        <f>_xlfn.IFNA((VLOOKUP($A104,HN!$A:$M,9,FALSE)/12),0)</f>
        <v>0</v>
      </c>
      <c r="CE104" s="301">
        <f>_xlfn.IFNA((VLOOKUP($A104,'Post 16'!$A:$AG,33,FALSE)/8),0)</f>
        <v>0</v>
      </c>
      <c r="CF104" s="301"/>
      <c r="CG104" s="301">
        <f>_xlfn.IFNA(((VLOOKUP($A104,HN!$A:$M,10,FALSE)-$U104-$AK104)/10),0)</f>
        <v>4991.5802500000009</v>
      </c>
      <c r="CH104" s="301">
        <f>_xlfn.IFNA(((VLOOKUP($A104,HN!$A:$M,13,FALSE)-$V104-$AL104)/10),0)</f>
        <v>0</v>
      </c>
      <c r="CI104" s="300">
        <f t="shared" ref="CI104:CI135" si="181">$I104/12</f>
        <v>-607.97500000000002</v>
      </c>
      <c r="CJ104" s="300">
        <f t="shared" ref="CJ104:CJ135" si="182">$J104/12</f>
        <v>-2473.3003750000003</v>
      </c>
      <c r="CK104" s="301"/>
      <c r="CL104" s="301"/>
      <c r="CM104" s="301"/>
      <c r="CN104" s="300">
        <f t="shared" ref="CN104:CN135" si="183">SUM(BY104:CM104)</f>
        <v>152328.57944861008</v>
      </c>
      <c r="CO104" s="332">
        <f t="shared" ref="CO104:CO135" si="184">$H104/12</f>
        <v>150418.27457361008</v>
      </c>
      <c r="CP104" s="332"/>
      <c r="CQ104" s="332">
        <f>_xlfn.IFNA((VLOOKUP($A104,EY!$A:$AB,28,FALSE)-$CV104),0)</f>
        <v>0</v>
      </c>
      <c r="CR104" s="333">
        <f>_xlfn.IFNA((VLOOKUP($A104,HN!$A:$M,8,FALSE)/12),0)</f>
        <v>0</v>
      </c>
      <c r="CS104" s="333">
        <f>_xlfn.IFNA((VLOOKUP($A104,HN!$A:$M,12,FALSE)/12),0)</f>
        <v>0</v>
      </c>
      <c r="CT104" s="333">
        <f>_xlfn.IFNA((VLOOKUP($A104,HN!$A:$M,9,FALSE)/12),0)</f>
        <v>0</v>
      </c>
      <c r="CU104" s="333">
        <f>_xlfn.IFNA((VLOOKUP($A104,'Post 16'!$A:$AG,33,FALSE)/8),0)</f>
        <v>0</v>
      </c>
      <c r="CV104" s="333">
        <f>_xlfn.IFNA((VLOOKUP($A104,EY!$A:$AB,26,FALSE)*80%),0)</f>
        <v>0</v>
      </c>
      <c r="CW104" s="333">
        <f>_xlfn.IFNA(((VLOOKUP($A104,HN!$A:$M,10,FALSE)-$U104-$AK104)/10),0)</f>
        <v>4991.5802500000009</v>
      </c>
      <c r="CX104" s="333">
        <f>_xlfn.IFNA(((VLOOKUP($A104,HN!$A:$M,13,FALSE)-$V104-$AL104)/10),0)</f>
        <v>0</v>
      </c>
      <c r="CY104" s="332">
        <f t="shared" ref="CY104:CY135" si="185">$I104/12</f>
        <v>-607.97500000000002</v>
      </c>
      <c r="CZ104" s="332">
        <f t="shared" ref="CZ104:CZ135" si="186">$J104/12</f>
        <v>-2473.3003750000003</v>
      </c>
      <c r="DA104" s="333"/>
      <c r="DB104" s="333"/>
      <c r="DC104" s="333"/>
      <c r="DD104" s="332">
        <f t="shared" ref="DD104:DD135" si="187">SUM(CO104:DC104)</f>
        <v>152328.57944861008</v>
      </c>
      <c r="DE104" s="314">
        <f t="shared" ref="DE104:DE135" si="188">$H104/12</f>
        <v>150418.27457361008</v>
      </c>
      <c r="DF104" s="314"/>
      <c r="DG104" s="314"/>
      <c r="DH104" s="315">
        <f>_xlfn.IFNA((VLOOKUP($A104,HN!$A:$M,8,FALSE)/12),0)</f>
        <v>0</v>
      </c>
      <c r="DI104" s="315">
        <f>_xlfn.IFNA((VLOOKUP($A104,HN!$A:$M,12,FALSE)/12),0)</f>
        <v>0</v>
      </c>
      <c r="DJ104" s="315">
        <f>_xlfn.IFNA((VLOOKUP($A104,HN!$A:$M,9,FALSE)/12),0)</f>
        <v>0</v>
      </c>
      <c r="DK104" s="315">
        <f>_xlfn.IFNA((VLOOKUP($A104,'Post 16'!$A:$AG,33,FALSE)/8),0)</f>
        <v>0</v>
      </c>
      <c r="DL104" s="315"/>
      <c r="DM104" s="315">
        <f>_xlfn.IFNA(((VLOOKUP($A104,HN!$A:$M,10,FALSE)-$U104-$AK104)/10),0)</f>
        <v>4991.5802500000009</v>
      </c>
      <c r="DN104" s="315">
        <f>_xlfn.IFNA(((VLOOKUP($A104,HN!$A:$M,13,FALSE)-$V104-$AL104)/10),0)</f>
        <v>0</v>
      </c>
      <c r="DO104" s="314">
        <f t="shared" ref="DO104:DO135" si="189">$I104/12</f>
        <v>-607.97500000000002</v>
      </c>
      <c r="DP104" s="314">
        <f t="shared" ref="DP104:DP135" si="190">$J104/12</f>
        <v>-2473.3003750000003</v>
      </c>
      <c r="DQ104" s="315"/>
      <c r="DR104" s="315"/>
      <c r="DS104" s="315"/>
      <c r="DT104" s="314">
        <f t="shared" ref="DT104:DT135" si="191">SUM(DE104:DS104)</f>
        <v>152328.57944861008</v>
      </c>
      <c r="DU104" s="307">
        <f t="shared" ref="DU104:DU135" si="192">$H104/12</f>
        <v>150418.27457361008</v>
      </c>
      <c r="DV104" s="307"/>
      <c r="DW104" s="307"/>
      <c r="DX104" s="308">
        <f>_xlfn.IFNA((VLOOKUP($A104,HN!$A:$M,8,FALSE)/12),0)</f>
        <v>0</v>
      </c>
      <c r="DY104" s="308">
        <f>_xlfn.IFNA((VLOOKUP($A104,HN!$A:$M,12,FALSE)/12),0)</f>
        <v>0</v>
      </c>
      <c r="DZ104" s="308">
        <f>_xlfn.IFNA((VLOOKUP($A104,HN!$A:$M,9,FALSE)/12),0)</f>
        <v>0</v>
      </c>
      <c r="EA104" s="308">
        <f>_xlfn.IFNA((VLOOKUP($A104,'Post 16'!$A:$AG,33,FALSE)/8),0)</f>
        <v>0</v>
      </c>
      <c r="EB104" s="308"/>
      <c r="EC104" s="308">
        <f>_xlfn.IFNA(((VLOOKUP($A104,HN!$A:$M,10,FALSE)-$U104-$AK104)/10),0)</f>
        <v>4991.5802500000009</v>
      </c>
      <c r="ED104" s="308">
        <f>_xlfn.IFNA(((VLOOKUP($A104,HN!$A:$M,13,FALSE)-$V104-$AL104)/10),0)</f>
        <v>0</v>
      </c>
      <c r="EE104" s="307">
        <f t="shared" ref="EE104:EE135" si="193">$I104/12</f>
        <v>-607.97500000000002</v>
      </c>
      <c r="EF104" s="307">
        <f t="shared" ref="EF104:EF135" si="194">$J104/12</f>
        <v>-2473.3003750000003</v>
      </c>
      <c r="EG104" s="308"/>
      <c r="EH104" s="308"/>
      <c r="EI104" s="308"/>
      <c r="EJ104" s="307">
        <f t="shared" ref="EJ104:EJ135" si="195">SUM(DU104:EH104)</f>
        <v>152328.57944861008</v>
      </c>
      <c r="EK104" s="320">
        <f t="shared" ref="EK104:EK135" si="196">$H104/12</f>
        <v>150418.27457361008</v>
      </c>
      <c r="EL104" s="320"/>
      <c r="EM104" s="320"/>
      <c r="EN104" s="321">
        <f>_xlfn.IFNA((VLOOKUP($A104,HN!$A:$M,8,FALSE)/12),0)</f>
        <v>0</v>
      </c>
      <c r="EO104" s="321">
        <f>_xlfn.IFNA((VLOOKUP($A104,HN!$A:$M,12,FALSE)/12),0)</f>
        <v>0</v>
      </c>
      <c r="EP104" s="321">
        <f>_xlfn.IFNA((VLOOKUP($A104,HN!$A:$M,9,FALSE)/12),0)</f>
        <v>0</v>
      </c>
      <c r="EQ104" s="321">
        <f>_xlfn.IFNA((VLOOKUP($A104,'Post 16'!$A:$AG,33,FALSE)/8),0)</f>
        <v>0</v>
      </c>
      <c r="ER104" s="321"/>
      <c r="ES104" s="321">
        <f>_xlfn.IFNA(((VLOOKUP($A104,HN!$A:$M,10,FALSE)-$U104-$AK104)/10),0)</f>
        <v>4991.5802500000009</v>
      </c>
      <c r="ET104" s="321">
        <f>_xlfn.IFNA(((VLOOKUP($A104,HN!$A:$M,13,FALSE)-$V104-$AL104)/10),0)</f>
        <v>0</v>
      </c>
      <c r="EU104" s="320">
        <f t="shared" ref="EU104:EU135" si="197">$I104/12</f>
        <v>-607.97500000000002</v>
      </c>
      <c r="EV104" s="320">
        <f t="shared" ref="EV104:EV135" si="198">$J104/12</f>
        <v>-2473.3003750000003</v>
      </c>
      <c r="EW104" s="321"/>
      <c r="EX104" s="321"/>
      <c r="EY104" s="321"/>
      <c r="EZ104" s="320">
        <f t="shared" ref="EZ104:EZ135" si="199">SUM(EK104:EY104)</f>
        <v>152328.57944861008</v>
      </c>
      <c r="FA104" s="286">
        <f t="shared" ref="FA104:FA135" si="200">$H104/12</f>
        <v>150418.27457361008</v>
      </c>
      <c r="FB104" s="286"/>
      <c r="FC104" s="286"/>
      <c r="FD104" s="287">
        <f>_xlfn.IFNA((VLOOKUP($A104,HN!$A:$M,8,FALSE)/12),0)</f>
        <v>0</v>
      </c>
      <c r="FE104" s="287">
        <f>_xlfn.IFNA((VLOOKUP($A104,HN!$A:$M,12,FALSE)/12),0)</f>
        <v>0</v>
      </c>
      <c r="FF104" s="287">
        <f>_xlfn.IFNA((VLOOKUP($A104,HN!$A:$M,9,FALSE)/12),0)</f>
        <v>0</v>
      </c>
      <c r="FG104" s="287">
        <f>_xlfn.IFNA((VLOOKUP($A104,'Post 16'!$A:$AG,33,FALSE)/8),0)</f>
        <v>0</v>
      </c>
      <c r="FH104" s="287"/>
      <c r="FI104" s="287">
        <f>_xlfn.IFNA(((VLOOKUP($A104,HN!$A:$M,10,FALSE)-$U104-$AK104)/10),0)</f>
        <v>4991.5802500000009</v>
      </c>
      <c r="FJ104" s="287">
        <f>_xlfn.IFNA(((VLOOKUP($A104,HN!$A:$M,13,FALSE)-$V104-$AL104)/10),0)</f>
        <v>0</v>
      </c>
      <c r="FK104" s="286">
        <f t="shared" ref="FK104:FK135" si="201">$I104/12</f>
        <v>-607.97500000000002</v>
      </c>
      <c r="FL104" s="286">
        <f t="shared" ref="FL104:FL135" si="202">$J104/12</f>
        <v>-2473.3003750000003</v>
      </c>
      <c r="FM104" s="287"/>
      <c r="FN104" s="287"/>
      <c r="FO104" s="287"/>
      <c r="FP104" s="286">
        <f t="shared" ref="FP104:FP135" si="203">SUM(FA104:FO104)</f>
        <v>152328.57944861008</v>
      </c>
      <c r="FQ104" s="293">
        <f t="shared" ref="FQ104:FQ135" si="204">$H104/12</f>
        <v>150418.27457361008</v>
      </c>
      <c r="FR104" s="293"/>
      <c r="FS104" s="293"/>
      <c r="FT104" s="294">
        <f>_xlfn.IFNA((VLOOKUP($A104,HN!$A:$M,8,FALSE)/12),0)</f>
        <v>0</v>
      </c>
      <c r="FU104" s="294">
        <f>_xlfn.IFNA((VLOOKUP($A104,HN!$A:$M,12,FALSE)/12),0)</f>
        <v>0</v>
      </c>
      <c r="FV104" s="294">
        <f>_xlfn.IFNA((VLOOKUP($A104,HN!$A:$M,9,FALSE)/12),0)</f>
        <v>0</v>
      </c>
      <c r="FW104" s="294">
        <f>_xlfn.IFNA((VLOOKUP($A104,'Post 16'!$A:$AG,33,FALSE)/8),0)</f>
        <v>0</v>
      </c>
      <c r="FX104" s="294"/>
      <c r="FY104" s="294">
        <f>_xlfn.IFNA(((VLOOKUP($A104,HN!$A:$M,10,FALSE)-$U104-$AK104)/10),0)</f>
        <v>4991.5802500000009</v>
      </c>
      <c r="FZ104" s="294">
        <f>_xlfn.IFNA(((VLOOKUP($A104,HN!$A:$M,13,FALSE)-$V104-$AL104)/10),0)</f>
        <v>0</v>
      </c>
      <c r="GA104" s="293">
        <f t="shared" ref="GA104:GA135" si="205">$I104/12</f>
        <v>-607.97500000000002</v>
      </c>
      <c r="GB104" s="293">
        <f t="shared" ref="GB104:GB135" si="206">$J104/12</f>
        <v>-2473.3003750000003</v>
      </c>
      <c r="GC104" s="294"/>
      <c r="GD104" s="294"/>
      <c r="GE104" s="294"/>
      <c r="GF104" s="293">
        <f t="shared" ref="GF104:GF135" si="207">SUM(FQ104:GE104)</f>
        <v>152328.57944861008</v>
      </c>
      <c r="GG104" s="300">
        <f t="shared" ref="GG104:GG135" si="208">$H104/12</f>
        <v>150418.27457361008</v>
      </c>
      <c r="GH104" s="300"/>
      <c r="GI104" s="300"/>
      <c r="GJ104" s="301">
        <f>_xlfn.IFNA((VLOOKUP($A104,HN!$A:$M,8,FALSE)/12),0)</f>
        <v>0</v>
      </c>
      <c r="GK104" s="301">
        <f>_xlfn.IFNA((VLOOKUP($A104,HN!$A:$M,12,FALSE)/12),0)</f>
        <v>0</v>
      </c>
      <c r="GL104" s="301">
        <f>_xlfn.IFNA((VLOOKUP($A104,HN!$A:$M,9,FALSE)/12),0)</f>
        <v>0</v>
      </c>
      <c r="GM104" s="301">
        <f>_xlfn.IFNA((VLOOKUP($A104,'Post 16'!$A:$AG,33,FALSE)/8),0)</f>
        <v>0</v>
      </c>
      <c r="GN104" s="301"/>
      <c r="GO104" s="301">
        <f>_xlfn.IFNA(((VLOOKUP($A104,HN!$A:$M,10,FALSE)-$U104-$AK104)/10),0)</f>
        <v>4991.5802500000009</v>
      </c>
      <c r="GP104" s="301">
        <f>_xlfn.IFNA(((VLOOKUP($A104,HN!$A:$M,13,FALSE)-$V104-$AL104)/10),0)</f>
        <v>0</v>
      </c>
      <c r="GQ104" s="300">
        <f t="shared" ref="GQ104:GQ135" si="209">$I104/12</f>
        <v>-607.97500000000002</v>
      </c>
      <c r="GR104" s="300">
        <f t="shared" ref="GR104:GR135" si="210">$J104/12</f>
        <v>-2473.3003750000003</v>
      </c>
      <c r="GS104" s="301"/>
      <c r="GT104" s="301"/>
      <c r="GU104" s="301"/>
      <c r="GV104" s="300">
        <f t="shared" ref="GV104:GV135" si="211">SUM(GG104:GU104)</f>
        <v>152328.57944861008</v>
      </c>
      <c r="GX104" s="146">
        <f t="shared" si="162"/>
        <v>1792589.5180412161</v>
      </c>
      <c r="GY104" s="146">
        <f t="shared" si="162"/>
        <v>0</v>
      </c>
      <c r="GZ104" s="146">
        <f t="shared" si="162"/>
        <v>59177.829999999994</v>
      </c>
      <c r="HA104" s="146">
        <f t="shared" si="162"/>
        <v>-7295.7000000000016</v>
      </c>
      <c r="HB104" s="146">
        <f t="shared" si="162"/>
        <v>-29679.604499999998</v>
      </c>
      <c r="HC104" s="146">
        <f t="shared" si="162"/>
        <v>0</v>
      </c>
      <c r="HE104" s="146">
        <f t="shared" si="163"/>
        <v>438825.046878725</v>
      </c>
      <c r="HF104" s="146">
        <f t="shared" si="163"/>
        <v>0</v>
      </c>
      <c r="HG104" s="146">
        <f t="shared" si="163"/>
        <v>14253.607750000001</v>
      </c>
      <c r="HH104" s="146">
        <f t="shared" si="163"/>
        <v>-1823.9250000000002</v>
      </c>
      <c r="HI104" s="146">
        <f t="shared" si="163"/>
        <v>-7419.9011250000003</v>
      </c>
      <c r="HJ104" s="146">
        <f t="shared" si="163"/>
        <v>0</v>
      </c>
      <c r="HL104" s="146"/>
      <c r="HM104" s="57"/>
    </row>
    <row r="105" spans="1:221">
      <c r="A105" s="185">
        <v>1012</v>
      </c>
      <c r="B105" s="185">
        <v>103126</v>
      </c>
      <c r="C105" s="185" t="s">
        <v>233</v>
      </c>
      <c r="D105" s="2" t="s">
        <v>234</v>
      </c>
      <c r="E105" s="190" t="s">
        <v>36</v>
      </c>
      <c r="F105" s="190" t="s">
        <v>890</v>
      </c>
      <c r="H105" s="271">
        <f>_xlfn.IFNA(VLOOKUP($A105,ISB!$A$4:$BY$441,67,FALSE),0)</f>
        <v>0</v>
      </c>
      <c r="I105" s="271">
        <f>_xlfn.IFNA(VLOOKUP($A105,ISB!$A$4:$BY$441,72,FALSE),0)</f>
        <v>0</v>
      </c>
      <c r="J105" s="271">
        <f>-_xlfn.IFNA(VLOOKUP($A105,ISB!$A$4:$BY$441,76,FALSE),0)</f>
        <v>0</v>
      </c>
      <c r="K105" s="271">
        <f>_xlfn.IFNA(VLOOKUP($A105,ISB!$A$4:$BY$441,77,FALSE),0)</f>
        <v>0</v>
      </c>
      <c r="M105" s="279">
        <f t="shared" si="164"/>
        <v>0</v>
      </c>
      <c r="N105" s="279"/>
      <c r="O105" s="279">
        <f>_xlfn.IFNA(VLOOKUP($A105,EY!$A:$H,8,FALSE)+(VLOOKUP($A105,EY!$A:$R,18,FALSE)-$T105),0)</f>
        <v>432235.56074669072</v>
      </c>
      <c r="P105" s="280">
        <f>_xlfn.IFNA((VLOOKUP($A105,HN!$A:$M,8,FALSE)/12),0)</f>
        <v>0</v>
      </c>
      <c r="Q105" s="280">
        <f>_xlfn.IFNA((VLOOKUP($A105,HN!$A:$M,12,FALSE)/12),0)</f>
        <v>0</v>
      </c>
      <c r="R105" s="280">
        <f>_xlfn.IFNA((VLOOKUP($A105,HN!$A:$M,9,FALSE)/12),0)</f>
        <v>0</v>
      </c>
      <c r="S105" s="280">
        <f>_xlfn.IFNA((VLOOKUP($A105,'Post 16'!$A:$AR,22,FALSE)/4),0)</f>
        <v>0</v>
      </c>
      <c r="T105" s="280">
        <f>_xlfn.IFNA((VLOOKUP($A105,EY!$A:$R,16,FALSE)*80%),0)</f>
        <v>2340</v>
      </c>
      <c r="U105" s="280">
        <v>0</v>
      </c>
      <c r="V105" s="280">
        <v>0</v>
      </c>
      <c r="W105" s="279">
        <f t="shared" si="165"/>
        <v>0</v>
      </c>
      <c r="X105" s="279">
        <f t="shared" si="166"/>
        <v>0</v>
      </c>
      <c r="Y105" s="280"/>
      <c r="Z105" s="280"/>
      <c r="AA105" s="280"/>
      <c r="AB105" s="279">
        <f t="shared" si="167"/>
        <v>434575.56074669072</v>
      </c>
      <c r="AC105" s="293">
        <f t="shared" si="168"/>
        <v>0</v>
      </c>
      <c r="AD105" s="293"/>
      <c r="AE105" s="293"/>
      <c r="AF105" s="294">
        <f>_xlfn.IFNA((VLOOKUP($A105,HN!$A:$M,8,FALSE)/12),0)</f>
        <v>0</v>
      </c>
      <c r="AG105" s="294">
        <f>_xlfn.IFNA((VLOOKUP($A105,HN!$A:$M,12,FALSE)/12),0)+_xlfn.IFNA(VLOOKUP($A105,HN!$A:$Q,17,FALSE),0)</f>
        <v>0</v>
      </c>
      <c r="AH105" s="294">
        <f>_xlfn.IFNA((VLOOKUP($A105,HN!$A:$M,9,FALSE)/12),0)</f>
        <v>0</v>
      </c>
      <c r="AI105" s="294">
        <f>_xlfn.IFNA((VLOOKUP($A105,'Post 16'!$A:$AR,22,FALSE)/4),0)</f>
        <v>0</v>
      </c>
      <c r="AJ105" s="294"/>
      <c r="AK105" s="294">
        <f>_xlfn.IFNA((VLOOKUP($A105,HN!$A:$M,10,FALSE)/12),0)</f>
        <v>0</v>
      </c>
      <c r="AL105" s="294">
        <f>_xlfn.IFNA((VLOOKUP($A105,HN!$A:$M,13,FALSE)/12),0)</f>
        <v>0</v>
      </c>
      <c r="AM105" s="293">
        <f t="shared" si="169"/>
        <v>0</v>
      </c>
      <c r="AN105" s="293">
        <f t="shared" si="170"/>
        <v>0</v>
      </c>
      <c r="AO105" s="294"/>
      <c r="AP105" s="294"/>
      <c r="AQ105" s="294"/>
      <c r="AR105" s="293">
        <f t="shared" si="171"/>
        <v>0</v>
      </c>
      <c r="AS105" s="286">
        <f t="shared" si="172"/>
        <v>0</v>
      </c>
      <c r="AT105" s="286"/>
      <c r="AU105" s="286">
        <f>_xlfn.IFNA(VLOOKUP(A105,EY!A:AO,40,FALSE),0)</f>
        <v>21958.053684210521</v>
      </c>
      <c r="AV105" s="287">
        <f>_xlfn.IFNA((VLOOKUP($A105,HN!$A:$M,8,FALSE)/12),0)</f>
        <v>0</v>
      </c>
      <c r="AW105" s="287">
        <f>_xlfn.IFNA((VLOOKUP($A105,HN!$A:$M,12,FALSE)/12),0)+_xlfn.IFNA(VLOOKUP($A105,HN!$A$8:$AU$200,19,FALSE),0)</f>
        <v>0</v>
      </c>
      <c r="AX105" s="287">
        <f>_xlfn.IFNA((VLOOKUP($A105,HN!$A:$M,9,FALSE)/12),0)</f>
        <v>0</v>
      </c>
      <c r="AY105" s="287">
        <f>_xlfn.IFNA((VLOOKUP($A105,'Post 16'!$A:$AR,22,FALSE)/4),0)</f>
        <v>0</v>
      </c>
      <c r="AZ105" s="287">
        <f>_xlfn.IFNA(VLOOKUP(A105,EY!A:AO,41,FALSE),0)</f>
        <v>2365.0072022160666</v>
      </c>
      <c r="BA105" s="287">
        <f>_xlfn.IFNA(((VLOOKUP($A105,HN!$A:$M,10,FALSE)-$U105-$AK105)/10),0)+_xlfn.IFNA(VLOOKUP($A105,HN!$A:$R,18,FALSE),0)</f>
        <v>0</v>
      </c>
      <c r="BB105" s="287">
        <f>_xlfn.IFNA(((VLOOKUP($A105,HN!$A:$M,13,FALSE)-$V105-$AL105)/10),0)+_xlfn.IFNA(VLOOKUP($A105,HN!$A$8:$AU$200,20,FALSE),0)</f>
        <v>0</v>
      </c>
      <c r="BC105" s="286">
        <f t="shared" si="173"/>
        <v>0</v>
      </c>
      <c r="BD105" s="286">
        <f t="shared" si="174"/>
        <v>0</v>
      </c>
      <c r="BE105" s="287"/>
      <c r="BF105" s="287"/>
      <c r="BG105" s="287"/>
      <c r="BH105" s="286">
        <f t="shared" si="175"/>
        <v>24323.060886426589</v>
      </c>
      <c r="BI105" s="307">
        <f t="shared" si="176"/>
        <v>0</v>
      </c>
      <c r="BJ105" s="307">
        <f>_xlfn.IFNA(VLOOKUP(A105,'LA Deductions'!A:AH,34,FALSE),0)</f>
        <v>0</v>
      </c>
      <c r="BK105" s="307"/>
      <c r="BL105" s="308">
        <f>_xlfn.IFNA((VLOOKUP($A105,HN!$A:$M,8,FALSE)/12),0)</f>
        <v>0</v>
      </c>
      <c r="BM105" s="308">
        <f>_xlfn.IFNA((VLOOKUP($A105,HN!$A:$M,12,FALSE)/12),0)</f>
        <v>0</v>
      </c>
      <c r="BN105" s="308">
        <f>_xlfn.IFNA((VLOOKUP($A105,HN!$A:$M,9,FALSE)/12),0)</f>
        <v>0</v>
      </c>
      <c r="BO105" s="308">
        <f>_xlfn.IFNA((VLOOKUP($A105,'Post 16'!$A:$AR,22,FALSE)/4),0)</f>
        <v>0</v>
      </c>
      <c r="BP105" s="308"/>
      <c r="BQ105" s="308">
        <f>_xlfn.IFNA(((VLOOKUP($A105,HN!$A:$M,10,FALSE)-$U105-$AK105)/10),0)</f>
        <v>0</v>
      </c>
      <c r="BR105" s="308">
        <f>_xlfn.IFNA(((VLOOKUP($A105,HN!$A:$M,13,FALSE)-$V105-$AL105)/10),0)</f>
        <v>0</v>
      </c>
      <c r="BS105" s="307">
        <f t="shared" si="177"/>
        <v>0</v>
      </c>
      <c r="BT105" s="307">
        <f t="shared" si="178"/>
        <v>0</v>
      </c>
      <c r="BU105" s="308"/>
      <c r="BV105" s="308"/>
      <c r="BW105" s="308"/>
      <c r="BX105" s="307">
        <f t="shared" si="179"/>
        <v>0</v>
      </c>
      <c r="BY105" s="300">
        <f t="shared" si="180"/>
        <v>0</v>
      </c>
      <c r="BZ105" s="300"/>
      <c r="CA105" s="300"/>
      <c r="CB105" s="301">
        <f>_xlfn.IFNA((VLOOKUP($A105,HN!$A:$M,8,FALSE)/12),0)</f>
        <v>0</v>
      </c>
      <c r="CC105" s="301">
        <f>_xlfn.IFNA((VLOOKUP($A105,HN!$A:$M,12,FALSE)/12),0)</f>
        <v>0</v>
      </c>
      <c r="CD105" s="301">
        <f>_xlfn.IFNA((VLOOKUP($A105,HN!$A:$M,9,FALSE)/12),0)</f>
        <v>0</v>
      </c>
      <c r="CE105" s="301">
        <f>_xlfn.IFNA((VLOOKUP($A105,'Post 16'!$A:$AG,33,FALSE)/8),0)</f>
        <v>0</v>
      </c>
      <c r="CF105" s="301"/>
      <c r="CG105" s="301">
        <f>_xlfn.IFNA(((VLOOKUP($A105,HN!$A:$M,10,FALSE)-$U105-$AK105)/10),0)</f>
        <v>0</v>
      </c>
      <c r="CH105" s="301">
        <f>_xlfn.IFNA(((VLOOKUP($A105,HN!$A:$M,13,FALSE)-$V105-$AL105)/10),0)</f>
        <v>0</v>
      </c>
      <c r="CI105" s="300">
        <f t="shared" si="181"/>
        <v>0</v>
      </c>
      <c r="CJ105" s="300">
        <f t="shared" si="182"/>
        <v>0</v>
      </c>
      <c r="CK105" s="301"/>
      <c r="CL105" s="301"/>
      <c r="CM105" s="301"/>
      <c r="CN105" s="300">
        <f t="shared" si="183"/>
        <v>0</v>
      </c>
      <c r="CO105" s="332">
        <f t="shared" si="184"/>
        <v>0</v>
      </c>
      <c r="CP105" s="332"/>
      <c r="CQ105" s="332">
        <f>_xlfn.IFNA((VLOOKUP($A105,EY!$A:$AB,28,FALSE)-$CV105),0)</f>
        <v>112009.56000000001</v>
      </c>
      <c r="CR105" s="333">
        <f>_xlfn.IFNA((VLOOKUP($A105,HN!$A:$M,8,FALSE)/12),0)</f>
        <v>0</v>
      </c>
      <c r="CS105" s="333">
        <f>_xlfn.IFNA((VLOOKUP($A105,HN!$A:$M,12,FALSE)/12),0)</f>
        <v>0</v>
      </c>
      <c r="CT105" s="333">
        <f>_xlfn.IFNA((VLOOKUP($A105,HN!$A:$M,9,FALSE)/12),0)</f>
        <v>0</v>
      </c>
      <c r="CU105" s="333">
        <f>_xlfn.IFNA((VLOOKUP($A105,'Post 16'!$A:$AG,33,FALSE)/8),0)</f>
        <v>0</v>
      </c>
      <c r="CV105" s="333">
        <f>_xlfn.IFNA((VLOOKUP($A105,EY!$A:$AB,26,FALSE)*80%),0)</f>
        <v>0</v>
      </c>
      <c r="CW105" s="333">
        <f>_xlfn.IFNA(((VLOOKUP($A105,HN!$A:$M,10,FALSE)-$U105-$AK105)/10),0)</f>
        <v>0</v>
      </c>
      <c r="CX105" s="333">
        <f>_xlfn.IFNA(((VLOOKUP($A105,HN!$A:$M,13,FALSE)-$V105-$AL105)/10),0)</f>
        <v>0</v>
      </c>
      <c r="CY105" s="332">
        <f t="shared" si="185"/>
        <v>0</v>
      </c>
      <c r="CZ105" s="332">
        <f t="shared" si="186"/>
        <v>0</v>
      </c>
      <c r="DA105" s="333"/>
      <c r="DB105" s="333"/>
      <c r="DC105" s="333"/>
      <c r="DD105" s="332">
        <f t="shared" si="187"/>
        <v>112009.56000000001</v>
      </c>
      <c r="DE105" s="314">
        <f t="shared" si="188"/>
        <v>0</v>
      </c>
      <c r="DF105" s="314"/>
      <c r="DG105" s="314"/>
      <c r="DH105" s="315">
        <f>_xlfn.IFNA((VLOOKUP($A105,HN!$A:$M,8,FALSE)/12),0)</f>
        <v>0</v>
      </c>
      <c r="DI105" s="315">
        <f>_xlfn.IFNA((VLOOKUP($A105,HN!$A:$M,12,FALSE)/12),0)</f>
        <v>0</v>
      </c>
      <c r="DJ105" s="315">
        <f>_xlfn.IFNA((VLOOKUP($A105,HN!$A:$M,9,FALSE)/12),0)</f>
        <v>0</v>
      </c>
      <c r="DK105" s="315">
        <f>_xlfn.IFNA((VLOOKUP($A105,'Post 16'!$A:$AG,33,FALSE)/8),0)</f>
        <v>0</v>
      </c>
      <c r="DL105" s="315"/>
      <c r="DM105" s="315">
        <f>_xlfn.IFNA(((VLOOKUP($A105,HN!$A:$M,10,FALSE)-$U105-$AK105)/10),0)</f>
        <v>0</v>
      </c>
      <c r="DN105" s="315">
        <f>_xlfn.IFNA(((VLOOKUP($A105,HN!$A:$M,13,FALSE)-$V105-$AL105)/10),0)</f>
        <v>0</v>
      </c>
      <c r="DO105" s="314">
        <f t="shared" si="189"/>
        <v>0</v>
      </c>
      <c r="DP105" s="314">
        <f t="shared" si="190"/>
        <v>0</v>
      </c>
      <c r="DQ105" s="315"/>
      <c r="DR105" s="315"/>
      <c r="DS105" s="315"/>
      <c r="DT105" s="314">
        <f t="shared" si="191"/>
        <v>0</v>
      </c>
      <c r="DU105" s="307">
        <f t="shared" si="192"/>
        <v>0</v>
      </c>
      <c r="DV105" s="307"/>
      <c r="DW105" s="307"/>
      <c r="DX105" s="308">
        <f>_xlfn.IFNA((VLOOKUP($A105,HN!$A:$M,8,FALSE)/12),0)</f>
        <v>0</v>
      </c>
      <c r="DY105" s="308">
        <f>_xlfn.IFNA((VLOOKUP($A105,HN!$A:$M,12,FALSE)/12),0)</f>
        <v>0</v>
      </c>
      <c r="DZ105" s="308">
        <f>_xlfn.IFNA((VLOOKUP($A105,HN!$A:$M,9,FALSE)/12),0)</f>
        <v>0</v>
      </c>
      <c r="EA105" s="308">
        <f>_xlfn.IFNA((VLOOKUP($A105,'Post 16'!$A:$AG,33,FALSE)/8),0)</f>
        <v>0</v>
      </c>
      <c r="EB105" s="308"/>
      <c r="EC105" s="308">
        <f>_xlfn.IFNA(((VLOOKUP($A105,HN!$A:$M,10,FALSE)-$U105-$AK105)/10),0)</f>
        <v>0</v>
      </c>
      <c r="ED105" s="308">
        <f>_xlfn.IFNA(((VLOOKUP($A105,HN!$A:$M,13,FALSE)-$V105-$AL105)/10),0)</f>
        <v>0</v>
      </c>
      <c r="EE105" s="307">
        <f t="shared" si="193"/>
        <v>0</v>
      </c>
      <c r="EF105" s="307">
        <f t="shared" si="194"/>
        <v>0</v>
      </c>
      <c r="EG105" s="308"/>
      <c r="EH105" s="308"/>
      <c r="EI105" s="308"/>
      <c r="EJ105" s="307">
        <f t="shared" si="195"/>
        <v>0</v>
      </c>
      <c r="EK105" s="320">
        <f t="shared" si="196"/>
        <v>0</v>
      </c>
      <c r="EL105" s="320"/>
      <c r="EM105" s="320"/>
      <c r="EN105" s="321">
        <f>_xlfn.IFNA((VLOOKUP($A105,HN!$A:$M,8,FALSE)/12),0)</f>
        <v>0</v>
      </c>
      <c r="EO105" s="321">
        <f>_xlfn.IFNA((VLOOKUP($A105,HN!$A:$M,12,FALSE)/12),0)</f>
        <v>0</v>
      </c>
      <c r="EP105" s="321">
        <f>_xlfn.IFNA((VLOOKUP($A105,HN!$A:$M,9,FALSE)/12),0)</f>
        <v>0</v>
      </c>
      <c r="EQ105" s="321">
        <f>_xlfn.IFNA((VLOOKUP($A105,'Post 16'!$A:$AG,33,FALSE)/8),0)</f>
        <v>0</v>
      </c>
      <c r="ER105" s="321"/>
      <c r="ES105" s="321">
        <f>_xlfn.IFNA(((VLOOKUP($A105,HN!$A:$M,10,FALSE)-$U105-$AK105)/10),0)</f>
        <v>0</v>
      </c>
      <c r="ET105" s="321">
        <f>_xlfn.IFNA(((VLOOKUP($A105,HN!$A:$M,13,FALSE)-$V105-$AL105)/10),0)</f>
        <v>0</v>
      </c>
      <c r="EU105" s="320">
        <f t="shared" si="197"/>
        <v>0</v>
      </c>
      <c r="EV105" s="320">
        <f t="shared" si="198"/>
        <v>0</v>
      </c>
      <c r="EW105" s="321"/>
      <c r="EX105" s="321"/>
      <c r="EY105" s="321"/>
      <c r="EZ105" s="320">
        <f t="shared" si="199"/>
        <v>0</v>
      </c>
      <c r="FA105" s="286">
        <f t="shared" si="200"/>
        <v>0</v>
      </c>
      <c r="FB105" s="286"/>
      <c r="FC105" s="286"/>
      <c r="FD105" s="287">
        <f>_xlfn.IFNA((VLOOKUP($A105,HN!$A:$M,8,FALSE)/12),0)</f>
        <v>0</v>
      </c>
      <c r="FE105" s="287">
        <f>_xlfn.IFNA((VLOOKUP($A105,HN!$A:$M,12,FALSE)/12),0)</f>
        <v>0</v>
      </c>
      <c r="FF105" s="287">
        <f>_xlfn.IFNA((VLOOKUP($A105,HN!$A:$M,9,FALSE)/12),0)</f>
        <v>0</v>
      </c>
      <c r="FG105" s="287">
        <f>_xlfn.IFNA((VLOOKUP($A105,'Post 16'!$A:$AG,33,FALSE)/8),0)</f>
        <v>0</v>
      </c>
      <c r="FH105" s="287"/>
      <c r="FI105" s="287">
        <f>_xlfn.IFNA(((VLOOKUP($A105,HN!$A:$M,10,FALSE)-$U105-$AK105)/10),0)</f>
        <v>0</v>
      </c>
      <c r="FJ105" s="287">
        <f>_xlfn.IFNA(((VLOOKUP($A105,HN!$A:$M,13,FALSE)-$V105-$AL105)/10),0)</f>
        <v>0</v>
      </c>
      <c r="FK105" s="286">
        <f t="shared" si="201"/>
        <v>0</v>
      </c>
      <c r="FL105" s="286">
        <f t="shared" si="202"/>
        <v>0</v>
      </c>
      <c r="FM105" s="287"/>
      <c r="FN105" s="287"/>
      <c r="FO105" s="287"/>
      <c r="FP105" s="286">
        <f t="shared" si="203"/>
        <v>0</v>
      </c>
      <c r="FQ105" s="293">
        <f t="shared" si="204"/>
        <v>0</v>
      </c>
      <c r="FR105" s="293"/>
      <c r="FS105" s="293"/>
      <c r="FT105" s="294">
        <f>_xlfn.IFNA((VLOOKUP($A105,HN!$A:$M,8,FALSE)/12),0)</f>
        <v>0</v>
      </c>
      <c r="FU105" s="294">
        <f>_xlfn.IFNA((VLOOKUP($A105,HN!$A:$M,12,FALSE)/12),0)</f>
        <v>0</v>
      </c>
      <c r="FV105" s="294">
        <f>_xlfn.IFNA((VLOOKUP($A105,HN!$A:$M,9,FALSE)/12),0)</f>
        <v>0</v>
      </c>
      <c r="FW105" s="294">
        <f>_xlfn.IFNA((VLOOKUP($A105,'Post 16'!$A:$AG,33,FALSE)/8),0)</f>
        <v>0</v>
      </c>
      <c r="FX105" s="294"/>
      <c r="FY105" s="294">
        <f>_xlfn.IFNA(((VLOOKUP($A105,HN!$A:$M,10,FALSE)-$U105-$AK105)/10),0)</f>
        <v>0</v>
      </c>
      <c r="FZ105" s="294">
        <f>_xlfn.IFNA(((VLOOKUP($A105,HN!$A:$M,13,FALSE)-$V105-$AL105)/10),0)</f>
        <v>0</v>
      </c>
      <c r="GA105" s="293">
        <f t="shared" si="205"/>
        <v>0</v>
      </c>
      <c r="GB105" s="293">
        <f t="shared" si="206"/>
        <v>0</v>
      </c>
      <c r="GC105" s="294"/>
      <c r="GD105" s="294"/>
      <c r="GE105" s="294"/>
      <c r="GF105" s="293">
        <f t="shared" si="207"/>
        <v>0</v>
      </c>
      <c r="GG105" s="300">
        <f t="shared" si="208"/>
        <v>0</v>
      </c>
      <c r="GH105" s="300"/>
      <c r="GI105" s="300"/>
      <c r="GJ105" s="301">
        <f>_xlfn.IFNA((VLOOKUP($A105,HN!$A:$M,8,FALSE)/12),0)</f>
        <v>0</v>
      </c>
      <c r="GK105" s="301">
        <f>_xlfn.IFNA((VLOOKUP($A105,HN!$A:$M,12,FALSE)/12),0)</f>
        <v>0</v>
      </c>
      <c r="GL105" s="301">
        <f>_xlfn.IFNA((VLOOKUP($A105,HN!$A:$M,9,FALSE)/12),0)</f>
        <v>0</v>
      </c>
      <c r="GM105" s="301">
        <f>_xlfn.IFNA((VLOOKUP($A105,'Post 16'!$A:$AG,33,FALSE)/8),0)</f>
        <v>0</v>
      </c>
      <c r="GN105" s="301"/>
      <c r="GO105" s="301">
        <f>_xlfn.IFNA(((VLOOKUP($A105,HN!$A:$M,10,FALSE)-$U105-$AK105)/10),0)</f>
        <v>0</v>
      </c>
      <c r="GP105" s="301">
        <f>_xlfn.IFNA(((VLOOKUP($A105,HN!$A:$M,13,FALSE)-$V105-$AL105)/10),0)</f>
        <v>0</v>
      </c>
      <c r="GQ105" s="300">
        <f t="shared" si="209"/>
        <v>0</v>
      </c>
      <c r="GR105" s="300">
        <f t="shared" si="210"/>
        <v>0</v>
      </c>
      <c r="GS105" s="301"/>
      <c r="GT105" s="301"/>
      <c r="GU105" s="301"/>
      <c r="GV105" s="300">
        <f t="shared" si="211"/>
        <v>0</v>
      </c>
      <c r="GX105" s="146">
        <f t="shared" si="162"/>
        <v>566203.1744309013</v>
      </c>
      <c r="GY105" s="146">
        <f t="shared" si="162"/>
        <v>0</v>
      </c>
      <c r="GZ105" s="146">
        <f t="shared" si="162"/>
        <v>4705.0072022160666</v>
      </c>
      <c r="HA105" s="146">
        <f t="shared" si="162"/>
        <v>0</v>
      </c>
      <c r="HB105" s="146">
        <f t="shared" si="162"/>
        <v>0</v>
      </c>
      <c r="HC105" s="146">
        <f t="shared" si="162"/>
        <v>0</v>
      </c>
      <c r="HE105" s="146">
        <f t="shared" si="163"/>
        <v>454193.61443090125</v>
      </c>
      <c r="HF105" s="146">
        <f t="shared" si="163"/>
        <v>0</v>
      </c>
      <c r="HG105" s="146">
        <f t="shared" si="163"/>
        <v>4705.0072022160666</v>
      </c>
      <c r="HH105" s="146">
        <f t="shared" si="163"/>
        <v>0</v>
      </c>
      <c r="HI105" s="146">
        <f t="shared" si="163"/>
        <v>0</v>
      </c>
      <c r="HJ105" s="146">
        <f t="shared" si="163"/>
        <v>0</v>
      </c>
      <c r="HL105" s="146"/>
      <c r="HM105" s="57"/>
    </row>
    <row r="106" spans="1:221">
      <c r="A106" s="185">
        <v>2133</v>
      </c>
      <c r="B106" s="185">
        <v>103233</v>
      </c>
      <c r="C106" s="185" t="s">
        <v>235</v>
      </c>
      <c r="D106" s="2" t="s">
        <v>236</v>
      </c>
      <c r="E106" s="190" t="s">
        <v>39</v>
      </c>
      <c r="F106" s="190" t="s">
        <v>890</v>
      </c>
      <c r="H106" s="271">
        <f>_xlfn.IFNA(VLOOKUP($A106,ISB!$A$4:$BY$441,67,FALSE),0)</f>
        <v>2876657.9895669483</v>
      </c>
      <c r="I106" s="271">
        <f>_xlfn.IFNA(VLOOKUP($A106,ISB!$A$4:$BY$441,72,FALSE),0)</f>
        <v>-10408.199999999999</v>
      </c>
      <c r="J106" s="271">
        <f>-_xlfn.IFNA(VLOOKUP($A106,ISB!$A$4:$BY$441,76,FALSE),0)</f>
        <v>-59935.512000000002</v>
      </c>
      <c r="K106" s="271">
        <f>_xlfn.IFNA(VLOOKUP($A106,ISB!$A$4:$BY$441,77,FALSE),0)</f>
        <v>2806314.277566948</v>
      </c>
      <c r="M106" s="279">
        <f t="shared" si="164"/>
        <v>239721.49913057903</v>
      </c>
      <c r="N106" s="279"/>
      <c r="O106" s="279">
        <f>_xlfn.IFNA(VLOOKUP($A106,EY!$A:$H,8,FALSE)+(VLOOKUP($A106,EY!$A:$R,18,FALSE)-$T106),0)</f>
        <v>0</v>
      </c>
      <c r="P106" s="280">
        <f>_xlfn.IFNA((VLOOKUP($A106,HN!$A:$M,8,FALSE)/12),0)</f>
        <v>0</v>
      </c>
      <c r="Q106" s="280">
        <f>_xlfn.IFNA((VLOOKUP($A106,HN!$A:$M,12,FALSE)/12),0)</f>
        <v>0</v>
      </c>
      <c r="R106" s="280">
        <f>_xlfn.IFNA((VLOOKUP($A106,HN!$A:$M,9,FALSE)/12),0)</f>
        <v>0</v>
      </c>
      <c r="S106" s="280">
        <f>_xlfn.IFNA((VLOOKUP($A106,'Post 16'!$A:$AR,22,FALSE)/4),0)</f>
        <v>0</v>
      </c>
      <c r="T106" s="280">
        <f>_xlfn.IFNA((VLOOKUP($A106,EY!$A:$R,16,FALSE)*80%),0)</f>
        <v>0</v>
      </c>
      <c r="U106" s="280">
        <v>15391.416666666666</v>
      </c>
      <c r="V106" s="280">
        <v>0</v>
      </c>
      <c r="W106" s="279">
        <f t="shared" si="165"/>
        <v>-867.34999999999991</v>
      </c>
      <c r="X106" s="279">
        <f t="shared" si="166"/>
        <v>-4994.6260000000002</v>
      </c>
      <c r="Y106" s="280"/>
      <c r="Z106" s="280"/>
      <c r="AA106" s="280"/>
      <c r="AB106" s="279">
        <f t="shared" si="167"/>
        <v>249250.93979724569</v>
      </c>
      <c r="AC106" s="293">
        <f t="shared" si="168"/>
        <v>239721.49913057903</v>
      </c>
      <c r="AD106" s="293"/>
      <c r="AE106" s="293"/>
      <c r="AF106" s="294">
        <f>_xlfn.IFNA((VLOOKUP($A106,HN!$A:$M,8,FALSE)/12),0)</f>
        <v>0</v>
      </c>
      <c r="AG106" s="294">
        <f>_xlfn.IFNA((VLOOKUP($A106,HN!$A:$M,12,FALSE)/12),0)+_xlfn.IFNA(VLOOKUP($A106,HN!$A:$Q,17,FALSE),0)</f>
        <v>0</v>
      </c>
      <c r="AH106" s="294">
        <f>_xlfn.IFNA((VLOOKUP($A106,HN!$A:$M,9,FALSE)/12),0)</f>
        <v>0</v>
      </c>
      <c r="AI106" s="294">
        <f>_xlfn.IFNA((VLOOKUP($A106,'Post 16'!$A:$AR,22,FALSE)/4),0)</f>
        <v>0</v>
      </c>
      <c r="AJ106" s="294"/>
      <c r="AK106" s="294">
        <f>_xlfn.IFNA((VLOOKUP($A106,HN!$A:$M,10,FALSE)/12),0)</f>
        <v>5409.5</v>
      </c>
      <c r="AL106" s="294">
        <f>_xlfn.IFNA((VLOOKUP($A106,HN!$A:$M,13,FALSE)/12),0)</f>
        <v>0</v>
      </c>
      <c r="AM106" s="293">
        <f t="shared" si="169"/>
        <v>-867.34999999999991</v>
      </c>
      <c r="AN106" s="293">
        <f t="shared" si="170"/>
        <v>-4994.6260000000002</v>
      </c>
      <c r="AO106" s="294"/>
      <c r="AP106" s="294"/>
      <c r="AQ106" s="294"/>
      <c r="AR106" s="293">
        <f t="shared" si="171"/>
        <v>239269.02313057904</v>
      </c>
      <c r="AS106" s="286">
        <f t="shared" si="172"/>
        <v>239721.49913057903</v>
      </c>
      <c r="AT106" s="286"/>
      <c r="AU106" s="286">
        <f>_xlfn.IFNA(VLOOKUP(A106,EY!A:AO,40,FALSE),0)</f>
        <v>0</v>
      </c>
      <c r="AV106" s="287">
        <f>_xlfn.IFNA((VLOOKUP($A106,HN!$A:$M,8,FALSE)/12),0)</f>
        <v>0</v>
      </c>
      <c r="AW106" s="287">
        <f>_xlfn.IFNA((VLOOKUP($A106,HN!$A:$M,12,FALSE)/12),0)+_xlfn.IFNA(VLOOKUP($A106,HN!$A$8:$AU$200,19,FALSE),0)</f>
        <v>0</v>
      </c>
      <c r="AX106" s="287">
        <f>_xlfn.IFNA((VLOOKUP($A106,HN!$A:$M,9,FALSE)/12),0)</f>
        <v>0</v>
      </c>
      <c r="AY106" s="287">
        <f>_xlfn.IFNA((VLOOKUP($A106,'Post 16'!$A:$AR,22,FALSE)/4),0)</f>
        <v>0</v>
      </c>
      <c r="AZ106" s="287">
        <f>_xlfn.IFNA(VLOOKUP(A106,EY!A:AO,41,FALSE),0)</f>
        <v>0</v>
      </c>
      <c r="BA106" s="287">
        <f>_xlfn.IFNA(((VLOOKUP($A106,HN!$A:$M,10,FALSE)-$U106-$AK106)/10),0)+_xlfn.IFNA(VLOOKUP($A106,HN!$A:$R,18,FALSE),0)</f>
        <v>4411.3083333333334</v>
      </c>
      <c r="BB106" s="287">
        <f>_xlfn.IFNA(((VLOOKUP($A106,HN!$A:$M,13,FALSE)-$V106-$AL106)/10),0)+_xlfn.IFNA(VLOOKUP($A106,HN!$A$8:$AU$200,20,FALSE),0)</f>
        <v>0</v>
      </c>
      <c r="BC106" s="286">
        <f t="shared" si="173"/>
        <v>-867.34999999999991</v>
      </c>
      <c r="BD106" s="286">
        <f t="shared" si="174"/>
        <v>-4994.6260000000002</v>
      </c>
      <c r="BE106" s="287"/>
      <c r="BF106" s="287"/>
      <c r="BG106" s="287"/>
      <c r="BH106" s="286">
        <f t="shared" si="175"/>
        <v>238270.83146391236</v>
      </c>
      <c r="BI106" s="307">
        <f t="shared" si="176"/>
        <v>239721.49913057903</v>
      </c>
      <c r="BJ106" s="307">
        <f>_xlfn.IFNA(VLOOKUP(A106,'LA Deductions'!A:AH,34,FALSE),0)</f>
        <v>0</v>
      </c>
      <c r="BK106" s="307"/>
      <c r="BL106" s="308">
        <f>_xlfn.IFNA((VLOOKUP($A106,HN!$A:$M,8,FALSE)/12),0)</f>
        <v>0</v>
      </c>
      <c r="BM106" s="308">
        <f>_xlfn.IFNA((VLOOKUP($A106,HN!$A:$M,12,FALSE)/12),0)</f>
        <v>0</v>
      </c>
      <c r="BN106" s="308">
        <f>_xlfn.IFNA((VLOOKUP($A106,HN!$A:$M,9,FALSE)/12),0)</f>
        <v>0</v>
      </c>
      <c r="BO106" s="308">
        <f>_xlfn.IFNA((VLOOKUP($A106,'Post 16'!$A:$AR,22,FALSE)/4),0)</f>
        <v>0</v>
      </c>
      <c r="BP106" s="308"/>
      <c r="BQ106" s="308">
        <f>_xlfn.IFNA(((VLOOKUP($A106,HN!$A:$M,10,FALSE)-$U106-$AK106)/10),0)</f>
        <v>4411.3083333333334</v>
      </c>
      <c r="BR106" s="308">
        <f>_xlfn.IFNA(((VLOOKUP($A106,HN!$A:$M,13,FALSE)-$V106-$AL106)/10),0)</f>
        <v>0</v>
      </c>
      <c r="BS106" s="307">
        <f t="shared" si="177"/>
        <v>-867.34999999999991</v>
      </c>
      <c r="BT106" s="307">
        <f t="shared" si="178"/>
        <v>-4994.6260000000002</v>
      </c>
      <c r="BU106" s="308"/>
      <c r="BV106" s="308"/>
      <c r="BW106" s="308"/>
      <c r="BX106" s="307">
        <f t="shared" si="179"/>
        <v>238270.83146391236</v>
      </c>
      <c r="BY106" s="300">
        <f t="shared" si="180"/>
        <v>239721.49913057903</v>
      </c>
      <c r="BZ106" s="300"/>
      <c r="CA106" s="300"/>
      <c r="CB106" s="301">
        <f>_xlfn.IFNA((VLOOKUP($A106,HN!$A:$M,8,FALSE)/12),0)</f>
        <v>0</v>
      </c>
      <c r="CC106" s="301">
        <f>_xlfn.IFNA((VLOOKUP($A106,HN!$A:$M,12,FALSE)/12),0)</f>
        <v>0</v>
      </c>
      <c r="CD106" s="301">
        <f>_xlfn.IFNA((VLOOKUP($A106,HN!$A:$M,9,FALSE)/12),0)</f>
        <v>0</v>
      </c>
      <c r="CE106" s="301">
        <f>_xlfn.IFNA((VLOOKUP($A106,'Post 16'!$A:$AG,33,FALSE)/8),0)</f>
        <v>0</v>
      </c>
      <c r="CF106" s="301"/>
      <c r="CG106" s="301">
        <f>_xlfn.IFNA(((VLOOKUP($A106,HN!$A:$M,10,FALSE)-$U106-$AK106)/10),0)</f>
        <v>4411.3083333333334</v>
      </c>
      <c r="CH106" s="301">
        <f>_xlfn.IFNA(((VLOOKUP($A106,HN!$A:$M,13,FALSE)-$V106-$AL106)/10),0)</f>
        <v>0</v>
      </c>
      <c r="CI106" s="300">
        <f t="shared" si="181"/>
        <v>-867.34999999999991</v>
      </c>
      <c r="CJ106" s="300">
        <f t="shared" si="182"/>
        <v>-4994.6260000000002</v>
      </c>
      <c r="CK106" s="301"/>
      <c r="CL106" s="301"/>
      <c r="CM106" s="301"/>
      <c r="CN106" s="300">
        <f t="shared" si="183"/>
        <v>238270.83146391236</v>
      </c>
      <c r="CO106" s="332">
        <f t="shared" si="184"/>
        <v>239721.49913057903</v>
      </c>
      <c r="CP106" s="332"/>
      <c r="CQ106" s="332">
        <f>_xlfn.IFNA((VLOOKUP($A106,EY!$A:$AB,28,FALSE)-$CV106),0)</f>
        <v>0</v>
      </c>
      <c r="CR106" s="333">
        <f>_xlfn.IFNA((VLOOKUP($A106,HN!$A:$M,8,FALSE)/12),0)</f>
        <v>0</v>
      </c>
      <c r="CS106" s="333">
        <f>_xlfn.IFNA((VLOOKUP($A106,HN!$A:$M,12,FALSE)/12),0)</f>
        <v>0</v>
      </c>
      <c r="CT106" s="333">
        <f>_xlfn.IFNA((VLOOKUP($A106,HN!$A:$M,9,FALSE)/12),0)</f>
        <v>0</v>
      </c>
      <c r="CU106" s="333">
        <f>_xlfn.IFNA((VLOOKUP($A106,'Post 16'!$A:$AG,33,FALSE)/8),0)</f>
        <v>0</v>
      </c>
      <c r="CV106" s="333">
        <f>_xlfn.IFNA((VLOOKUP($A106,EY!$A:$AB,26,FALSE)*80%),0)</f>
        <v>0</v>
      </c>
      <c r="CW106" s="333">
        <f>_xlfn.IFNA(((VLOOKUP($A106,HN!$A:$M,10,FALSE)-$U106-$AK106)/10),0)</f>
        <v>4411.3083333333334</v>
      </c>
      <c r="CX106" s="333">
        <f>_xlfn.IFNA(((VLOOKUP($A106,HN!$A:$M,13,FALSE)-$V106-$AL106)/10),0)</f>
        <v>0</v>
      </c>
      <c r="CY106" s="332">
        <f t="shared" si="185"/>
        <v>-867.34999999999991</v>
      </c>
      <c r="CZ106" s="332">
        <f t="shared" si="186"/>
        <v>-4994.6260000000002</v>
      </c>
      <c r="DA106" s="333"/>
      <c r="DB106" s="333"/>
      <c r="DC106" s="333"/>
      <c r="DD106" s="332">
        <f t="shared" si="187"/>
        <v>238270.83146391236</v>
      </c>
      <c r="DE106" s="314">
        <f t="shared" si="188"/>
        <v>239721.49913057903</v>
      </c>
      <c r="DF106" s="314"/>
      <c r="DG106" s="314"/>
      <c r="DH106" s="315">
        <f>_xlfn.IFNA((VLOOKUP($A106,HN!$A:$M,8,FALSE)/12),0)</f>
        <v>0</v>
      </c>
      <c r="DI106" s="315">
        <f>_xlfn.IFNA((VLOOKUP($A106,HN!$A:$M,12,FALSE)/12),0)</f>
        <v>0</v>
      </c>
      <c r="DJ106" s="315">
        <f>_xlfn.IFNA((VLOOKUP($A106,HN!$A:$M,9,FALSE)/12),0)</f>
        <v>0</v>
      </c>
      <c r="DK106" s="315">
        <f>_xlfn.IFNA((VLOOKUP($A106,'Post 16'!$A:$AG,33,FALSE)/8),0)</f>
        <v>0</v>
      </c>
      <c r="DL106" s="315"/>
      <c r="DM106" s="315">
        <f>_xlfn.IFNA(((VLOOKUP($A106,HN!$A:$M,10,FALSE)-$U106-$AK106)/10),0)</f>
        <v>4411.3083333333334</v>
      </c>
      <c r="DN106" s="315">
        <f>_xlfn.IFNA(((VLOOKUP($A106,HN!$A:$M,13,FALSE)-$V106-$AL106)/10),0)</f>
        <v>0</v>
      </c>
      <c r="DO106" s="314">
        <f t="shared" si="189"/>
        <v>-867.34999999999991</v>
      </c>
      <c r="DP106" s="314">
        <f t="shared" si="190"/>
        <v>-4994.6260000000002</v>
      </c>
      <c r="DQ106" s="315"/>
      <c r="DR106" s="315"/>
      <c r="DS106" s="315"/>
      <c r="DT106" s="314">
        <f t="shared" si="191"/>
        <v>238270.83146391236</v>
      </c>
      <c r="DU106" s="307">
        <f t="shared" si="192"/>
        <v>239721.49913057903</v>
      </c>
      <c r="DV106" s="307"/>
      <c r="DW106" s="307"/>
      <c r="DX106" s="308">
        <f>_xlfn.IFNA((VLOOKUP($A106,HN!$A:$M,8,FALSE)/12),0)</f>
        <v>0</v>
      </c>
      <c r="DY106" s="308">
        <f>_xlfn.IFNA((VLOOKUP($A106,HN!$A:$M,12,FALSE)/12),0)</f>
        <v>0</v>
      </c>
      <c r="DZ106" s="308">
        <f>_xlfn.IFNA((VLOOKUP($A106,HN!$A:$M,9,FALSE)/12),0)</f>
        <v>0</v>
      </c>
      <c r="EA106" s="308">
        <f>_xlfn.IFNA((VLOOKUP($A106,'Post 16'!$A:$AG,33,FALSE)/8),0)</f>
        <v>0</v>
      </c>
      <c r="EB106" s="308"/>
      <c r="EC106" s="308">
        <f>_xlfn.IFNA(((VLOOKUP($A106,HN!$A:$M,10,FALSE)-$U106-$AK106)/10),0)</f>
        <v>4411.3083333333334</v>
      </c>
      <c r="ED106" s="308">
        <f>_xlfn.IFNA(((VLOOKUP($A106,HN!$A:$M,13,FALSE)-$V106-$AL106)/10),0)</f>
        <v>0</v>
      </c>
      <c r="EE106" s="307">
        <f t="shared" si="193"/>
        <v>-867.34999999999991</v>
      </c>
      <c r="EF106" s="307">
        <f t="shared" si="194"/>
        <v>-4994.6260000000002</v>
      </c>
      <c r="EG106" s="308"/>
      <c r="EH106" s="308"/>
      <c r="EI106" s="308"/>
      <c r="EJ106" s="307">
        <f t="shared" si="195"/>
        <v>238270.83146391236</v>
      </c>
      <c r="EK106" s="320">
        <f t="shared" si="196"/>
        <v>239721.49913057903</v>
      </c>
      <c r="EL106" s="320"/>
      <c r="EM106" s="320"/>
      <c r="EN106" s="321">
        <f>_xlfn.IFNA((VLOOKUP($A106,HN!$A:$M,8,FALSE)/12),0)</f>
        <v>0</v>
      </c>
      <c r="EO106" s="321">
        <f>_xlfn.IFNA((VLOOKUP($A106,HN!$A:$M,12,FALSE)/12),0)</f>
        <v>0</v>
      </c>
      <c r="EP106" s="321">
        <f>_xlfn.IFNA((VLOOKUP($A106,HN!$A:$M,9,FALSE)/12),0)</f>
        <v>0</v>
      </c>
      <c r="EQ106" s="321">
        <f>_xlfn.IFNA((VLOOKUP($A106,'Post 16'!$A:$AG,33,FALSE)/8),0)</f>
        <v>0</v>
      </c>
      <c r="ER106" s="321"/>
      <c r="ES106" s="321">
        <f>_xlfn.IFNA(((VLOOKUP($A106,HN!$A:$M,10,FALSE)-$U106-$AK106)/10),0)</f>
        <v>4411.3083333333334</v>
      </c>
      <c r="ET106" s="321">
        <f>_xlfn.IFNA(((VLOOKUP($A106,HN!$A:$M,13,FALSE)-$V106-$AL106)/10),0)</f>
        <v>0</v>
      </c>
      <c r="EU106" s="320">
        <f t="shared" si="197"/>
        <v>-867.34999999999991</v>
      </c>
      <c r="EV106" s="320">
        <f t="shared" si="198"/>
        <v>-4994.6260000000002</v>
      </c>
      <c r="EW106" s="321"/>
      <c r="EX106" s="321"/>
      <c r="EY106" s="321"/>
      <c r="EZ106" s="320">
        <f t="shared" si="199"/>
        <v>238270.83146391236</v>
      </c>
      <c r="FA106" s="286">
        <f t="shared" si="200"/>
        <v>239721.49913057903</v>
      </c>
      <c r="FB106" s="286"/>
      <c r="FC106" s="286"/>
      <c r="FD106" s="287">
        <f>_xlfn.IFNA((VLOOKUP($A106,HN!$A:$M,8,FALSE)/12),0)</f>
        <v>0</v>
      </c>
      <c r="FE106" s="287">
        <f>_xlfn.IFNA((VLOOKUP($A106,HN!$A:$M,12,FALSE)/12),0)</f>
        <v>0</v>
      </c>
      <c r="FF106" s="287">
        <f>_xlfn.IFNA((VLOOKUP($A106,HN!$A:$M,9,FALSE)/12),0)</f>
        <v>0</v>
      </c>
      <c r="FG106" s="287">
        <f>_xlfn.IFNA((VLOOKUP($A106,'Post 16'!$A:$AG,33,FALSE)/8),0)</f>
        <v>0</v>
      </c>
      <c r="FH106" s="287"/>
      <c r="FI106" s="287">
        <f>_xlfn.IFNA(((VLOOKUP($A106,HN!$A:$M,10,FALSE)-$U106-$AK106)/10),0)</f>
        <v>4411.3083333333334</v>
      </c>
      <c r="FJ106" s="287">
        <f>_xlfn.IFNA(((VLOOKUP($A106,HN!$A:$M,13,FALSE)-$V106-$AL106)/10),0)</f>
        <v>0</v>
      </c>
      <c r="FK106" s="286">
        <f t="shared" si="201"/>
        <v>-867.34999999999991</v>
      </c>
      <c r="FL106" s="286">
        <f t="shared" si="202"/>
        <v>-4994.6260000000002</v>
      </c>
      <c r="FM106" s="287"/>
      <c r="FN106" s="287"/>
      <c r="FO106" s="287"/>
      <c r="FP106" s="286">
        <f t="shared" si="203"/>
        <v>238270.83146391236</v>
      </c>
      <c r="FQ106" s="293">
        <f t="shared" si="204"/>
        <v>239721.49913057903</v>
      </c>
      <c r="FR106" s="293"/>
      <c r="FS106" s="293"/>
      <c r="FT106" s="294">
        <f>_xlfn.IFNA((VLOOKUP($A106,HN!$A:$M,8,FALSE)/12),0)</f>
        <v>0</v>
      </c>
      <c r="FU106" s="294">
        <f>_xlfn.IFNA((VLOOKUP($A106,HN!$A:$M,12,FALSE)/12),0)</f>
        <v>0</v>
      </c>
      <c r="FV106" s="294">
        <f>_xlfn.IFNA((VLOOKUP($A106,HN!$A:$M,9,FALSE)/12),0)</f>
        <v>0</v>
      </c>
      <c r="FW106" s="294">
        <f>_xlfn.IFNA((VLOOKUP($A106,'Post 16'!$A:$AG,33,FALSE)/8),0)</f>
        <v>0</v>
      </c>
      <c r="FX106" s="294"/>
      <c r="FY106" s="294">
        <f>_xlfn.IFNA(((VLOOKUP($A106,HN!$A:$M,10,FALSE)-$U106-$AK106)/10),0)</f>
        <v>4411.3083333333334</v>
      </c>
      <c r="FZ106" s="294">
        <f>_xlfn.IFNA(((VLOOKUP($A106,HN!$A:$M,13,FALSE)-$V106-$AL106)/10),0)</f>
        <v>0</v>
      </c>
      <c r="GA106" s="293">
        <f t="shared" si="205"/>
        <v>-867.34999999999991</v>
      </c>
      <c r="GB106" s="293">
        <f t="shared" si="206"/>
        <v>-4994.6260000000002</v>
      </c>
      <c r="GC106" s="294"/>
      <c r="GD106" s="294"/>
      <c r="GE106" s="294"/>
      <c r="GF106" s="293">
        <f t="shared" si="207"/>
        <v>238270.83146391236</v>
      </c>
      <c r="GG106" s="300">
        <f t="shared" si="208"/>
        <v>239721.49913057903</v>
      </c>
      <c r="GH106" s="300"/>
      <c r="GI106" s="300"/>
      <c r="GJ106" s="301">
        <f>_xlfn.IFNA((VLOOKUP($A106,HN!$A:$M,8,FALSE)/12),0)</f>
        <v>0</v>
      </c>
      <c r="GK106" s="301">
        <f>_xlfn.IFNA((VLOOKUP($A106,HN!$A:$M,12,FALSE)/12),0)</f>
        <v>0</v>
      </c>
      <c r="GL106" s="301">
        <f>_xlfn.IFNA((VLOOKUP($A106,HN!$A:$M,9,FALSE)/12),0)</f>
        <v>0</v>
      </c>
      <c r="GM106" s="301">
        <f>_xlfn.IFNA((VLOOKUP($A106,'Post 16'!$A:$AG,33,FALSE)/8),0)</f>
        <v>0</v>
      </c>
      <c r="GN106" s="301"/>
      <c r="GO106" s="301">
        <f>_xlfn.IFNA(((VLOOKUP($A106,HN!$A:$M,10,FALSE)-$U106-$AK106)/10),0)</f>
        <v>4411.3083333333334</v>
      </c>
      <c r="GP106" s="301">
        <f>_xlfn.IFNA(((VLOOKUP($A106,HN!$A:$M,13,FALSE)-$V106-$AL106)/10),0)</f>
        <v>0</v>
      </c>
      <c r="GQ106" s="300">
        <f t="shared" si="209"/>
        <v>-867.34999999999991</v>
      </c>
      <c r="GR106" s="300">
        <f t="shared" si="210"/>
        <v>-4994.6260000000002</v>
      </c>
      <c r="GS106" s="301"/>
      <c r="GT106" s="301"/>
      <c r="GU106" s="301"/>
      <c r="GV106" s="300">
        <f t="shared" si="211"/>
        <v>238270.83146391236</v>
      </c>
      <c r="GX106" s="146">
        <f t="shared" si="162"/>
        <v>2876657.9895669487</v>
      </c>
      <c r="GY106" s="146">
        <f t="shared" si="162"/>
        <v>0</v>
      </c>
      <c r="GZ106" s="146">
        <f t="shared" si="162"/>
        <v>64914.000000000007</v>
      </c>
      <c r="HA106" s="146">
        <f t="shared" si="162"/>
        <v>-10408.200000000003</v>
      </c>
      <c r="HB106" s="146">
        <f t="shared" si="162"/>
        <v>-59935.512000000017</v>
      </c>
      <c r="HC106" s="146">
        <f t="shared" si="162"/>
        <v>0</v>
      </c>
      <c r="HE106" s="146">
        <f t="shared" si="163"/>
        <v>719164.49739173707</v>
      </c>
      <c r="HF106" s="146">
        <f t="shared" si="163"/>
        <v>0</v>
      </c>
      <c r="HG106" s="146">
        <f t="shared" si="163"/>
        <v>25212.224999999999</v>
      </c>
      <c r="HH106" s="146">
        <f t="shared" si="163"/>
        <v>-2602.0499999999997</v>
      </c>
      <c r="HI106" s="146">
        <f t="shared" si="163"/>
        <v>-14983.878000000001</v>
      </c>
      <c r="HJ106" s="146">
        <f t="shared" si="163"/>
        <v>0</v>
      </c>
      <c r="HL106" s="146"/>
      <c r="HM106" s="57"/>
    </row>
    <row r="107" spans="1:221">
      <c r="A107" s="185">
        <v>2406</v>
      </c>
      <c r="B107" s="185">
        <v>103345</v>
      </c>
      <c r="C107" s="185" t="s">
        <v>237</v>
      </c>
      <c r="D107" s="2" t="s">
        <v>238</v>
      </c>
      <c r="E107" s="190" t="s">
        <v>39</v>
      </c>
      <c r="F107" s="190" t="s">
        <v>890</v>
      </c>
      <c r="H107" s="271">
        <f>_xlfn.IFNA(VLOOKUP($A107,ISB!$A$4:$BY$441,67,FALSE),0)</f>
        <v>1295256.8871569305</v>
      </c>
      <c r="I107" s="271">
        <f>_xlfn.IFNA(VLOOKUP($A107,ISB!$A$4:$BY$441,72,FALSE),0)</f>
        <v>-4980</v>
      </c>
      <c r="J107" s="271">
        <f>-_xlfn.IFNA(VLOOKUP($A107,ISB!$A$4:$BY$441,76,FALSE),0)</f>
        <v>-13562.383400000001</v>
      </c>
      <c r="K107" s="271">
        <f>_xlfn.IFNA(VLOOKUP($A107,ISB!$A$4:$BY$441,77,FALSE),0)</f>
        <v>1276714.5037569306</v>
      </c>
      <c r="M107" s="279">
        <f t="shared" si="164"/>
        <v>107938.07392974421</v>
      </c>
      <c r="N107" s="279"/>
      <c r="O107" s="279">
        <f>_xlfn.IFNA(VLOOKUP($A107,EY!$A:$H,8,FALSE)+(VLOOKUP($A107,EY!$A:$R,18,FALSE)-$T107),0)</f>
        <v>0</v>
      </c>
      <c r="P107" s="280">
        <f>_xlfn.IFNA((VLOOKUP($A107,HN!$A:$M,8,FALSE)/12),0)</f>
        <v>0</v>
      </c>
      <c r="Q107" s="280">
        <f>_xlfn.IFNA((VLOOKUP($A107,HN!$A:$M,12,FALSE)/12),0)</f>
        <v>0</v>
      </c>
      <c r="R107" s="280">
        <f>_xlfn.IFNA((VLOOKUP($A107,HN!$A:$M,9,FALSE)/12),0)</f>
        <v>0</v>
      </c>
      <c r="S107" s="280">
        <f>_xlfn.IFNA((VLOOKUP($A107,'Post 16'!$A:$AR,22,FALSE)/4),0)</f>
        <v>0</v>
      </c>
      <c r="T107" s="280">
        <f>_xlfn.IFNA((VLOOKUP($A107,EY!$A:$R,16,FALSE)*80%),0)</f>
        <v>0</v>
      </c>
      <c r="U107" s="280">
        <v>7032.9441666666671</v>
      </c>
      <c r="V107" s="280">
        <v>0</v>
      </c>
      <c r="W107" s="279">
        <f t="shared" si="165"/>
        <v>-415</v>
      </c>
      <c r="X107" s="279">
        <f t="shared" si="166"/>
        <v>-1130.1986166666668</v>
      </c>
      <c r="Y107" s="280"/>
      <c r="Z107" s="280"/>
      <c r="AA107" s="280"/>
      <c r="AB107" s="279">
        <f t="shared" si="167"/>
        <v>113425.81947974421</v>
      </c>
      <c r="AC107" s="293">
        <f t="shared" si="168"/>
        <v>107938.07392974421</v>
      </c>
      <c r="AD107" s="293"/>
      <c r="AE107" s="293"/>
      <c r="AF107" s="294">
        <f>_xlfn.IFNA((VLOOKUP($A107,HN!$A:$M,8,FALSE)/12),0)</f>
        <v>0</v>
      </c>
      <c r="AG107" s="294">
        <f>_xlfn.IFNA((VLOOKUP($A107,HN!$A:$M,12,FALSE)/12),0)+_xlfn.IFNA(VLOOKUP($A107,HN!$A:$Q,17,FALSE),0)</f>
        <v>0</v>
      </c>
      <c r="AH107" s="294">
        <f>_xlfn.IFNA((VLOOKUP($A107,HN!$A:$M,9,FALSE)/12),0)</f>
        <v>0</v>
      </c>
      <c r="AI107" s="294">
        <f>_xlfn.IFNA((VLOOKUP($A107,'Post 16'!$A:$AR,22,FALSE)/4),0)</f>
        <v>0</v>
      </c>
      <c r="AJ107" s="294"/>
      <c r="AK107" s="294">
        <f>_xlfn.IFNA((VLOOKUP($A107,HN!$A:$M,10,FALSE)/12),0)</f>
        <v>2676.4583333333335</v>
      </c>
      <c r="AL107" s="294">
        <f>_xlfn.IFNA((VLOOKUP($A107,HN!$A:$M,13,FALSE)/12),0)</f>
        <v>0</v>
      </c>
      <c r="AM107" s="293">
        <f t="shared" si="169"/>
        <v>-415</v>
      </c>
      <c r="AN107" s="293">
        <f t="shared" si="170"/>
        <v>-1130.1986166666668</v>
      </c>
      <c r="AO107" s="294"/>
      <c r="AP107" s="294"/>
      <c r="AQ107" s="294"/>
      <c r="AR107" s="293">
        <f t="shared" si="171"/>
        <v>109069.33364641087</v>
      </c>
      <c r="AS107" s="286">
        <f t="shared" si="172"/>
        <v>107938.07392974421</v>
      </c>
      <c r="AT107" s="286"/>
      <c r="AU107" s="286">
        <f>_xlfn.IFNA(VLOOKUP(A107,EY!A:AO,40,FALSE),0)</f>
        <v>0</v>
      </c>
      <c r="AV107" s="287">
        <f>_xlfn.IFNA((VLOOKUP($A107,HN!$A:$M,8,FALSE)/12),0)</f>
        <v>0</v>
      </c>
      <c r="AW107" s="287">
        <f>_xlfn.IFNA((VLOOKUP($A107,HN!$A:$M,12,FALSE)/12),0)+_xlfn.IFNA(VLOOKUP($A107,HN!$A$8:$AU$200,19,FALSE),0)</f>
        <v>0</v>
      </c>
      <c r="AX107" s="287">
        <f>_xlfn.IFNA((VLOOKUP($A107,HN!$A:$M,9,FALSE)/12),0)</f>
        <v>0</v>
      </c>
      <c r="AY107" s="287">
        <f>_xlfn.IFNA((VLOOKUP($A107,'Post 16'!$A:$AR,22,FALSE)/4),0)</f>
        <v>0</v>
      </c>
      <c r="AZ107" s="287">
        <f>_xlfn.IFNA(VLOOKUP(A107,EY!A:AO,41,FALSE),0)</f>
        <v>0</v>
      </c>
      <c r="BA107" s="287">
        <f>_xlfn.IFNA(((VLOOKUP($A107,HN!$A:$M,10,FALSE)-$U107-$AK107)/10),0)+_xlfn.IFNA(VLOOKUP($A107,HN!$A:$R,18,FALSE),0)</f>
        <v>2240.8097499999999</v>
      </c>
      <c r="BB107" s="287">
        <f>_xlfn.IFNA(((VLOOKUP($A107,HN!$A:$M,13,FALSE)-$V107-$AL107)/10),0)+_xlfn.IFNA(VLOOKUP($A107,HN!$A$8:$AU$200,20,FALSE),0)</f>
        <v>0</v>
      </c>
      <c r="BC107" s="286">
        <f t="shared" si="173"/>
        <v>-415</v>
      </c>
      <c r="BD107" s="286">
        <f t="shared" si="174"/>
        <v>-1130.1986166666668</v>
      </c>
      <c r="BE107" s="287"/>
      <c r="BF107" s="287"/>
      <c r="BG107" s="287"/>
      <c r="BH107" s="286">
        <f t="shared" si="175"/>
        <v>108633.68506307754</v>
      </c>
      <c r="BI107" s="307">
        <f t="shared" si="176"/>
        <v>107938.07392974421</v>
      </c>
      <c r="BJ107" s="307">
        <f>_xlfn.IFNA(VLOOKUP(A107,'LA Deductions'!A:AH,34,FALSE),0)</f>
        <v>0</v>
      </c>
      <c r="BK107" s="307"/>
      <c r="BL107" s="308">
        <f>_xlfn.IFNA((VLOOKUP($A107,HN!$A:$M,8,FALSE)/12),0)</f>
        <v>0</v>
      </c>
      <c r="BM107" s="308">
        <f>_xlfn.IFNA((VLOOKUP($A107,HN!$A:$M,12,FALSE)/12),0)</f>
        <v>0</v>
      </c>
      <c r="BN107" s="308">
        <f>_xlfn.IFNA((VLOOKUP($A107,HN!$A:$M,9,FALSE)/12),0)</f>
        <v>0</v>
      </c>
      <c r="BO107" s="308">
        <f>_xlfn.IFNA((VLOOKUP($A107,'Post 16'!$A:$AR,22,FALSE)/4),0)</f>
        <v>0</v>
      </c>
      <c r="BP107" s="308"/>
      <c r="BQ107" s="308">
        <f>_xlfn.IFNA(((VLOOKUP($A107,HN!$A:$M,10,FALSE)-$U107-$AK107)/10),0)</f>
        <v>2240.8097499999999</v>
      </c>
      <c r="BR107" s="308">
        <f>_xlfn.IFNA(((VLOOKUP($A107,HN!$A:$M,13,FALSE)-$V107-$AL107)/10),0)</f>
        <v>0</v>
      </c>
      <c r="BS107" s="307">
        <f t="shared" si="177"/>
        <v>-415</v>
      </c>
      <c r="BT107" s="307">
        <f t="shared" si="178"/>
        <v>-1130.1986166666668</v>
      </c>
      <c r="BU107" s="308"/>
      <c r="BV107" s="308"/>
      <c r="BW107" s="308"/>
      <c r="BX107" s="307">
        <f t="shared" si="179"/>
        <v>108633.68506307754</v>
      </c>
      <c r="BY107" s="300">
        <f t="shared" si="180"/>
        <v>107938.07392974421</v>
      </c>
      <c r="BZ107" s="300"/>
      <c r="CA107" s="300"/>
      <c r="CB107" s="301">
        <f>_xlfn.IFNA((VLOOKUP($A107,HN!$A:$M,8,FALSE)/12),0)</f>
        <v>0</v>
      </c>
      <c r="CC107" s="301">
        <f>_xlfn.IFNA((VLOOKUP($A107,HN!$A:$M,12,FALSE)/12),0)</f>
        <v>0</v>
      </c>
      <c r="CD107" s="301">
        <f>_xlfn.IFNA((VLOOKUP($A107,HN!$A:$M,9,FALSE)/12),0)</f>
        <v>0</v>
      </c>
      <c r="CE107" s="301">
        <f>_xlfn.IFNA((VLOOKUP($A107,'Post 16'!$A:$AG,33,FALSE)/8),0)</f>
        <v>0</v>
      </c>
      <c r="CF107" s="301"/>
      <c r="CG107" s="301">
        <f>_xlfn.IFNA(((VLOOKUP($A107,HN!$A:$M,10,FALSE)-$U107-$AK107)/10),0)</f>
        <v>2240.8097499999999</v>
      </c>
      <c r="CH107" s="301">
        <f>_xlfn.IFNA(((VLOOKUP($A107,HN!$A:$M,13,FALSE)-$V107-$AL107)/10),0)</f>
        <v>0</v>
      </c>
      <c r="CI107" s="300">
        <f t="shared" si="181"/>
        <v>-415</v>
      </c>
      <c r="CJ107" s="300">
        <f t="shared" si="182"/>
        <v>-1130.1986166666668</v>
      </c>
      <c r="CK107" s="301"/>
      <c r="CL107" s="301"/>
      <c r="CM107" s="301"/>
      <c r="CN107" s="300">
        <f t="shared" si="183"/>
        <v>108633.68506307754</v>
      </c>
      <c r="CO107" s="332">
        <f t="shared" si="184"/>
        <v>107938.07392974421</v>
      </c>
      <c r="CP107" s="332"/>
      <c r="CQ107" s="332">
        <f>_xlfn.IFNA((VLOOKUP($A107,EY!$A:$AB,28,FALSE)-$CV107),0)</f>
        <v>0</v>
      </c>
      <c r="CR107" s="333">
        <f>_xlfn.IFNA((VLOOKUP($A107,HN!$A:$M,8,FALSE)/12),0)</f>
        <v>0</v>
      </c>
      <c r="CS107" s="333">
        <f>_xlfn.IFNA((VLOOKUP($A107,HN!$A:$M,12,FALSE)/12),0)</f>
        <v>0</v>
      </c>
      <c r="CT107" s="333">
        <f>_xlfn.IFNA((VLOOKUP($A107,HN!$A:$M,9,FALSE)/12),0)</f>
        <v>0</v>
      </c>
      <c r="CU107" s="333">
        <f>_xlfn.IFNA((VLOOKUP($A107,'Post 16'!$A:$AG,33,FALSE)/8),0)</f>
        <v>0</v>
      </c>
      <c r="CV107" s="333">
        <f>_xlfn.IFNA((VLOOKUP($A107,EY!$A:$AB,26,FALSE)*80%),0)</f>
        <v>0</v>
      </c>
      <c r="CW107" s="333">
        <f>_xlfn.IFNA(((VLOOKUP($A107,HN!$A:$M,10,FALSE)-$U107-$AK107)/10),0)</f>
        <v>2240.8097499999999</v>
      </c>
      <c r="CX107" s="333">
        <f>_xlfn.IFNA(((VLOOKUP($A107,HN!$A:$M,13,FALSE)-$V107-$AL107)/10),0)</f>
        <v>0</v>
      </c>
      <c r="CY107" s="332">
        <f t="shared" si="185"/>
        <v>-415</v>
      </c>
      <c r="CZ107" s="332">
        <f t="shared" si="186"/>
        <v>-1130.1986166666668</v>
      </c>
      <c r="DA107" s="333"/>
      <c r="DB107" s="333"/>
      <c r="DC107" s="333"/>
      <c r="DD107" s="332">
        <f t="shared" si="187"/>
        <v>108633.68506307754</v>
      </c>
      <c r="DE107" s="314">
        <f t="shared" si="188"/>
        <v>107938.07392974421</v>
      </c>
      <c r="DF107" s="314"/>
      <c r="DG107" s="314"/>
      <c r="DH107" s="315">
        <f>_xlfn.IFNA((VLOOKUP($A107,HN!$A:$M,8,FALSE)/12),0)</f>
        <v>0</v>
      </c>
      <c r="DI107" s="315">
        <f>_xlfn.IFNA((VLOOKUP($A107,HN!$A:$M,12,FALSE)/12),0)</f>
        <v>0</v>
      </c>
      <c r="DJ107" s="315">
        <f>_xlfn.IFNA((VLOOKUP($A107,HN!$A:$M,9,FALSE)/12),0)</f>
        <v>0</v>
      </c>
      <c r="DK107" s="315">
        <f>_xlfn.IFNA((VLOOKUP($A107,'Post 16'!$A:$AG,33,FALSE)/8),0)</f>
        <v>0</v>
      </c>
      <c r="DL107" s="315"/>
      <c r="DM107" s="315">
        <f>_xlfn.IFNA(((VLOOKUP($A107,HN!$A:$M,10,FALSE)-$U107-$AK107)/10),0)</f>
        <v>2240.8097499999999</v>
      </c>
      <c r="DN107" s="315">
        <f>_xlfn.IFNA(((VLOOKUP($A107,HN!$A:$M,13,FALSE)-$V107-$AL107)/10),0)</f>
        <v>0</v>
      </c>
      <c r="DO107" s="314">
        <f t="shared" si="189"/>
        <v>-415</v>
      </c>
      <c r="DP107" s="314">
        <f t="shared" si="190"/>
        <v>-1130.1986166666668</v>
      </c>
      <c r="DQ107" s="315"/>
      <c r="DR107" s="315"/>
      <c r="DS107" s="315"/>
      <c r="DT107" s="314">
        <f t="shared" si="191"/>
        <v>108633.68506307754</v>
      </c>
      <c r="DU107" s="307">
        <f t="shared" si="192"/>
        <v>107938.07392974421</v>
      </c>
      <c r="DV107" s="307"/>
      <c r="DW107" s="307"/>
      <c r="DX107" s="308">
        <f>_xlfn.IFNA((VLOOKUP($A107,HN!$A:$M,8,FALSE)/12),0)</f>
        <v>0</v>
      </c>
      <c r="DY107" s="308">
        <f>_xlfn.IFNA((VLOOKUP($A107,HN!$A:$M,12,FALSE)/12),0)</f>
        <v>0</v>
      </c>
      <c r="DZ107" s="308">
        <f>_xlfn.IFNA((VLOOKUP($A107,HN!$A:$M,9,FALSE)/12),0)</f>
        <v>0</v>
      </c>
      <c r="EA107" s="308">
        <f>_xlfn.IFNA((VLOOKUP($A107,'Post 16'!$A:$AG,33,FALSE)/8),0)</f>
        <v>0</v>
      </c>
      <c r="EB107" s="308"/>
      <c r="EC107" s="308">
        <f>_xlfn.IFNA(((VLOOKUP($A107,HN!$A:$M,10,FALSE)-$U107-$AK107)/10),0)</f>
        <v>2240.8097499999999</v>
      </c>
      <c r="ED107" s="308">
        <f>_xlfn.IFNA(((VLOOKUP($A107,HN!$A:$M,13,FALSE)-$V107-$AL107)/10),0)</f>
        <v>0</v>
      </c>
      <c r="EE107" s="307">
        <f t="shared" si="193"/>
        <v>-415</v>
      </c>
      <c r="EF107" s="307">
        <f t="shared" si="194"/>
        <v>-1130.1986166666668</v>
      </c>
      <c r="EG107" s="308"/>
      <c r="EH107" s="308"/>
      <c r="EI107" s="308"/>
      <c r="EJ107" s="307">
        <f t="shared" si="195"/>
        <v>108633.68506307754</v>
      </c>
      <c r="EK107" s="320">
        <f t="shared" si="196"/>
        <v>107938.07392974421</v>
      </c>
      <c r="EL107" s="320"/>
      <c r="EM107" s="320"/>
      <c r="EN107" s="321">
        <f>_xlfn.IFNA((VLOOKUP($A107,HN!$A:$M,8,FALSE)/12),0)</f>
        <v>0</v>
      </c>
      <c r="EO107" s="321">
        <f>_xlfn.IFNA((VLOOKUP($A107,HN!$A:$M,12,FALSE)/12),0)</f>
        <v>0</v>
      </c>
      <c r="EP107" s="321">
        <f>_xlfn.IFNA((VLOOKUP($A107,HN!$A:$M,9,FALSE)/12),0)</f>
        <v>0</v>
      </c>
      <c r="EQ107" s="321">
        <f>_xlfn.IFNA((VLOOKUP($A107,'Post 16'!$A:$AG,33,FALSE)/8),0)</f>
        <v>0</v>
      </c>
      <c r="ER107" s="321"/>
      <c r="ES107" s="321">
        <f>_xlfn.IFNA(((VLOOKUP($A107,HN!$A:$M,10,FALSE)-$U107-$AK107)/10),0)</f>
        <v>2240.8097499999999</v>
      </c>
      <c r="ET107" s="321">
        <f>_xlfn.IFNA(((VLOOKUP($A107,HN!$A:$M,13,FALSE)-$V107-$AL107)/10),0)</f>
        <v>0</v>
      </c>
      <c r="EU107" s="320">
        <f t="shared" si="197"/>
        <v>-415</v>
      </c>
      <c r="EV107" s="320">
        <f t="shared" si="198"/>
        <v>-1130.1986166666668</v>
      </c>
      <c r="EW107" s="321"/>
      <c r="EX107" s="321"/>
      <c r="EY107" s="321"/>
      <c r="EZ107" s="320">
        <f t="shared" si="199"/>
        <v>108633.68506307754</v>
      </c>
      <c r="FA107" s="286">
        <f t="shared" si="200"/>
        <v>107938.07392974421</v>
      </c>
      <c r="FB107" s="286"/>
      <c r="FC107" s="286"/>
      <c r="FD107" s="287">
        <f>_xlfn.IFNA((VLOOKUP($A107,HN!$A:$M,8,FALSE)/12),0)</f>
        <v>0</v>
      </c>
      <c r="FE107" s="287">
        <f>_xlfn.IFNA((VLOOKUP($A107,HN!$A:$M,12,FALSE)/12),0)</f>
        <v>0</v>
      </c>
      <c r="FF107" s="287">
        <f>_xlfn.IFNA((VLOOKUP($A107,HN!$A:$M,9,FALSE)/12),0)</f>
        <v>0</v>
      </c>
      <c r="FG107" s="287">
        <f>_xlfn.IFNA((VLOOKUP($A107,'Post 16'!$A:$AG,33,FALSE)/8),0)</f>
        <v>0</v>
      </c>
      <c r="FH107" s="287"/>
      <c r="FI107" s="287">
        <f>_xlfn.IFNA(((VLOOKUP($A107,HN!$A:$M,10,FALSE)-$U107-$AK107)/10),0)</f>
        <v>2240.8097499999999</v>
      </c>
      <c r="FJ107" s="287">
        <f>_xlfn.IFNA(((VLOOKUP($A107,HN!$A:$M,13,FALSE)-$V107-$AL107)/10),0)</f>
        <v>0</v>
      </c>
      <c r="FK107" s="286">
        <f t="shared" si="201"/>
        <v>-415</v>
      </c>
      <c r="FL107" s="286">
        <f t="shared" si="202"/>
        <v>-1130.1986166666668</v>
      </c>
      <c r="FM107" s="287"/>
      <c r="FN107" s="287"/>
      <c r="FO107" s="287"/>
      <c r="FP107" s="286">
        <f t="shared" si="203"/>
        <v>108633.68506307754</v>
      </c>
      <c r="FQ107" s="293">
        <f t="shared" si="204"/>
        <v>107938.07392974421</v>
      </c>
      <c r="FR107" s="293"/>
      <c r="FS107" s="293"/>
      <c r="FT107" s="294">
        <f>_xlfn.IFNA((VLOOKUP($A107,HN!$A:$M,8,FALSE)/12),0)</f>
        <v>0</v>
      </c>
      <c r="FU107" s="294">
        <f>_xlfn.IFNA((VLOOKUP($A107,HN!$A:$M,12,FALSE)/12),0)</f>
        <v>0</v>
      </c>
      <c r="FV107" s="294">
        <f>_xlfn.IFNA((VLOOKUP($A107,HN!$A:$M,9,FALSE)/12),0)</f>
        <v>0</v>
      </c>
      <c r="FW107" s="294">
        <f>_xlfn.IFNA((VLOOKUP($A107,'Post 16'!$A:$AG,33,FALSE)/8),0)</f>
        <v>0</v>
      </c>
      <c r="FX107" s="294"/>
      <c r="FY107" s="294">
        <f>_xlfn.IFNA(((VLOOKUP($A107,HN!$A:$M,10,FALSE)-$U107-$AK107)/10),0)</f>
        <v>2240.8097499999999</v>
      </c>
      <c r="FZ107" s="294">
        <f>_xlfn.IFNA(((VLOOKUP($A107,HN!$A:$M,13,FALSE)-$V107-$AL107)/10),0)</f>
        <v>0</v>
      </c>
      <c r="GA107" s="293">
        <f t="shared" si="205"/>
        <v>-415</v>
      </c>
      <c r="GB107" s="293">
        <f t="shared" si="206"/>
        <v>-1130.1986166666668</v>
      </c>
      <c r="GC107" s="294"/>
      <c r="GD107" s="294"/>
      <c r="GE107" s="294"/>
      <c r="GF107" s="293">
        <f t="shared" si="207"/>
        <v>108633.68506307754</v>
      </c>
      <c r="GG107" s="300">
        <f t="shared" si="208"/>
        <v>107938.07392974421</v>
      </c>
      <c r="GH107" s="300"/>
      <c r="GI107" s="300"/>
      <c r="GJ107" s="301">
        <f>_xlfn.IFNA((VLOOKUP($A107,HN!$A:$M,8,FALSE)/12),0)</f>
        <v>0</v>
      </c>
      <c r="GK107" s="301">
        <f>_xlfn.IFNA((VLOOKUP($A107,HN!$A:$M,12,FALSE)/12),0)</f>
        <v>0</v>
      </c>
      <c r="GL107" s="301">
        <f>_xlfn.IFNA((VLOOKUP($A107,HN!$A:$M,9,FALSE)/12),0)</f>
        <v>0</v>
      </c>
      <c r="GM107" s="301">
        <f>_xlfn.IFNA((VLOOKUP($A107,'Post 16'!$A:$AG,33,FALSE)/8),0)</f>
        <v>0</v>
      </c>
      <c r="GN107" s="301"/>
      <c r="GO107" s="301">
        <f>_xlfn.IFNA(((VLOOKUP($A107,HN!$A:$M,10,FALSE)-$U107-$AK107)/10),0)</f>
        <v>2240.8097499999999</v>
      </c>
      <c r="GP107" s="301">
        <f>_xlfn.IFNA(((VLOOKUP($A107,HN!$A:$M,13,FALSE)-$V107-$AL107)/10),0)</f>
        <v>0</v>
      </c>
      <c r="GQ107" s="300">
        <f t="shared" si="209"/>
        <v>-415</v>
      </c>
      <c r="GR107" s="300">
        <f t="shared" si="210"/>
        <v>-1130.1986166666668</v>
      </c>
      <c r="GS107" s="301"/>
      <c r="GT107" s="301"/>
      <c r="GU107" s="301"/>
      <c r="GV107" s="300">
        <f t="shared" si="211"/>
        <v>108633.68506307754</v>
      </c>
      <c r="GX107" s="146">
        <f t="shared" si="162"/>
        <v>1295256.8871569308</v>
      </c>
      <c r="GY107" s="146">
        <f t="shared" si="162"/>
        <v>0</v>
      </c>
      <c r="GZ107" s="146">
        <f t="shared" si="162"/>
        <v>32117.500000000004</v>
      </c>
      <c r="HA107" s="146">
        <f t="shared" si="162"/>
        <v>-4980</v>
      </c>
      <c r="HB107" s="146">
        <f t="shared" si="162"/>
        <v>-13562.383400000001</v>
      </c>
      <c r="HC107" s="146">
        <f t="shared" si="162"/>
        <v>0</v>
      </c>
      <c r="HE107" s="146">
        <f t="shared" si="163"/>
        <v>323814.22178923263</v>
      </c>
      <c r="HF107" s="146">
        <f t="shared" si="163"/>
        <v>0</v>
      </c>
      <c r="HG107" s="146">
        <f t="shared" si="163"/>
        <v>11950.21225</v>
      </c>
      <c r="HH107" s="146">
        <f t="shared" si="163"/>
        <v>-1245</v>
      </c>
      <c r="HI107" s="146">
        <f t="shared" si="163"/>
        <v>-3390.5958500000006</v>
      </c>
      <c r="HJ107" s="146">
        <f t="shared" si="163"/>
        <v>0</v>
      </c>
      <c r="HL107" s="146"/>
      <c r="HM107" s="57"/>
    </row>
    <row r="108" spans="1:221">
      <c r="A108" s="185">
        <v>2416</v>
      </c>
      <c r="B108" s="185">
        <v>103351</v>
      </c>
      <c r="C108" s="185" t="s">
        <v>239</v>
      </c>
      <c r="D108" s="2" t="s">
        <v>240</v>
      </c>
      <c r="E108" s="190" t="s">
        <v>39</v>
      </c>
      <c r="F108" s="190" t="s">
        <v>890</v>
      </c>
      <c r="H108" s="271">
        <f>_xlfn.IFNA(VLOOKUP($A108,ISB!$A$4:$BY$441,67,FALSE),0)</f>
        <v>2233019.0279999999</v>
      </c>
      <c r="I108" s="271">
        <f>_xlfn.IFNA(VLOOKUP($A108,ISB!$A$4:$BY$441,72,FALSE),0)</f>
        <v>-10657.199999999999</v>
      </c>
      <c r="J108" s="271">
        <f>-_xlfn.IFNA(VLOOKUP($A108,ISB!$A$4:$BY$441,76,FALSE),0)</f>
        <v>-43799.027999999998</v>
      </c>
      <c r="K108" s="271">
        <f>_xlfn.IFNA(VLOOKUP($A108,ISB!$A$4:$BY$441,77,FALSE),0)</f>
        <v>2178562.7999999998</v>
      </c>
      <c r="M108" s="279">
        <f t="shared" si="164"/>
        <v>186084.91899999999</v>
      </c>
      <c r="N108" s="279"/>
      <c r="O108" s="279">
        <f>_xlfn.IFNA(VLOOKUP($A108,EY!$A:$H,8,FALSE)+(VLOOKUP($A108,EY!$A:$R,18,FALSE)-$T108),0)</f>
        <v>0</v>
      </c>
      <c r="P108" s="280">
        <f>_xlfn.IFNA((VLOOKUP($A108,HN!$A:$M,8,FALSE)/12),0)</f>
        <v>0</v>
      </c>
      <c r="Q108" s="280">
        <f>_xlfn.IFNA((VLOOKUP($A108,HN!$A:$M,12,FALSE)/12),0)</f>
        <v>0</v>
      </c>
      <c r="R108" s="280">
        <f>_xlfn.IFNA((VLOOKUP($A108,HN!$A:$M,9,FALSE)/12),0)</f>
        <v>0</v>
      </c>
      <c r="S108" s="280">
        <f>_xlfn.IFNA((VLOOKUP($A108,'Post 16'!$A:$AR,22,FALSE)/4),0)</f>
        <v>0</v>
      </c>
      <c r="T108" s="280">
        <f>_xlfn.IFNA((VLOOKUP($A108,EY!$A:$R,16,FALSE)*80%),0)</f>
        <v>0</v>
      </c>
      <c r="U108" s="280">
        <v>9342.3266666666659</v>
      </c>
      <c r="V108" s="280">
        <v>0</v>
      </c>
      <c r="W108" s="279">
        <f t="shared" si="165"/>
        <v>-888.09999999999991</v>
      </c>
      <c r="X108" s="279">
        <f t="shared" si="166"/>
        <v>-3649.9189999999999</v>
      </c>
      <c r="Y108" s="280"/>
      <c r="Z108" s="280"/>
      <c r="AA108" s="280"/>
      <c r="AB108" s="279">
        <f t="shared" si="167"/>
        <v>190889.22666666665</v>
      </c>
      <c r="AC108" s="293">
        <f t="shared" si="168"/>
        <v>186084.91899999999</v>
      </c>
      <c r="AD108" s="293"/>
      <c r="AE108" s="293"/>
      <c r="AF108" s="294">
        <f>_xlfn.IFNA((VLOOKUP($A108,HN!$A:$M,8,FALSE)/12),0)</f>
        <v>0</v>
      </c>
      <c r="AG108" s="294">
        <f>_xlfn.IFNA((VLOOKUP($A108,HN!$A:$M,12,FALSE)/12),0)+_xlfn.IFNA(VLOOKUP($A108,HN!$A:$Q,17,FALSE),0)</f>
        <v>0</v>
      </c>
      <c r="AH108" s="294">
        <f>_xlfn.IFNA((VLOOKUP($A108,HN!$A:$M,9,FALSE)/12),0)</f>
        <v>0</v>
      </c>
      <c r="AI108" s="294">
        <f>_xlfn.IFNA((VLOOKUP($A108,'Post 16'!$A:$AR,22,FALSE)/4),0)</f>
        <v>0</v>
      </c>
      <c r="AJ108" s="294"/>
      <c r="AK108" s="294">
        <f>_xlfn.IFNA((VLOOKUP($A108,HN!$A:$M,10,FALSE)/12),0)</f>
        <v>3412.375</v>
      </c>
      <c r="AL108" s="294">
        <f>_xlfn.IFNA((VLOOKUP($A108,HN!$A:$M,13,FALSE)/12),0)</f>
        <v>0</v>
      </c>
      <c r="AM108" s="293">
        <f t="shared" si="169"/>
        <v>-888.09999999999991</v>
      </c>
      <c r="AN108" s="293">
        <f t="shared" si="170"/>
        <v>-3649.9189999999999</v>
      </c>
      <c r="AO108" s="294"/>
      <c r="AP108" s="294"/>
      <c r="AQ108" s="294"/>
      <c r="AR108" s="293">
        <f t="shared" si="171"/>
        <v>184959.27499999999</v>
      </c>
      <c r="AS108" s="286">
        <f t="shared" si="172"/>
        <v>186084.91899999999</v>
      </c>
      <c r="AT108" s="286"/>
      <c r="AU108" s="286">
        <f>_xlfn.IFNA(VLOOKUP(A108,EY!A:AO,40,FALSE),0)</f>
        <v>0</v>
      </c>
      <c r="AV108" s="287">
        <f>_xlfn.IFNA((VLOOKUP($A108,HN!$A:$M,8,FALSE)/12),0)</f>
        <v>0</v>
      </c>
      <c r="AW108" s="287">
        <f>_xlfn.IFNA((VLOOKUP($A108,HN!$A:$M,12,FALSE)/12),0)+_xlfn.IFNA(VLOOKUP($A108,HN!$A$8:$AU$200,19,FALSE),0)</f>
        <v>0</v>
      </c>
      <c r="AX108" s="287">
        <f>_xlfn.IFNA((VLOOKUP($A108,HN!$A:$M,9,FALSE)/12),0)</f>
        <v>0</v>
      </c>
      <c r="AY108" s="287">
        <f>_xlfn.IFNA((VLOOKUP($A108,'Post 16'!$A:$AR,22,FALSE)/4),0)</f>
        <v>0</v>
      </c>
      <c r="AZ108" s="287">
        <f>_xlfn.IFNA(VLOOKUP(A108,EY!A:AO,41,FALSE),0)</f>
        <v>0</v>
      </c>
      <c r="BA108" s="287">
        <f>_xlfn.IFNA(((VLOOKUP($A108,HN!$A:$M,10,FALSE)-$U108-$AK108)/10),0)+_xlfn.IFNA(VLOOKUP($A108,HN!$A:$R,18,FALSE),0)</f>
        <v>2819.3798333333334</v>
      </c>
      <c r="BB108" s="287">
        <f>_xlfn.IFNA(((VLOOKUP($A108,HN!$A:$M,13,FALSE)-$V108-$AL108)/10),0)+_xlfn.IFNA(VLOOKUP($A108,HN!$A$8:$AU$200,20,FALSE),0)</f>
        <v>0</v>
      </c>
      <c r="BC108" s="286">
        <f t="shared" si="173"/>
        <v>-888.09999999999991</v>
      </c>
      <c r="BD108" s="286">
        <f t="shared" si="174"/>
        <v>-3649.9189999999999</v>
      </c>
      <c r="BE108" s="287"/>
      <c r="BF108" s="287"/>
      <c r="BG108" s="287"/>
      <c r="BH108" s="286">
        <f t="shared" si="175"/>
        <v>184366.27983333333</v>
      </c>
      <c r="BI108" s="307">
        <f t="shared" si="176"/>
        <v>186084.91899999999</v>
      </c>
      <c r="BJ108" s="307">
        <f>_xlfn.IFNA(VLOOKUP(A108,'LA Deductions'!A:AH,34,FALSE),0)</f>
        <v>0</v>
      </c>
      <c r="BK108" s="307"/>
      <c r="BL108" s="308">
        <f>_xlfn.IFNA((VLOOKUP($A108,HN!$A:$M,8,FALSE)/12),0)</f>
        <v>0</v>
      </c>
      <c r="BM108" s="308">
        <f>_xlfn.IFNA((VLOOKUP($A108,HN!$A:$M,12,FALSE)/12),0)</f>
        <v>0</v>
      </c>
      <c r="BN108" s="308">
        <f>_xlfn.IFNA((VLOOKUP($A108,HN!$A:$M,9,FALSE)/12),0)</f>
        <v>0</v>
      </c>
      <c r="BO108" s="308">
        <f>_xlfn.IFNA((VLOOKUP($A108,'Post 16'!$A:$AR,22,FALSE)/4),0)</f>
        <v>0</v>
      </c>
      <c r="BP108" s="308"/>
      <c r="BQ108" s="308">
        <f>_xlfn.IFNA(((VLOOKUP($A108,HN!$A:$M,10,FALSE)-$U108-$AK108)/10),0)</f>
        <v>2819.3798333333334</v>
      </c>
      <c r="BR108" s="308">
        <f>_xlfn.IFNA(((VLOOKUP($A108,HN!$A:$M,13,FALSE)-$V108-$AL108)/10),0)</f>
        <v>0</v>
      </c>
      <c r="BS108" s="307">
        <f t="shared" si="177"/>
        <v>-888.09999999999991</v>
      </c>
      <c r="BT108" s="307">
        <f t="shared" si="178"/>
        <v>-3649.9189999999999</v>
      </c>
      <c r="BU108" s="308"/>
      <c r="BV108" s="308"/>
      <c r="BW108" s="308"/>
      <c r="BX108" s="307">
        <f t="shared" si="179"/>
        <v>184366.27983333333</v>
      </c>
      <c r="BY108" s="300">
        <f t="shared" si="180"/>
        <v>186084.91899999999</v>
      </c>
      <c r="BZ108" s="300"/>
      <c r="CA108" s="300"/>
      <c r="CB108" s="301">
        <f>_xlfn.IFNA((VLOOKUP($A108,HN!$A:$M,8,FALSE)/12),0)</f>
        <v>0</v>
      </c>
      <c r="CC108" s="301">
        <f>_xlfn.IFNA((VLOOKUP($A108,HN!$A:$M,12,FALSE)/12),0)</f>
        <v>0</v>
      </c>
      <c r="CD108" s="301">
        <f>_xlfn.IFNA((VLOOKUP($A108,HN!$A:$M,9,FALSE)/12),0)</f>
        <v>0</v>
      </c>
      <c r="CE108" s="301">
        <f>_xlfn.IFNA((VLOOKUP($A108,'Post 16'!$A:$AG,33,FALSE)/8),0)</f>
        <v>0</v>
      </c>
      <c r="CF108" s="301"/>
      <c r="CG108" s="301">
        <f>_xlfn.IFNA(((VLOOKUP($A108,HN!$A:$M,10,FALSE)-$U108-$AK108)/10),0)</f>
        <v>2819.3798333333334</v>
      </c>
      <c r="CH108" s="301">
        <f>_xlfn.IFNA(((VLOOKUP($A108,HN!$A:$M,13,FALSE)-$V108-$AL108)/10),0)</f>
        <v>0</v>
      </c>
      <c r="CI108" s="300">
        <f t="shared" si="181"/>
        <v>-888.09999999999991</v>
      </c>
      <c r="CJ108" s="300">
        <f t="shared" si="182"/>
        <v>-3649.9189999999999</v>
      </c>
      <c r="CK108" s="301"/>
      <c r="CL108" s="301"/>
      <c r="CM108" s="301"/>
      <c r="CN108" s="300">
        <f t="shared" si="183"/>
        <v>184366.27983333333</v>
      </c>
      <c r="CO108" s="332">
        <f t="shared" si="184"/>
        <v>186084.91899999999</v>
      </c>
      <c r="CP108" s="332"/>
      <c r="CQ108" s="332">
        <f>_xlfn.IFNA((VLOOKUP($A108,EY!$A:$AB,28,FALSE)-$CV108),0)</f>
        <v>0</v>
      </c>
      <c r="CR108" s="333">
        <f>_xlfn.IFNA((VLOOKUP($A108,HN!$A:$M,8,FALSE)/12),0)</f>
        <v>0</v>
      </c>
      <c r="CS108" s="333">
        <f>_xlfn.IFNA((VLOOKUP($A108,HN!$A:$M,12,FALSE)/12),0)</f>
        <v>0</v>
      </c>
      <c r="CT108" s="333">
        <f>_xlfn.IFNA((VLOOKUP($A108,HN!$A:$M,9,FALSE)/12),0)</f>
        <v>0</v>
      </c>
      <c r="CU108" s="333">
        <f>_xlfn.IFNA((VLOOKUP($A108,'Post 16'!$A:$AG,33,FALSE)/8),0)</f>
        <v>0</v>
      </c>
      <c r="CV108" s="333">
        <f>_xlfn.IFNA((VLOOKUP($A108,EY!$A:$AB,26,FALSE)*80%),0)</f>
        <v>0</v>
      </c>
      <c r="CW108" s="333">
        <f>_xlfn.IFNA(((VLOOKUP($A108,HN!$A:$M,10,FALSE)-$U108-$AK108)/10),0)</f>
        <v>2819.3798333333334</v>
      </c>
      <c r="CX108" s="333">
        <f>_xlfn.IFNA(((VLOOKUP($A108,HN!$A:$M,13,FALSE)-$V108-$AL108)/10),0)</f>
        <v>0</v>
      </c>
      <c r="CY108" s="332">
        <f t="shared" si="185"/>
        <v>-888.09999999999991</v>
      </c>
      <c r="CZ108" s="332">
        <f t="shared" si="186"/>
        <v>-3649.9189999999999</v>
      </c>
      <c r="DA108" s="333"/>
      <c r="DB108" s="333"/>
      <c r="DC108" s="333"/>
      <c r="DD108" s="332">
        <f t="shared" si="187"/>
        <v>184366.27983333333</v>
      </c>
      <c r="DE108" s="314">
        <f t="shared" si="188"/>
        <v>186084.91899999999</v>
      </c>
      <c r="DF108" s="314"/>
      <c r="DG108" s="314"/>
      <c r="DH108" s="315">
        <f>_xlfn.IFNA((VLOOKUP($A108,HN!$A:$M,8,FALSE)/12),0)</f>
        <v>0</v>
      </c>
      <c r="DI108" s="315">
        <f>_xlfn.IFNA((VLOOKUP($A108,HN!$A:$M,12,FALSE)/12),0)</f>
        <v>0</v>
      </c>
      <c r="DJ108" s="315">
        <f>_xlfn.IFNA((VLOOKUP($A108,HN!$A:$M,9,FALSE)/12),0)</f>
        <v>0</v>
      </c>
      <c r="DK108" s="315">
        <f>_xlfn.IFNA((VLOOKUP($A108,'Post 16'!$A:$AG,33,FALSE)/8),0)</f>
        <v>0</v>
      </c>
      <c r="DL108" s="315"/>
      <c r="DM108" s="315">
        <f>_xlfn.IFNA(((VLOOKUP($A108,HN!$A:$M,10,FALSE)-$U108-$AK108)/10),0)</f>
        <v>2819.3798333333334</v>
      </c>
      <c r="DN108" s="315">
        <f>_xlfn.IFNA(((VLOOKUP($A108,HN!$A:$M,13,FALSE)-$V108-$AL108)/10),0)</f>
        <v>0</v>
      </c>
      <c r="DO108" s="314">
        <f t="shared" si="189"/>
        <v>-888.09999999999991</v>
      </c>
      <c r="DP108" s="314">
        <f t="shared" si="190"/>
        <v>-3649.9189999999999</v>
      </c>
      <c r="DQ108" s="315"/>
      <c r="DR108" s="315"/>
      <c r="DS108" s="315"/>
      <c r="DT108" s="314">
        <f t="shared" si="191"/>
        <v>184366.27983333333</v>
      </c>
      <c r="DU108" s="307">
        <f t="shared" si="192"/>
        <v>186084.91899999999</v>
      </c>
      <c r="DV108" s="307"/>
      <c r="DW108" s="307"/>
      <c r="DX108" s="308">
        <f>_xlfn.IFNA((VLOOKUP($A108,HN!$A:$M,8,FALSE)/12),0)</f>
        <v>0</v>
      </c>
      <c r="DY108" s="308">
        <f>_xlfn.IFNA((VLOOKUP($A108,HN!$A:$M,12,FALSE)/12),0)</f>
        <v>0</v>
      </c>
      <c r="DZ108" s="308">
        <f>_xlfn.IFNA((VLOOKUP($A108,HN!$A:$M,9,FALSE)/12),0)</f>
        <v>0</v>
      </c>
      <c r="EA108" s="308">
        <f>_xlfn.IFNA((VLOOKUP($A108,'Post 16'!$A:$AG,33,FALSE)/8),0)</f>
        <v>0</v>
      </c>
      <c r="EB108" s="308"/>
      <c r="EC108" s="308">
        <f>_xlfn.IFNA(((VLOOKUP($A108,HN!$A:$M,10,FALSE)-$U108-$AK108)/10),0)</f>
        <v>2819.3798333333334</v>
      </c>
      <c r="ED108" s="308">
        <f>_xlfn.IFNA(((VLOOKUP($A108,HN!$A:$M,13,FALSE)-$V108-$AL108)/10),0)</f>
        <v>0</v>
      </c>
      <c r="EE108" s="307">
        <f t="shared" si="193"/>
        <v>-888.09999999999991</v>
      </c>
      <c r="EF108" s="307">
        <f t="shared" si="194"/>
        <v>-3649.9189999999999</v>
      </c>
      <c r="EG108" s="308"/>
      <c r="EH108" s="308"/>
      <c r="EI108" s="308"/>
      <c r="EJ108" s="307">
        <f t="shared" si="195"/>
        <v>184366.27983333333</v>
      </c>
      <c r="EK108" s="320">
        <f t="shared" si="196"/>
        <v>186084.91899999999</v>
      </c>
      <c r="EL108" s="320"/>
      <c r="EM108" s="320"/>
      <c r="EN108" s="321">
        <f>_xlfn.IFNA((VLOOKUP($A108,HN!$A:$M,8,FALSE)/12),0)</f>
        <v>0</v>
      </c>
      <c r="EO108" s="321">
        <f>_xlfn.IFNA((VLOOKUP($A108,HN!$A:$M,12,FALSE)/12),0)</f>
        <v>0</v>
      </c>
      <c r="EP108" s="321">
        <f>_xlfn.IFNA((VLOOKUP($A108,HN!$A:$M,9,FALSE)/12),0)</f>
        <v>0</v>
      </c>
      <c r="EQ108" s="321">
        <f>_xlfn.IFNA((VLOOKUP($A108,'Post 16'!$A:$AG,33,FALSE)/8),0)</f>
        <v>0</v>
      </c>
      <c r="ER108" s="321"/>
      <c r="ES108" s="321">
        <f>_xlfn.IFNA(((VLOOKUP($A108,HN!$A:$M,10,FALSE)-$U108-$AK108)/10),0)</f>
        <v>2819.3798333333334</v>
      </c>
      <c r="ET108" s="321">
        <f>_xlfn.IFNA(((VLOOKUP($A108,HN!$A:$M,13,FALSE)-$V108-$AL108)/10),0)</f>
        <v>0</v>
      </c>
      <c r="EU108" s="320">
        <f t="shared" si="197"/>
        <v>-888.09999999999991</v>
      </c>
      <c r="EV108" s="320">
        <f t="shared" si="198"/>
        <v>-3649.9189999999999</v>
      </c>
      <c r="EW108" s="321"/>
      <c r="EX108" s="321"/>
      <c r="EY108" s="321"/>
      <c r="EZ108" s="320">
        <f t="shared" si="199"/>
        <v>184366.27983333333</v>
      </c>
      <c r="FA108" s="286">
        <f t="shared" si="200"/>
        <v>186084.91899999999</v>
      </c>
      <c r="FB108" s="286"/>
      <c r="FC108" s="286"/>
      <c r="FD108" s="287">
        <f>_xlfn.IFNA((VLOOKUP($A108,HN!$A:$M,8,FALSE)/12),0)</f>
        <v>0</v>
      </c>
      <c r="FE108" s="287">
        <f>_xlfn.IFNA((VLOOKUP($A108,HN!$A:$M,12,FALSE)/12),0)</f>
        <v>0</v>
      </c>
      <c r="FF108" s="287">
        <f>_xlfn.IFNA((VLOOKUP($A108,HN!$A:$M,9,FALSE)/12),0)</f>
        <v>0</v>
      </c>
      <c r="FG108" s="287">
        <f>_xlfn.IFNA((VLOOKUP($A108,'Post 16'!$A:$AG,33,FALSE)/8),0)</f>
        <v>0</v>
      </c>
      <c r="FH108" s="287"/>
      <c r="FI108" s="287">
        <f>_xlfn.IFNA(((VLOOKUP($A108,HN!$A:$M,10,FALSE)-$U108-$AK108)/10),0)</f>
        <v>2819.3798333333334</v>
      </c>
      <c r="FJ108" s="287">
        <f>_xlfn.IFNA(((VLOOKUP($A108,HN!$A:$M,13,FALSE)-$V108-$AL108)/10),0)</f>
        <v>0</v>
      </c>
      <c r="FK108" s="286">
        <f t="shared" si="201"/>
        <v>-888.09999999999991</v>
      </c>
      <c r="FL108" s="286">
        <f t="shared" si="202"/>
        <v>-3649.9189999999999</v>
      </c>
      <c r="FM108" s="287"/>
      <c r="FN108" s="287"/>
      <c r="FO108" s="287"/>
      <c r="FP108" s="286">
        <f t="shared" si="203"/>
        <v>184366.27983333333</v>
      </c>
      <c r="FQ108" s="293">
        <f t="shared" si="204"/>
        <v>186084.91899999999</v>
      </c>
      <c r="FR108" s="293"/>
      <c r="FS108" s="293"/>
      <c r="FT108" s="294">
        <f>_xlfn.IFNA((VLOOKUP($A108,HN!$A:$M,8,FALSE)/12),0)</f>
        <v>0</v>
      </c>
      <c r="FU108" s="294">
        <f>_xlfn.IFNA((VLOOKUP($A108,HN!$A:$M,12,FALSE)/12),0)</f>
        <v>0</v>
      </c>
      <c r="FV108" s="294">
        <f>_xlfn.IFNA((VLOOKUP($A108,HN!$A:$M,9,FALSE)/12),0)</f>
        <v>0</v>
      </c>
      <c r="FW108" s="294">
        <f>_xlfn.IFNA((VLOOKUP($A108,'Post 16'!$A:$AG,33,FALSE)/8),0)</f>
        <v>0</v>
      </c>
      <c r="FX108" s="294"/>
      <c r="FY108" s="294">
        <f>_xlfn.IFNA(((VLOOKUP($A108,HN!$A:$M,10,FALSE)-$U108-$AK108)/10),0)</f>
        <v>2819.3798333333334</v>
      </c>
      <c r="FZ108" s="294">
        <f>_xlfn.IFNA(((VLOOKUP($A108,HN!$A:$M,13,FALSE)-$V108-$AL108)/10),0)</f>
        <v>0</v>
      </c>
      <c r="GA108" s="293">
        <f t="shared" si="205"/>
        <v>-888.09999999999991</v>
      </c>
      <c r="GB108" s="293">
        <f t="shared" si="206"/>
        <v>-3649.9189999999999</v>
      </c>
      <c r="GC108" s="294"/>
      <c r="GD108" s="294"/>
      <c r="GE108" s="294"/>
      <c r="GF108" s="293">
        <f t="shared" si="207"/>
        <v>184366.27983333333</v>
      </c>
      <c r="GG108" s="300">
        <f t="shared" si="208"/>
        <v>186084.91899999999</v>
      </c>
      <c r="GH108" s="300"/>
      <c r="GI108" s="300"/>
      <c r="GJ108" s="301">
        <f>_xlfn.IFNA((VLOOKUP($A108,HN!$A:$M,8,FALSE)/12),0)</f>
        <v>0</v>
      </c>
      <c r="GK108" s="301">
        <f>_xlfn.IFNA((VLOOKUP($A108,HN!$A:$M,12,FALSE)/12),0)</f>
        <v>0</v>
      </c>
      <c r="GL108" s="301">
        <f>_xlfn.IFNA((VLOOKUP($A108,HN!$A:$M,9,FALSE)/12),0)</f>
        <v>0</v>
      </c>
      <c r="GM108" s="301">
        <f>_xlfn.IFNA((VLOOKUP($A108,'Post 16'!$A:$AG,33,FALSE)/8),0)</f>
        <v>0</v>
      </c>
      <c r="GN108" s="301"/>
      <c r="GO108" s="301">
        <f>_xlfn.IFNA(((VLOOKUP($A108,HN!$A:$M,10,FALSE)-$U108-$AK108)/10),0)</f>
        <v>2819.3798333333334</v>
      </c>
      <c r="GP108" s="301">
        <f>_xlfn.IFNA(((VLOOKUP($A108,HN!$A:$M,13,FALSE)-$V108-$AL108)/10),0)</f>
        <v>0</v>
      </c>
      <c r="GQ108" s="300">
        <f t="shared" si="209"/>
        <v>-888.09999999999991</v>
      </c>
      <c r="GR108" s="300">
        <f t="shared" si="210"/>
        <v>-3649.9189999999999</v>
      </c>
      <c r="GS108" s="301"/>
      <c r="GT108" s="301"/>
      <c r="GU108" s="301"/>
      <c r="GV108" s="300">
        <f t="shared" si="211"/>
        <v>184366.27983333333</v>
      </c>
      <c r="GX108" s="146">
        <f t="shared" ref="GX108:HC117" si="212">SUMIFS($M108:$GV108,$M$7:$GV$7,GX$7)</f>
        <v>2233019.0279999999</v>
      </c>
      <c r="GY108" s="146">
        <f t="shared" si="212"/>
        <v>0</v>
      </c>
      <c r="GZ108" s="146">
        <f t="shared" si="212"/>
        <v>40948.499999999993</v>
      </c>
      <c r="HA108" s="146">
        <f t="shared" si="212"/>
        <v>-10657.200000000003</v>
      </c>
      <c r="HB108" s="146">
        <f t="shared" si="212"/>
        <v>-43799.028000000013</v>
      </c>
      <c r="HC108" s="146">
        <f t="shared" si="212"/>
        <v>0</v>
      </c>
      <c r="HE108" s="146">
        <f t="shared" ref="HE108:HJ117" si="213">SUMIFS($M108:$GV108,$M$7:$GV$7,HE$7,$M$4:$GV$4,$HE$6)</f>
        <v>558254.75699999998</v>
      </c>
      <c r="HF108" s="146">
        <f t="shared" si="213"/>
        <v>0</v>
      </c>
      <c r="HG108" s="146">
        <f t="shared" si="213"/>
        <v>15574.0815</v>
      </c>
      <c r="HH108" s="146">
        <f t="shared" si="213"/>
        <v>-2664.2999999999997</v>
      </c>
      <c r="HI108" s="146">
        <f t="shared" si="213"/>
        <v>-10949.757</v>
      </c>
      <c r="HJ108" s="146">
        <f t="shared" si="213"/>
        <v>0</v>
      </c>
      <c r="HL108" s="146"/>
      <c r="HM108" s="57"/>
    </row>
    <row r="109" spans="1:221">
      <c r="A109" s="185">
        <v>3003</v>
      </c>
      <c r="B109" s="185">
        <v>103398</v>
      </c>
      <c r="C109" s="185" t="s">
        <v>241</v>
      </c>
      <c r="D109" s="2" t="s">
        <v>242</v>
      </c>
      <c r="E109" s="190" t="s">
        <v>39</v>
      </c>
      <c r="F109" s="190" t="s">
        <v>890</v>
      </c>
      <c r="H109" s="271">
        <f>_xlfn.IFNA(VLOOKUP($A109,ISB!$A$4:$BY$441,67,FALSE),0)</f>
        <v>1167651.197459213</v>
      </c>
      <c r="I109" s="271">
        <f>_xlfn.IFNA(VLOOKUP($A109,ISB!$A$4:$BY$441,72,FALSE),0)</f>
        <v>-5253.9</v>
      </c>
      <c r="J109" s="271">
        <f>-_xlfn.IFNA(VLOOKUP($A109,ISB!$A$4:$BY$441,76,FALSE),0)</f>
        <v>-23832.926100000001</v>
      </c>
      <c r="K109" s="271">
        <f>_xlfn.IFNA(VLOOKUP($A109,ISB!$A$4:$BY$441,77,FALSE),0)</f>
        <v>1138564.371359213</v>
      </c>
      <c r="M109" s="279">
        <f t="shared" si="164"/>
        <v>97304.266454934419</v>
      </c>
      <c r="N109" s="279"/>
      <c r="O109" s="279">
        <f>_xlfn.IFNA(VLOOKUP($A109,EY!$A:$H,8,FALSE)+(VLOOKUP($A109,EY!$A:$R,18,FALSE)-$T109),0)</f>
        <v>0</v>
      </c>
      <c r="P109" s="280">
        <f>_xlfn.IFNA((VLOOKUP($A109,HN!$A:$M,8,FALSE)/12),0)</f>
        <v>0</v>
      </c>
      <c r="Q109" s="280">
        <f>_xlfn.IFNA((VLOOKUP($A109,HN!$A:$M,12,FALSE)/12),0)</f>
        <v>0</v>
      </c>
      <c r="R109" s="280">
        <f>_xlfn.IFNA((VLOOKUP($A109,HN!$A:$M,9,FALSE)/12),0)</f>
        <v>0</v>
      </c>
      <c r="S109" s="280">
        <f>_xlfn.IFNA((VLOOKUP($A109,'Post 16'!$A:$AR,22,FALSE)/4),0)</f>
        <v>0</v>
      </c>
      <c r="T109" s="280">
        <f>_xlfn.IFNA((VLOOKUP($A109,EY!$A:$R,16,FALSE)*80%),0)</f>
        <v>0</v>
      </c>
      <c r="U109" s="280">
        <v>11716.166666666666</v>
      </c>
      <c r="V109" s="280">
        <v>0</v>
      </c>
      <c r="W109" s="279">
        <f t="shared" si="165"/>
        <v>-437.82499999999999</v>
      </c>
      <c r="X109" s="279">
        <f t="shared" si="166"/>
        <v>-1986.0771750000001</v>
      </c>
      <c r="Y109" s="280"/>
      <c r="Z109" s="280"/>
      <c r="AA109" s="280"/>
      <c r="AB109" s="279">
        <f t="shared" si="167"/>
        <v>106596.53094660109</v>
      </c>
      <c r="AC109" s="293">
        <f t="shared" si="168"/>
        <v>97304.266454934419</v>
      </c>
      <c r="AD109" s="293"/>
      <c r="AE109" s="293"/>
      <c r="AF109" s="294">
        <f>_xlfn.IFNA((VLOOKUP($A109,HN!$A:$M,8,FALSE)/12),0)</f>
        <v>0</v>
      </c>
      <c r="AG109" s="294">
        <f>_xlfn.IFNA((VLOOKUP($A109,HN!$A:$M,12,FALSE)/12),0)+_xlfn.IFNA(VLOOKUP($A109,HN!$A:$Q,17,FALSE),0)</f>
        <v>0</v>
      </c>
      <c r="AH109" s="294">
        <f>_xlfn.IFNA((VLOOKUP($A109,HN!$A:$M,9,FALSE)/12),0)</f>
        <v>0</v>
      </c>
      <c r="AI109" s="294">
        <f>_xlfn.IFNA((VLOOKUP($A109,'Post 16'!$A:$AR,22,FALSE)/4),0)</f>
        <v>0</v>
      </c>
      <c r="AJ109" s="294"/>
      <c r="AK109" s="294">
        <f>_xlfn.IFNA((VLOOKUP($A109,HN!$A:$M,10,FALSE)/12),0)</f>
        <v>3261.5833333333335</v>
      </c>
      <c r="AL109" s="294">
        <f>_xlfn.IFNA((VLOOKUP($A109,HN!$A:$M,13,FALSE)/12),0)</f>
        <v>0</v>
      </c>
      <c r="AM109" s="293">
        <f t="shared" si="169"/>
        <v>-437.82499999999999</v>
      </c>
      <c r="AN109" s="293">
        <f t="shared" si="170"/>
        <v>-1986.0771750000001</v>
      </c>
      <c r="AO109" s="294"/>
      <c r="AP109" s="294"/>
      <c r="AQ109" s="294"/>
      <c r="AR109" s="293">
        <f t="shared" si="171"/>
        <v>98141.947613267752</v>
      </c>
      <c r="AS109" s="286">
        <f t="shared" si="172"/>
        <v>97304.266454934419</v>
      </c>
      <c r="AT109" s="286"/>
      <c r="AU109" s="286">
        <f>_xlfn.IFNA(VLOOKUP(A109,EY!A:AO,40,FALSE),0)</f>
        <v>0</v>
      </c>
      <c r="AV109" s="287">
        <f>_xlfn.IFNA((VLOOKUP($A109,HN!$A:$M,8,FALSE)/12),0)</f>
        <v>0</v>
      </c>
      <c r="AW109" s="287">
        <f>_xlfn.IFNA((VLOOKUP($A109,HN!$A:$M,12,FALSE)/12),0)+_xlfn.IFNA(VLOOKUP($A109,HN!$A$8:$AU$200,19,FALSE),0)</f>
        <v>0</v>
      </c>
      <c r="AX109" s="287">
        <f>_xlfn.IFNA((VLOOKUP($A109,HN!$A:$M,9,FALSE)/12),0)</f>
        <v>0</v>
      </c>
      <c r="AY109" s="287">
        <f>_xlfn.IFNA((VLOOKUP($A109,'Post 16'!$A:$AR,22,FALSE)/4),0)</f>
        <v>0</v>
      </c>
      <c r="AZ109" s="287">
        <f>_xlfn.IFNA(VLOOKUP(A109,EY!A:AO,41,FALSE),0)</f>
        <v>0</v>
      </c>
      <c r="BA109" s="287">
        <f>_xlfn.IFNA(((VLOOKUP($A109,HN!$A:$M,10,FALSE)-$U109-$AK109)/10),0)+_xlfn.IFNA(VLOOKUP($A109,HN!$A:$R,18,FALSE),0)</f>
        <v>2416.1250000000005</v>
      </c>
      <c r="BB109" s="287">
        <f>_xlfn.IFNA(((VLOOKUP($A109,HN!$A:$M,13,FALSE)-$V109-$AL109)/10),0)+_xlfn.IFNA(VLOOKUP($A109,HN!$A$8:$AU$200,20,FALSE),0)</f>
        <v>0</v>
      </c>
      <c r="BC109" s="286">
        <f t="shared" si="173"/>
        <v>-437.82499999999999</v>
      </c>
      <c r="BD109" s="286">
        <f t="shared" si="174"/>
        <v>-1986.0771750000001</v>
      </c>
      <c r="BE109" s="287"/>
      <c r="BF109" s="287"/>
      <c r="BG109" s="287"/>
      <c r="BH109" s="286">
        <f t="shared" si="175"/>
        <v>97296.489279934423</v>
      </c>
      <c r="BI109" s="307">
        <f t="shared" si="176"/>
        <v>97304.266454934419</v>
      </c>
      <c r="BJ109" s="307">
        <f>_xlfn.IFNA(VLOOKUP(A109,'LA Deductions'!A:AH,34,FALSE),0)</f>
        <v>0</v>
      </c>
      <c r="BK109" s="307"/>
      <c r="BL109" s="308">
        <f>_xlfn.IFNA((VLOOKUP($A109,HN!$A:$M,8,FALSE)/12),0)</f>
        <v>0</v>
      </c>
      <c r="BM109" s="308">
        <f>_xlfn.IFNA((VLOOKUP($A109,HN!$A:$M,12,FALSE)/12),0)</f>
        <v>0</v>
      </c>
      <c r="BN109" s="308">
        <f>_xlfn.IFNA((VLOOKUP($A109,HN!$A:$M,9,FALSE)/12),0)</f>
        <v>0</v>
      </c>
      <c r="BO109" s="308">
        <f>_xlfn.IFNA((VLOOKUP($A109,'Post 16'!$A:$AR,22,FALSE)/4),0)</f>
        <v>0</v>
      </c>
      <c r="BP109" s="308"/>
      <c r="BQ109" s="308">
        <f>_xlfn.IFNA(((VLOOKUP($A109,HN!$A:$M,10,FALSE)-$U109-$AK109)/10),0)</f>
        <v>2416.1250000000005</v>
      </c>
      <c r="BR109" s="308">
        <f>_xlfn.IFNA(((VLOOKUP($A109,HN!$A:$M,13,FALSE)-$V109-$AL109)/10),0)</f>
        <v>0</v>
      </c>
      <c r="BS109" s="307">
        <f t="shared" si="177"/>
        <v>-437.82499999999999</v>
      </c>
      <c r="BT109" s="307">
        <f t="shared" si="178"/>
        <v>-1986.0771750000001</v>
      </c>
      <c r="BU109" s="308"/>
      <c r="BV109" s="308"/>
      <c r="BW109" s="308"/>
      <c r="BX109" s="307">
        <f t="shared" si="179"/>
        <v>97296.489279934423</v>
      </c>
      <c r="BY109" s="300">
        <f t="shared" si="180"/>
        <v>97304.266454934419</v>
      </c>
      <c r="BZ109" s="300"/>
      <c r="CA109" s="300"/>
      <c r="CB109" s="301">
        <f>_xlfn.IFNA((VLOOKUP($A109,HN!$A:$M,8,FALSE)/12),0)</f>
        <v>0</v>
      </c>
      <c r="CC109" s="301">
        <f>_xlfn.IFNA((VLOOKUP($A109,HN!$A:$M,12,FALSE)/12),0)</f>
        <v>0</v>
      </c>
      <c r="CD109" s="301">
        <f>_xlfn.IFNA((VLOOKUP($A109,HN!$A:$M,9,FALSE)/12),0)</f>
        <v>0</v>
      </c>
      <c r="CE109" s="301">
        <f>_xlfn.IFNA((VLOOKUP($A109,'Post 16'!$A:$AG,33,FALSE)/8),0)</f>
        <v>0</v>
      </c>
      <c r="CF109" s="301"/>
      <c r="CG109" s="301">
        <f>_xlfn.IFNA(((VLOOKUP($A109,HN!$A:$M,10,FALSE)-$U109-$AK109)/10),0)</f>
        <v>2416.1250000000005</v>
      </c>
      <c r="CH109" s="301">
        <f>_xlfn.IFNA(((VLOOKUP($A109,HN!$A:$M,13,FALSE)-$V109-$AL109)/10),0)</f>
        <v>0</v>
      </c>
      <c r="CI109" s="300">
        <f t="shared" si="181"/>
        <v>-437.82499999999999</v>
      </c>
      <c r="CJ109" s="300">
        <f t="shared" si="182"/>
        <v>-1986.0771750000001</v>
      </c>
      <c r="CK109" s="301"/>
      <c r="CL109" s="301"/>
      <c r="CM109" s="301"/>
      <c r="CN109" s="300">
        <f t="shared" si="183"/>
        <v>97296.489279934423</v>
      </c>
      <c r="CO109" s="332">
        <f t="shared" si="184"/>
        <v>97304.266454934419</v>
      </c>
      <c r="CP109" s="332"/>
      <c r="CQ109" s="332">
        <f>_xlfn.IFNA((VLOOKUP($A109,EY!$A:$AB,28,FALSE)-$CV109),0)</f>
        <v>0</v>
      </c>
      <c r="CR109" s="333">
        <f>_xlfn.IFNA((VLOOKUP($A109,HN!$A:$M,8,FALSE)/12),0)</f>
        <v>0</v>
      </c>
      <c r="CS109" s="333">
        <f>_xlfn.IFNA((VLOOKUP($A109,HN!$A:$M,12,FALSE)/12),0)</f>
        <v>0</v>
      </c>
      <c r="CT109" s="333">
        <f>_xlfn.IFNA((VLOOKUP($A109,HN!$A:$M,9,FALSE)/12),0)</f>
        <v>0</v>
      </c>
      <c r="CU109" s="333">
        <f>_xlfn.IFNA((VLOOKUP($A109,'Post 16'!$A:$AG,33,FALSE)/8),0)</f>
        <v>0</v>
      </c>
      <c r="CV109" s="333">
        <f>_xlfn.IFNA((VLOOKUP($A109,EY!$A:$AB,26,FALSE)*80%),0)</f>
        <v>0</v>
      </c>
      <c r="CW109" s="333">
        <f>_xlfn.IFNA(((VLOOKUP($A109,HN!$A:$M,10,FALSE)-$U109-$AK109)/10),0)</f>
        <v>2416.1250000000005</v>
      </c>
      <c r="CX109" s="333">
        <f>_xlfn.IFNA(((VLOOKUP($A109,HN!$A:$M,13,FALSE)-$V109-$AL109)/10),0)</f>
        <v>0</v>
      </c>
      <c r="CY109" s="332">
        <f t="shared" si="185"/>
        <v>-437.82499999999999</v>
      </c>
      <c r="CZ109" s="332">
        <f t="shared" si="186"/>
        <v>-1986.0771750000001</v>
      </c>
      <c r="DA109" s="333"/>
      <c r="DB109" s="333"/>
      <c r="DC109" s="333"/>
      <c r="DD109" s="332">
        <f t="shared" si="187"/>
        <v>97296.489279934423</v>
      </c>
      <c r="DE109" s="314">
        <f t="shared" si="188"/>
        <v>97304.266454934419</v>
      </c>
      <c r="DF109" s="314"/>
      <c r="DG109" s="314"/>
      <c r="DH109" s="315">
        <f>_xlfn.IFNA((VLOOKUP($A109,HN!$A:$M,8,FALSE)/12),0)</f>
        <v>0</v>
      </c>
      <c r="DI109" s="315">
        <f>_xlfn.IFNA((VLOOKUP($A109,HN!$A:$M,12,FALSE)/12),0)</f>
        <v>0</v>
      </c>
      <c r="DJ109" s="315">
        <f>_xlfn.IFNA((VLOOKUP($A109,HN!$A:$M,9,FALSE)/12),0)</f>
        <v>0</v>
      </c>
      <c r="DK109" s="315">
        <f>_xlfn.IFNA((VLOOKUP($A109,'Post 16'!$A:$AG,33,FALSE)/8),0)</f>
        <v>0</v>
      </c>
      <c r="DL109" s="315"/>
      <c r="DM109" s="315">
        <f>_xlfn.IFNA(((VLOOKUP($A109,HN!$A:$M,10,FALSE)-$U109-$AK109)/10),0)</f>
        <v>2416.1250000000005</v>
      </c>
      <c r="DN109" s="315">
        <f>_xlfn.IFNA(((VLOOKUP($A109,HN!$A:$M,13,FALSE)-$V109-$AL109)/10),0)</f>
        <v>0</v>
      </c>
      <c r="DO109" s="314">
        <f t="shared" si="189"/>
        <v>-437.82499999999999</v>
      </c>
      <c r="DP109" s="314">
        <f t="shared" si="190"/>
        <v>-1986.0771750000001</v>
      </c>
      <c r="DQ109" s="315"/>
      <c r="DR109" s="315"/>
      <c r="DS109" s="315"/>
      <c r="DT109" s="314">
        <f t="shared" si="191"/>
        <v>97296.489279934423</v>
      </c>
      <c r="DU109" s="307">
        <f t="shared" si="192"/>
        <v>97304.266454934419</v>
      </c>
      <c r="DV109" s="307"/>
      <c r="DW109" s="307"/>
      <c r="DX109" s="308">
        <f>_xlfn.IFNA((VLOOKUP($A109,HN!$A:$M,8,FALSE)/12),0)</f>
        <v>0</v>
      </c>
      <c r="DY109" s="308">
        <f>_xlfn.IFNA((VLOOKUP($A109,HN!$A:$M,12,FALSE)/12),0)</f>
        <v>0</v>
      </c>
      <c r="DZ109" s="308">
        <f>_xlfn.IFNA((VLOOKUP($A109,HN!$A:$M,9,FALSE)/12),0)</f>
        <v>0</v>
      </c>
      <c r="EA109" s="308">
        <f>_xlfn.IFNA((VLOOKUP($A109,'Post 16'!$A:$AG,33,FALSE)/8),0)</f>
        <v>0</v>
      </c>
      <c r="EB109" s="308"/>
      <c r="EC109" s="308">
        <f>_xlfn.IFNA(((VLOOKUP($A109,HN!$A:$M,10,FALSE)-$U109-$AK109)/10),0)</f>
        <v>2416.1250000000005</v>
      </c>
      <c r="ED109" s="308">
        <f>_xlfn.IFNA(((VLOOKUP($A109,HN!$A:$M,13,FALSE)-$V109-$AL109)/10),0)</f>
        <v>0</v>
      </c>
      <c r="EE109" s="307">
        <f t="shared" si="193"/>
        <v>-437.82499999999999</v>
      </c>
      <c r="EF109" s="307">
        <f t="shared" si="194"/>
        <v>-1986.0771750000001</v>
      </c>
      <c r="EG109" s="308"/>
      <c r="EH109" s="308"/>
      <c r="EI109" s="308"/>
      <c r="EJ109" s="307">
        <f t="shared" si="195"/>
        <v>97296.489279934423</v>
      </c>
      <c r="EK109" s="320">
        <f t="shared" si="196"/>
        <v>97304.266454934419</v>
      </c>
      <c r="EL109" s="320"/>
      <c r="EM109" s="320"/>
      <c r="EN109" s="321">
        <f>_xlfn.IFNA((VLOOKUP($A109,HN!$A:$M,8,FALSE)/12),0)</f>
        <v>0</v>
      </c>
      <c r="EO109" s="321">
        <f>_xlfn.IFNA((VLOOKUP($A109,HN!$A:$M,12,FALSE)/12),0)</f>
        <v>0</v>
      </c>
      <c r="EP109" s="321">
        <f>_xlfn.IFNA((VLOOKUP($A109,HN!$A:$M,9,FALSE)/12),0)</f>
        <v>0</v>
      </c>
      <c r="EQ109" s="321">
        <f>_xlfn.IFNA((VLOOKUP($A109,'Post 16'!$A:$AG,33,FALSE)/8),0)</f>
        <v>0</v>
      </c>
      <c r="ER109" s="321"/>
      <c r="ES109" s="321">
        <f>_xlfn.IFNA(((VLOOKUP($A109,HN!$A:$M,10,FALSE)-$U109-$AK109)/10),0)</f>
        <v>2416.1250000000005</v>
      </c>
      <c r="ET109" s="321">
        <f>_xlfn.IFNA(((VLOOKUP($A109,HN!$A:$M,13,FALSE)-$V109-$AL109)/10),0)</f>
        <v>0</v>
      </c>
      <c r="EU109" s="320">
        <f t="shared" si="197"/>
        <v>-437.82499999999999</v>
      </c>
      <c r="EV109" s="320">
        <f t="shared" si="198"/>
        <v>-1986.0771750000001</v>
      </c>
      <c r="EW109" s="321"/>
      <c r="EX109" s="321"/>
      <c r="EY109" s="321"/>
      <c r="EZ109" s="320">
        <f t="shared" si="199"/>
        <v>97296.489279934423</v>
      </c>
      <c r="FA109" s="286">
        <f t="shared" si="200"/>
        <v>97304.266454934419</v>
      </c>
      <c r="FB109" s="286"/>
      <c r="FC109" s="286"/>
      <c r="FD109" s="287">
        <f>_xlfn.IFNA((VLOOKUP($A109,HN!$A:$M,8,FALSE)/12),0)</f>
        <v>0</v>
      </c>
      <c r="FE109" s="287">
        <f>_xlfn.IFNA((VLOOKUP($A109,HN!$A:$M,12,FALSE)/12),0)</f>
        <v>0</v>
      </c>
      <c r="FF109" s="287">
        <f>_xlfn.IFNA((VLOOKUP($A109,HN!$A:$M,9,FALSE)/12),0)</f>
        <v>0</v>
      </c>
      <c r="FG109" s="287">
        <f>_xlfn.IFNA((VLOOKUP($A109,'Post 16'!$A:$AG,33,FALSE)/8),0)</f>
        <v>0</v>
      </c>
      <c r="FH109" s="287"/>
      <c r="FI109" s="287">
        <f>_xlfn.IFNA(((VLOOKUP($A109,HN!$A:$M,10,FALSE)-$U109-$AK109)/10),0)</f>
        <v>2416.1250000000005</v>
      </c>
      <c r="FJ109" s="287">
        <f>_xlfn.IFNA(((VLOOKUP($A109,HN!$A:$M,13,FALSE)-$V109-$AL109)/10),0)</f>
        <v>0</v>
      </c>
      <c r="FK109" s="286">
        <f t="shared" si="201"/>
        <v>-437.82499999999999</v>
      </c>
      <c r="FL109" s="286">
        <f t="shared" si="202"/>
        <v>-1986.0771750000001</v>
      </c>
      <c r="FM109" s="287"/>
      <c r="FN109" s="287"/>
      <c r="FO109" s="287"/>
      <c r="FP109" s="286">
        <f t="shared" si="203"/>
        <v>97296.489279934423</v>
      </c>
      <c r="FQ109" s="293">
        <f t="shared" si="204"/>
        <v>97304.266454934419</v>
      </c>
      <c r="FR109" s="293"/>
      <c r="FS109" s="293"/>
      <c r="FT109" s="294">
        <f>_xlfn.IFNA((VLOOKUP($A109,HN!$A:$M,8,FALSE)/12),0)</f>
        <v>0</v>
      </c>
      <c r="FU109" s="294">
        <f>_xlfn.IFNA((VLOOKUP($A109,HN!$A:$M,12,FALSE)/12),0)</f>
        <v>0</v>
      </c>
      <c r="FV109" s="294">
        <f>_xlfn.IFNA((VLOOKUP($A109,HN!$A:$M,9,FALSE)/12),0)</f>
        <v>0</v>
      </c>
      <c r="FW109" s="294">
        <f>_xlfn.IFNA((VLOOKUP($A109,'Post 16'!$A:$AG,33,FALSE)/8),0)</f>
        <v>0</v>
      </c>
      <c r="FX109" s="294"/>
      <c r="FY109" s="294">
        <f>_xlfn.IFNA(((VLOOKUP($A109,HN!$A:$M,10,FALSE)-$U109-$AK109)/10),0)</f>
        <v>2416.1250000000005</v>
      </c>
      <c r="FZ109" s="294">
        <f>_xlfn.IFNA(((VLOOKUP($A109,HN!$A:$M,13,FALSE)-$V109-$AL109)/10),0)</f>
        <v>0</v>
      </c>
      <c r="GA109" s="293">
        <f t="shared" si="205"/>
        <v>-437.82499999999999</v>
      </c>
      <c r="GB109" s="293">
        <f t="shared" si="206"/>
        <v>-1986.0771750000001</v>
      </c>
      <c r="GC109" s="294"/>
      <c r="GD109" s="294"/>
      <c r="GE109" s="294"/>
      <c r="GF109" s="293">
        <f t="shared" si="207"/>
        <v>97296.489279934423</v>
      </c>
      <c r="GG109" s="300">
        <f t="shared" si="208"/>
        <v>97304.266454934419</v>
      </c>
      <c r="GH109" s="300"/>
      <c r="GI109" s="300"/>
      <c r="GJ109" s="301">
        <f>_xlfn.IFNA((VLOOKUP($A109,HN!$A:$M,8,FALSE)/12),0)</f>
        <v>0</v>
      </c>
      <c r="GK109" s="301">
        <f>_xlfn.IFNA((VLOOKUP($A109,HN!$A:$M,12,FALSE)/12),0)</f>
        <v>0</v>
      </c>
      <c r="GL109" s="301">
        <f>_xlfn.IFNA((VLOOKUP($A109,HN!$A:$M,9,FALSE)/12),0)</f>
        <v>0</v>
      </c>
      <c r="GM109" s="301">
        <f>_xlfn.IFNA((VLOOKUP($A109,'Post 16'!$A:$AG,33,FALSE)/8),0)</f>
        <v>0</v>
      </c>
      <c r="GN109" s="301"/>
      <c r="GO109" s="301">
        <f>_xlfn.IFNA(((VLOOKUP($A109,HN!$A:$M,10,FALSE)-$U109-$AK109)/10),0)</f>
        <v>2416.1250000000005</v>
      </c>
      <c r="GP109" s="301">
        <f>_xlfn.IFNA(((VLOOKUP($A109,HN!$A:$M,13,FALSE)-$V109-$AL109)/10),0)</f>
        <v>0</v>
      </c>
      <c r="GQ109" s="300">
        <f t="shared" si="209"/>
        <v>-437.82499999999999</v>
      </c>
      <c r="GR109" s="300">
        <f t="shared" si="210"/>
        <v>-1986.0771750000001</v>
      </c>
      <c r="GS109" s="301"/>
      <c r="GT109" s="301"/>
      <c r="GU109" s="301"/>
      <c r="GV109" s="300">
        <f t="shared" si="211"/>
        <v>97296.489279934423</v>
      </c>
      <c r="GX109" s="146">
        <f t="shared" si="212"/>
        <v>1167651.1974592127</v>
      </c>
      <c r="GY109" s="146">
        <f t="shared" si="212"/>
        <v>0</v>
      </c>
      <c r="GZ109" s="146">
        <f t="shared" si="212"/>
        <v>39139</v>
      </c>
      <c r="HA109" s="146">
        <f t="shared" si="212"/>
        <v>-5253.8999999999987</v>
      </c>
      <c r="HB109" s="146">
        <f t="shared" si="212"/>
        <v>-23832.926099999997</v>
      </c>
      <c r="HC109" s="146">
        <f t="shared" si="212"/>
        <v>0</v>
      </c>
      <c r="HE109" s="146">
        <f t="shared" si="213"/>
        <v>291912.79936480324</v>
      </c>
      <c r="HF109" s="146">
        <f t="shared" si="213"/>
        <v>0</v>
      </c>
      <c r="HG109" s="146">
        <f t="shared" si="213"/>
        <v>17393.875</v>
      </c>
      <c r="HH109" s="146">
        <f t="shared" si="213"/>
        <v>-1313.4749999999999</v>
      </c>
      <c r="HI109" s="146">
        <f t="shared" si="213"/>
        <v>-5958.2315250000001</v>
      </c>
      <c r="HJ109" s="146">
        <f t="shared" si="213"/>
        <v>0</v>
      </c>
      <c r="HL109" s="146"/>
      <c r="HM109" s="57"/>
    </row>
    <row r="110" spans="1:221">
      <c r="A110" s="185">
        <v>4245</v>
      </c>
      <c r="B110" s="185">
        <v>103519</v>
      </c>
      <c r="C110" s="185" t="s">
        <v>243</v>
      </c>
      <c r="D110" s="2" t="s">
        <v>244</v>
      </c>
      <c r="E110" s="190" t="s">
        <v>71</v>
      </c>
      <c r="F110" s="190" t="s">
        <v>890</v>
      </c>
      <c r="H110" s="271">
        <f>_xlfn.IFNA(VLOOKUP($A110,ISB!$A$4:$BY$441,67,FALSE),0)</f>
        <v>10788283.859151887</v>
      </c>
      <c r="I110" s="271">
        <f>_xlfn.IFNA(VLOOKUP($A110,ISB!$A$4:$BY$441,72,FALSE),0)</f>
        <v>-23848.5</v>
      </c>
      <c r="J110" s="271">
        <f>-_xlfn.IFNA(VLOOKUP($A110,ISB!$A$4:$BY$441,76,FALSE),0)</f>
        <v>-57630.3</v>
      </c>
      <c r="K110" s="271">
        <f>_xlfn.IFNA(VLOOKUP($A110,ISB!$A$4:$BY$441,77,FALSE),0)</f>
        <v>10706805.059151886</v>
      </c>
      <c r="M110" s="279">
        <f t="shared" si="164"/>
        <v>899023.65492932394</v>
      </c>
      <c r="N110" s="279"/>
      <c r="O110" s="279">
        <f>_xlfn.IFNA(VLOOKUP($A110,EY!$A:$H,8,FALSE)+(VLOOKUP($A110,EY!$A:$R,18,FALSE)-$T110),0)</f>
        <v>0</v>
      </c>
      <c r="P110" s="280">
        <f>_xlfn.IFNA((VLOOKUP($A110,HN!$A:$M,8,FALSE)/12),0)</f>
        <v>0</v>
      </c>
      <c r="Q110" s="280">
        <f>_xlfn.IFNA((VLOOKUP($A110,HN!$A:$M,12,FALSE)/12),0)</f>
        <v>0</v>
      </c>
      <c r="R110" s="280">
        <f>_xlfn.IFNA((VLOOKUP($A110,HN!$A:$M,9,FALSE)/12),0)</f>
        <v>0</v>
      </c>
      <c r="S110" s="280">
        <f>_xlfn.IFNA((VLOOKUP($A110,'Post 16'!$A:$AR,22,FALSE)/4),0)</f>
        <v>117252.25</v>
      </c>
      <c r="T110" s="280">
        <f>_xlfn.IFNA((VLOOKUP($A110,EY!$A:$R,16,FALSE)*80%),0)</f>
        <v>0</v>
      </c>
      <c r="U110" s="280">
        <v>16617.375</v>
      </c>
      <c r="V110" s="280">
        <v>0</v>
      </c>
      <c r="W110" s="279">
        <f t="shared" si="165"/>
        <v>-1987.375</v>
      </c>
      <c r="X110" s="279">
        <f t="shared" si="166"/>
        <v>-4802.5250000000005</v>
      </c>
      <c r="Y110" s="280"/>
      <c r="Z110" s="280"/>
      <c r="AA110" s="280"/>
      <c r="AB110" s="279">
        <f t="shared" si="167"/>
        <v>1026103.3799293239</v>
      </c>
      <c r="AC110" s="293">
        <f t="shared" si="168"/>
        <v>899023.65492932394</v>
      </c>
      <c r="AD110" s="293"/>
      <c r="AE110" s="293"/>
      <c r="AF110" s="294">
        <f>_xlfn.IFNA((VLOOKUP($A110,HN!$A:$M,8,FALSE)/12),0)</f>
        <v>0</v>
      </c>
      <c r="AG110" s="294">
        <f>_xlfn.IFNA((VLOOKUP($A110,HN!$A:$M,12,FALSE)/12),0)+_xlfn.IFNA(VLOOKUP($A110,HN!$A:$Q,17,FALSE),0)</f>
        <v>0</v>
      </c>
      <c r="AH110" s="294">
        <f>_xlfn.IFNA((VLOOKUP($A110,HN!$A:$M,9,FALSE)/12),0)</f>
        <v>0</v>
      </c>
      <c r="AI110" s="294">
        <f>_xlfn.IFNA((VLOOKUP($A110,'Post 16'!$A:$AR,22,FALSE)/4),0)</f>
        <v>117252.25</v>
      </c>
      <c r="AJ110" s="294"/>
      <c r="AK110" s="294">
        <f>_xlfn.IFNA((VLOOKUP($A110,HN!$A:$M,10,FALSE)/12),0)</f>
        <v>10358.653333333334</v>
      </c>
      <c r="AL110" s="294">
        <f>_xlfn.IFNA((VLOOKUP($A110,HN!$A:$M,13,FALSE)/12),0)</f>
        <v>0</v>
      </c>
      <c r="AM110" s="293">
        <f t="shared" si="169"/>
        <v>-1987.375</v>
      </c>
      <c r="AN110" s="293">
        <f t="shared" si="170"/>
        <v>-4802.5250000000005</v>
      </c>
      <c r="AO110" s="294"/>
      <c r="AP110" s="294"/>
      <c r="AQ110" s="294"/>
      <c r="AR110" s="293">
        <f t="shared" si="171"/>
        <v>1019844.6582626572</v>
      </c>
      <c r="AS110" s="286">
        <f t="shared" si="172"/>
        <v>899023.65492932394</v>
      </c>
      <c r="AT110" s="286"/>
      <c r="AU110" s="286">
        <f>_xlfn.IFNA(VLOOKUP(A110,EY!A:AO,40,FALSE),0)</f>
        <v>0</v>
      </c>
      <c r="AV110" s="287">
        <f>_xlfn.IFNA((VLOOKUP($A110,HN!$A:$M,8,FALSE)/12),0)</f>
        <v>0</v>
      </c>
      <c r="AW110" s="287">
        <f>_xlfn.IFNA((VLOOKUP($A110,HN!$A:$M,12,FALSE)/12),0)+_xlfn.IFNA(VLOOKUP($A110,HN!$A$8:$AU$200,19,FALSE),0)</f>
        <v>0</v>
      </c>
      <c r="AX110" s="287">
        <f>_xlfn.IFNA((VLOOKUP($A110,HN!$A:$M,9,FALSE)/12),0)</f>
        <v>0</v>
      </c>
      <c r="AY110" s="287">
        <f>_xlfn.IFNA((VLOOKUP($A110,'Post 16'!$A:$AR,22,FALSE)/4),0)</f>
        <v>117252.25</v>
      </c>
      <c r="AZ110" s="287">
        <f>_xlfn.IFNA(VLOOKUP(A110,EY!A:AO,41,FALSE),0)</f>
        <v>0</v>
      </c>
      <c r="BA110" s="287">
        <f>_xlfn.IFNA(((VLOOKUP($A110,HN!$A:$M,10,FALSE)-$U110-$AK110)/10),0)+_xlfn.IFNA(VLOOKUP($A110,HN!$A:$R,18,FALSE),0)</f>
        <v>9732.7811666666657</v>
      </c>
      <c r="BB110" s="287">
        <f>_xlfn.IFNA(((VLOOKUP($A110,HN!$A:$M,13,FALSE)-$V110-$AL110)/10),0)+_xlfn.IFNA(VLOOKUP($A110,HN!$A$8:$AU$200,20,FALSE),0)</f>
        <v>0</v>
      </c>
      <c r="BC110" s="286">
        <f t="shared" si="173"/>
        <v>-1987.375</v>
      </c>
      <c r="BD110" s="286">
        <f t="shared" si="174"/>
        <v>-4802.5250000000005</v>
      </c>
      <c r="BE110" s="287"/>
      <c r="BF110" s="287"/>
      <c r="BG110" s="287"/>
      <c r="BH110" s="286">
        <f t="shared" si="175"/>
        <v>1019218.7860959906</v>
      </c>
      <c r="BI110" s="307">
        <f t="shared" si="176"/>
        <v>899023.65492932394</v>
      </c>
      <c r="BJ110" s="307">
        <f>_xlfn.IFNA(VLOOKUP(A110,'LA Deductions'!A:AH,34,FALSE),0)</f>
        <v>-22750</v>
      </c>
      <c r="BK110" s="307"/>
      <c r="BL110" s="308">
        <f>_xlfn.IFNA((VLOOKUP($A110,HN!$A:$M,8,FALSE)/12),0)</f>
        <v>0</v>
      </c>
      <c r="BM110" s="308">
        <f>_xlfn.IFNA((VLOOKUP($A110,HN!$A:$M,12,FALSE)/12),0)</f>
        <v>0</v>
      </c>
      <c r="BN110" s="308">
        <f>_xlfn.IFNA((VLOOKUP($A110,HN!$A:$M,9,FALSE)/12),0)</f>
        <v>0</v>
      </c>
      <c r="BO110" s="308">
        <f>_xlfn.IFNA((VLOOKUP($A110,'Post 16'!$A:$AR,22,FALSE)/4),0)</f>
        <v>117252.25</v>
      </c>
      <c r="BP110" s="308"/>
      <c r="BQ110" s="308">
        <f>_xlfn.IFNA(((VLOOKUP($A110,HN!$A:$M,10,FALSE)-$U110-$AK110)/10),0)</f>
        <v>9732.7811666666657</v>
      </c>
      <c r="BR110" s="308">
        <f>_xlfn.IFNA(((VLOOKUP($A110,HN!$A:$M,13,FALSE)-$V110-$AL110)/10),0)</f>
        <v>0</v>
      </c>
      <c r="BS110" s="307">
        <f t="shared" si="177"/>
        <v>-1987.375</v>
      </c>
      <c r="BT110" s="307">
        <f t="shared" si="178"/>
        <v>-4802.5250000000005</v>
      </c>
      <c r="BU110" s="308"/>
      <c r="BV110" s="308"/>
      <c r="BW110" s="308"/>
      <c r="BX110" s="307">
        <f t="shared" si="179"/>
        <v>996468.78609599057</v>
      </c>
      <c r="BY110" s="300">
        <f t="shared" si="180"/>
        <v>899023.65492932394</v>
      </c>
      <c r="BZ110" s="300"/>
      <c r="CA110" s="300"/>
      <c r="CB110" s="301">
        <f>_xlfn.IFNA((VLOOKUP($A110,HN!$A:$M,8,FALSE)/12),0)</f>
        <v>0</v>
      </c>
      <c r="CC110" s="301">
        <f>_xlfn.IFNA((VLOOKUP($A110,HN!$A:$M,12,FALSE)/12),0)</f>
        <v>0</v>
      </c>
      <c r="CD110" s="301">
        <f>_xlfn.IFNA((VLOOKUP($A110,HN!$A:$M,9,FALSE)/12),0)</f>
        <v>0</v>
      </c>
      <c r="CE110" s="301">
        <f>_xlfn.IFNA((VLOOKUP($A110,'Post 16'!$A:$AG,33,FALSE)/8),0)</f>
        <v>119320.25</v>
      </c>
      <c r="CF110" s="301"/>
      <c r="CG110" s="301">
        <f>_xlfn.IFNA(((VLOOKUP($A110,HN!$A:$M,10,FALSE)-$U110-$AK110)/10),0)</f>
        <v>9732.7811666666657</v>
      </c>
      <c r="CH110" s="301">
        <f>_xlfn.IFNA(((VLOOKUP($A110,HN!$A:$M,13,FALSE)-$V110-$AL110)/10),0)</f>
        <v>0</v>
      </c>
      <c r="CI110" s="300">
        <f t="shared" si="181"/>
        <v>-1987.375</v>
      </c>
      <c r="CJ110" s="300">
        <f t="shared" si="182"/>
        <v>-4802.5250000000005</v>
      </c>
      <c r="CK110" s="301"/>
      <c r="CL110" s="301"/>
      <c r="CM110" s="301"/>
      <c r="CN110" s="300">
        <f t="shared" si="183"/>
        <v>1021286.7860959906</v>
      </c>
      <c r="CO110" s="332">
        <f t="shared" si="184"/>
        <v>899023.65492932394</v>
      </c>
      <c r="CP110" s="332"/>
      <c r="CQ110" s="332">
        <f>_xlfn.IFNA((VLOOKUP($A110,EY!$A:$AB,28,FALSE)-$CV110),0)</f>
        <v>0</v>
      </c>
      <c r="CR110" s="333">
        <f>_xlfn.IFNA((VLOOKUP($A110,HN!$A:$M,8,FALSE)/12),0)</f>
        <v>0</v>
      </c>
      <c r="CS110" s="333">
        <f>_xlfn.IFNA((VLOOKUP($A110,HN!$A:$M,12,FALSE)/12),0)</f>
        <v>0</v>
      </c>
      <c r="CT110" s="333">
        <f>_xlfn.IFNA((VLOOKUP($A110,HN!$A:$M,9,FALSE)/12),0)</f>
        <v>0</v>
      </c>
      <c r="CU110" s="333">
        <f>_xlfn.IFNA((VLOOKUP($A110,'Post 16'!$A:$AG,33,FALSE)/8),0)</f>
        <v>119320.25</v>
      </c>
      <c r="CV110" s="333">
        <f>_xlfn.IFNA((VLOOKUP($A110,EY!$A:$AB,26,FALSE)*80%),0)</f>
        <v>0</v>
      </c>
      <c r="CW110" s="333">
        <f>_xlfn.IFNA(((VLOOKUP($A110,HN!$A:$M,10,FALSE)-$U110-$AK110)/10),0)</f>
        <v>9732.7811666666657</v>
      </c>
      <c r="CX110" s="333">
        <f>_xlfn.IFNA(((VLOOKUP($A110,HN!$A:$M,13,FALSE)-$V110-$AL110)/10),0)</f>
        <v>0</v>
      </c>
      <c r="CY110" s="332">
        <f t="shared" si="185"/>
        <v>-1987.375</v>
      </c>
      <c r="CZ110" s="332">
        <f t="shared" si="186"/>
        <v>-4802.5250000000005</v>
      </c>
      <c r="DA110" s="333"/>
      <c r="DB110" s="333"/>
      <c r="DC110" s="333"/>
      <c r="DD110" s="332">
        <f t="shared" si="187"/>
        <v>1021286.7860959906</v>
      </c>
      <c r="DE110" s="314">
        <f t="shared" si="188"/>
        <v>899023.65492932394</v>
      </c>
      <c r="DF110" s="314"/>
      <c r="DG110" s="314"/>
      <c r="DH110" s="315">
        <f>_xlfn.IFNA((VLOOKUP($A110,HN!$A:$M,8,FALSE)/12),0)</f>
        <v>0</v>
      </c>
      <c r="DI110" s="315">
        <f>_xlfn.IFNA((VLOOKUP($A110,HN!$A:$M,12,FALSE)/12),0)</f>
        <v>0</v>
      </c>
      <c r="DJ110" s="315">
        <f>_xlfn.IFNA((VLOOKUP($A110,HN!$A:$M,9,FALSE)/12),0)</f>
        <v>0</v>
      </c>
      <c r="DK110" s="315">
        <f>_xlfn.IFNA((VLOOKUP($A110,'Post 16'!$A:$AG,33,FALSE)/8),0)</f>
        <v>119320.25</v>
      </c>
      <c r="DL110" s="315"/>
      <c r="DM110" s="315">
        <f>_xlfn.IFNA(((VLOOKUP($A110,HN!$A:$M,10,FALSE)-$U110-$AK110)/10),0)</f>
        <v>9732.7811666666657</v>
      </c>
      <c r="DN110" s="315">
        <f>_xlfn.IFNA(((VLOOKUP($A110,HN!$A:$M,13,FALSE)-$V110-$AL110)/10),0)</f>
        <v>0</v>
      </c>
      <c r="DO110" s="314">
        <f t="shared" si="189"/>
        <v>-1987.375</v>
      </c>
      <c r="DP110" s="314">
        <f t="shared" si="190"/>
        <v>-4802.5250000000005</v>
      </c>
      <c r="DQ110" s="315"/>
      <c r="DR110" s="315"/>
      <c r="DS110" s="315"/>
      <c r="DT110" s="314">
        <f t="shared" si="191"/>
        <v>1021286.7860959906</v>
      </c>
      <c r="DU110" s="307">
        <f t="shared" si="192"/>
        <v>899023.65492932394</v>
      </c>
      <c r="DV110" s="307"/>
      <c r="DW110" s="307"/>
      <c r="DX110" s="308">
        <f>_xlfn.IFNA((VLOOKUP($A110,HN!$A:$M,8,FALSE)/12),0)</f>
        <v>0</v>
      </c>
      <c r="DY110" s="308">
        <f>_xlfn.IFNA((VLOOKUP($A110,HN!$A:$M,12,FALSE)/12),0)</f>
        <v>0</v>
      </c>
      <c r="DZ110" s="308">
        <f>_xlfn.IFNA((VLOOKUP($A110,HN!$A:$M,9,FALSE)/12),0)</f>
        <v>0</v>
      </c>
      <c r="EA110" s="308">
        <f>_xlfn.IFNA((VLOOKUP($A110,'Post 16'!$A:$AG,33,FALSE)/8),0)</f>
        <v>119320.25</v>
      </c>
      <c r="EB110" s="308"/>
      <c r="EC110" s="308">
        <f>_xlfn.IFNA(((VLOOKUP($A110,HN!$A:$M,10,FALSE)-$U110-$AK110)/10),0)</f>
        <v>9732.7811666666657</v>
      </c>
      <c r="ED110" s="308">
        <f>_xlfn.IFNA(((VLOOKUP($A110,HN!$A:$M,13,FALSE)-$V110-$AL110)/10),0)</f>
        <v>0</v>
      </c>
      <c r="EE110" s="307">
        <f t="shared" si="193"/>
        <v>-1987.375</v>
      </c>
      <c r="EF110" s="307">
        <f t="shared" si="194"/>
        <v>-4802.5250000000005</v>
      </c>
      <c r="EG110" s="308"/>
      <c r="EH110" s="308"/>
      <c r="EI110" s="308"/>
      <c r="EJ110" s="307">
        <f t="shared" si="195"/>
        <v>1021286.7860959906</v>
      </c>
      <c r="EK110" s="320">
        <f t="shared" si="196"/>
        <v>899023.65492932394</v>
      </c>
      <c r="EL110" s="320"/>
      <c r="EM110" s="320"/>
      <c r="EN110" s="321">
        <f>_xlfn.IFNA((VLOOKUP($A110,HN!$A:$M,8,FALSE)/12),0)</f>
        <v>0</v>
      </c>
      <c r="EO110" s="321">
        <f>_xlfn.IFNA((VLOOKUP($A110,HN!$A:$M,12,FALSE)/12),0)</f>
        <v>0</v>
      </c>
      <c r="EP110" s="321">
        <f>_xlfn.IFNA((VLOOKUP($A110,HN!$A:$M,9,FALSE)/12),0)</f>
        <v>0</v>
      </c>
      <c r="EQ110" s="321">
        <f>_xlfn.IFNA((VLOOKUP($A110,'Post 16'!$A:$AG,33,FALSE)/8),0)</f>
        <v>119320.25</v>
      </c>
      <c r="ER110" s="321"/>
      <c r="ES110" s="321">
        <f>_xlfn.IFNA(((VLOOKUP($A110,HN!$A:$M,10,FALSE)-$U110-$AK110)/10),0)</f>
        <v>9732.7811666666657</v>
      </c>
      <c r="ET110" s="321">
        <f>_xlfn.IFNA(((VLOOKUP($A110,HN!$A:$M,13,FALSE)-$V110-$AL110)/10),0)</f>
        <v>0</v>
      </c>
      <c r="EU110" s="320">
        <f t="shared" si="197"/>
        <v>-1987.375</v>
      </c>
      <c r="EV110" s="320">
        <f t="shared" si="198"/>
        <v>-4802.5250000000005</v>
      </c>
      <c r="EW110" s="321"/>
      <c r="EX110" s="321"/>
      <c r="EY110" s="321"/>
      <c r="EZ110" s="320">
        <f t="shared" si="199"/>
        <v>1021286.7860959906</v>
      </c>
      <c r="FA110" s="286">
        <f t="shared" si="200"/>
        <v>899023.65492932394</v>
      </c>
      <c r="FB110" s="286"/>
      <c r="FC110" s="286"/>
      <c r="FD110" s="287">
        <f>_xlfn.IFNA((VLOOKUP($A110,HN!$A:$M,8,FALSE)/12),0)</f>
        <v>0</v>
      </c>
      <c r="FE110" s="287">
        <f>_xlfn.IFNA((VLOOKUP($A110,HN!$A:$M,12,FALSE)/12),0)</f>
        <v>0</v>
      </c>
      <c r="FF110" s="287">
        <f>_xlfn.IFNA((VLOOKUP($A110,HN!$A:$M,9,FALSE)/12),0)</f>
        <v>0</v>
      </c>
      <c r="FG110" s="287">
        <f>_xlfn.IFNA((VLOOKUP($A110,'Post 16'!$A:$AG,33,FALSE)/8),0)</f>
        <v>119320.25</v>
      </c>
      <c r="FH110" s="287"/>
      <c r="FI110" s="287">
        <f>_xlfn.IFNA(((VLOOKUP($A110,HN!$A:$M,10,FALSE)-$U110-$AK110)/10),0)</f>
        <v>9732.7811666666657</v>
      </c>
      <c r="FJ110" s="287">
        <f>_xlfn.IFNA(((VLOOKUP($A110,HN!$A:$M,13,FALSE)-$V110-$AL110)/10),0)</f>
        <v>0</v>
      </c>
      <c r="FK110" s="286">
        <f t="shared" si="201"/>
        <v>-1987.375</v>
      </c>
      <c r="FL110" s="286">
        <f t="shared" si="202"/>
        <v>-4802.5250000000005</v>
      </c>
      <c r="FM110" s="287"/>
      <c r="FN110" s="287"/>
      <c r="FO110" s="287"/>
      <c r="FP110" s="286">
        <f t="shared" si="203"/>
        <v>1021286.7860959906</v>
      </c>
      <c r="FQ110" s="293">
        <f t="shared" si="204"/>
        <v>899023.65492932394</v>
      </c>
      <c r="FR110" s="293"/>
      <c r="FS110" s="293"/>
      <c r="FT110" s="294">
        <f>_xlfn.IFNA((VLOOKUP($A110,HN!$A:$M,8,FALSE)/12),0)</f>
        <v>0</v>
      </c>
      <c r="FU110" s="294">
        <f>_xlfn.IFNA((VLOOKUP($A110,HN!$A:$M,12,FALSE)/12),0)</f>
        <v>0</v>
      </c>
      <c r="FV110" s="294">
        <f>_xlfn.IFNA((VLOOKUP($A110,HN!$A:$M,9,FALSE)/12),0)</f>
        <v>0</v>
      </c>
      <c r="FW110" s="294">
        <f>_xlfn.IFNA((VLOOKUP($A110,'Post 16'!$A:$AG,33,FALSE)/8),0)</f>
        <v>119320.25</v>
      </c>
      <c r="FX110" s="294"/>
      <c r="FY110" s="294">
        <f>_xlfn.IFNA(((VLOOKUP($A110,HN!$A:$M,10,FALSE)-$U110-$AK110)/10),0)</f>
        <v>9732.7811666666657</v>
      </c>
      <c r="FZ110" s="294">
        <f>_xlfn.IFNA(((VLOOKUP($A110,HN!$A:$M,13,FALSE)-$V110-$AL110)/10),0)</f>
        <v>0</v>
      </c>
      <c r="GA110" s="293">
        <f t="shared" si="205"/>
        <v>-1987.375</v>
      </c>
      <c r="GB110" s="293">
        <f t="shared" si="206"/>
        <v>-4802.5250000000005</v>
      </c>
      <c r="GC110" s="294"/>
      <c r="GD110" s="294"/>
      <c r="GE110" s="294"/>
      <c r="GF110" s="293">
        <f t="shared" si="207"/>
        <v>1021286.7860959906</v>
      </c>
      <c r="GG110" s="300">
        <f t="shared" si="208"/>
        <v>899023.65492932394</v>
      </c>
      <c r="GH110" s="300"/>
      <c r="GI110" s="300"/>
      <c r="GJ110" s="301">
        <f>_xlfn.IFNA((VLOOKUP($A110,HN!$A:$M,8,FALSE)/12),0)</f>
        <v>0</v>
      </c>
      <c r="GK110" s="301">
        <f>_xlfn.IFNA((VLOOKUP($A110,HN!$A:$M,12,FALSE)/12),0)</f>
        <v>0</v>
      </c>
      <c r="GL110" s="301">
        <f>_xlfn.IFNA((VLOOKUP($A110,HN!$A:$M,9,FALSE)/12),0)</f>
        <v>0</v>
      </c>
      <c r="GM110" s="301">
        <f>_xlfn.IFNA((VLOOKUP($A110,'Post 16'!$A:$AG,33,FALSE)/8),0)</f>
        <v>119320.25</v>
      </c>
      <c r="GN110" s="301"/>
      <c r="GO110" s="301">
        <f>_xlfn.IFNA(((VLOOKUP($A110,HN!$A:$M,10,FALSE)-$U110-$AK110)/10),0)</f>
        <v>9732.7811666666657</v>
      </c>
      <c r="GP110" s="301">
        <f>_xlfn.IFNA(((VLOOKUP($A110,HN!$A:$M,13,FALSE)-$V110-$AL110)/10),0)</f>
        <v>0</v>
      </c>
      <c r="GQ110" s="300">
        <f t="shared" si="209"/>
        <v>-1987.375</v>
      </c>
      <c r="GR110" s="300">
        <f t="shared" si="210"/>
        <v>-4802.5250000000005</v>
      </c>
      <c r="GS110" s="301"/>
      <c r="GT110" s="301"/>
      <c r="GU110" s="301"/>
      <c r="GV110" s="300">
        <f t="shared" si="211"/>
        <v>1021286.7860959906</v>
      </c>
      <c r="GX110" s="146">
        <f t="shared" si="212"/>
        <v>10765533.859151885</v>
      </c>
      <c r="GY110" s="146">
        <f t="shared" si="212"/>
        <v>1423571</v>
      </c>
      <c r="GZ110" s="146">
        <f t="shared" si="212"/>
        <v>124303.84000000001</v>
      </c>
      <c r="HA110" s="146">
        <f t="shared" si="212"/>
        <v>-23848.5</v>
      </c>
      <c r="HB110" s="146">
        <f t="shared" si="212"/>
        <v>-57630.30000000001</v>
      </c>
      <c r="HC110" s="146">
        <f t="shared" si="212"/>
        <v>0</v>
      </c>
      <c r="HE110" s="146">
        <f t="shared" si="213"/>
        <v>2697070.9647879717</v>
      </c>
      <c r="HF110" s="146">
        <f t="shared" si="213"/>
        <v>351756.75</v>
      </c>
      <c r="HG110" s="146">
        <f t="shared" si="213"/>
        <v>36708.809500000003</v>
      </c>
      <c r="HH110" s="146">
        <f t="shared" si="213"/>
        <v>-5962.125</v>
      </c>
      <c r="HI110" s="146">
        <f t="shared" si="213"/>
        <v>-14407.575000000001</v>
      </c>
      <c r="HJ110" s="146">
        <f t="shared" si="213"/>
        <v>0</v>
      </c>
      <c r="HL110" s="146"/>
      <c r="HM110" s="57"/>
    </row>
    <row r="111" spans="1:221">
      <c r="A111" s="185">
        <v>2457</v>
      </c>
      <c r="B111" s="185">
        <v>103384</v>
      </c>
      <c r="C111" s="185" t="s">
        <v>245</v>
      </c>
      <c r="D111" s="2" t="s">
        <v>246</v>
      </c>
      <c r="E111" s="190" t="s">
        <v>39</v>
      </c>
      <c r="F111" s="190" t="s">
        <v>890</v>
      </c>
      <c r="H111" s="271">
        <f>_xlfn.IFNA(VLOOKUP($A111,ISB!$A$4:$BY$441,67,FALSE),0)</f>
        <v>2590519.9828334325</v>
      </c>
      <c r="I111" s="271">
        <f>_xlfn.IFNA(VLOOKUP($A111,ISB!$A$4:$BY$441,72,FALSE),0)</f>
        <v>-10059.599999999999</v>
      </c>
      <c r="J111" s="271">
        <f>-_xlfn.IFNA(VLOOKUP($A111,ISB!$A$4:$BY$441,76,FALSE),0)</f>
        <v>-10603.975200000001</v>
      </c>
      <c r="K111" s="271">
        <f>_xlfn.IFNA(VLOOKUP($A111,ISB!$A$4:$BY$441,77,FALSE),0)</f>
        <v>2569856.4076334322</v>
      </c>
      <c r="M111" s="279">
        <f t="shared" si="164"/>
        <v>215876.66523611938</v>
      </c>
      <c r="N111" s="279"/>
      <c r="O111" s="279">
        <f>_xlfn.IFNA(VLOOKUP($A111,EY!$A:$H,8,FALSE)+(VLOOKUP($A111,EY!$A:$R,18,FALSE)-$T111),0)</f>
        <v>27237.600000000002</v>
      </c>
      <c r="P111" s="280">
        <f>_xlfn.IFNA((VLOOKUP($A111,HN!$A:$M,8,FALSE)/12),0)</f>
        <v>0</v>
      </c>
      <c r="Q111" s="280">
        <f>_xlfn.IFNA((VLOOKUP($A111,HN!$A:$M,12,FALSE)/12),0)</f>
        <v>0</v>
      </c>
      <c r="R111" s="280">
        <f>_xlfn.IFNA((VLOOKUP($A111,HN!$A:$M,9,FALSE)/12),0)</f>
        <v>0</v>
      </c>
      <c r="S111" s="280">
        <f>_xlfn.IFNA((VLOOKUP($A111,'Post 16'!$A:$AR,22,FALSE)/4),0)</f>
        <v>0</v>
      </c>
      <c r="T111" s="280">
        <f>_xlfn.IFNA((VLOOKUP($A111,EY!$A:$R,16,FALSE)*80%),0)</f>
        <v>0</v>
      </c>
      <c r="U111" s="280">
        <v>0</v>
      </c>
      <c r="V111" s="280">
        <v>24513.09</v>
      </c>
      <c r="W111" s="279">
        <f t="shared" si="165"/>
        <v>-838.29999999999984</v>
      </c>
      <c r="X111" s="279">
        <f t="shared" si="166"/>
        <v>-883.66460000000006</v>
      </c>
      <c r="Y111" s="280"/>
      <c r="Z111" s="280"/>
      <c r="AA111" s="280"/>
      <c r="AB111" s="279">
        <f t="shared" si="167"/>
        <v>265905.39063611941</v>
      </c>
      <c r="AC111" s="293">
        <f t="shared" si="168"/>
        <v>215876.66523611938</v>
      </c>
      <c r="AD111" s="293"/>
      <c r="AE111" s="293"/>
      <c r="AF111" s="294">
        <f>_xlfn.IFNA((VLOOKUP($A111,HN!$A:$M,8,FALSE)/12),0)</f>
        <v>0</v>
      </c>
      <c r="AG111" s="294">
        <f>_xlfn.IFNA((VLOOKUP($A111,HN!$A:$M,12,FALSE)/12),0)+_xlfn.IFNA(VLOOKUP($A111,HN!$A:$Q,17,FALSE),0)</f>
        <v>0</v>
      </c>
      <c r="AH111" s="294">
        <f>_xlfn.IFNA((VLOOKUP($A111,HN!$A:$M,9,FALSE)/12),0)</f>
        <v>0</v>
      </c>
      <c r="AI111" s="294">
        <f>_xlfn.IFNA((VLOOKUP($A111,'Post 16'!$A:$AR,22,FALSE)/4),0)</f>
        <v>0</v>
      </c>
      <c r="AJ111" s="294"/>
      <c r="AK111" s="294">
        <f>_xlfn.IFNA((VLOOKUP($A111,HN!$A:$M,10,FALSE)/12),0)</f>
        <v>0</v>
      </c>
      <c r="AL111" s="294">
        <f>_xlfn.IFNA((VLOOKUP($A111,HN!$A:$M,13,FALSE)/12),0)</f>
        <v>14375.875833333334</v>
      </c>
      <c r="AM111" s="293">
        <f t="shared" si="169"/>
        <v>-838.29999999999984</v>
      </c>
      <c r="AN111" s="293">
        <f t="shared" si="170"/>
        <v>-883.66460000000006</v>
      </c>
      <c r="AO111" s="294"/>
      <c r="AP111" s="294"/>
      <c r="AQ111" s="294"/>
      <c r="AR111" s="293">
        <f t="shared" si="171"/>
        <v>228530.57646945273</v>
      </c>
      <c r="AS111" s="286">
        <f t="shared" si="172"/>
        <v>215876.66523611938</v>
      </c>
      <c r="AT111" s="286"/>
      <c r="AU111" s="286">
        <f>_xlfn.IFNA(VLOOKUP(A111,EY!A:AO,40,FALSE),0)</f>
        <v>-2632.3815512465389</v>
      </c>
      <c r="AV111" s="287">
        <f>_xlfn.IFNA((VLOOKUP($A111,HN!$A:$M,8,FALSE)/12),0)</f>
        <v>0</v>
      </c>
      <c r="AW111" s="287">
        <f>_xlfn.IFNA((VLOOKUP($A111,HN!$A:$M,12,FALSE)/12),0)+_xlfn.IFNA(VLOOKUP($A111,HN!$A$8:$AU$200,19,FALSE),0)</f>
        <v>0</v>
      </c>
      <c r="AX111" s="287">
        <f>_xlfn.IFNA((VLOOKUP($A111,HN!$A:$M,9,FALSE)/12),0)</f>
        <v>0</v>
      </c>
      <c r="AY111" s="287">
        <f>_xlfn.IFNA((VLOOKUP($A111,'Post 16'!$A:$AR,22,FALSE)/4),0)</f>
        <v>0</v>
      </c>
      <c r="AZ111" s="287">
        <f>_xlfn.IFNA(VLOOKUP(A111,EY!A:AO,41,FALSE),0)</f>
        <v>0</v>
      </c>
      <c r="BA111" s="287">
        <f>_xlfn.IFNA(((VLOOKUP($A111,HN!$A:$M,10,FALSE)-$U111-$AK111)/10),0)+_xlfn.IFNA(VLOOKUP($A111,HN!$A:$R,18,FALSE),0)</f>
        <v>0</v>
      </c>
      <c r="BB111" s="287">
        <f>_xlfn.IFNA(((VLOOKUP($A111,HN!$A:$M,13,FALSE)-$V111-$AL111)/10),0)+_xlfn.IFNA(VLOOKUP($A111,HN!$A$8:$AU$200,20,FALSE),0)</f>
        <v>13362.154416666668</v>
      </c>
      <c r="BC111" s="286">
        <f t="shared" si="173"/>
        <v>-838.29999999999984</v>
      </c>
      <c r="BD111" s="286">
        <f t="shared" si="174"/>
        <v>-883.66460000000006</v>
      </c>
      <c r="BE111" s="287"/>
      <c r="BF111" s="287"/>
      <c r="BG111" s="287"/>
      <c r="BH111" s="286">
        <f t="shared" si="175"/>
        <v>224884.47350153953</v>
      </c>
      <c r="BI111" s="307">
        <f t="shared" si="176"/>
        <v>215876.66523611938</v>
      </c>
      <c r="BJ111" s="307">
        <f>_xlfn.IFNA(VLOOKUP(A111,'LA Deductions'!A:AH,34,FALSE),0)</f>
        <v>0</v>
      </c>
      <c r="BK111" s="307"/>
      <c r="BL111" s="308">
        <f>_xlfn.IFNA((VLOOKUP($A111,HN!$A:$M,8,FALSE)/12),0)</f>
        <v>0</v>
      </c>
      <c r="BM111" s="308">
        <f>_xlfn.IFNA((VLOOKUP($A111,HN!$A:$M,12,FALSE)/12),0)</f>
        <v>0</v>
      </c>
      <c r="BN111" s="308">
        <f>_xlfn.IFNA((VLOOKUP($A111,HN!$A:$M,9,FALSE)/12),0)</f>
        <v>0</v>
      </c>
      <c r="BO111" s="308">
        <f>_xlfn.IFNA((VLOOKUP($A111,'Post 16'!$A:$AR,22,FALSE)/4),0)</f>
        <v>0</v>
      </c>
      <c r="BP111" s="308"/>
      <c r="BQ111" s="308">
        <f>_xlfn.IFNA(((VLOOKUP($A111,HN!$A:$M,10,FALSE)-$U111-$AK111)/10),0)</f>
        <v>0</v>
      </c>
      <c r="BR111" s="308">
        <f>_xlfn.IFNA(((VLOOKUP($A111,HN!$A:$M,13,FALSE)-$V111-$AL111)/10),0)</f>
        <v>13362.154416666668</v>
      </c>
      <c r="BS111" s="307">
        <f t="shared" si="177"/>
        <v>-838.29999999999984</v>
      </c>
      <c r="BT111" s="307">
        <f t="shared" si="178"/>
        <v>-883.66460000000006</v>
      </c>
      <c r="BU111" s="308"/>
      <c r="BV111" s="308"/>
      <c r="BW111" s="308"/>
      <c r="BX111" s="307">
        <f t="shared" si="179"/>
        <v>227516.85505278606</v>
      </c>
      <c r="BY111" s="300">
        <f t="shared" si="180"/>
        <v>215876.66523611938</v>
      </c>
      <c r="BZ111" s="300"/>
      <c r="CA111" s="300"/>
      <c r="CB111" s="301">
        <f>_xlfn.IFNA((VLOOKUP($A111,HN!$A:$M,8,FALSE)/12),0)</f>
        <v>0</v>
      </c>
      <c r="CC111" s="301">
        <f>_xlfn.IFNA((VLOOKUP($A111,HN!$A:$M,12,FALSE)/12),0)</f>
        <v>0</v>
      </c>
      <c r="CD111" s="301">
        <f>_xlfn.IFNA((VLOOKUP($A111,HN!$A:$M,9,FALSE)/12),0)</f>
        <v>0</v>
      </c>
      <c r="CE111" s="301">
        <f>_xlfn.IFNA((VLOOKUP($A111,'Post 16'!$A:$AG,33,FALSE)/8),0)</f>
        <v>0</v>
      </c>
      <c r="CF111" s="301"/>
      <c r="CG111" s="301">
        <f>_xlfn.IFNA(((VLOOKUP($A111,HN!$A:$M,10,FALSE)-$U111-$AK111)/10),0)</f>
        <v>0</v>
      </c>
      <c r="CH111" s="301">
        <f>_xlfn.IFNA(((VLOOKUP($A111,HN!$A:$M,13,FALSE)-$V111-$AL111)/10),0)</f>
        <v>13362.154416666668</v>
      </c>
      <c r="CI111" s="300">
        <f t="shared" si="181"/>
        <v>-838.29999999999984</v>
      </c>
      <c r="CJ111" s="300">
        <f t="shared" si="182"/>
        <v>-883.66460000000006</v>
      </c>
      <c r="CK111" s="301"/>
      <c r="CL111" s="301"/>
      <c r="CM111" s="301"/>
      <c r="CN111" s="300">
        <f t="shared" si="183"/>
        <v>227516.85505278606</v>
      </c>
      <c r="CO111" s="332">
        <f t="shared" si="184"/>
        <v>215876.66523611938</v>
      </c>
      <c r="CP111" s="332"/>
      <c r="CQ111" s="332">
        <f>_xlfn.IFNA((VLOOKUP($A111,EY!$A:$AB,28,FALSE)-$CV111),0)</f>
        <v>31893.576000000008</v>
      </c>
      <c r="CR111" s="333">
        <f>_xlfn.IFNA((VLOOKUP($A111,HN!$A:$M,8,FALSE)/12),0)</f>
        <v>0</v>
      </c>
      <c r="CS111" s="333">
        <f>_xlfn.IFNA((VLOOKUP($A111,HN!$A:$M,12,FALSE)/12),0)</f>
        <v>0</v>
      </c>
      <c r="CT111" s="333">
        <f>_xlfn.IFNA((VLOOKUP($A111,HN!$A:$M,9,FALSE)/12),0)</f>
        <v>0</v>
      </c>
      <c r="CU111" s="333">
        <f>_xlfn.IFNA((VLOOKUP($A111,'Post 16'!$A:$AG,33,FALSE)/8),0)</f>
        <v>0</v>
      </c>
      <c r="CV111" s="333">
        <f>_xlfn.IFNA((VLOOKUP($A111,EY!$A:$AB,26,FALSE)*80%),0)</f>
        <v>0</v>
      </c>
      <c r="CW111" s="333">
        <f>_xlfn.IFNA(((VLOOKUP($A111,HN!$A:$M,10,FALSE)-$U111-$AK111)/10),0)</f>
        <v>0</v>
      </c>
      <c r="CX111" s="333">
        <f>_xlfn.IFNA(((VLOOKUP($A111,HN!$A:$M,13,FALSE)-$V111-$AL111)/10),0)</f>
        <v>13362.154416666668</v>
      </c>
      <c r="CY111" s="332">
        <f t="shared" si="185"/>
        <v>-838.29999999999984</v>
      </c>
      <c r="CZ111" s="332">
        <f t="shared" si="186"/>
        <v>-883.66460000000006</v>
      </c>
      <c r="DA111" s="333"/>
      <c r="DB111" s="333"/>
      <c r="DC111" s="333"/>
      <c r="DD111" s="332">
        <f t="shared" si="187"/>
        <v>259410.43105278607</v>
      </c>
      <c r="DE111" s="314">
        <f t="shared" si="188"/>
        <v>215876.66523611938</v>
      </c>
      <c r="DF111" s="314"/>
      <c r="DG111" s="314"/>
      <c r="DH111" s="315">
        <f>_xlfn.IFNA((VLOOKUP($A111,HN!$A:$M,8,FALSE)/12),0)</f>
        <v>0</v>
      </c>
      <c r="DI111" s="315">
        <f>_xlfn.IFNA((VLOOKUP($A111,HN!$A:$M,12,FALSE)/12),0)</f>
        <v>0</v>
      </c>
      <c r="DJ111" s="315">
        <f>_xlfn.IFNA((VLOOKUP($A111,HN!$A:$M,9,FALSE)/12),0)</f>
        <v>0</v>
      </c>
      <c r="DK111" s="315">
        <f>_xlfn.IFNA((VLOOKUP($A111,'Post 16'!$A:$AG,33,FALSE)/8),0)</f>
        <v>0</v>
      </c>
      <c r="DL111" s="315"/>
      <c r="DM111" s="315">
        <f>_xlfn.IFNA(((VLOOKUP($A111,HN!$A:$M,10,FALSE)-$U111-$AK111)/10),0)</f>
        <v>0</v>
      </c>
      <c r="DN111" s="315">
        <f>_xlfn.IFNA(((VLOOKUP($A111,HN!$A:$M,13,FALSE)-$V111-$AL111)/10),0)</f>
        <v>13362.154416666668</v>
      </c>
      <c r="DO111" s="314">
        <f t="shared" si="189"/>
        <v>-838.29999999999984</v>
      </c>
      <c r="DP111" s="314">
        <f t="shared" si="190"/>
        <v>-883.66460000000006</v>
      </c>
      <c r="DQ111" s="315"/>
      <c r="DR111" s="315"/>
      <c r="DS111" s="315"/>
      <c r="DT111" s="314">
        <f t="shared" si="191"/>
        <v>227516.85505278606</v>
      </c>
      <c r="DU111" s="307">
        <f t="shared" si="192"/>
        <v>215876.66523611938</v>
      </c>
      <c r="DV111" s="307"/>
      <c r="DW111" s="307"/>
      <c r="DX111" s="308">
        <f>_xlfn.IFNA((VLOOKUP($A111,HN!$A:$M,8,FALSE)/12),0)</f>
        <v>0</v>
      </c>
      <c r="DY111" s="308">
        <f>_xlfn.IFNA((VLOOKUP($A111,HN!$A:$M,12,FALSE)/12),0)</f>
        <v>0</v>
      </c>
      <c r="DZ111" s="308">
        <f>_xlfn.IFNA((VLOOKUP($A111,HN!$A:$M,9,FALSE)/12),0)</f>
        <v>0</v>
      </c>
      <c r="EA111" s="308">
        <f>_xlfn.IFNA((VLOOKUP($A111,'Post 16'!$A:$AG,33,FALSE)/8),0)</f>
        <v>0</v>
      </c>
      <c r="EB111" s="308"/>
      <c r="EC111" s="308">
        <f>_xlfn.IFNA(((VLOOKUP($A111,HN!$A:$M,10,FALSE)-$U111-$AK111)/10),0)</f>
        <v>0</v>
      </c>
      <c r="ED111" s="308">
        <f>_xlfn.IFNA(((VLOOKUP($A111,HN!$A:$M,13,FALSE)-$V111-$AL111)/10),0)</f>
        <v>13362.154416666668</v>
      </c>
      <c r="EE111" s="307">
        <f t="shared" si="193"/>
        <v>-838.29999999999984</v>
      </c>
      <c r="EF111" s="307">
        <f t="shared" si="194"/>
        <v>-883.66460000000006</v>
      </c>
      <c r="EG111" s="308"/>
      <c r="EH111" s="308"/>
      <c r="EI111" s="308"/>
      <c r="EJ111" s="307">
        <f t="shared" si="195"/>
        <v>227516.85505278606</v>
      </c>
      <c r="EK111" s="320">
        <f t="shared" si="196"/>
        <v>215876.66523611938</v>
      </c>
      <c r="EL111" s="320"/>
      <c r="EM111" s="320"/>
      <c r="EN111" s="321">
        <f>_xlfn.IFNA((VLOOKUP($A111,HN!$A:$M,8,FALSE)/12),0)</f>
        <v>0</v>
      </c>
      <c r="EO111" s="321">
        <f>_xlfn.IFNA((VLOOKUP($A111,HN!$A:$M,12,FALSE)/12),0)</f>
        <v>0</v>
      </c>
      <c r="EP111" s="321">
        <f>_xlfn.IFNA((VLOOKUP($A111,HN!$A:$M,9,FALSE)/12),0)</f>
        <v>0</v>
      </c>
      <c r="EQ111" s="321">
        <f>_xlfn.IFNA((VLOOKUP($A111,'Post 16'!$A:$AG,33,FALSE)/8),0)</f>
        <v>0</v>
      </c>
      <c r="ER111" s="321"/>
      <c r="ES111" s="321">
        <f>_xlfn.IFNA(((VLOOKUP($A111,HN!$A:$M,10,FALSE)-$U111-$AK111)/10),0)</f>
        <v>0</v>
      </c>
      <c r="ET111" s="321">
        <f>_xlfn.IFNA(((VLOOKUP($A111,HN!$A:$M,13,FALSE)-$V111-$AL111)/10),0)</f>
        <v>13362.154416666668</v>
      </c>
      <c r="EU111" s="320">
        <f t="shared" si="197"/>
        <v>-838.29999999999984</v>
      </c>
      <c r="EV111" s="320">
        <f t="shared" si="198"/>
        <v>-883.66460000000006</v>
      </c>
      <c r="EW111" s="321"/>
      <c r="EX111" s="321"/>
      <c r="EY111" s="321"/>
      <c r="EZ111" s="320">
        <f t="shared" si="199"/>
        <v>227516.85505278606</v>
      </c>
      <c r="FA111" s="286">
        <f t="shared" si="200"/>
        <v>215876.66523611938</v>
      </c>
      <c r="FB111" s="286"/>
      <c r="FC111" s="286"/>
      <c r="FD111" s="287">
        <f>_xlfn.IFNA((VLOOKUP($A111,HN!$A:$M,8,FALSE)/12),0)</f>
        <v>0</v>
      </c>
      <c r="FE111" s="287">
        <f>_xlfn.IFNA((VLOOKUP($A111,HN!$A:$M,12,FALSE)/12),0)</f>
        <v>0</v>
      </c>
      <c r="FF111" s="287">
        <f>_xlfn.IFNA((VLOOKUP($A111,HN!$A:$M,9,FALSE)/12),0)</f>
        <v>0</v>
      </c>
      <c r="FG111" s="287">
        <f>_xlfn.IFNA((VLOOKUP($A111,'Post 16'!$A:$AG,33,FALSE)/8),0)</f>
        <v>0</v>
      </c>
      <c r="FH111" s="287"/>
      <c r="FI111" s="287">
        <f>_xlfn.IFNA(((VLOOKUP($A111,HN!$A:$M,10,FALSE)-$U111-$AK111)/10),0)</f>
        <v>0</v>
      </c>
      <c r="FJ111" s="287">
        <f>_xlfn.IFNA(((VLOOKUP($A111,HN!$A:$M,13,FALSE)-$V111-$AL111)/10),0)</f>
        <v>13362.154416666668</v>
      </c>
      <c r="FK111" s="286">
        <f t="shared" si="201"/>
        <v>-838.29999999999984</v>
      </c>
      <c r="FL111" s="286">
        <f t="shared" si="202"/>
        <v>-883.66460000000006</v>
      </c>
      <c r="FM111" s="287"/>
      <c r="FN111" s="287"/>
      <c r="FO111" s="287"/>
      <c r="FP111" s="286">
        <f t="shared" si="203"/>
        <v>227516.85505278606</v>
      </c>
      <c r="FQ111" s="293">
        <f t="shared" si="204"/>
        <v>215876.66523611938</v>
      </c>
      <c r="FR111" s="293"/>
      <c r="FS111" s="293"/>
      <c r="FT111" s="294">
        <f>_xlfn.IFNA((VLOOKUP($A111,HN!$A:$M,8,FALSE)/12),0)</f>
        <v>0</v>
      </c>
      <c r="FU111" s="294">
        <f>_xlfn.IFNA((VLOOKUP($A111,HN!$A:$M,12,FALSE)/12),0)</f>
        <v>0</v>
      </c>
      <c r="FV111" s="294">
        <f>_xlfn.IFNA((VLOOKUP($A111,HN!$A:$M,9,FALSE)/12),0)</f>
        <v>0</v>
      </c>
      <c r="FW111" s="294">
        <f>_xlfn.IFNA((VLOOKUP($A111,'Post 16'!$A:$AG,33,FALSE)/8),0)</f>
        <v>0</v>
      </c>
      <c r="FX111" s="294"/>
      <c r="FY111" s="294">
        <f>_xlfn.IFNA(((VLOOKUP($A111,HN!$A:$M,10,FALSE)-$U111-$AK111)/10),0)</f>
        <v>0</v>
      </c>
      <c r="FZ111" s="294">
        <f>_xlfn.IFNA(((VLOOKUP($A111,HN!$A:$M,13,FALSE)-$V111-$AL111)/10),0)</f>
        <v>13362.154416666668</v>
      </c>
      <c r="GA111" s="293">
        <f t="shared" si="205"/>
        <v>-838.29999999999984</v>
      </c>
      <c r="GB111" s="293">
        <f t="shared" si="206"/>
        <v>-883.66460000000006</v>
      </c>
      <c r="GC111" s="294"/>
      <c r="GD111" s="294"/>
      <c r="GE111" s="294"/>
      <c r="GF111" s="293">
        <f t="shared" si="207"/>
        <v>227516.85505278606</v>
      </c>
      <c r="GG111" s="300">
        <f t="shared" si="208"/>
        <v>215876.66523611938</v>
      </c>
      <c r="GH111" s="300"/>
      <c r="GI111" s="300"/>
      <c r="GJ111" s="301">
        <f>_xlfn.IFNA((VLOOKUP($A111,HN!$A:$M,8,FALSE)/12),0)</f>
        <v>0</v>
      </c>
      <c r="GK111" s="301">
        <f>_xlfn.IFNA((VLOOKUP($A111,HN!$A:$M,12,FALSE)/12),0)</f>
        <v>0</v>
      </c>
      <c r="GL111" s="301">
        <f>_xlfn.IFNA((VLOOKUP($A111,HN!$A:$M,9,FALSE)/12),0)</f>
        <v>0</v>
      </c>
      <c r="GM111" s="301">
        <f>_xlfn.IFNA((VLOOKUP($A111,'Post 16'!$A:$AG,33,FALSE)/8),0)</f>
        <v>0</v>
      </c>
      <c r="GN111" s="301"/>
      <c r="GO111" s="301">
        <f>_xlfn.IFNA(((VLOOKUP($A111,HN!$A:$M,10,FALSE)-$U111-$AK111)/10),0)</f>
        <v>0</v>
      </c>
      <c r="GP111" s="301">
        <f>_xlfn.IFNA(((VLOOKUP($A111,HN!$A:$M,13,FALSE)-$V111-$AL111)/10),0)</f>
        <v>13362.154416666668</v>
      </c>
      <c r="GQ111" s="300">
        <f t="shared" si="209"/>
        <v>-838.29999999999984</v>
      </c>
      <c r="GR111" s="300">
        <f t="shared" si="210"/>
        <v>-883.66460000000006</v>
      </c>
      <c r="GS111" s="301"/>
      <c r="GT111" s="301"/>
      <c r="GU111" s="301"/>
      <c r="GV111" s="300">
        <f t="shared" si="211"/>
        <v>227516.85505278606</v>
      </c>
      <c r="GX111" s="146">
        <f t="shared" si="212"/>
        <v>2647018.7772821859</v>
      </c>
      <c r="GY111" s="146">
        <f t="shared" si="212"/>
        <v>0</v>
      </c>
      <c r="GZ111" s="146">
        <f t="shared" si="212"/>
        <v>172510.51</v>
      </c>
      <c r="HA111" s="146">
        <f t="shared" si="212"/>
        <v>-10059.599999999999</v>
      </c>
      <c r="HB111" s="146">
        <f t="shared" si="212"/>
        <v>-10603.975200000001</v>
      </c>
      <c r="HC111" s="146">
        <f t="shared" si="212"/>
        <v>0</v>
      </c>
      <c r="HE111" s="146">
        <f t="shared" si="213"/>
        <v>672235.21415711171</v>
      </c>
      <c r="HF111" s="146">
        <f t="shared" si="213"/>
        <v>0</v>
      </c>
      <c r="HG111" s="146">
        <f t="shared" si="213"/>
        <v>52251.120250000007</v>
      </c>
      <c r="HH111" s="146">
        <f t="shared" si="213"/>
        <v>-2514.8999999999996</v>
      </c>
      <c r="HI111" s="146">
        <f t="shared" si="213"/>
        <v>-2650.9938000000002</v>
      </c>
      <c r="HJ111" s="146">
        <f t="shared" si="213"/>
        <v>0</v>
      </c>
      <c r="HL111" s="146"/>
      <c r="HM111" s="57"/>
    </row>
    <row r="112" spans="1:221">
      <c r="A112" s="185">
        <v>2142</v>
      </c>
      <c r="B112" s="185">
        <v>103237</v>
      </c>
      <c r="C112" s="185" t="s">
        <v>247</v>
      </c>
      <c r="D112" s="2" t="s">
        <v>248</v>
      </c>
      <c r="E112" s="190" t="s">
        <v>39</v>
      </c>
      <c r="F112" s="190" t="s">
        <v>890</v>
      </c>
      <c r="H112" s="271">
        <f>_xlfn.IFNA(VLOOKUP($A112,ISB!$A$4:$BY$441,67,FALSE),0)</f>
        <v>2767228.0699387682</v>
      </c>
      <c r="I112" s="271">
        <f>_xlfn.IFNA(VLOOKUP($A112,ISB!$A$4:$BY$441,72,FALSE),0)</f>
        <v>-10458</v>
      </c>
      <c r="J112" s="271">
        <f>-_xlfn.IFNA(VLOOKUP($A112,ISB!$A$4:$BY$441,76,FALSE),0)</f>
        <v>-29216.989399999999</v>
      </c>
      <c r="K112" s="271">
        <f>_xlfn.IFNA(VLOOKUP($A112,ISB!$A$4:$BY$441,77,FALSE),0)</f>
        <v>2727553.0805387683</v>
      </c>
      <c r="M112" s="279">
        <f t="shared" si="164"/>
        <v>230602.33916156401</v>
      </c>
      <c r="N112" s="279"/>
      <c r="O112" s="279">
        <f>_xlfn.IFNA(VLOOKUP($A112,EY!$A:$H,8,FALSE)+(VLOOKUP($A112,EY!$A:$R,18,FALSE)-$T112),0)</f>
        <v>29173.248000000007</v>
      </c>
      <c r="P112" s="280">
        <f>_xlfn.IFNA((VLOOKUP($A112,HN!$A:$M,8,FALSE)/12),0)</f>
        <v>0</v>
      </c>
      <c r="Q112" s="280">
        <f>_xlfn.IFNA((VLOOKUP($A112,HN!$A:$M,12,FALSE)/12),0)</f>
        <v>0</v>
      </c>
      <c r="R112" s="280">
        <f>_xlfn.IFNA((VLOOKUP($A112,HN!$A:$M,9,FALSE)/12),0)</f>
        <v>0</v>
      </c>
      <c r="S112" s="280">
        <f>_xlfn.IFNA((VLOOKUP($A112,'Post 16'!$A:$AR,22,FALSE)/4),0)</f>
        <v>0</v>
      </c>
      <c r="T112" s="280">
        <f>_xlfn.IFNA((VLOOKUP($A112,EY!$A:$R,16,FALSE)*80%),0)</f>
        <v>0</v>
      </c>
      <c r="U112" s="280">
        <v>29942.833333333332</v>
      </c>
      <c r="V112" s="280">
        <v>0</v>
      </c>
      <c r="W112" s="279">
        <f t="shared" si="165"/>
        <v>-871.5</v>
      </c>
      <c r="X112" s="279">
        <f t="shared" si="166"/>
        <v>-2434.7491166666664</v>
      </c>
      <c r="Y112" s="280"/>
      <c r="Z112" s="280"/>
      <c r="AA112" s="280"/>
      <c r="AB112" s="279">
        <f t="shared" si="167"/>
        <v>286412.17137823068</v>
      </c>
      <c r="AC112" s="293">
        <f t="shared" si="168"/>
        <v>230602.33916156401</v>
      </c>
      <c r="AD112" s="293"/>
      <c r="AE112" s="293"/>
      <c r="AF112" s="294">
        <f>_xlfn.IFNA((VLOOKUP($A112,HN!$A:$M,8,FALSE)/12),0)</f>
        <v>0</v>
      </c>
      <c r="AG112" s="294">
        <f>_xlfn.IFNA((VLOOKUP($A112,HN!$A:$M,12,FALSE)/12),0)+_xlfn.IFNA(VLOOKUP($A112,HN!$A:$Q,17,FALSE),0)</f>
        <v>0</v>
      </c>
      <c r="AH112" s="294">
        <f>_xlfn.IFNA((VLOOKUP($A112,HN!$A:$M,9,FALSE)/12),0)</f>
        <v>0</v>
      </c>
      <c r="AI112" s="294">
        <f>_xlfn.IFNA((VLOOKUP($A112,'Post 16'!$A:$AR,22,FALSE)/4),0)</f>
        <v>0</v>
      </c>
      <c r="AJ112" s="294"/>
      <c r="AK112" s="294">
        <f>_xlfn.IFNA((VLOOKUP($A112,HN!$A:$M,10,FALSE)/12),0)</f>
        <v>12759.979166666666</v>
      </c>
      <c r="AL112" s="294">
        <f>_xlfn.IFNA((VLOOKUP($A112,HN!$A:$M,13,FALSE)/12),0)</f>
        <v>0</v>
      </c>
      <c r="AM112" s="293">
        <f t="shared" si="169"/>
        <v>-871.5</v>
      </c>
      <c r="AN112" s="293">
        <f t="shared" si="170"/>
        <v>-2434.7491166666664</v>
      </c>
      <c r="AO112" s="294"/>
      <c r="AP112" s="294"/>
      <c r="AQ112" s="294"/>
      <c r="AR112" s="293">
        <f t="shared" si="171"/>
        <v>240056.069211564</v>
      </c>
      <c r="AS112" s="286">
        <f t="shared" si="172"/>
        <v>230602.33916156401</v>
      </c>
      <c r="AT112" s="286"/>
      <c r="AU112" s="286">
        <f>_xlfn.IFNA(VLOOKUP(A112,EY!A:AO,40,FALSE),0)</f>
        <v>4210.0279501385048</v>
      </c>
      <c r="AV112" s="287">
        <f>_xlfn.IFNA((VLOOKUP($A112,HN!$A:$M,8,FALSE)/12),0)</f>
        <v>0</v>
      </c>
      <c r="AW112" s="287">
        <f>_xlfn.IFNA((VLOOKUP($A112,HN!$A:$M,12,FALSE)/12),0)+_xlfn.IFNA(VLOOKUP($A112,HN!$A$8:$AU$200,19,FALSE),0)</f>
        <v>0</v>
      </c>
      <c r="AX112" s="287">
        <f>_xlfn.IFNA((VLOOKUP($A112,HN!$A:$M,9,FALSE)/12),0)</f>
        <v>0</v>
      </c>
      <c r="AY112" s="287">
        <f>_xlfn.IFNA((VLOOKUP($A112,'Post 16'!$A:$AR,22,FALSE)/4),0)</f>
        <v>0</v>
      </c>
      <c r="AZ112" s="287">
        <f>_xlfn.IFNA(VLOOKUP(A112,EY!A:AO,41,FALSE),0)</f>
        <v>0</v>
      </c>
      <c r="BA112" s="287">
        <f>_xlfn.IFNA(((VLOOKUP($A112,HN!$A:$M,10,FALSE)-$U112-$AK112)/10),0)+_xlfn.IFNA(VLOOKUP($A112,HN!$A:$R,18,FALSE),0)</f>
        <v>11041.69375</v>
      </c>
      <c r="BB112" s="287">
        <f>_xlfn.IFNA(((VLOOKUP($A112,HN!$A:$M,13,FALSE)-$V112-$AL112)/10),0)+_xlfn.IFNA(VLOOKUP($A112,HN!$A$8:$AU$200,20,FALSE),0)</f>
        <v>0</v>
      </c>
      <c r="BC112" s="286">
        <f t="shared" si="173"/>
        <v>-871.5</v>
      </c>
      <c r="BD112" s="286">
        <f t="shared" si="174"/>
        <v>-2434.7491166666664</v>
      </c>
      <c r="BE112" s="287"/>
      <c r="BF112" s="287"/>
      <c r="BG112" s="287"/>
      <c r="BH112" s="286">
        <f t="shared" si="175"/>
        <v>242547.81174503584</v>
      </c>
      <c r="BI112" s="307">
        <f t="shared" si="176"/>
        <v>230602.33916156401</v>
      </c>
      <c r="BJ112" s="307">
        <f>_xlfn.IFNA(VLOOKUP(A112,'LA Deductions'!A:AH,34,FALSE),0)</f>
        <v>0</v>
      </c>
      <c r="BK112" s="307"/>
      <c r="BL112" s="308">
        <f>_xlfn.IFNA((VLOOKUP($A112,HN!$A:$M,8,FALSE)/12),0)</f>
        <v>0</v>
      </c>
      <c r="BM112" s="308">
        <f>_xlfn.IFNA((VLOOKUP($A112,HN!$A:$M,12,FALSE)/12),0)</f>
        <v>0</v>
      </c>
      <c r="BN112" s="308">
        <f>_xlfn.IFNA((VLOOKUP($A112,HN!$A:$M,9,FALSE)/12),0)</f>
        <v>0</v>
      </c>
      <c r="BO112" s="308">
        <f>_xlfn.IFNA((VLOOKUP($A112,'Post 16'!$A:$AR,22,FALSE)/4),0)</f>
        <v>0</v>
      </c>
      <c r="BP112" s="308"/>
      <c r="BQ112" s="308">
        <f>_xlfn.IFNA(((VLOOKUP($A112,HN!$A:$M,10,FALSE)-$U112-$AK112)/10),0)</f>
        <v>11041.69375</v>
      </c>
      <c r="BR112" s="308">
        <f>_xlfn.IFNA(((VLOOKUP($A112,HN!$A:$M,13,FALSE)-$V112-$AL112)/10),0)</f>
        <v>0</v>
      </c>
      <c r="BS112" s="307">
        <f t="shared" si="177"/>
        <v>-871.5</v>
      </c>
      <c r="BT112" s="307">
        <f t="shared" si="178"/>
        <v>-2434.7491166666664</v>
      </c>
      <c r="BU112" s="308"/>
      <c r="BV112" s="308"/>
      <c r="BW112" s="308"/>
      <c r="BX112" s="307">
        <f t="shared" si="179"/>
        <v>238337.78379489735</v>
      </c>
      <c r="BY112" s="300">
        <f t="shared" si="180"/>
        <v>230602.33916156401</v>
      </c>
      <c r="BZ112" s="300"/>
      <c r="CA112" s="300"/>
      <c r="CB112" s="301">
        <f>_xlfn.IFNA((VLOOKUP($A112,HN!$A:$M,8,FALSE)/12),0)</f>
        <v>0</v>
      </c>
      <c r="CC112" s="301">
        <f>_xlfn.IFNA((VLOOKUP($A112,HN!$A:$M,12,FALSE)/12),0)</f>
        <v>0</v>
      </c>
      <c r="CD112" s="301">
        <f>_xlfn.IFNA((VLOOKUP($A112,HN!$A:$M,9,FALSE)/12),0)</f>
        <v>0</v>
      </c>
      <c r="CE112" s="301">
        <f>_xlfn.IFNA((VLOOKUP($A112,'Post 16'!$A:$AG,33,FALSE)/8),0)</f>
        <v>0</v>
      </c>
      <c r="CF112" s="301"/>
      <c r="CG112" s="301">
        <f>_xlfn.IFNA(((VLOOKUP($A112,HN!$A:$M,10,FALSE)-$U112-$AK112)/10),0)</f>
        <v>11041.69375</v>
      </c>
      <c r="CH112" s="301">
        <f>_xlfn.IFNA(((VLOOKUP($A112,HN!$A:$M,13,FALSE)-$V112-$AL112)/10),0)</f>
        <v>0</v>
      </c>
      <c r="CI112" s="300">
        <f t="shared" si="181"/>
        <v>-871.5</v>
      </c>
      <c r="CJ112" s="300">
        <f t="shared" si="182"/>
        <v>-2434.7491166666664</v>
      </c>
      <c r="CK112" s="301"/>
      <c r="CL112" s="301"/>
      <c r="CM112" s="301"/>
      <c r="CN112" s="300">
        <f t="shared" si="183"/>
        <v>238337.78379489735</v>
      </c>
      <c r="CO112" s="332">
        <f t="shared" si="184"/>
        <v>230602.33916156401</v>
      </c>
      <c r="CP112" s="332"/>
      <c r="CQ112" s="332">
        <f>_xlfn.IFNA((VLOOKUP($A112,EY!$A:$AB,28,FALSE)-$CV112),0)</f>
        <v>29290.040000000005</v>
      </c>
      <c r="CR112" s="333">
        <f>_xlfn.IFNA((VLOOKUP($A112,HN!$A:$M,8,FALSE)/12),0)</f>
        <v>0</v>
      </c>
      <c r="CS112" s="333">
        <f>_xlfn.IFNA((VLOOKUP($A112,HN!$A:$M,12,FALSE)/12),0)</f>
        <v>0</v>
      </c>
      <c r="CT112" s="333">
        <f>_xlfn.IFNA((VLOOKUP($A112,HN!$A:$M,9,FALSE)/12),0)</f>
        <v>0</v>
      </c>
      <c r="CU112" s="333">
        <f>_xlfn.IFNA((VLOOKUP($A112,'Post 16'!$A:$AG,33,FALSE)/8),0)</f>
        <v>0</v>
      </c>
      <c r="CV112" s="333">
        <f>_xlfn.IFNA((VLOOKUP($A112,EY!$A:$AB,26,FALSE)*80%),0)</f>
        <v>0</v>
      </c>
      <c r="CW112" s="333">
        <f>_xlfn.IFNA(((VLOOKUP($A112,HN!$A:$M,10,FALSE)-$U112-$AK112)/10),0)</f>
        <v>11041.69375</v>
      </c>
      <c r="CX112" s="333">
        <f>_xlfn.IFNA(((VLOOKUP($A112,HN!$A:$M,13,FALSE)-$V112-$AL112)/10),0)</f>
        <v>0</v>
      </c>
      <c r="CY112" s="332">
        <f t="shared" si="185"/>
        <v>-871.5</v>
      </c>
      <c r="CZ112" s="332">
        <f t="shared" si="186"/>
        <v>-2434.7491166666664</v>
      </c>
      <c r="DA112" s="333"/>
      <c r="DB112" s="333"/>
      <c r="DC112" s="333"/>
      <c r="DD112" s="332">
        <f t="shared" si="187"/>
        <v>267627.82379489735</v>
      </c>
      <c r="DE112" s="314">
        <f t="shared" si="188"/>
        <v>230602.33916156401</v>
      </c>
      <c r="DF112" s="314"/>
      <c r="DG112" s="314"/>
      <c r="DH112" s="315">
        <f>_xlfn.IFNA((VLOOKUP($A112,HN!$A:$M,8,FALSE)/12),0)</f>
        <v>0</v>
      </c>
      <c r="DI112" s="315">
        <f>_xlfn.IFNA((VLOOKUP($A112,HN!$A:$M,12,FALSE)/12),0)</f>
        <v>0</v>
      </c>
      <c r="DJ112" s="315">
        <f>_xlfn.IFNA((VLOOKUP($A112,HN!$A:$M,9,FALSE)/12),0)</f>
        <v>0</v>
      </c>
      <c r="DK112" s="315">
        <f>_xlfn.IFNA((VLOOKUP($A112,'Post 16'!$A:$AG,33,FALSE)/8),0)</f>
        <v>0</v>
      </c>
      <c r="DL112" s="315"/>
      <c r="DM112" s="315">
        <f>_xlfn.IFNA(((VLOOKUP($A112,HN!$A:$M,10,FALSE)-$U112-$AK112)/10),0)</f>
        <v>11041.69375</v>
      </c>
      <c r="DN112" s="315">
        <f>_xlfn.IFNA(((VLOOKUP($A112,HN!$A:$M,13,FALSE)-$V112-$AL112)/10),0)</f>
        <v>0</v>
      </c>
      <c r="DO112" s="314">
        <f t="shared" si="189"/>
        <v>-871.5</v>
      </c>
      <c r="DP112" s="314">
        <f t="shared" si="190"/>
        <v>-2434.7491166666664</v>
      </c>
      <c r="DQ112" s="315"/>
      <c r="DR112" s="315"/>
      <c r="DS112" s="315"/>
      <c r="DT112" s="314">
        <f t="shared" si="191"/>
        <v>238337.78379489735</v>
      </c>
      <c r="DU112" s="307">
        <f t="shared" si="192"/>
        <v>230602.33916156401</v>
      </c>
      <c r="DV112" s="307"/>
      <c r="DW112" s="307"/>
      <c r="DX112" s="308">
        <f>_xlfn.IFNA((VLOOKUP($A112,HN!$A:$M,8,FALSE)/12),0)</f>
        <v>0</v>
      </c>
      <c r="DY112" s="308">
        <f>_xlfn.IFNA((VLOOKUP($A112,HN!$A:$M,12,FALSE)/12),0)</f>
        <v>0</v>
      </c>
      <c r="DZ112" s="308">
        <f>_xlfn.IFNA((VLOOKUP($A112,HN!$A:$M,9,FALSE)/12),0)</f>
        <v>0</v>
      </c>
      <c r="EA112" s="308">
        <f>_xlfn.IFNA((VLOOKUP($A112,'Post 16'!$A:$AG,33,FALSE)/8),0)</f>
        <v>0</v>
      </c>
      <c r="EB112" s="308"/>
      <c r="EC112" s="308">
        <f>_xlfn.IFNA(((VLOOKUP($A112,HN!$A:$M,10,FALSE)-$U112-$AK112)/10),0)</f>
        <v>11041.69375</v>
      </c>
      <c r="ED112" s="308">
        <f>_xlfn.IFNA(((VLOOKUP($A112,HN!$A:$M,13,FALSE)-$V112-$AL112)/10),0)</f>
        <v>0</v>
      </c>
      <c r="EE112" s="307">
        <f t="shared" si="193"/>
        <v>-871.5</v>
      </c>
      <c r="EF112" s="307">
        <f t="shared" si="194"/>
        <v>-2434.7491166666664</v>
      </c>
      <c r="EG112" s="308"/>
      <c r="EH112" s="308"/>
      <c r="EI112" s="308"/>
      <c r="EJ112" s="307">
        <f t="shared" si="195"/>
        <v>238337.78379489735</v>
      </c>
      <c r="EK112" s="320">
        <f t="shared" si="196"/>
        <v>230602.33916156401</v>
      </c>
      <c r="EL112" s="320"/>
      <c r="EM112" s="320"/>
      <c r="EN112" s="321">
        <f>_xlfn.IFNA((VLOOKUP($A112,HN!$A:$M,8,FALSE)/12),0)</f>
        <v>0</v>
      </c>
      <c r="EO112" s="321">
        <f>_xlfn.IFNA((VLOOKUP($A112,HN!$A:$M,12,FALSE)/12),0)</f>
        <v>0</v>
      </c>
      <c r="EP112" s="321">
        <f>_xlfn.IFNA((VLOOKUP($A112,HN!$A:$M,9,FALSE)/12),0)</f>
        <v>0</v>
      </c>
      <c r="EQ112" s="321">
        <f>_xlfn.IFNA((VLOOKUP($A112,'Post 16'!$A:$AG,33,FALSE)/8),0)</f>
        <v>0</v>
      </c>
      <c r="ER112" s="321"/>
      <c r="ES112" s="321">
        <f>_xlfn.IFNA(((VLOOKUP($A112,HN!$A:$M,10,FALSE)-$U112-$AK112)/10),0)</f>
        <v>11041.69375</v>
      </c>
      <c r="ET112" s="321">
        <f>_xlfn.IFNA(((VLOOKUP($A112,HN!$A:$M,13,FALSE)-$V112-$AL112)/10),0)</f>
        <v>0</v>
      </c>
      <c r="EU112" s="320">
        <f t="shared" si="197"/>
        <v>-871.5</v>
      </c>
      <c r="EV112" s="320">
        <f t="shared" si="198"/>
        <v>-2434.7491166666664</v>
      </c>
      <c r="EW112" s="321"/>
      <c r="EX112" s="321"/>
      <c r="EY112" s="321"/>
      <c r="EZ112" s="320">
        <f t="shared" si="199"/>
        <v>238337.78379489735</v>
      </c>
      <c r="FA112" s="286">
        <f t="shared" si="200"/>
        <v>230602.33916156401</v>
      </c>
      <c r="FB112" s="286"/>
      <c r="FC112" s="286"/>
      <c r="FD112" s="287">
        <f>_xlfn.IFNA((VLOOKUP($A112,HN!$A:$M,8,FALSE)/12),0)</f>
        <v>0</v>
      </c>
      <c r="FE112" s="287">
        <f>_xlfn.IFNA((VLOOKUP($A112,HN!$A:$M,12,FALSE)/12),0)</f>
        <v>0</v>
      </c>
      <c r="FF112" s="287">
        <f>_xlfn.IFNA((VLOOKUP($A112,HN!$A:$M,9,FALSE)/12),0)</f>
        <v>0</v>
      </c>
      <c r="FG112" s="287">
        <f>_xlfn.IFNA((VLOOKUP($A112,'Post 16'!$A:$AG,33,FALSE)/8),0)</f>
        <v>0</v>
      </c>
      <c r="FH112" s="287"/>
      <c r="FI112" s="287">
        <f>_xlfn.IFNA(((VLOOKUP($A112,HN!$A:$M,10,FALSE)-$U112-$AK112)/10),0)</f>
        <v>11041.69375</v>
      </c>
      <c r="FJ112" s="287">
        <f>_xlfn.IFNA(((VLOOKUP($A112,HN!$A:$M,13,FALSE)-$V112-$AL112)/10),0)</f>
        <v>0</v>
      </c>
      <c r="FK112" s="286">
        <f t="shared" si="201"/>
        <v>-871.5</v>
      </c>
      <c r="FL112" s="286">
        <f t="shared" si="202"/>
        <v>-2434.7491166666664</v>
      </c>
      <c r="FM112" s="287"/>
      <c r="FN112" s="287"/>
      <c r="FO112" s="287"/>
      <c r="FP112" s="286">
        <f t="shared" si="203"/>
        <v>238337.78379489735</v>
      </c>
      <c r="FQ112" s="293">
        <f t="shared" si="204"/>
        <v>230602.33916156401</v>
      </c>
      <c r="FR112" s="293"/>
      <c r="FS112" s="293"/>
      <c r="FT112" s="294">
        <f>_xlfn.IFNA((VLOOKUP($A112,HN!$A:$M,8,FALSE)/12),0)</f>
        <v>0</v>
      </c>
      <c r="FU112" s="294">
        <f>_xlfn.IFNA((VLOOKUP($A112,HN!$A:$M,12,FALSE)/12),0)</f>
        <v>0</v>
      </c>
      <c r="FV112" s="294">
        <f>_xlfn.IFNA((VLOOKUP($A112,HN!$A:$M,9,FALSE)/12),0)</f>
        <v>0</v>
      </c>
      <c r="FW112" s="294">
        <f>_xlfn.IFNA((VLOOKUP($A112,'Post 16'!$A:$AG,33,FALSE)/8),0)</f>
        <v>0</v>
      </c>
      <c r="FX112" s="294"/>
      <c r="FY112" s="294">
        <f>_xlfn.IFNA(((VLOOKUP($A112,HN!$A:$M,10,FALSE)-$U112-$AK112)/10),0)</f>
        <v>11041.69375</v>
      </c>
      <c r="FZ112" s="294">
        <f>_xlfn.IFNA(((VLOOKUP($A112,HN!$A:$M,13,FALSE)-$V112-$AL112)/10),0)</f>
        <v>0</v>
      </c>
      <c r="GA112" s="293">
        <f t="shared" si="205"/>
        <v>-871.5</v>
      </c>
      <c r="GB112" s="293">
        <f t="shared" si="206"/>
        <v>-2434.7491166666664</v>
      </c>
      <c r="GC112" s="294"/>
      <c r="GD112" s="294"/>
      <c r="GE112" s="294"/>
      <c r="GF112" s="293">
        <f t="shared" si="207"/>
        <v>238337.78379489735</v>
      </c>
      <c r="GG112" s="300">
        <f t="shared" si="208"/>
        <v>230602.33916156401</v>
      </c>
      <c r="GH112" s="300"/>
      <c r="GI112" s="300"/>
      <c r="GJ112" s="301">
        <f>_xlfn.IFNA((VLOOKUP($A112,HN!$A:$M,8,FALSE)/12),0)</f>
        <v>0</v>
      </c>
      <c r="GK112" s="301">
        <f>_xlfn.IFNA((VLOOKUP($A112,HN!$A:$M,12,FALSE)/12),0)</f>
        <v>0</v>
      </c>
      <c r="GL112" s="301">
        <f>_xlfn.IFNA((VLOOKUP($A112,HN!$A:$M,9,FALSE)/12),0)</f>
        <v>0</v>
      </c>
      <c r="GM112" s="301">
        <f>_xlfn.IFNA((VLOOKUP($A112,'Post 16'!$A:$AG,33,FALSE)/8),0)</f>
        <v>0</v>
      </c>
      <c r="GN112" s="301"/>
      <c r="GO112" s="301">
        <f>_xlfn.IFNA(((VLOOKUP($A112,HN!$A:$M,10,FALSE)-$U112-$AK112)/10),0)</f>
        <v>11041.69375</v>
      </c>
      <c r="GP112" s="301">
        <f>_xlfn.IFNA(((VLOOKUP($A112,HN!$A:$M,13,FALSE)-$V112-$AL112)/10),0)</f>
        <v>0</v>
      </c>
      <c r="GQ112" s="300">
        <f t="shared" si="209"/>
        <v>-871.5</v>
      </c>
      <c r="GR112" s="300">
        <f t="shared" si="210"/>
        <v>-2434.7491166666664</v>
      </c>
      <c r="GS112" s="301"/>
      <c r="GT112" s="301"/>
      <c r="GU112" s="301"/>
      <c r="GV112" s="300">
        <f t="shared" si="211"/>
        <v>238337.78379489735</v>
      </c>
      <c r="GX112" s="146">
        <f t="shared" si="212"/>
        <v>2829901.3858889076</v>
      </c>
      <c r="GY112" s="146">
        <f t="shared" si="212"/>
        <v>0</v>
      </c>
      <c r="GZ112" s="146">
        <f t="shared" si="212"/>
        <v>153119.75000000003</v>
      </c>
      <c r="HA112" s="146">
        <f t="shared" si="212"/>
        <v>-10458</v>
      </c>
      <c r="HB112" s="146">
        <f t="shared" si="212"/>
        <v>-29216.989399999995</v>
      </c>
      <c r="HC112" s="146">
        <f t="shared" si="212"/>
        <v>0</v>
      </c>
      <c r="HE112" s="146">
        <f t="shared" si="213"/>
        <v>725190.29343483062</v>
      </c>
      <c r="HF112" s="146">
        <f t="shared" si="213"/>
        <v>0</v>
      </c>
      <c r="HG112" s="146">
        <f t="shared" si="213"/>
        <v>53744.506249999999</v>
      </c>
      <c r="HH112" s="146">
        <f t="shared" si="213"/>
        <v>-2614.5</v>
      </c>
      <c r="HI112" s="146">
        <f t="shared" si="213"/>
        <v>-7304.2473499999996</v>
      </c>
      <c r="HJ112" s="146">
        <f t="shared" si="213"/>
        <v>0</v>
      </c>
      <c r="HL112" s="146"/>
      <c r="HM112" s="57"/>
    </row>
    <row r="113" spans="1:221">
      <c r="A113" s="185">
        <v>2469</v>
      </c>
      <c r="B113" s="185">
        <v>103395</v>
      </c>
      <c r="C113" s="185" t="s">
        <v>249</v>
      </c>
      <c r="D113" s="2" t="s">
        <v>250</v>
      </c>
      <c r="E113" s="190" t="s">
        <v>39</v>
      </c>
      <c r="F113" s="190" t="s">
        <v>890</v>
      </c>
      <c r="H113" s="271">
        <f>_xlfn.IFNA(VLOOKUP($A113,ISB!$A$4:$BY$441,67,FALSE),0)</f>
        <v>1884944.9834681868</v>
      </c>
      <c r="I113" s="271">
        <f>_xlfn.IFNA(VLOOKUP($A113,ISB!$A$4:$BY$441,72,FALSE),0)</f>
        <v>-7544.7</v>
      </c>
      <c r="J113" s="271">
        <f>-_xlfn.IFNA(VLOOKUP($A113,ISB!$A$4:$BY$441,76,FALSE),0)</f>
        <v>-8644.5450000000001</v>
      </c>
      <c r="K113" s="271">
        <f>_xlfn.IFNA(VLOOKUP($A113,ISB!$A$4:$BY$441,77,FALSE),0)</f>
        <v>1868755.7384681869</v>
      </c>
      <c r="M113" s="279">
        <f t="shared" si="164"/>
        <v>157078.74862234891</v>
      </c>
      <c r="N113" s="279"/>
      <c r="O113" s="279">
        <f>_xlfn.IFNA(VLOOKUP($A113,EY!$A:$H,8,FALSE)+(VLOOKUP($A113,EY!$A:$R,18,FALSE)-$T113),0)</f>
        <v>0</v>
      </c>
      <c r="P113" s="280">
        <f>_xlfn.IFNA((VLOOKUP($A113,HN!$A:$M,8,FALSE)/12),0)</f>
        <v>0</v>
      </c>
      <c r="Q113" s="280">
        <f>_xlfn.IFNA((VLOOKUP($A113,HN!$A:$M,12,FALSE)/12),0)</f>
        <v>0</v>
      </c>
      <c r="R113" s="280">
        <f>_xlfn.IFNA((VLOOKUP($A113,HN!$A:$M,9,FALSE)/12),0)</f>
        <v>0</v>
      </c>
      <c r="S113" s="280">
        <f>_xlfn.IFNA((VLOOKUP($A113,'Post 16'!$A:$AR,22,FALSE)/4),0)</f>
        <v>0</v>
      </c>
      <c r="T113" s="280">
        <f>_xlfn.IFNA((VLOOKUP($A113,EY!$A:$R,16,FALSE)*80%),0)</f>
        <v>0</v>
      </c>
      <c r="U113" s="280">
        <v>18500.59</v>
      </c>
      <c r="V113" s="280">
        <v>0</v>
      </c>
      <c r="W113" s="279">
        <f t="shared" si="165"/>
        <v>-628.72500000000002</v>
      </c>
      <c r="X113" s="279">
        <f t="shared" si="166"/>
        <v>-720.37874999999997</v>
      </c>
      <c r="Y113" s="280"/>
      <c r="Z113" s="280"/>
      <c r="AA113" s="280"/>
      <c r="AB113" s="279">
        <f t="shared" si="167"/>
        <v>174230.2348723489</v>
      </c>
      <c r="AC113" s="293">
        <f t="shared" si="168"/>
        <v>157078.74862234891</v>
      </c>
      <c r="AD113" s="293"/>
      <c r="AE113" s="293"/>
      <c r="AF113" s="294">
        <f>_xlfn.IFNA((VLOOKUP($A113,HN!$A:$M,8,FALSE)/12),0)</f>
        <v>0</v>
      </c>
      <c r="AG113" s="294">
        <f>_xlfn.IFNA((VLOOKUP($A113,HN!$A:$M,12,FALSE)/12),0)+_xlfn.IFNA(VLOOKUP($A113,HN!$A:$Q,17,FALSE),0)</f>
        <v>0</v>
      </c>
      <c r="AH113" s="294">
        <f>_xlfn.IFNA((VLOOKUP($A113,HN!$A:$M,9,FALSE)/12),0)</f>
        <v>0</v>
      </c>
      <c r="AI113" s="294">
        <f>_xlfn.IFNA((VLOOKUP($A113,'Post 16'!$A:$AR,22,FALSE)/4),0)</f>
        <v>0</v>
      </c>
      <c r="AJ113" s="294"/>
      <c r="AK113" s="294">
        <f>_xlfn.IFNA((VLOOKUP($A113,HN!$A:$M,10,FALSE)/12),0)</f>
        <v>7820.1875</v>
      </c>
      <c r="AL113" s="294">
        <f>_xlfn.IFNA((VLOOKUP($A113,HN!$A:$M,13,FALSE)/12),0)</f>
        <v>0</v>
      </c>
      <c r="AM113" s="293">
        <f t="shared" si="169"/>
        <v>-628.72500000000002</v>
      </c>
      <c r="AN113" s="293">
        <f t="shared" si="170"/>
        <v>-720.37874999999997</v>
      </c>
      <c r="AO113" s="294"/>
      <c r="AP113" s="294"/>
      <c r="AQ113" s="294"/>
      <c r="AR113" s="293">
        <f t="shared" si="171"/>
        <v>163549.8323723489</v>
      </c>
      <c r="AS113" s="286">
        <f t="shared" si="172"/>
        <v>157078.74862234891</v>
      </c>
      <c r="AT113" s="286"/>
      <c r="AU113" s="286">
        <f>_xlfn.IFNA(VLOOKUP(A113,EY!A:AO,40,FALSE),0)</f>
        <v>0</v>
      </c>
      <c r="AV113" s="287">
        <f>_xlfn.IFNA((VLOOKUP($A113,HN!$A:$M,8,FALSE)/12),0)</f>
        <v>0</v>
      </c>
      <c r="AW113" s="287">
        <f>_xlfn.IFNA((VLOOKUP($A113,HN!$A:$M,12,FALSE)/12),0)+_xlfn.IFNA(VLOOKUP($A113,HN!$A$8:$AU$200,19,FALSE),0)</f>
        <v>0</v>
      </c>
      <c r="AX113" s="287">
        <f>_xlfn.IFNA((VLOOKUP($A113,HN!$A:$M,9,FALSE)/12),0)</f>
        <v>0</v>
      </c>
      <c r="AY113" s="287">
        <f>_xlfn.IFNA((VLOOKUP($A113,'Post 16'!$A:$AR,22,FALSE)/4),0)</f>
        <v>0</v>
      </c>
      <c r="AZ113" s="287">
        <f>_xlfn.IFNA(VLOOKUP(A113,EY!A:AO,41,FALSE),0)</f>
        <v>0</v>
      </c>
      <c r="BA113" s="287">
        <f>_xlfn.IFNA(((VLOOKUP($A113,HN!$A:$M,10,FALSE)-$U113-$AK113)/10),0)+_xlfn.IFNA(VLOOKUP($A113,HN!$A:$R,18,FALSE),0)</f>
        <v>6752.14725</v>
      </c>
      <c r="BB113" s="287">
        <f>_xlfn.IFNA(((VLOOKUP($A113,HN!$A:$M,13,FALSE)-$V113-$AL113)/10),0)+_xlfn.IFNA(VLOOKUP($A113,HN!$A$8:$AU$200,20,FALSE),0)</f>
        <v>0</v>
      </c>
      <c r="BC113" s="286">
        <f t="shared" si="173"/>
        <v>-628.72500000000002</v>
      </c>
      <c r="BD113" s="286">
        <f t="shared" si="174"/>
        <v>-720.37874999999997</v>
      </c>
      <c r="BE113" s="287"/>
      <c r="BF113" s="287"/>
      <c r="BG113" s="287"/>
      <c r="BH113" s="286">
        <f t="shared" si="175"/>
        <v>162481.79212234891</v>
      </c>
      <c r="BI113" s="307">
        <f t="shared" si="176"/>
        <v>157078.74862234891</v>
      </c>
      <c r="BJ113" s="307">
        <f>_xlfn.IFNA(VLOOKUP(A113,'LA Deductions'!A:AH,34,FALSE),0)</f>
        <v>0</v>
      </c>
      <c r="BK113" s="307"/>
      <c r="BL113" s="308">
        <f>_xlfn.IFNA((VLOOKUP($A113,HN!$A:$M,8,FALSE)/12),0)</f>
        <v>0</v>
      </c>
      <c r="BM113" s="308">
        <f>_xlfn.IFNA((VLOOKUP($A113,HN!$A:$M,12,FALSE)/12),0)</f>
        <v>0</v>
      </c>
      <c r="BN113" s="308">
        <f>_xlfn.IFNA((VLOOKUP($A113,HN!$A:$M,9,FALSE)/12),0)</f>
        <v>0</v>
      </c>
      <c r="BO113" s="308">
        <f>_xlfn.IFNA((VLOOKUP($A113,'Post 16'!$A:$AR,22,FALSE)/4),0)</f>
        <v>0</v>
      </c>
      <c r="BP113" s="308"/>
      <c r="BQ113" s="308">
        <f>_xlfn.IFNA(((VLOOKUP($A113,HN!$A:$M,10,FALSE)-$U113-$AK113)/10),0)</f>
        <v>6752.14725</v>
      </c>
      <c r="BR113" s="308">
        <f>_xlfn.IFNA(((VLOOKUP($A113,HN!$A:$M,13,FALSE)-$V113-$AL113)/10),0)</f>
        <v>0</v>
      </c>
      <c r="BS113" s="307">
        <f t="shared" si="177"/>
        <v>-628.72500000000002</v>
      </c>
      <c r="BT113" s="307">
        <f t="shared" si="178"/>
        <v>-720.37874999999997</v>
      </c>
      <c r="BU113" s="308"/>
      <c r="BV113" s="308"/>
      <c r="BW113" s="308"/>
      <c r="BX113" s="307">
        <f t="shared" si="179"/>
        <v>162481.79212234891</v>
      </c>
      <c r="BY113" s="300">
        <f t="shared" si="180"/>
        <v>157078.74862234891</v>
      </c>
      <c r="BZ113" s="300"/>
      <c r="CA113" s="300"/>
      <c r="CB113" s="301">
        <f>_xlfn.IFNA((VLOOKUP($A113,HN!$A:$M,8,FALSE)/12),0)</f>
        <v>0</v>
      </c>
      <c r="CC113" s="301">
        <f>_xlfn.IFNA((VLOOKUP($A113,HN!$A:$M,12,FALSE)/12),0)</f>
        <v>0</v>
      </c>
      <c r="CD113" s="301">
        <f>_xlfn.IFNA((VLOOKUP($A113,HN!$A:$M,9,FALSE)/12),0)</f>
        <v>0</v>
      </c>
      <c r="CE113" s="301">
        <f>_xlfn.IFNA((VLOOKUP($A113,'Post 16'!$A:$AG,33,FALSE)/8),0)</f>
        <v>0</v>
      </c>
      <c r="CF113" s="301"/>
      <c r="CG113" s="301">
        <f>_xlfn.IFNA(((VLOOKUP($A113,HN!$A:$M,10,FALSE)-$U113-$AK113)/10),0)</f>
        <v>6752.14725</v>
      </c>
      <c r="CH113" s="301">
        <f>_xlfn.IFNA(((VLOOKUP($A113,HN!$A:$M,13,FALSE)-$V113-$AL113)/10),0)</f>
        <v>0</v>
      </c>
      <c r="CI113" s="300">
        <f t="shared" si="181"/>
        <v>-628.72500000000002</v>
      </c>
      <c r="CJ113" s="300">
        <f t="shared" si="182"/>
        <v>-720.37874999999997</v>
      </c>
      <c r="CK113" s="301"/>
      <c r="CL113" s="301"/>
      <c r="CM113" s="301"/>
      <c r="CN113" s="300">
        <f t="shared" si="183"/>
        <v>162481.79212234891</v>
      </c>
      <c r="CO113" s="332">
        <f t="shared" si="184"/>
        <v>157078.74862234891</v>
      </c>
      <c r="CP113" s="332"/>
      <c r="CQ113" s="332">
        <f>_xlfn.IFNA((VLOOKUP($A113,EY!$A:$AB,28,FALSE)-$CV113),0)</f>
        <v>0</v>
      </c>
      <c r="CR113" s="333">
        <f>_xlfn.IFNA((VLOOKUP($A113,HN!$A:$M,8,FALSE)/12),0)</f>
        <v>0</v>
      </c>
      <c r="CS113" s="333">
        <f>_xlfn.IFNA((VLOOKUP($A113,HN!$A:$M,12,FALSE)/12),0)</f>
        <v>0</v>
      </c>
      <c r="CT113" s="333">
        <f>_xlfn.IFNA((VLOOKUP($A113,HN!$A:$M,9,FALSE)/12),0)</f>
        <v>0</v>
      </c>
      <c r="CU113" s="333">
        <f>_xlfn.IFNA((VLOOKUP($A113,'Post 16'!$A:$AG,33,FALSE)/8),0)</f>
        <v>0</v>
      </c>
      <c r="CV113" s="333">
        <f>_xlfn.IFNA((VLOOKUP($A113,EY!$A:$AB,26,FALSE)*80%),0)</f>
        <v>0</v>
      </c>
      <c r="CW113" s="333">
        <f>_xlfn.IFNA(((VLOOKUP($A113,HN!$A:$M,10,FALSE)-$U113-$AK113)/10),0)</f>
        <v>6752.14725</v>
      </c>
      <c r="CX113" s="333">
        <f>_xlfn.IFNA(((VLOOKUP($A113,HN!$A:$M,13,FALSE)-$V113-$AL113)/10),0)</f>
        <v>0</v>
      </c>
      <c r="CY113" s="332">
        <f t="shared" si="185"/>
        <v>-628.72500000000002</v>
      </c>
      <c r="CZ113" s="332">
        <f t="shared" si="186"/>
        <v>-720.37874999999997</v>
      </c>
      <c r="DA113" s="333"/>
      <c r="DB113" s="333"/>
      <c r="DC113" s="333"/>
      <c r="DD113" s="332">
        <f t="shared" si="187"/>
        <v>162481.79212234891</v>
      </c>
      <c r="DE113" s="314">
        <f t="shared" si="188"/>
        <v>157078.74862234891</v>
      </c>
      <c r="DF113" s="314"/>
      <c r="DG113" s="314"/>
      <c r="DH113" s="315">
        <f>_xlfn.IFNA((VLOOKUP($A113,HN!$A:$M,8,FALSE)/12),0)</f>
        <v>0</v>
      </c>
      <c r="DI113" s="315">
        <f>_xlfn.IFNA((VLOOKUP($A113,HN!$A:$M,12,FALSE)/12),0)</f>
        <v>0</v>
      </c>
      <c r="DJ113" s="315">
        <f>_xlfn.IFNA((VLOOKUP($A113,HN!$A:$M,9,FALSE)/12),0)</f>
        <v>0</v>
      </c>
      <c r="DK113" s="315">
        <f>_xlfn.IFNA((VLOOKUP($A113,'Post 16'!$A:$AG,33,FALSE)/8),0)</f>
        <v>0</v>
      </c>
      <c r="DL113" s="315"/>
      <c r="DM113" s="315">
        <f>_xlfn.IFNA(((VLOOKUP($A113,HN!$A:$M,10,FALSE)-$U113-$AK113)/10),0)</f>
        <v>6752.14725</v>
      </c>
      <c r="DN113" s="315">
        <f>_xlfn.IFNA(((VLOOKUP($A113,HN!$A:$M,13,FALSE)-$V113-$AL113)/10),0)</f>
        <v>0</v>
      </c>
      <c r="DO113" s="314">
        <f t="shared" si="189"/>
        <v>-628.72500000000002</v>
      </c>
      <c r="DP113" s="314">
        <f t="shared" si="190"/>
        <v>-720.37874999999997</v>
      </c>
      <c r="DQ113" s="315"/>
      <c r="DR113" s="315"/>
      <c r="DS113" s="315"/>
      <c r="DT113" s="314">
        <f t="shared" si="191"/>
        <v>162481.79212234891</v>
      </c>
      <c r="DU113" s="307">
        <f t="shared" si="192"/>
        <v>157078.74862234891</v>
      </c>
      <c r="DV113" s="307"/>
      <c r="DW113" s="307"/>
      <c r="DX113" s="308">
        <f>_xlfn.IFNA((VLOOKUP($A113,HN!$A:$M,8,FALSE)/12),0)</f>
        <v>0</v>
      </c>
      <c r="DY113" s="308">
        <f>_xlfn.IFNA((VLOOKUP($A113,HN!$A:$M,12,FALSE)/12),0)</f>
        <v>0</v>
      </c>
      <c r="DZ113" s="308">
        <f>_xlfn.IFNA((VLOOKUP($A113,HN!$A:$M,9,FALSE)/12),0)</f>
        <v>0</v>
      </c>
      <c r="EA113" s="308">
        <f>_xlfn.IFNA((VLOOKUP($A113,'Post 16'!$A:$AG,33,FALSE)/8),0)</f>
        <v>0</v>
      </c>
      <c r="EB113" s="308"/>
      <c r="EC113" s="308">
        <f>_xlfn.IFNA(((VLOOKUP($A113,HN!$A:$M,10,FALSE)-$U113-$AK113)/10),0)</f>
        <v>6752.14725</v>
      </c>
      <c r="ED113" s="308">
        <f>_xlfn.IFNA(((VLOOKUP($A113,HN!$A:$M,13,FALSE)-$V113-$AL113)/10),0)</f>
        <v>0</v>
      </c>
      <c r="EE113" s="307">
        <f t="shared" si="193"/>
        <v>-628.72500000000002</v>
      </c>
      <c r="EF113" s="307">
        <f t="shared" si="194"/>
        <v>-720.37874999999997</v>
      </c>
      <c r="EG113" s="308"/>
      <c r="EH113" s="308"/>
      <c r="EI113" s="308"/>
      <c r="EJ113" s="307">
        <f t="shared" si="195"/>
        <v>162481.79212234891</v>
      </c>
      <c r="EK113" s="320">
        <f t="shared" si="196"/>
        <v>157078.74862234891</v>
      </c>
      <c r="EL113" s="320"/>
      <c r="EM113" s="320"/>
      <c r="EN113" s="321">
        <f>_xlfn.IFNA((VLOOKUP($A113,HN!$A:$M,8,FALSE)/12),0)</f>
        <v>0</v>
      </c>
      <c r="EO113" s="321">
        <f>_xlfn.IFNA((VLOOKUP($A113,HN!$A:$M,12,FALSE)/12),0)</f>
        <v>0</v>
      </c>
      <c r="EP113" s="321">
        <f>_xlfn.IFNA((VLOOKUP($A113,HN!$A:$M,9,FALSE)/12),0)</f>
        <v>0</v>
      </c>
      <c r="EQ113" s="321">
        <f>_xlfn.IFNA((VLOOKUP($A113,'Post 16'!$A:$AG,33,FALSE)/8),0)</f>
        <v>0</v>
      </c>
      <c r="ER113" s="321"/>
      <c r="ES113" s="321">
        <f>_xlfn.IFNA(((VLOOKUP($A113,HN!$A:$M,10,FALSE)-$U113-$AK113)/10),0)</f>
        <v>6752.14725</v>
      </c>
      <c r="ET113" s="321">
        <f>_xlfn.IFNA(((VLOOKUP($A113,HN!$A:$M,13,FALSE)-$V113-$AL113)/10),0)</f>
        <v>0</v>
      </c>
      <c r="EU113" s="320">
        <f t="shared" si="197"/>
        <v>-628.72500000000002</v>
      </c>
      <c r="EV113" s="320">
        <f t="shared" si="198"/>
        <v>-720.37874999999997</v>
      </c>
      <c r="EW113" s="321"/>
      <c r="EX113" s="321"/>
      <c r="EY113" s="321"/>
      <c r="EZ113" s="320">
        <f t="shared" si="199"/>
        <v>162481.79212234891</v>
      </c>
      <c r="FA113" s="286">
        <f t="shared" si="200"/>
        <v>157078.74862234891</v>
      </c>
      <c r="FB113" s="286"/>
      <c r="FC113" s="286"/>
      <c r="FD113" s="287">
        <f>_xlfn.IFNA((VLOOKUP($A113,HN!$A:$M,8,FALSE)/12),0)</f>
        <v>0</v>
      </c>
      <c r="FE113" s="287">
        <f>_xlfn.IFNA((VLOOKUP($A113,HN!$A:$M,12,FALSE)/12),0)</f>
        <v>0</v>
      </c>
      <c r="FF113" s="287">
        <f>_xlfn.IFNA((VLOOKUP($A113,HN!$A:$M,9,FALSE)/12),0)</f>
        <v>0</v>
      </c>
      <c r="FG113" s="287">
        <f>_xlfn.IFNA((VLOOKUP($A113,'Post 16'!$A:$AG,33,FALSE)/8),0)</f>
        <v>0</v>
      </c>
      <c r="FH113" s="287"/>
      <c r="FI113" s="287">
        <f>_xlfn.IFNA(((VLOOKUP($A113,HN!$A:$M,10,FALSE)-$U113-$AK113)/10),0)</f>
        <v>6752.14725</v>
      </c>
      <c r="FJ113" s="287">
        <f>_xlfn.IFNA(((VLOOKUP($A113,HN!$A:$M,13,FALSE)-$V113-$AL113)/10),0)</f>
        <v>0</v>
      </c>
      <c r="FK113" s="286">
        <f t="shared" si="201"/>
        <v>-628.72500000000002</v>
      </c>
      <c r="FL113" s="286">
        <f t="shared" si="202"/>
        <v>-720.37874999999997</v>
      </c>
      <c r="FM113" s="287"/>
      <c r="FN113" s="287"/>
      <c r="FO113" s="287"/>
      <c r="FP113" s="286">
        <f t="shared" si="203"/>
        <v>162481.79212234891</v>
      </c>
      <c r="FQ113" s="293">
        <f t="shared" si="204"/>
        <v>157078.74862234891</v>
      </c>
      <c r="FR113" s="293"/>
      <c r="FS113" s="293"/>
      <c r="FT113" s="294">
        <f>_xlfn.IFNA((VLOOKUP($A113,HN!$A:$M,8,FALSE)/12),0)</f>
        <v>0</v>
      </c>
      <c r="FU113" s="294">
        <f>_xlfn.IFNA((VLOOKUP($A113,HN!$A:$M,12,FALSE)/12),0)</f>
        <v>0</v>
      </c>
      <c r="FV113" s="294">
        <f>_xlfn.IFNA((VLOOKUP($A113,HN!$A:$M,9,FALSE)/12),0)</f>
        <v>0</v>
      </c>
      <c r="FW113" s="294">
        <f>_xlfn.IFNA((VLOOKUP($A113,'Post 16'!$A:$AG,33,FALSE)/8),0)</f>
        <v>0</v>
      </c>
      <c r="FX113" s="294"/>
      <c r="FY113" s="294">
        <f>_xlfn.IFNA(((VLOOKUP($A113,HN!$A:$M,10,FALSE)-$U113-$AK113)/10),0)</f>
        <v>6752.14725</v>
      </c>
      <c r="FZ113" s="294">
        <f>_xlfn.IFNA(((VLOOKUP($A113,HN!$A:$M,13,FALSE)-$V113-$AL113)/10),0)</f>
        <v>0</v>
      </c>
      <c r="GA113" s="293">
        <f t="shared" si="205"/>
        <v>-628.72500000000002</v>
      </c>
      <c r="GB113" s="293">
        <f t="shared" si="206"/>
        <v>-720.37874999999997</v>
      </c>
      <c r="GC113" s="294"/>
      <c r="GD113" s="294"/>
      <c r="GE113" s="294"/>
      <c r="GF113" s="293">
        <f t="shared" si="207"/>
        <v>162481.79212234891</v>
      </c>
      <c r="GG113" s="300">
        <f t="shared" si="208"/>
        <v>157078.74862234891</v>
      </c>
      <c r="GH113" s="300"/>
      <c r="GI113" s="300"/>
      <c r="GJ113" s="301">
        <f>_xlfn.IFNA((VLOOKUP($A113,HN!$A:$M,8,FALSE)/12),0)</f>
        <v>0</v>
      </c>
      <c r="GK113" s="301">
        <f>_xlfn.IFNA((VLOOKUP($A113,HN!$A:$M,12,FALSE)/12),0)</f>
        <v>0</v>
      </c>
      <c r="GL113" s="301">
        <f>_xlfn.IFNA((VLOOKUP($A113,HN!$A:$M,9,FALSE)/12),0)</f>
        <v>0</v>
      </c>
      <c r="GM113" s="301">
        <f>_xlfn.IFNA((VLOOKUP($A113,'Post 16'!$A:$AG,33,FALSE)/8),0)</f>
        <v>0</v>
      </c>
      <c r="GN113" s="301"/>
      <c r="GO113" s="301">
        <f>_xlfn.IFNA(((VLOOKUP($A113,HN!$A:$M,10,FALSE)-$U113-$AK113)/10),0)</f>
        <v>6752.14725</v>
      </c>
      <c r="GP113" s="301">
        <f>_xlfn.IFNA(((VLOOKUP($A113,HN!$A:$M,13,FALSE)-$V113-$AL113)/10),0)</f>
        <v>0</v>
      </c>
      <c r="GQ113" s="300">
        <f t="shared" si="209"/>
        <v>-628.72500000000002</v>
      </c>
      <c r="GR113" s="300">
        <f t="shared" si="210"/>
        <v>-720.37874999999997</v>
      </c>
      <c r="GS113" s="301"/>
      <c r="GT113" s="301"/>
      <c r="GU113" s="301"/>
      <c r="GV113" s="300">
        <f t="shared" si="211"/>
        <v>162481.79212234891</v>
      </c>
      <c r="GX113" s="146">
        <f t="shared" si="212"/>
        <v>1884944.9834681873</v>
      </c>
      <c r="GY113" s="146">
        <f t="shared" si="212"/>
        <v>0</v>
      </c>
      <c r="GZ113" s="146">
        <f t="shared" si="212"/>
        <v>93842.249999999985</v>
      </c>
      <c r="HA113" s="146">
        <f t="shared" si="212"/>
        <v>-7544.7000000000016</v>
      </c>
      <c r="HB113" s="146">
        <f t="shared" si="212"/>
        <v>-8644.5450000000001</v>
      </c>
      <c r="HC113" s="146">
        <f t="shared" si="212"/>
        <v>0</v>
      </c>
      <c r="HE113" s="146">
        <f t="shared" si="213"/>
        <v>471236.24586704676</v>
      </c>
      <c r="HF113" s="146">
        <f t="shared" si="213"/>
        <v>0</v>
      </c>
      <c r="HG113" s="146">
        <f t="shared" si="213"/>
        <v>33072.924749999998</v>
      </c>
      <c r="HH113" s="146">
        <f t="shared" si="213"/>
        <v>-1886.1750000000002</v>
      </c>
      <c r="HI113" s="146">
        <f t="shared" si="213"/>
        <v>-2161.13625</v>
      </c>
      <c r="HJ113" s="146">
        <f t="shared" si="213"/>
        <v>0</v>
      </c>
      <c r="HL113" s="146"/>
      <c r="HM113" s="57"/>
    </row>
    <row r="114" spans="1:221">
      <c r="A114" s="185">
        <v>1028</v>
      </c>
      <c r="B114" s="185">
        <v>103141</v>
      </c>
      <c r="C114" s="185" t="s">
        <v>251</v>
      </c>
      <c r="D114" s="2" t="s">
        <v>252</v>
      </c>
      <c r="E114" s="190" t="s">
        <v>36</v>
      </c>
      <c r="F114" s="190" t="s">
        <v>890</v>
      </c>
      <c r="H114" s="271">
        <f>_xlfn.IFNA(VLOOKUP($A114,ISB!$A$4:$BY$441,67,FALSE),0)</f>
        <v>0</v>
      </c>
      <c r="I114" s="271">
        <f>_xlfn.IFNA(VLOOKUP($A114,ISB!$A$4:$BY$441,72,FALSE),0)</f>
        <v>0</v>
      </c>
      <c r="J114" s="271">
        <f>-_xlfn.IFNA(VLOOKUP($A114,ISB!$A$4:$BY$441,76,FALSE),0)</f>
        <v>0</v>
      </c>
      <c r="K114" s="271">
        <f>_xlfn.IFNA(VLOOKUP($A114,ISB!$A$4:$BY$441,77,FALSE),0)</f>
        <v>0</v>
      </c>
      <c r="M114" s="279">
        <f t="shared" si="164"/>
        <v>0</v>
      </c>
      <c r="N114" s="279"/>
      <c r="O114" s="279">
        <f>_xlfn.IFNA(VLOOKUP($A114,EY!$A:$H,8,FALSE)+(VLOOKUP($A114,EY!$A:$R,18,FALSE)-$T114),0)</f>
        <v>356526.38952988514</v>
      </c>
      <c r="P114" s="280">
        <f>_xlfn.IFNA((VLOOKUP($A114,HN!$A:$M,8,FALSE)/12),0)</f>
        <v>0</v>
      </c>
      <c r="Q114" s="280">
        <f>_xlfn.IFNA((VLOOKUP($A114,HN!$A:$M,12,FALSE)/12),0)</f>
        <v>0</v>
      </c>
      <c r="R114" s="280">
        <f>_xlfn.IFNA((VLOOKUP($A114,HN!$A:$M,9,FALSE)/12),0)</f>
        <v>0</v>
      </c>
      <c r="S114" s="280">
        <f>_xlfn.IFNA((VLOOKUP($A114,'Post 16'!$A:$AR,22,FALSE)/4),0)</f>
        <v>0</v>
      </c>
      <c r="T114" s="280">
        <f>_xlfn.IFNA((VLOOKUP($A114,EY!$A:$R,16,FALSE)*80%),0)</f>
        <v>4680</v>
      </c>
      <c r="U114" s="280">
        <v>3215</v>
      </c>
      <c r="V114" s="280">
        <v>0</v>
      </c>
      <c r="W114" s="279">
        <f t="shared" si="165"/>
        <v>0</v>
      </c>
      <c r="X114" s="279">
        <f t="shared" si="166"/>
        <v>0</v>
      </c>
      <c r="Y114" s="280"/>
      <c r="Z114" s="280"/>
      <c r="AA114" s="280"/>
      <c r="AB114" s="279">
        <f t="shared" si="167"/>
        <v>364421.38952988514</v>
      </c>
      <c r="AC114" s="293">
        <f t="shared" si="168"/>
        <v>0</v>
      </c>
      <c r="AD114" s="293"/>
      <c r="AE114" s="293"/>
      <c r="AF114" s="294">
        <f>_xlfn.IFNA((VLOOKUP($A114,HN!$A:$M,8,FALSE)/12),0)</f>
        <v>0</v>
      </c>
      <c r="AG114" s="294">
        <f>_xlfn.IFNA((VLOOKUP($A114,HN!$A:$M,12,FALSE)/12),0)+_xlfn.IFNA(VLOOKUP($A114,HN!$A:$Q,17,FALSE),0)</f>
        <v>0</v>
      </c>
      <c r="AH114" s="294">
        <f>_xlfn.IFNA((VLOOKUP($A114,HN!$A:$M,9,FALSE)/12),0)</f>
        <v>0</v>
      </c>
      <c r="AI114" s="294">
        <f>_xlfn.IFNA((VLOOKUP($A114,'Post 16'!$A:$AR,22,FALSE)/4),0)</f>
        <v>0</v>
      </c>
      <c r="AJ114" s="294"/>
      <c r="AK114" s="294">
        <f>_xlfn.IFNA((VLOOKUP($A114,HN!$A:$M,10,FALSE)/12),0)</f>
        <v>1766.4166666666667</v>
      </c>
      <c r="AL114" s="294">
        <f>_xlfn.IFNA((VLOOKUP($A114,HN!$A:$M,13,FALSE)/12),0)</f>
        <v>0</v>
      </c>
      <c r="AM114" s="293">
        <f t="shared" si="169"/>
        <v>0</v>
      </c>
      <c r="AN114" s="293">
        <f t="shared" si="170"/>
        <v>0</v>
      </c>
      <c r="AO114" s="294"/>
      <c r="AP114" s="294"/>
      <c r="AQ114" s="294"/>
      <c r="AR114" s="293">
        <f t="shared" si="171"/>
        <v>1766.4166666666667</v>
      </c>
      <c r="AS114" s="286">
        <f t="shared" si="172"/>
        <v>0</v>
      </c>
      <c r="AT114" s="286"/>
      <c r="AU114" s="286">
        <f>_xlfn.IFNA(VLOOKUP(A114,EY!A:AO,40,FALSE),0)</f>
        <v>33143.980831024928</v>
      </c>
      <c r="AV114" s="287">
        <f>_xlfn.IFNA((VLOOKUP($A114,HN!$A:$M,8,FALSE)/12),0)</f>
        <v>0</v>
      </c>
      <c r="AW114" s="287">
        <f>_xlfn.IFNA((VLOOKUP($A114,HN!$A:$M,12,FALSE)/12),0)+_xlfn.IFNA(VLOOKUP($A114,HN!$A$8:$AU$200,19,FALSE),0)</f>
        <v>0</v>
      </c>
      <c r="AX114" s="287">
        <f>_xlfn.IFNA((VLOOKUP($A114,HN!$A:$M,9,FALSE)/12),0)</f>
        <v>0</v>
      </c>
      <c r="AY114" s="287">
        <f>_xlfn.IFNA((VLOOKUP($A114,'Post 16'!$A:$AR,22,FALSE)/4),0)</f>
        <v>0</v>
      </c>
      <c r="AZ114" s="287">
        <f>_xlfn.IFNA(VLOOKUP(A114,EY!A:AO,41,FALSE),0)</f>
        <v>2140.5108033240995</v>
      </c>
      <c r="BA114" s="287">
        <f>_xlfn.IFNA(((VLOOKUP($A114,HN!$A:$M,10,FALSE)-$U114-$AK114)/10),0)+_xlfn.IFNA(VLOOKUP($A114,HN!$A:$R,18,FALSE),0)</f>
        <v>1621.5583333333334</v>
      </c>
      <c r="BB114" s="287">
        <f>_xlfn.IFNA(((VLOOKUP($A114,HN!$A:$M,13,FALSE)-$V114-$AL114)/10),0)+_xlfn.IFNA(VLOOKUP($A114,HN!$A$8:$AU$200,20,FALSE),0)</f>
        <v>0</v>
      </c>
      <c r="BC114" s="286">
        <f t="shared" si="173"/>
        <v>0</v>
      </c>
      <c r="BD114" s="286">
        <f t="shared" si="174"/>
        <v>0</v>
      </c>
      <c r="BE114" s="287"/>
      <c r="BF114" s="287"/>
      <c r="BG114" s="287"/>
      <c r="BH114" s="286">
        <f t="shared" si="175"/>
        <v>36906.04996768236</v>
      </c>
      <c r="BI114" s="307">
        <f t="shared" si="176"/>
        <v>0</v>
      </c>
      <c r="BJ114" s="307">
        <f>_xlfn.IFNA(VLOOKUP(A114,'LA Deductions'!A:AH,34,FALSE),0)</f>
        <v>0</v>
      </c>
      <c r="BK114" s="307"/>
      <c r="BL114" s="308">
        <f>_xlfn.IFNA((VLOOKUP($A114,HN!$A:$M,8,FALSE)/12),0)</f>
        <v>0</v>
      </c>
      <c r="BM114" s="308">
        <f>_xlfn.IFNA((VLOOKUP($A114,HN!$A:$M,12,FALSE)/12),0)</f>
        <v>0</v>
      </c>
      <c r="BN114" s="308">
        <f>_xlfn.IFNA((VLOOKUP($A114,HN!$A:$M,9,FALSE)/12),0)</f>
        <v>0</v>
      </c>
      <c r="BO114" s="308">
        <f>_xlfn.IFNA((VLOOKUP($A114,'Post 16'!$A:$AR,22,FALSE)/4),0)</f>
        <v>0</v>
      </c>
      <c r="BP114" s="308"/>
      <c r="BQ114" s="308">
        <f>_xlfn.IFNA(((VLOOKUP($A114,HN!$A:$M,10,FALSE)-$U114-$AK114)/10),0)</f>
        <v>1621.5583333333334</v>
      </c>
      <c r="BR114" s="308">
        <f>_xlfn.IFNA(((VLOOKUP($A114,HN!$A:$M,13,FALSE)-$V114-$AL114)/10),0)</f>
        <v>0</v>
      </c>
      <c r="BS114" s="307">
        <f t="shared" si="177"/>
        <v>0</v>
      </c>
      <c r="BT114" s="307">
        <f t="shared" si="178"/>
        <v>0</v>
      </c>
      <c r="BU114" s="308"/>
      <c r="BV114" s="308"/>
      <c r="BW114" s="308"/>
      <c r="BX114" s="307">
        <f t="shared" si="179"/>
        <v>1621.5583333333334</v>
      </c>
      <c r="BY114" s="300">
        <f t="shared" si="180"/>
        <v>0</v>
      </c>
      <c r="BZ114" s="300"/>
      <c r="CA114" s="300"/>
      <c r="CB114" s="301">
        <f>_xlfn.IFNA((VLOOKUP($A114,HN!$A:$M,8,FALSE)/12),0)</f>
        <v>0</v>
      </c>
      <c r="CC114" s="301">
        <f>_xlfn.IFNA((VLOOKUP($A114,HN!$A:$M,12,FALSE)/12),0)</f>
        <v>0</v>
      </c>
      <c r="CD114" s="301">
        <f>_xlfn.IFNA((VLOOKUP($A114,HN!$A:$M,9,FALSE)/12),0)</f>
        <v>0</v>
      </c>
      <c r="CE114" s="301">
        <f>_xlfn.IFNA((VLOOKUP($A114,'Post 16'!$A:$AG,33,FALSE)/8),0)</f>
        <v>0</v>
      </c>
      <c r="CF114" s="301"/>
      <c r="CG114" s="301">
        <f>_xlfn.IFNA(((VLOOKUP($A114,HN!$A:$M,10,FALSE)-$U114-$AK114)/10),0)</f>
        <v>1621.5583333333334</v>
      </c>
      <c r="CH114" s="301">
        <f>_xlfn.IFNA(((VLOOKUP($A114,HN!$A:$M,13,FALSE)-$V114-$AL114)/10),0)</f>
        <v>0</v>
      </c>
      <c r="CI114" s="300">
        <f t="shared" si="181"/>
        <v>0</v>
      </c>
      <c r="CJ114" s="300">
        <f t="shared" si="182"/>
        <v>0</v>
      </c>
      <c r="CK114" s="301"/>
      <c r="CL114" s="301"/>
      <c r="CM114" s="301"/>
      <c r="CN114" s="300">
        <f t="shared" si="183"/>
        <v>1621.5583333333334</v>
      </c>
      <c r="CO114" s="332">
        <f t="shared" si="184"/>
        <v>0</v>
      </c>
      <c r="CP114" s="332"/>
      <c r="CQ114" s="332">
        <f>_xlfn.IFNA((VLOOKUP($A114,EY!$A:$AB,28,FALSE)-$CV114),0)</f>
        <v>121901.52</v>
      </c>
      <c r="CR114" s="333">
        <f>_xlfn.IFNA((VLOOKUP($A114,HN!$A:$M,8,FALSE)/12),0)</f>
        <v>0</v>
      </c>
      <c r="CS114" s="333">
        <f>_xlfn.IFNA((VLOOKUP($A114,HN!$A:$M,12,FALSE)/12),0)</f>
        <v>0</v>
      </c>
      <c r="CT114" s="333">
        <f>_xlfn.IFNA((VLOOKUP($A114,HN!$A:$M,9,FALSE)/12),0)</f>
        <v>0</v>
      </c>
      <c r="CU114" s="333">
        <f>_xlfn.IFNA((VLOOKUP($A114,'Post 16'!$A:$AG,33,FALSE)/8),0)</f>
        <v>0</v>
      </c>
      <c r="CV114" s="333">
        <f>_xlfn.IFNA((VLOOKUP($A114,EY!$A:$AB,26,FALSE)*80%),0)</f>
        <v>780</v>
      </c>
      <c r="CW114" s="333">
        <f>_xlfn.IFNA(((VLOOKUP($A114,HN!$A:$M,10,FALSE)-$U114-$AK114)/10),0)</f>
        <v>1621.5583333333334</v>
      </c>
      <c r="CX114" s="333">
        <f>_xlfn.IFNA(((VLOOKUP($A114,HN!$A:$M,13,FALSE)-$V114-$AL114)/10),0)</f>
        <v>0</v>
      </c>
      <c r="CY114" s="332">
        <f t="shared" si="185"/>
        <v>0</v>
      </c>
      <c r="CZ114" s="332">
        <f t="shared" si="186"/>
        <v>0</v>
      </c>
      <c r="DA114" s="333"/>
      <c r="DB114" s="333"/>
      <c r="DC114" s="333"/>
      <c r="DD114" s="332">
        <f t="shared" si="187"/>
        <v>124303.07833333334</v>
      </c>
      <c r="DE114" s="314">
        <f t="shared" si="188"/>
        <v>0</v>
      </c>
      <c r="DF114" s="314"/>
      <c r="DG114" s="314"/>
      <c r="DH114" s="315">
        <f>_xlfn.IFNA((VLOOKUP($A114,HN!$A:$M,8,FALSE)/12),0)</f>
        <v>0</v>
      </c>
      <c r="DI114" s="315">
        <f>_xlfn.IFNA((VLOOKUP($A114,HN!$A:$M,12,FALSE)/12),0)</f>
        <v>0</v>
      </c>
      <c r="DJ114" s="315">
        <f>_xlfn.IFNA((VLOOKUP($A114,HN!$A:$M,9,FALSE)/12),0)</f>
        <v>0</v>
      </c>
      <c r="DK114" s="315">
        <f>_xlfn.IFNA((VLOOKUP($A114,'Post 16'!$A:$AG,33,FALSE)/8),0)</f>
        <v>0</v>
      </c>
      <c r="DL114" s="315"/>
      <c r="DM114" s="315">
        <f>_xlfn.IFNA(((VLOOKUP($A114,HN!$A:$M,10,FALSE)-$U114-$AK114)/10),0)</f>
        <v>1621.5583333333334</v>
      </c>
      <c r="DN114" s="315">
        <f>_xlfn.IFNA(((VLOOKUP($A114,HN!$A:$M,13,FALSE)-$V114-$AL114)/10),0)</f>
        <v>0</v>
      </c>
      <c r="DO114" s="314">
        <f t="shared" si="189"/>
        <v>0</v>
      </c>
      <c r="DP114" s="314">
        <f t="shared" si="190"/>
        <v>0</v>
      </c>
      <c r="DQ114" s="315"/>
      <c r="DR114" s="315"/>
      <c r="DS114" s="315"/>
      <c r="DT114" s="314">
        <f t="shared" si="191"/>
        <v>1621.5583333333334</v>
      </c>
      <c r="DU114" s="307">
        <f t="shared" si="192"/>
        <v>0</v>
      </c>
      <c r="DV114" s="307"/>
      <c r="DW114" s="307"/>
      <c r="DX114" s="308">
        <f>_xlfn.IFNA((VLOOKUP($A114,HN!$A:$M,8,FALSE)/12),0)</f>
        <v>0</v>
      </c>
      <c r="DY114" s="308">
        <f>_xlfn.IFNA((VLOOKUP($A114,HN!$A:$M,12,FALSE)/12),0)</f>
        <v>0</v>
      </c>
      <c r="DZ114" s="308">
        <f>_xlfn.IFNA((VLOOKUP($A114,HN!$A:$M,9,FALSE)/12),0)</f>
        <v>0</v>
      </c>
      <c r="EA114" s="308">
        <f>_xlfn.IFNA((VLOOKUP($A114,'Post 16'!$A:$AG,33,FALSE)/8),0)</f>
        <v>0</v>
      </c>
      <c r="EB114" s="308"/>
      <c r="EC114" s="308">
        <f>_xlfn.IFNA(((VLOOKUP($A114,HN!$A:$M,10,FALSE)-$U114-$AK114)/10),0)</f>
        <v>1621.5583333333334</v>
      </c>
      <c r="ED114" s="308">
        <f>_xlfn.IFNA(((VLOOKUP($A114,HN!$A:$M,13,FALSE)-$V114-$AL114)/10),0)</f>
        <v>0</v>
      </c>
      <c r="EE114" s="307">
        <f t="shared" si="193"/>
        <v>0</v>
      </c>
      <c r="EF114" s="307">
        <f t="shared" si="194"/>
        <v>0</v>
      </c>
      <c r="EG114" s="308"/>
      <c r="EH114" s="308"/>
      <c r="EI114" s="308"/>
      <c r="EJ114" s="307">
        <f t="shared" si="195"/>
        <v>1621.5583333333334</v>
      </c>
      <c r="EK114" s="320">
        <f t="shared" si="196"/>
        <v>0</v>
      </c>
      <c r="EL114" s="320"/>
      <c r="EM114" s="320"/>
      <c r="EN114" s="321">
        <f>_xlfn.IFNA((VLOOKUP($A114,HN!$A:$M,8,FALSE)/12),0)</f>
        <v>0</v>
      </c>
      <c r="EO114" s="321">
        <f>_xlfn.IFNA((VLOOKUP($A114,HN!$A:$M,12,FALSE)/12),0)</f>
        <v>0</v>
      </c>
      <c r="EP114" s="321">
        <f>_xlfn.IFNA((VLOOKUP($A114,HN!$A:$M,9,FALSE)/12),0)</f>
        <v>0</v>
      </c>
      <c r="EQ114" s="321">
        <f>_xlfn.IFNA((VLOOKUP($A114,'Post 16'!$A:$AG,33,FALSE)/8),0)</f>
        <v>0</v>
      </c>
      <c r="ER114" s="321"/>
      <c r="ES114" s="321">
        <f>_xlfn.IFNA(((VLOOKUP($A114,HN!$A:$M,10,FALSE)-$U114-$AK114)/10),0)</f>
        <v>1621.5583333333334</v>
      </c>
      <c r="ET114" s="321">
        <f>_xlfn.IFNA(((VLOOKUP($A114,HN!$A:$M,13,FALSE)-$V114-$AL114)/10),0)</f>
        <v>0</v>
      </c>
      <c r="EU114" s="320">
        <f t="shared" si="197"/>
        <v>0</v>
      </c>
      <c r="EV114" s="320">
        <f t="shared" si="198"/>
        <v>0</v>
      </c>
      <c r="EW114" s="321"/>
      <c r="EX114" s="321"/>
      <c r="EY114" s="321"/>
      <c r="EZ114" s="320">
        <f t="shared" si="199"/>
        <v>1621.5583333333334</v>
      </c>
      <c r="FA114" s="286">
        <f t="shared" si="200"/>
        <v>0</v>
      </c>
      <c r="FB114" s="286"/>
      <c r="FC114" s="286"/>
      <c r="FD114" s="287">
        <f>_xlfn.IFNA((VLOOKUP($A114,HN!$A:$M,8,FALSE)/12),0)</f>
        <v>0</v>
      </c>
      <c r="FE114" s="287">
        <f>_xlfn.IFNA((VLOOKUP($A114,HN!$A:$M,12,FALSE)/12),0)</f>
        <v>0</v>
      </c>
      <c r="FF114" s="287">
        <f>_xlfn.IFNA((VLOOKUP($A114,HN!$A:$M,9,FALSE)/12),0)</f>
        <v>0</v>
      </c>
      <c r="FG114" s="287">
        <f>_xlfn.IFNA((VLOOKUP($A114,'Post 16'!$A:$AG,33,FALSE)/8),0)</f>
        <v>0</v>
      </c>
      <c r="FH114" s="287"/>
      <c r="FI114" s="287">
        <f>_xlfn.IFNA(((VLOOKUP($A114,HN!$A:$M,10,FALSE)-$U114-$AK114)/10),0)</f>
        <v>1621.5583333333334</v>
      </c>
      <c r="FJ114" s="287">
        <f>_xlfn.IFNA(((VLOOKUP($A114,HN!$A:$M,13,FALSE)-$V114-$AL114)/10),0)</f>
        <v>0</v>
      </c>
      <c r="FK114" s="286">
        <f t="shared" si="201"/>
        <v>0</v>
      </c>
      <c r="FL114" s="286">
        <f t="shared" si="202"/>
        <v>0</v>
      </c>
      <c r="FM114" s="287"/>
      <c r="FN114" s="287"/>
      <c r="FO114" s="287"/>
      <c r="FP114" s="286">
        <f t="shared" si="203"/>
        <v>1621.5583333333334</v>
      </c>
      <c r="FQ114" s="293">
        <f t="shared" si="204"/>
        <v>0</v>
      </c>
      <c r="FR114" s="293"/>
      <c r="FS114" s="293"/>
      <c r="FT114" s="294">
        <f>_xlfn.IFNA((VLOOKUP($A114,HN!$A:$M,8,FALSE)/12),0)</f>
        <v>0</v>
      </c>
      <c r="FU114" s="294">
        <f>_xlfn.IFNA((VLOOKUP($A114,HN!$A:$M,12,FALSE)/12),0)</f>
        <v>0</v>
      </c>
      <c r="FV114" s="294">
        <f>_xlfn.IFNA((VLOOKUP($A114,HN!$A:$M,9,FALSE)/12),0)</f>
        <v>0</v>
      </c>
      <c r="FW114" s="294">
        <f>_xlfn.IFNA((VLOOKUP($A114,'Post 16'!$A:$AG,33,FALSE)/8),0)</f>
        <v>0</v>
      </c>
      <c r="FX114" s="294"/>
      <c r="FY114" s="294">
        <f>_xlfn.IFNA(((VLOOKUP($A114,HN!$A:$M,10,FALSE)-$U114-$AK114)/10),0)</f>
        <v>1621.5583333333334</v>
      </c>
      <c r="FZ114" s="294">
        <f>_xlfn.IFNA(((VLOOKUP($A114,HN!$A:$M,13,FALSE)-$V114-$AL114)/10),0)</f>
        <v>0</v>
      </c>
      <c r="GA114" s="293">
        <f t="shared" si="205"/>
        <v>0</v>
      </c>
      <c r="GB114" s="293">
        <f t="shared" si="206"/>
        <v>0</v>
      </c>
      <c r="GC114" s="294"/>
      <c r="GD114" s="294"/>
      <c r="GE114" s="294"/>
      <c r="GF114" s="293">
        <f t="shared" si="207"/>
        <v>1621.5583333333334</v>
      </c>
      <c r="GG114" s="300">
        <f t="shared" si="208"/>
        <v>0</v>
      </c>
      <c r="GH114" s="300"/>
      <c r="GI114" s="300"/>
      <c r="GJ114" s="301">
        <f>_xlfn.IFNA((VLOOKUP($A114,HN!$A:$M,8,FALSE)/12),0)</f>
        <v>0</v>
      </c>
      <c r="GK114" s="301">
        <f>_xlfn.IFNA((VLOOKUP($A114,HN!$A:$M,12,FALSE)/12),0)</f>
        <v>0</v>
      </c>
      <c r="GL114" s="301">
        <f>_xlfn.IFNA((VLOOKUP($A114,HN!$A:$M,9,FALSE)/12),0)</f>
        <v>0</v>
      </c>
      <c r="GM114" s="301">
        <f>_xlfn.IFNA((VLOOKUP($A114,'Post 16'!$A:$AG,33,FALSE)/8),0)</f>
        <v>0</v>
      </c>
      <c r="GN114" s="301"/>
      <c r="GO114" s="301">
        <f>_xlfn.IFNA(((VLOOKUP($A114,HN!$A:$M,10,FALSE)-$U114-$AK114)/10),0)</f>
        <v>1621.5583333333334</v>
      </c>
      <c r="GP114" s="301">
        <f>_xlfn.IFNA(((VLOOKUP($A114,HN!$A:$M,13,FALSE)-$V114-$AL114)/10),0)</f>
        <v>0</v>
      </c>
      <c r="GQ114" s="300">
        <f t="shared" si="209"/>
        <v>0</v>
      </c>
      <c r="GR114" s="300">
        <f t="shared" si="210"/>
        <v>0</v>
      </c>
      <c r="GS114" s="301"/>
      <c r="GT114" s="301"/>
      <c r="GU114" s="301"/>
      <c r="GV114" s="300">
        <f t="shared" si="211"/>
        <v>1621.5583333333334</v>
      </c>
      <c r="GX114" s="146">
        <f t="shared" si="212"/>
        <v>511571.8903609101</v>
      </c>
      <c r="GY114" s="146">
        <f t="shared" si="212"/>
        <v>0</v>
      </c>
      <c r="GZ114" s="146">
        <f t="shared" si="212"/>
        <v>28797.510803324109</v>
      </c>
      <c r="HA114" s="146">
        <f t="shared" si="212"/>
        <v>0</v>
      </c>
      <c r="HB114" s="146">
        <f t="shared" si="212"/>
        <v>0</v>
      </c>
      <c r="HC114" s="146">
        <f t="shared" si="212"/>
        <v>0</v>
      </c>
      <c r="HE114" s="146">
        <f t="shared" si="213"/>
        <v>389670.37036091008</v>
      </c>
      <c r="HF114" s="146">
        <f t="shared" si="213"/>
        <v>0</v>
      </c>
      <c r="HG114" s="146">
        <f t="shared" si="213"/>
        <v>13423.4858033241</v>
      </c>
      <c r="HH114" s="146">
        <f t="shared" si="213"/>
        <v>0</v>
      </c>
      <c r="HI114" s="146">
        <f t="shared" si="213"/>
        <v>0</v>
      </c>
      <c r="HJ114" s="146">
        <f t="shared" si="213"/>
        <v>0</v>
      </c>
      <c r="HL114" s="146"/>
      <c r="HM114" s="57"/>
    </row>
    <row r="115" spans="1:221">
      <c r="A115" s="185">
        <v>1049</v>
      </c>
      <c r="B115" s="185">
        <v>103145</v>
      </c>
      <c r="C115" s="185" t="s">
        <v>253</v>
      </c>
      <c r="D115" s="2" t="s">
        <v>254</v>
      </c>
      <c r="E115" s="190" t="s">
        <v>36</v>
      </c>
      <c r="F115" s="190" t="s">
        <v>890</v>
      </c>
      <c r="H115" s="271">
        <f>_xlfn.IFNA(VLOOKUP($A115,ISB!$A$4:$BY$441,67,FALSE),0)</f>
        <v>0</v>
      </c>
      <c r="I115" s="271">
        <f>_xlfn.IFNA(VLOOKUP($A115,ISB!$A$4:$BY$441,72,FALSE),0)</f>
        <v>0</v>
      </c>
      <c r="J115" s="271">
        <f>-_xlfn.IFNA(VLOOKUP($A115,ISB!$A$4:$BY$441,76,FALSE),0)</f>
        <v>0</v>
      </c>
      <c r="K115" s="271">
        <f>_xlfn.IFNA(VLOOKUP($A115,ISB!$A$4:$BY$441,77,FALSE),0)</f>
        <v>0</v>
      </c>
      <c r="M115" s="279">
        <f t="shared" si="164"/>
        <v>0</v>
      </c>
      <c r="N115" s="279"/>
      <c r="O115" s="279">
        <f>_xlfn.IFNA(VLOOKUP($A115,EY!$A:$H,8,FALSE)+(VLOOKUP($A115,EY!$A:$R,18,FALSE)-$T115),0)</f>
        <v>444273.76653459371</v>
      </c>
      <c r="P115" s="280">
        <f>_xlfn.IFNA((VLOOKUP($A115,HN!$A:$M,8,FALSE)/12),0)</f>
        <v>0</v>
      </c>
      <c r="Q115" s="280">
        <f>_xlfn.IFNA((VLOOKUP($A115,HN!$A:$M,12,FALSE)/12),0)</f>
        <v>0</v>
      </c>
      <c r="R115" s="280">
        <f>_xlfn.IFNA((VLOOKUP($A115,HN!$A:$M,9,FALSE)/12),0)</f>
        <v>0</v>
      </c>
      <c r="S115" s="280">
        <f>_xlfn.IFNA((VLOOKUP($A115,'Post 16'!$A:$AR,22,FALSE)/4),0)</f>
        <v>0</v>
      </c>
      <c r="T115" s="280">
        <f>_xlfn.IFNA((VLOOKUP($A115,EY!$A:$R,16,FALSE)*80%),0)</f>
        <v>6240</v>
      </c>
      <c r="U115" s="280">
        <v>3502.3333333333335</v>
      </c>
      <c r="V115" s="280">
        <v>0</v>
      </c>
      <c r="W115" s="279">
        <f t="shared" si="165"/>
        <v>0</v>
      </c>
      <c r="X115" s="279">
        <f t="shared" si="166"/>
        <v>0</v>
      </c>
      <c r="Y115" s="280"/>
      <c r="Z115" s="280"/>
      <c r="AA115" s="280"/>
      <c r="AB115" s="279">
        <f t="shared" si="167"/>
        <v>454016.09986792703</v>
      </c>
      <c r="AC115" s="293">
        <f t="shared" si="168"/>
        <v>0</v>
      </c>
      <c r="AD115" s="293"/>
      <c r="AE115" s="293"/>
      <c r="AF115" s="294">
        <f>_xlfn.IFNA((VLOOKUP($A115,HN!$A:$M,8,FALSE)/12),0)</f>
        <v>0</v>
      </c>
      <c r="AG115" s="294">
        <f>_xlfn.IFNA((VLOOKUP($A115,HN!$A:$M,12,FALSE)/12),0)+_xlfn.IFNA(VLOOKUP($A115,HN!$A:$Q,17,FALSE),0)</f>
        <v>0</v>
      </c>
      <c r="AH115" s="294">
        <f>_xlfn.IFNA((VLOOKUP($A115,HN!$A:$M,9,FALSE)/12),0)</f>
        <v>0</v>
      </c>
      <c r="AI115" s="294">
        <f>_xlfn.IFNA((VLOOKUP($A115,'Post 16'!$A:$AR,22,FALSE)/4),0)</f>
        <v>0</v>
      </c>
      <c r="AJ115" s="294"/>
      <c r="AK115" s="294">
        <f>_xlfn.IFNA((VLOOKUP($A115,HN!$A:$M,10,FALSE)/12),0)</f>
        <v>906.31916666666666</v>
      </c>
      <c r="AL115" s="294">
        <f>_xlfn.IFNA((VLOOKUP($A115,HN!$A:$M,13,FALSE)/12),0)</f>
        <v>0</v>
      </c>
      <c r="AM115" s="293">
        <f t="shared" si="169"/>
        <v>0</v>
      </c>
      <c r="AN115" s="293">
        <f t="shared" si="170"/>
        <v>0</v>
      </c>
      <c r="AO115" s="294"/>
      <c r="AP115" s="294"/>
      <c r="AQ115" s="294"/>
      <c r="AR115" s="293">
        <f t="shared" si="171"/>
        <v>906.31916666666666</v>
      </c>
      <c r="AS115" s="286">
        <f t="shared" si="172"/>
        <v>0</v>
      </c>
      <c r="AT115" s="286"/>
      <c r="AU115" s="286">
        <f>_xlfn.IFNA(VLOOKUP(A115,EY!A:AO,40,FALSE),0)</f>
        <v>37172.090581717435</v>
      </c>
      <c r="AV115" s="287">
        <f>_xlfn.IFNA((VLOOKUP($A115,HN!$A:$M,8,FALSE)/12),0)</f>
        <v>0</v>
      </c>
      <c r="AW115" s="287">
        <f>_xlfn.IFNA((VLOOKUP($A115,HN!$A:$M,12,FALSE)/12),0)+_xlfn.IFNA(VLOOKUP($A115,HN!$A$8:$AU$200,19,FALSE),0)</f>
        <v>0</v>
      </c>
      <c r="AX115" s="287">
        <f>_xlfn.IFNA((VLOOKUP($A115,HN!$A:$M,9,FALSE)/12),0)</f>
        <v>0</v>
      </c>
      <c r="AY115" s="287">
        <f>_xlfn.IFNA((VLOOKUP($A115,'Post 16'!$A:$AR,22,FALSE)/4),0)</f>
        <v>0</v>
      </c>
      <c r="AZ115" s="287">
        <f>_xlfn.IFNA(VLOOKUP(A115,EY!A:AO,41,FALSE),0)</f>
        <v>-334.14626038781171</v>
      </c>
      <c r="BA115" s="287">
        <f>_xlfn.IFNA(((VLOOKUP($A115,HN!$A:$M,10,FALSE)-$U115-$AK115)/10),0)+_xlfn.IFNA(VLOOKUP($A115,HN!$A:$R,18,FALSE),0)</f>
        <v>646.71775000000002</v>
      </c>
      <c r="BB115" s="287">
        <f>_xlfn.IFNA(((VLOOKUP($A115,HN!$A:$M,13,FALSE)-$V115-$AL115)/10),0)+_xlfn.IFNA(VLOOKUP($A115,HN!$A$8:$AU$200,20,FALSE),0)</f>
        <v>0</v>
      </c>
      <c r="BC115" s="286">
        <f t="shared" si="173"/>
        <v>0</v>
      </c>
      <c r="BD115" s="286">
        <f t="shared" si="174"/>
        <v>0</v>
      </c>
      <c r="BE115" s="287"/>
      <c r="BF115" s="287"/>
      <c r="BG115" s="287"/>
      <c r="BH115" s="286">
        <f t="shared" si="175"/>
        <v>37484.662071329629</v>
      </c>
      <c r="BI115" s="307">
        <f t="shared" si="176"/>
        <v>0</v>
      </c>
      <c r="BJ115" s="307">
        <f>_xlfn.IFNA(VLOOKUP(A115,'LA Deductions'!A:AH,34,FALSE),0)</f>
        <v>0</v>
      </c>
      <c r="BK115" s="307"/>
      <c r="BL115" s="308">
        <f>_xlfn.IFNA((VLOOKUP($A115,HN!$A:$M,8,FALSE)/12),0)</f>
        <v>0</v>
      </c>
      <c r="BM115" s="308">
        <f>_xlfn.IFNA((VLOOKUP($A115,HN!$A:$M,12,FALSE)/12),0)</f>
        <v>0</v>
      </c>
      <c r="BN115" s="308">
        <f>_xlfn.IFNA((VLOOKUP($A115,HN!$A:$M,9,FALSE)/12),0)</f>
        <v>0</v>
      </c>
      <c r="BO115" s="308">
        <f>_xlfn.IFNA((VLOOKUP($A115,'Post 16'!$A:$AR,22,FALSE)/4),0)</f>
        <v>0</v>
      </c>
      <c r="BP115" s="308"/>
      <c r="BQ115" s="308">
        <f>_xlfn.IFNA(((VLOOKUP($A115,HN!$A:$M,10,FALSE)-$U115-$AK115)/10),0)</f>
        <v>646.71775000000002</v>
      </c>
      <c r="BR115" s="308">
        <f>_xlfn.IFNA(((VLOOKUP($A115,HN!$A:$M,13,FALSE)-$V115-$AL115)/10),0)</f>
        <v>0</v>
      </c>
      <c r="BS115" s="307">
        <f t="shared" si="177"/>
        <v>0</v>
      </c>
      <c r="BT115" s="307">
        <f t="shared" si="178"/>
        <v>0</v>
      </c>
      <c r="BU115" s="308"/>
      <c r="BV115" s="308"/>
      <c r="BW115" s="308"/>
      <c r="BX115" s="307">
        <f t="shared" si="179"/>
        <v>646.71775000000002</v>
      </c>
      <c r="BY115" s="300">
        <f t="shared" si="180"/>
        <v>0</v>
      </c>
      <c r="BZ115" s="300"/>
      <c r="CA115" s="300"/>
      <c r="CB115" s="301">
        <f>_xlfn.IFNA((VLOOKUP($A115,HN!$A:$M,8,FALSE)/12),0)</f>
        <v>0</v>
      </c>
      <c r="CC115" s="301">
        <f>_xlfn.IFNA((VLOOKUP($A115,HN!$A:$M,12,FALSE)/12),0)</f>
        <v>0</v>
      </c>
      <c r="CD115" s="301">
        <f>_xlfn.IFNA((VLOOKUP($A115,HN!$A:$M,9,FALSE)/12),0)</f>
        <v>0</v>
      </c>
      <c r="CE115" s="301">
        <f>_xlfn.IFNA((VLOOKUP($A115,'Post 16'!$A:$AG,33,FALSE)/8),0)</f>
        <v>0</v>
      </c>
      <c r="CF115" s="301"/>
      <c r="CG115" s="301">
        <f>_xlfn.IFNA(((VLOOKUP($A115,HN!$A:$M,10,FALSE)-$U115-$AK115)/10),0)</f>
        <v>646.71775000000002</v>
      </c>
      <c r="CH115" s="301">
        <f>_xlfn.IFNA(((VLOOKUP($A115,HN!$A:$M,13,FALSE)-$V115-$AL115)/10),0)</f>
        <v>0</v>
      </c>
      <c r="CI115" s="300">
        <f t="shared" si="181"/>
        <v>0</v>
      </c>
      <c r="CJ115" s="300">
        <f t="shared" si="182"/>
        <v>0</v>
      </c>
      <c r="CK115" s="301"/>
      <c r="CL115" s="301"/>
      <c r="CM115" s="301"/>
      <c r="CN115" s="300">
        <f t="shared" si="183"/>
        <v>646.71775000000002</v>
      </c>
      <c r="CO115" s="332">
        <f t="shared" si="184"/>
        <v>0</v>
      </c>
      <c r="CP115" s="332"/>
      <c r="CQ115" s="332">
        <f>_xlfn.IFNA((VLOOKUP($A115,EY!$A:$AB,28,FALSE)-$CV115),0)</f>
        <v>153605.91536842106</v>
      </c>
      <c r="CR115" s="333">
        <f>_xlfn.IFNA((VLOOKUP($A115,HN!$A:$M,8,FALSE)/12),0)</f>
        <v>0</v>
      </c>
      <c r="CS115" s="333">
        <f>_xlfn.IFNA((VLOOKUP($A115,HN!$A:$M,12,FALSE)/12),0)</f>
        <v>0</v>
      </c>
      <c r="CT115" s="333">
        <f>_xlfn.IFNA((VLOOKUP($A115,HN!$A:$M,9,FALSE)/12),0)</f>
        <v>0</v>
      </c>
      <c r="CU115" s="333">
        <f>_xlfn.IFNA((VLOOKUP($A115,'Post 16'!$A:$AG,33,FALSE)/8),0)</f>
        <v>0</v>
      </c>
      <c r="CV115" s="333">
        <f>_xlfn.IFNA((VLOOKUP($A115,EY!$A:$AB,26,FALSE)*80%),0)</f>
        <v>1560</v>
      </c>
      <c r="CW115" s="333">
        <f>_xlfn.IFNA(((VLOOKUP($A115,HN!$A:$M,10,FALSE)-$U115-$AK115)/10),0)</f>
        <v>646.71775000000002</v>
      </c>
      <c r="CX115" s="333">
        <f>_xlfn.IFNA(((VLOOKUP($A115,HN!$A:$M,13,FALSE)-$V115-$AL115)/10),0)</f>
        <v>0</v>
      </c>
      <c r="CY115" s="332">
        <f t="shared" si="185"/>
        <v>0</v>
      </c>
      <c r="CZ115" s="332">
        <f t="shared" si="186"/>
        <v>0</v>
      </c>
      <c r="DA115" s="333"/>
      <c r="DB115" s="333"/>
      <c r="DC115" s="333"/>
      <c r="DD115" s="332">
        <f t="shared" si="187"/>
        <v>155812.63311842107</v>
      </c>
      <c r="DE115" s="314">
        <f t="shared" si="188"/>
        <v>0</v>
      </c>
      <c r="DF115" s="314"/>
      <c r="DG115" s="314"/>
      <c r="DH115" s="315">
        <f>_xlfn.IFNA((VLOOKUP($A115,HN!$A:$M,8,FALSE)/12),0)</f>
        <v>0</v>
      </c>
      <c r="DI115" s="315">
        <f>_xlfn.IFNA((VLOOKUP($A115,HN!$A:$M,12,FALSE)/12),0)</f>
        <v>0</v>
      </c>
      <c r="DJ115" s="315">
        <f>_xlfn.IFNA((VLOOKUP($A115,HN!$A:$M,9,FALSE)/12),0)</f>
        <v>0</v>
      </c>
      <c r="DK115" s="315">
        <f>_xlfn.IFNA((VLOOKUP($A115,'Post 16'!$A:$AG,33,FALSE)/8),0)</f>
        <v>0</v>
      </c>
      <c r="DL115" s="315"/>
      <c r="DM115" s="315">
        <f>_xlfn.IFNA(((VLOOKUP($A115,HN!$A:$M,10,FALSE)-$U115-$AK115)/10),0)</f>
        <v>646.71775000000002</v>
      </c>
      <c r="DN115" s="315">
        <f>_xlfn.IFNA(((VLOOKUP($A115,HN!$A:$M,13,FALSE)-$V115-$AL115)/10),0)</f>
        <v>0</v>
      </c>
      <c r="DO115" s="314">
        <f t="shared" si="189"/>
        <v>0</v>
      </c>
      <c r="DP115" s="314">
        <f t="shared" si="190"/>
        <v>0</v>
      </c>
      <c r="DQ115" s="315"/>
      <c r="DR115" s="315"/>
      <c r="DS115" s="315"/>
      <c r="DT115" s="314">
        <f t="shared" si="191"/>
        <v>646.71775000000002</v>
      </c>
      <c r="DU115" s="307">
        <f t="shared" si="192"/>
        <v>0</v>
      </c>
      <c r="DV115" s="307"/>
      <c r="DW115" s="307"/>
      <c r="DX115" s="308">
        <f>_xlfn.IFNA((VLOOKUP($A115,HN!$A:$M,8,FALSE)/12),0)</f>
        <v>0</v>
      </c>
      <c r="DY115" s="308">
        <f>_xlfn.IFNA((VLOOKUP($A115,HN!$A:$M,12,FALSE)/12),0)</f>
        <v>0</v>
      </c>
      <c r="DZ115" s="308">
        <f>_xlfn.IFNA((VLOOKUP($A115,HN!$A:$M,9,FALSE)/12),0)</f>
        <v>0</v>
      </c>
      <c r="EA115" s="308">
        <f>_xlfn.IFNA((VLOOKUP($A115,'Post 16'!$A:$AG,33,FALSE)/8),0)</f>
        <v>0</v>
      </c>
      <c r="EB115" s="308"/>
      <c r="EC115" s="308">
        <f>_xlfn.IFNA(((VLOOKUP($A115,HN!$A:$M,10,FALSE)-$U115-$AK115)/10),0)</f>
        <v>646.71775000000002</v>
      </c>
      <c r="ED115" s="308">
        <f>_xlfn.IFNA(((VLOOKUP($A115,HN!$A:$M,13,FALSE)-$V115-$AL115)/10),0)</f>
        <v>0</v>
      </c>
      <c r="EE115" s="307">
        <f t="shared" si="193"/>
        <v>0</v>
      </c>
      <c r="EF115" s="307">
        <f t="shared" si="194"/>
        <v>0</v>
      </c>
      <c r="EG115" s="308"/>
      <c r="EH115" s="308"/>
      <c r="EI115" s="308"/>
      <c r="EJ115" s="307">
        <f t="shared" si="195"/>
        <v>646.71775000000002</v>
      </c>
      <c r="EK115" s="320">
        <f t="shared" si="196"/>
        <v>0</v>
      </c>
      <c r="EL115" s="320"/>
      <c r="EM115" s="320"/>
      <c r="EN115" s="321">
        <f>_xlfn.IFNA((VLOOKUP($A115,HN!$A:$M,8,FALSE)/12),0)</f>
        <v>0</v>
      </c>
      <c r="EO115" s="321">
        <f>_xlfn.IFNA((VLOOKUP($A115,HN!$A:$M,12,FALSE)/12),0)</f>
        <v>0</v>
      </c>
      <c r="EP115" s="321">
        <f>_xlfn.IFNA((VLOOKUP($A115,HN!$A:$M,9,FALSE)/12),0)</f>
        <v>0</v>
      </c>
      <c r="EQ115" s="321">
        <f>_xlfn.IFNA((VLOOKUP($A115,'Post 16'!$A:$AG,33,FALSE)/8),0)</f>
        <v>0</v>
      </c>
      <c r="ER115" s="321"/>
      <c r="ES115" s="321">
        <f>_xlfn.IFNA(((VLOOKUP($A115,HN!$A:$M,10,FALSE)-$U115-$AK115)/10),0)</f>
        <v>646.71775000000002</v>
      </c>
      <c r="ET115" s="321">
        <f>_xlfn.IFNA(((VLOOKUP($A115,HN!$A:$M,13,FALSE)-$V115-$AL115)/10),0)</f>
        <v>0</v>
      </c>
      <c r="EU115" s="320">
        <f t="shared" si="197"/>
        <v>0</v>
      </c>
      <c r="EV115" s="320">
        <f t="shared" si="198"/>
        <v>0</v>
      </c>
      <c r="EW115" s="321"/>
      <c r="EX115" s="321"/>
      <c r="EY115" s="321"/>
      <c r="EZ115" s="320">
        <f t="shared" si="199"/>
        <v>646.71775000000002</v>
      </c>
      <c r="FA115" s="286">
        <f t="shared" si="200"/>
        <v>0</v>
      </c>
      <c r="FB115" s="286"/>
      <c r="FC115" s="286"/>
      <c r="FD115" s="287">
        <f>_xlfn.IFNA((VLOOKUP($A115,HN!$A:$M,8,FALSE)/12),0)</f>
        <v>0</v>
      </c>
      <c r="FE115" s="287">
        <f>_xlfn.IFNA((VLOOKUP($A115,HN!$A:$M,12,FALSE)/12),0)</f>
        <v>0</v>
      </c>
      <c r="FF115" s="287">
        <f>_xlfn.IFNA((VLOOKUP($A115,HN!$A:$M,9,FALSE)/12),0)</f>
        <v>0</v>
      </c>
      <c r="FG115" s="287">
        <f>_xlfn.IFNA((VLOOKUP($A115,'Post 16'!$A:$AG,33,FALSE)/8),0)</f>
        <v>0</v>
      </c>
      <c r="FH115" s="287"/>
      <c r="FI115" s="287">
        <f>_xlfn.IFNA(((VLOOKUP($A115,HN!$A:$M,10,FALSE)-$U115-$AK115)/10),0)</f>
        <v>646.71775000000002</v>
      </c>
      <c r="FJ115" s="287">
        <f>_xlfn.IFNA(((VLOOKUP($A115,HN!$A:$M,13,FALSE)-$V115-$AL115)/10),0)</f>
        <v>0</v>
      </c>
      <c r="FK115" s="286">
        <f t="shared" si="201"/>
        <v>0</v>
      </c>
      <c r="FL115" s="286">
        <f t="shared" si="202"/>
        <v>0</v>
      </c>
      <c r="FM115" s="287"/>
      <c r="FN115" s="287"/>
      <c r="FO115" s="287"/>
      <c r="FP115" s="286">
        <f t="shared" si="203"/>
        <v>646.71775000000002</v>
      </c>
      <c r="FQ115" s="293">
        <f t="shared" si="204"/>
        <v>0</v>
      </c>
      <c r="FR115" s="293"/>
      <c r="FS115" s="293"/>
      <c r="FT115" s="294">
        <f>_xlfn.IFNA((VLOOKUP($A115,HN!$A:$M,8,FALSE)/12),0)</f>
        <v>0</v>
      </c>
      <c r="FU115" s="294">
        <f>_xlfn.IFNA((VLOOKUP($A115,HN!$A:$M,12,FALSE)/12),0)</f>
        <v>0</v>
      </c>
      <c r="FV115" s="294">
        <f>_xlfn.IFNA((VLOOKUP($A115,HN!$A:$M,9,FALSE)/12),0)</f>
        <v>0</v>
      </c>
      <c r="FW115" s="294">
        <f>_xlfn.IFNA((VLOOKUP($A115,'Post 16'!$A:$AG,33,FALSE)/8),0)</f>
        <v>0</v>
      </c>
      <c r="FX115" s="294"/>
      <c r="FY115" s="294">
        <f>_xlfn.IFNA(((VLOOKUP($A115,HN!$A:$M,10,FALSE)-$U115-$AK115)/10),0)</f>
        <v>646.71775000000002</v>
      </c>
      <c r="FZ115" s="294">
        <f>_xlfn.IFNA(((VLOOKUP($A115,HN!$A:$M,13,FALSE)-$V115-$AL115)/10),0)</f>
        <v>0</v>
      </c>
      <c r="GA115" s="293">
        <f t="shared" si="205"/>
        <v>0</v>
      </c>
      <c r="GB115" s="293">
        <f t="shared" si="206"/>
        <v>0</v>
      </c>
      <c r="GC115" s="294"/>
      <c r="GD115" s="294"/>
      <c r="GE115" s="294"/>
      <c r="GF115" s="293">
        <f t="shared" si="207"/>
        <v>646.71775000000002</v>
      </c>
      <c r="GG115" s="300">
        <f t="shared" si="208"/>
        <v>0</v>
      </c>
      <c r="GH115" s="300"/>
      <c r="GI115" s="300"/>
      <c r="GJ115" s="301">
        <f>_xlfn.IFNA((VLOOKUP($A115,HN!$A:$M,8,FALSE)/12),0)</f>
        <v>0</v>
      </c>
      <c r="GK115" s="301">
        <f>_xlfn.IFNA((VLOOKUP($A115,HN!$A:$M,12,FALSE)/12),0)</f>
        <v>0</v>
      </c>
      <c r="GL115" s="301">
        <f>_xlfn.IFNA((VLOOKUP($A115,HN!$A:$M,9,FALSE)/12),0)</f>
        <v>0</v>
      </c>
      <c r="GM115" s="301">
        <f>_xlfn.IFNA((VLOOKUP($A115,'Post 16'!$A:$AG,33,FALSE)/8),0)</f>
        <v>0</v>
      </c>
      <c r="GN115" s="301"/>
      <c r="GO115" s="301">
        <f>_xlfn.IFNA(((VLOOKUP($A115,HN!$A:$M,10,FALSE)-$U115-$AK115)/10),0)</f>
        <v>646.71775000000002</v>
      </c>
      <c r="GP115" s="301">
        <f>_xlfn.IFNA(((VLOOKUP($A115,HN!$A:$M,13,FALSE)-$V115-$AL115)/10),0)</f>
        <v>0</v>
      </c>
      <c r="GQ115" s="300">
        <f t="shared" si="209"/>
        <v>0</v>
      </c>
      <c r="GR115" s="300">
        <f t="shared" si="210"/>
        <v>0</v>
      </c>
      <c r="GS115" s="301"/>
      <c r="GT115" s="301"/>
      <c r="GU115" s="301"/>
      <c r="GV115" s="300">
        <f t="shared" si="211"/>
        <v>646.71775000000002</v>
      </c>
      <c r="GX115" s="146">
        <f t="shared" si="212"/>
        <v>635051.77248473221</v>
      </c>
      <c r="GY115" s="146">
        <f t="shared" si="212"/>
        <v>0</v>
      </c>
      <c r="GZ115" s="146">
        <f t="shared" si="212"/>
        <v>18341.683739612188</v>
      </c>
      <c r="HA115" s="146">
        <f t="shared" si="212"/>
        <v>0</v>
      </c>
      <c r="HB115" s="146">
        <f t="shared" si="212"/>
        <v>0</v>
      </c>
      <c r="HC115" s="146">
        <f t="shared" si="212"/>
        <v>0</v>
      </c>
      <c r="HE115" s="146">
        <f t="shared" si="213"/>
        <v>481445.85711631115</v>
      </c>
      <c r="HF115" s="146">
        <f t="shared" si="213"/>
        <v>0</v>
      </c>
      <c r="HG115" s="146">
        <f t="shared" si="213"/>
        <v>10961.223989612188</v>
      </c>
      <c r="HH115" s="146">
        <f t="shared" si="213"/>
        <v>0</v>
      </c>
      <c r="HI115" s="146">
        <f t="shared" si="213"/>
        <v>0</v>
      </c>
      <c r="HJ115" s="146">
        <f t="shared" si="213"/>
        <v>0</v>
      </c>
      <c r="HL115" s="146"/>
      <c r="HM115" s="57"/>
    </row>
    <row r="116" spans="1:221">
      <c r="A116" s="185">
        <v>3351</v>
      </c>
      <c r="B116" s="185">
        <v>103443</v>
      </c>
      <c r="C116" s="185" t="s">
        <v>255</v>
      </c>
      <c r="D116" s="2" t="s">
        <v>256</v>
      </c>
      <c r="E116" s="190" t="s">
        <v>39</v>
      </c>
      <c r="F116" s="190" t="s">
        <v>890</v>
      </c>
      <c r="H116" s="271">
        <f>_xlfn.IFNA(VLOOKUP($A116,ISB!$A$4:$BY$441,67,FALSE),0)</f>
        <v>1328220.780809846</v>
      </c>
      <c r="I116" s="271">
        <f>_xlfn.IFNA(VLOOKUP($A116,ISB!$A$4:$BY$441,72,FALSE),0)</f>
        <v>-5129.3999999999996</v>
      </c>
      <c r="J116" s="271">
        <f>-_xlfn.IFNA(VLOOKUP($A116,ISB!$A$4:$BY$441,76,FALSE),0)</f>
        <v>-4266.2254999999996</v>
      </c>
      <c r="K116" s="271">
        <f>_xlfn.IFNA(VLOOKUP($A116,ISB!$A$4:$BY$441,77,FALSE),0)</f>
        <v>1318825.1553098462</v>
      </c>
      <c r="M116" s="279">
        <f t="shared" si="164"/>
        <v>110685.06506748717</v>
      </c>
      <c r="N116" s="279"/>
      <c r="O116" s="279">
        <f>_xlfn.IFNA(VLOOKUP($A116,EY!$A:$H,8,FALSE)+(VLOOKUP($A116,EY!$A:$R,18,FALSE)-$T116),0)</f>
        <v>28806.232000000004</v>
      </c>
      <c r="P116" s="280">
        <f>_xlfn.IFNA((VLOOKUP($A116,HN!$A:$M,8,FALSE)/12),0)</f>
        <v>0</v>
      </c>
      <c r="Q116" s="280">
        <f>_xlfn.IFNA((VLOOKUP($A116,HN!$A:$M,12,FALSE)/12),0)</f>
        <v>0</v>
      </c>
      <c r="R116" s="280">
        <f>_xlfn.IFNA((VLOOKUP($A116,HN!$A:$M,9,FALSE)/12),0)</f>
        <v>0</v>
      </c>
      <c r="S116" s="280">
        <f>_xlfn.IFNA((VLOOKUP($A116,'Post 16'!$A:$AR,22,FALSE)/4),0)</f>
        <v>0</v>
      </c>
      <c r="T116" s="280">
        <f>_xlfn.IFNA((VLOOKUP($A116,EY!$A:$R,16,FALSE)*80%),0)</f>
        <v>0</v>
      </c>
      <c r="U116" s="280">
        <v>7114.5974999999999</v>
      </c>
      <c r="V116" s="280">
        <v>0</v>
      </c>
      <c r="W116" s="279">
        <f t="shared" si="165"/>
        <v>-427.45</v>
      </c>
      <c r="X116" s="279">
        <f t="shared" si="166"/>
        <v>-355.51879166666663</v>
      </c>
      <c r="Y116" s="280"/>
      <c r="Z116" s="280"/>
      <c r="AA116" s="280"/>
      <c r="AB116" s="279">
        <f t="shared" si="167"/>
        <v>145822.92577582051</v>
      </c>
      <c r="AC116" s="293">
        <f t="shared" si="168"/>
        <v>110685.06506748717</v>
      </c>
      <c r="AD116" s="293"/>
      <c r="AE116" s="293"/>
      <c r="AF116" s="294">
        <f>_xlfn.IFNA((VLOOKUP($A116,HN!$A:$M,8,FALSE)/12),0)</f>
        <v>0</v>
      </c>
      <c r="AG116" s="294">
        <f>_xlfn.IFNA((VLOOKUP($A116,HN!$A:$M,12,FALSE)/12),0)+_xlfn.IFNA(VLOOKUP($A116,HN!$A:$Q,17,FALSE),0)</f>
        <v>0</v>
      </c>
      <c r="AH116" s="294">
        <f>_xlfn.IFNA((VLOOKUP($A116,HN!$A:$M,9,FALSE)/12),0)</f>
        <v>0</v>
      </c>
      <c r="AI116" s="294">
        <f>_xlfn.IFNA((VLOOKUP($A116,'Post 16'!$A:$AR,22,FALSE)/4),0)</f>
        <v>0</v>
      </c>
      <c r="AJ116" s="294"/>
      <c r="AK116" s="294">
        <f>_xlfn.IFNA((VLOOKUP($A116,HN!$A:$M,10,FALSE)/12),0)</f>
        <v>3630.5208333333335</v>
      </c>
      <c r="AL116" s="294">
        <f>_xlfn.IFNA((VLOOKUP($A116,HN!$A:$M,13,FALSE)/12),0)</f>
        <v>0</v>
      </c>
      <c r="AM116" s="293">
        <f t="shared" si="169"/>
        <v>-427.45</v>
      </c>
      <c r="AN116" s="293">
        <f t="shared" si="170"/>
        <v>-355.51879166666663</v>
      </c>
      <c r="AO116" s="294"/>
      <c r="AP116" s="294"/>
      <c r="AQ116" s="294"/>
      <c r="AR116" s="293">
        <f t="shared" si="171"/>
        <v>113532.61710915384</v>
      </c>
      <c r="AS116" s="286">
        <f t="shared" si="172"/>
        <v>110685.06506748717</v>
      </c>
      <c r="AT116" s="286"/>
      <c r="AU116" s="286">
        <f>_xlfn.IFNA(VLOOKUP(A116,EY!A:AO,40,FALSE),0)</f>
        <v>10306.209445983379</v>
      </c>
      <c r="AV116" s="287">
        <f>_xlfn.IFNA((VLOOKUP($A116,HN!$A:$M,8,FALSE)/12),0)</f>
        <v>0</v>
      </c>
      <c r="AW116" s="287">
        <f>_xlfn.IFNA((VLOOKUP($A116,HN!$A:$M,12,FALSE)/12),0)+_xlfn.IFNA(VLOOKUP($A116,HN!$A$8:$AU$200,19,FALSE),0)</f>
        <v>0</v>
      </c>
      <c r="AX116" s="287">
        <f>_xlfn.IFNA((VLOOKUP($A116,HN!$A:$M,9,FALSE)/12),0)</f>
        <v>0</v>
      </c>
      <c r="AY116" s="287">
        <f>_xlfn.IFNA((VLOOKUP($A116,'Post 16'!$A:$AR,22,FALSE)/4),0)</f>
        <v>0</v>
      </c>
      <c r="AZ116" s="287">
        <f>_xlfn.IFNA(VLOOKUP(A116,EY!A:AO,41,FALSE),0)</f>
        <v>0</v>
      </c>
      <c r="BA116" s="287">
        <f>_xlfn.IFNA(((VLOOKUP($A116,HN!$A:$M,10,FALSE)-$U116-$AK116)/10),0)+_xlfn.IFNA(VLOOKUP($A116,HN!$A:$R,18,FALSE),0)</f>
        <v>3282.1131666666661</v>
      </c>
      <c r="BB116" s="287">
        <f>_xlfn.IFNA(((VLOOKUP($A116,HN!$A:$M,13,FALSE)-$V116-$AL116)/10),0)+_xlfn.IFNA(VLOOKUP($A116,HN!$A$8:$AU$200,20,FALSE),0)</f>
        <v>0</v>
      </c>
      <c r="BC116" s="286">
        <f t="shared" si="173"/>
        <v>-427.45</v>
      </c>
      <c r="BD116" s="286">
        <f t="shared" si="174"/>
        <v>-355.51879166666663</v>
      </c>
      <c r="BE116" s="287"/>
      <c r="BF116" s="287"/>
      <c r="BG116" s="287"/>
      <c r="BH116" s="286">
        <f t="shared" si="175"/>
        <v>123490.41888847055</v>
      </c>
      <c r="BI116" s="307">
        <f t="shared" si="176"/>
        <v>110685.06506748717</v>
      </c>
      <c r="BJ116" s="307">
        <f>_xlfn.IFNA(VLOOKUP(A116,'LA Deductions'!A:AH,34,FALSE),0)</f>
        <v>0</v>
      </c>
      <c r="BK116" s="307"/>
      <c r="BL116" s="308">
        <f>_xlfn.IFNA((VLOOKUP($A116,HN!$A:$M,8,FALSE)/12),0)</f>
        <v>0</v>
      </c>
      <c r="BM116" s="308">
        <f>_xlfn.IFNA((VLOOKUP($A116,HN!$A:$M,12,FALSE)/12),0)</f>
        <v>0</v>
      </c>
      <c r="BN116" s="308">
        <f>_xlfn.IFNA((VLOOKUP($A116,HN!$A:$M,9,FALSE)/12),0)</f>
        <v>0</v>
      </c>
      <c r="BO116" s="308">
        <f>_xlfn.IFNA((VLOOKUP($A116,'Post 16'!$A:$AR,22,FALSE)/4),0)</f>
        <v>0</v>
      </c>
      <c r="BP116" s="308"/>
      <c r="BQ116" s="308">
        <f>_xlfn.IFNA(((VLOOKUP($A116,HN!$A:$M,10,FALSE)-$U116-$AK116)/10),0)</f>
        <v>3282.1131666666661</v>
      </c>
      <c r="BR116" s="308">
        <f>_xlfn.IFNA(((VLOOKUP($A116,HN!$A:$M,13,FALSE)-$V116-$AL116)/10),0)</f>
        <v>0</v>
      </c>
      <c r="BS116" s="307">
        <f t="shared" si="177"/>
        <v>-427.45</v>
      </c>
      <c r="BT116" s="307">
        <f t="shared" si="178"/>
        <v>-355.51879166666663</v>
      </c>
      <c r="BU116" s="308"/>
      <c r="BV116" s="308"/>
      <c r="BW116" s="308"/>
      <c r="BX116" s="307">
        <f t="shared" si="179"/>
        <v>113184.20944248718</v>
      </c>
      <c r="BY116" s="300">
        <f t="shared" si="180"/>
        <v>110685.06506748717</v>
      </c>
      <c r="BZ116" s="300"/>
      <c r="CA116" s="300"/>
      <c r="CB116" s="301">
        <f>_xlfn.IFNA((VLOOKUP($A116,HN!$A:$M,8,FALSE)/12),0)</f>
        <v>0</v>
      </c>
      <c r="CC116" s="301">
        <f>_xlfn.IFNA((VLOOKUP($A116,HN!$A:$M,12,FALSE)/12),0)</f>
        <v>0</v>
      </c>
      <c r="CD116" s="301">
        <f>_xlfn.IFNA((VLOOKUP($A116,HN!$A:$M,9,FALSE)/12),0)</f>
        <v>0</v>
      </c>
      <c r="CE116" s="301">
        <f>_xlfn.IFNA((VLOOKUP($A116,'Post 16'!$A:$AG,33,FALSE)/8),0)</f>
        <v>0</v>
      </c>
      <c r="CF116" s="301"/>
      <c r="CG116" s="301">
        <f>_xlfn.IFNA(((VLOOKUP($A116,HN!$A:$M,10,FALSE)-$U116-$AK116)/10),0)</f>
        <v>3282.1131666666661</v>
      </c>
      <c r="CH116" s="301">
        <f>_xlfn.IFNA(((VLOOKUP($A116,HN!$A:$M,13,FALSE)-$V116-$AL116)/10),0)</f>
        <v>0</v>
      </c>
      <c r="CI116" s="300">
        <f t="shared" si="181"/>
        <v>-427.45</v>
      </c>
      <c r="CJ116" s="300">
        <f t="shared" si="182"/>
        <v>-355.51879166666663</v>
      </c>
      <c r="CK116" s="301"/>
      <c r="CL116" s="301"/>
      <c r="CM116" s="301"/>
      <c r="CN116" s="300">
        <f t="shared" si="183"/>
        <v>113184.20944248718</v>
      </c>
      <c r="CO116" s="332">
        <f t="shared" si="184"/>
        <v>110685.06506748717</v>
      </c>
      <c r="CP116" s="332"/>
      <c r="CQ116" s="332">
        <f>_xlfn.IFNA((VLOOKUP($A116,EY!$A:$AB,28,FALSE)-$CV116),0)</f>
        <v>34599.6012631579</v>
      </c>
      <c r="CR116" s="333">
        <f>_xlfn.IFNA((VLOOKUP($A116,HN!$A:$M,8,FALSE)/12),0)</f>
        <v>0</v>
      </c>
      <c r="CS116" s="333">
        <f>_xlfn.IFNA((VLOOKUP($A116,HN!$A:$M,12,FALSE)/12),0)</f>
        <v>0</v>
      </c>
      <c r="CT116" s="333">
        <f>_xlfn.IFNA((VLOOKUP($A116,HN!$A:$M,9,FALSE)/12),0)</f>
        <v>0</v>
      </c>
      <c r="CU116" s="333">
        <f>_xlfn.IFNA((VLOOKUP($A116,'Post 16'!$A:$AG,33,FALSE)/8),0)</f>
        <v>0</v>
      </c>
      <c r="CV116" s="333">
        <f>_xlfn.IFNA((VLOOKUP($A116,EY!$A:$AB,26,FALSE)*80%),0)</f>
        <v>0</v>
      </c>
      <c r="CW116" s="333">
        <f>_xlfn.IFNA(((VLOOKUP($A116,HN!$A:$M,10,FALSE)-$U116-$AK116)/10),0)</f>
        <v>3282.1131666666661</v>
      </c>
      <c r="CX116" s="333">
        <f>_xlfn.IFNA(((VLOOKUP($A116,HN!$A:$M,13,FALSE)-$V116-$AL116)/10),0)</f>
        <v>0</v>
      </c>
      <c r="CY116" s="332">
        <f t="shared" si="185"/>
        <v>-427.45</v>
      </c>
      <c r="CZ116" s="332">
        <f t="shared" si="186"/>
        <v>-355.51879166666663</v>
      </c>
      <c r="DA116" s="333"/>
      <c r="DB116" s="333"/>
      <c r="DC116" s="333"/>
      <c r="DD116" s="332">
        <f t="shared" si="187"/>
        <v>147783.81070564507</v>
      </c>
      <c r="DE116" s="314">
        <f t="shared" si="188"/>
        <v>110685.06506748717</v>
      </c>
      <c r="DF116" s="314"/>
      <c r="DG116" s="314"/>
      <c r="DH116" s="315">
        <f>_xlfn.IFNA((VLOOKUP($A116,HN!$A:$M,8,FALSE)/12),0)</f>
        <v>0</v>
      </c>
      <c r="DI116" s="315">
        <f>_xlfn.IFNA((VLOOKUP($A116,HN!$A:$M,12,FALSE)/12),0)</f>
        <v>0</v>
      </c>
      <c r="DJ116" s="315">
        <f>_xlfn.IFNA((VLOOKUP($A116,HN!$A:$M,9,FALSE)/12),0)</f>
        <v>0</v>
      </c>
      <c r="DK116" s="315">
        <f>_xlfn.IFNA((VLOOKUP($A116,'Post 16'!$A:$AG,33,FALSE)/8),0)</f>
        <v>0</v>
      </c>
      <c r="DL116" s="315"/>
      <c r="DM116" s="315">
        <f>_xlfn.IFNA(((VLOOKUP($A116,HN!$A:$M,10,FALSE)-$U116-$AK116)/10),0)</f>
        <v>3282.1131666666661</v>
      </c>
      <c r="DN116" s="315">
        <f>_xlfn.IFNA(((VLOOKUP($A116,HN!$A:$M,13,FALSE)-$V116-$AL116)/10),0)</f>
        <v>0</v>
      </c>
      <c r="DO116" s="314">
        <f t="shared" si="189"/>
        <v>-427.45</v>
      </c>
      <c r="DP116" s="314">
        <f t="shared" si="190"/>
        <v>-355.51879166666663</v>
      </c>
      <c r="DQ116" s="315"/>
      <c r="DR116" s="315"/>
      <c r="DS116" s="315"/>
      <c r="DT116" s="314">
        <f t="shared" si="191"/>
        <v>113184.20944248718</v>
      </c>
      <c r="DU116" s="307">
        <f t="shared" si="192"/>
        <v>110685.06506748717</v>
      </c>
      <c r="DV116" s="307"/>
      <c r="DW116" s="307"/>
      <c r="DX116" s="308">
        <f>_xlfn.IFNA((VLOOKUP($A116,HN!$A:$M,8,FALSE)/12),0)</f>
        <v>0</v>
      </c>
      <c r="DY116" s="308">
        <f>_xlfn.IFNA((VLOOKUP($A116,HN!$A:$M,12,FALSE)/12),0)</f>
        <v>0</v>
      </c>
      <c r="DZ116" s="308">
        <f>_xlfn.IFNA((VLOOKUP($A116,HN!$A:$M,9,FALSE)/12),0)</f>
        <v>0</v>
      </c>
      <c r="EA116" s="308">
        <f>_xlfn.IFNA((VLOOKUP($A116,'Post 16'!$A:$AG,33,FALSE)/8),0)</f>
        <v>0</v>
      </c>
      <c r="EB116" s="308"/>
      <c r="EC116" s="308">
        <f>_xlfn.IFNA(((VLOOKUP($A116,HN!$A:$M,10,FALSE)-$U116-$AK116)/10),0)</f>
        <v>3282.1131666666661</v>
      </c>
      <c r="ED116" s="308">
        <f>_xlfn.IFNA(((VLOOKUP($A116,HN!$A:$M,13,FALSE)-$V116-$AL116)/10),0)</f>
        <v>0</v>
      </c>
      <c r="EE116" s="307">
        <f t="shared" si="193"/>
        <v>-427.45</v>
      </c>
      <c r="EF116" s="307">
        <f t="shared" si="194"/>
        <v>-355.51879166666663</v>
      </c>
      <c r="EG116" s="308"/>
      <c r="EH116" s="308"/>
      <c r="EI116" s="308"/>
      <c r="EJ116" s="307">
        <f t="shared" si="195"/>
        <v>113184.20944248718</v>
      </c>
      <c r="EK116" s="320">
        <f t="shared" si="196"/>
        <v>110685.06506748717</v>
      </c>
      <c r="EL116" s="320"/>
      <c r="EM116" s="320"/>
      <c r="EN116" s="321">
        <f>_xlfn.IFNA((VLOOKUP($A116,HN!$A:$M,8,FALSE)/12),0)</f>
        <v>0</v>
      </c>
      <c r="EO116" s="321">
        <f>_xlfn.IFNA((VLOOKUP($A116,HN!$A:$M,12,FALSE)/12),0)</f>
        <v>0</v>
      </c>
      <c r="EP116" s="321">
        <f>_xlfn.IFNA((VLOOKUP($A116,HN!$A:$M,9,FALSE)/12),0)</f>
        <v>0</v>
      </c>
      <c r="EQ116" s="321">
        <f>_xlfn.IFNA((VLOOKUP($A116,'Post 16'!$A:$AG,33,FALSE)/8),0)</f>
        <v>0</v>
      </c>
      <c r="ER116" s="321"/>
      <c r="ES116" s="321">
        <f>_xlfn.IFNA(((VLOOKUP($A116,HN!$A:$M,10,FALSE)-$U116-$AK116)/10),0)</f>
        <v>3282.1131666666661</v>
      </c>
      <c r="ET116" s="321">
        <f>_xlfn.IFNA(((VLOOKUP($A116,HN!$A:$M,13,FALSE)-$V116-$AL116)/10),0)</f>
        <v>0</v>
      </c>
      <c r="EU116" s="320">
        <f t="shared" si="197"/>
        <v>-427.45</v>
      </c>
      <c r="EV116" s="320">
        <f t="shared" si="198"/>
        <v>-355.51879166666663</v>
      </c>
      <c r="EW116" s="321"/>
      <c r="EX116" s="321"/>
      <c r="EY116" s="321"/>
      <c r="EZ116" s="320">
        <f t="shared" si="199"/>
        <v>113184.20944248718</v>
      </c>
      <c r="FA116" s="286">
        <f t="shared" si="200"/>
        <v>110685.06506748717</v>
      </c>
      <c r="FB116" s="286"/>
      <c r="FC116" s="286"/>
      <c r="FD116" s="287">
        <f>_xlfn.IFNA((VLOOKUP($A116,HN!$A:$M,8,FALSE)/12),0)</f>
        <v>0</v>
      </c>
      <c r="FE116" s="287">
        <f>_xlfn.IFNA((VLOOKUP($A116,HN!$A:$M,12,FALSE)/12),0)</f>
        <v>0</v>
      </c>
      <c r="FF116" s="287">
        <f>_xlfn.IFNA((VLOOKUP($A116,HN!$A:$M,9,FALSE)/12),0)</f>
        <v>0</v>
      </c>
      <c r="FG116" s="287">
        <f>_xlfn.IFNA((VLOOKUP($A116,'Post 16'!$A:$AG,33,FALSE)/8),0)</f>
        <v>0</v>
      </c>
      <c r="FH116" s="287"/>
      <c r="FI116" s="287">
        <f>_xlfn.IFNA(((VLOOKUP($A116,HN!$A:$M,10,FALSE)-$U116-$AK116)/10),0)</f>
        <v>3282.1131666666661</v>
      </c>
      <c r="FJ116" s="287">
        <f>_xlfn.IFNA(((VLOOKUP($A116,HN!$A:$M,13,FALSE)-$V116-$AL116)/10),0)</f>
        <v>0</v>
      </c>
      <c r="FK116" s="286">
        <f t="shared" si="201"/>
        <v>-427.45</v>
      </c>
      <c r="FL116" s="286">
        <f t="shared" si="202"/>
        <v>-355.51879166666663</v>
      </c>
      <c r="FM116" s="287"/>
      <c r="FN116" s="287"/>
      <c r="FO116" s="287"/>
      <c r="FP116" s="286">
        <f t="shared" si="203"/>
        <v>113184.20944248718</v>
      </c>
      <c r="FQ116" s="293">
        <f t="shared" si="204"/>
        <v>110685.06506748717</v>
      </c>
      <c r="FR116" s="293"/>
      <c r="FS116" s="293"/>
      <c r="FT116" s="294">
        <f>_xlfn.IFNA((VLOOKUP($A116,HN!$A:$M,8,FALSE)/12),0)</f>
        <v>0</v>
      </c>
      <c r="FU116" s="294">
        <f>_xlfn.IFNA((VLOOKUP($A116,HN!$A:$M,12,FALSE)/12),0)</f>
        <v>0</v>
      </c>
      <c r="FV116" s="294">
        <f>_xlfn.IFNA((VLOOKUP($A116,HN!$A:$M,9,FALSE)/12),0)</f>
        <v>0</v>
      </c>
      <c r="FW116" s="294">
        <f>_xlfn.IFNA((VLOOKUP($A116,'Post 16'!$A:$AG,33,FALSE)/8),0)</f>
        <v>0</v>
      </c>
      <c r="FX116" s="294"/>
      <c r="FY116" s="294">
        <f>_xlfn.IFNA(((VLOOKUP($A116,HN!$A:$M,10,FALSE)-$U116-$AK116)/10),0)</f>
        <v>3282.1131666666661</v>
      </c>
      <c r="FZ116" s="294">
        <f>_xlfn.IFNA(((VLOOKUP($A116,HN!$A:$M,13,FALSE)-$V116-$AL116)/10),0)</f>
        <v>0</v>
      </c>
      <c r="GA116" s="293">
        <f t="shared" si="205"/>
        <v>-427.45</v>
      </c>
      <c r="GB116" s="293">
        <f t="shared" si="206"/>
        <v>-355.51879166666663</v>
      </c>
      <c r="GC116" s="294"/>
      <c r="GD116" s="294"/>
      <c r="GE116" s="294"/>
      <c r="GF116" s="293">
        <f t="shared" si="207"/>
        <v>113184.20944248718</v>
      </c>
      <c r="GG116" s="300">
        <f t="shared" si="208"/>
        <v>110685.06506748717</v>
      </c>
      <c r="GH116" s="300"/>
      <c r="GI116" s="300"/>
      <c r="GJ116" s="301">
        <f>_xlfn.IFNA((VLOOKUP($A116,HN!$A:$M,8,FALSE)/12),0)</f>
        <v>0</v>
      </c>
      <c r="GK116" s="301">
        <f>_xlfn.IFNA((VLOOKUP($A116,HN!$A:$M,12,FALSE)/12),0)</f>
        <v>0</v>
      </c>
      <c r="GL116" s="301">
        <f>_xlfn.IFNA((VLOOKUP($A116,HN!$A:$M,9,FALSE)/12),0)</f>
        <v>0</v>
      </c>
      <c r="GM116" s="301">
        <f>_xlfn.IFNA((VLOOKUP($A116,'Post 16'!$A:$AG,33,FALSE)/8),0)</f>
        <v>0</v>
      </c>
      <c r="GN116" s="301"/>
      <c r="GO116" s="301">
        <f>_xlfn.IFNA(((VLOOKUP($A116,HN!$A:$M,10,FALSE)-$U116-$AK116)/10),0)</f>
        <v>3282.1131666666661</v>
      </c>
      <c r="GP116" s="301">
        <f>_xlfn.IFNA(((VLOOKUP($A116,HN!$A:$M,13,FALSE)-$V116-$AL116)/10),0)</f>
        <v>0</v>
      </c>
      <c r="GQ116" s="300">
        <f t="shared" si="209"/>
        <v>-427.45</v>
      </c>
      <c r="GR116" s="300">
        <f t="shared" si="210"/>
        <v>-355.51879166666663</v>
      </c>
      <c r="GS116" s="301"/>
      <c r="GT116" s="301"/>
      <c r="GU116" s="301"/>
      <c r="GV116" s="300">
        <f t="shared" si="211"/>
        <v>113184.20944248718</v>
      </c>
      <c r="GX116" s="146">
        <f t="shared" si="212"/>
        <v>1401932.823518987</v>
      </c>
      <c r="GY116" s="146">
        <f t="shared" si="212"/>
        <v>0</v>
      </c>
      <c r="GZ116" s="146">
        <f t="shared" si="212"/>
        <v>43566.249999999985</v>
      </c>
      <c r="HA116" s="146">
        <f t="shared" si="212"/>
        <v>-5129.3999999999987</v>
      </c>
      <c r="HB116" s="146">
        <f t="shared" si="212"/>
        <v>-4266.2254999999986</v>
      </c>
      <c r="HC116" s="146">
        <f t="shared" si="212"/>
        <v>0</v>
      </c>
      <c r="HE116" s="146">
        <f t="shared" si="213"/>
        <v>371167.63664844492</v>
      </c>
      <c r="HF116" s="146">
        <f t="shared" si="213"/>
        <v>0</v>
      </c>
      <c r="HG116" s="146">
        <f t="shared" si="213"/>
        <v>14027.2315</v>
      </c>
      <c r="HH116" s="146">
        <f t="shared" si="213"/>
        <v>-1282.3499999999999</v>
      </c>
      <c r="HI116" s="146">
        <f t="shared" si="213"/>
        <v>-1066.5563749999999</v>
      </c>
      <c r="HJ116" s="146">
        <f t="shared" si="213"/>
        <v>0</v>
      </c>
      <c r="HL116" s="146"/>
      <c r="HM116" s="57"/>
    </row>
    <row r="117" spans="1:221">
      <c r="A117" s="185">
        <v>3328</v>
      </c>
      <c r="B117" s="185">
        <v>103430</v>
      </c>
      <c r="C117" s="185" t="s">
        <v>257</v>
      </c>
      <c r="D117" s="2" t="s">
        <v>258</v>
      </c>
      <c r="E117" s="190" t="s">
        <v>39</v>
      </c>
      <c r="F117" s="190" t="s">
        <v>890</v>
      </c>
      <c r="H117" s="271">
        <f>_xlfn.IFNA(VLOOKUP($A117,ISB!$A$4:$BY$441,67,FALSE),0)</f>
        <v>1214797.594193914</v>
      </c>
      <c r="I117" s="271">
        <f>_xlfn.IFNA(VLOOKUP($A117,ISB!$A$4:$BY$441,72,FALSE),0)</f>
        <v>-5179.2</v>
      </c>
      <c r="J117" s="271">
        <f>-_xlfn.IFNA(VLOOKUP($A117,ISB!$A$4:$BY$441,76,FALSE),0)</f>
        <v>-4081.8824</v>
      </c>
      <c r="K117" s="271">
        <f>_xlfn.IFNA(VLOOKUP($A117,ISB!$A$4:$BY$441,77,FALSE),0)</f>
        <v>1205536.511793914</v>
      </c>
      <c r="M117" s="279">
        <f t="shared" si="164"/>
        <v>101233.13284949283</v>
      </c>
      <c r="N117" s="279"/>
      <c r="O117" s="279">
        <f>_xlfn.IFNA(VLOOKUP($A117,EY!$A:$H,8,FALSE)+(VLOOKUP($A117,EY!$A:$R,18,FALSE)-$T117),0)</f>
        <v>11991.720000000001</v>
      </c>
      <c r="P117" s="280">
        <f>_xlfn.IFNA((VLOOKUP($A117,HN!$A:$M,8,FALSE)/12),0)</f>
        <v>0</v>
      </c>
      <c r="Q117" s="280">
        <f>_xlfn.IFNA((VLOOKUP($A117,HN!$A:$M,12,FALSE)/12),0)</f>
        <v>0</v>
      </c>
      <c r="R117" s="280">
        <f>_xlfn.IFNA((VLOOKUP($A117,HN!$A:$M,9,FALSE)/12),0)</f>
        <v>0</v>
      </c>
      <c r="S117" s="280">
        <f>_xlfn.IFNA((VLOOKUP($A117,'Post 16'!$A:$AR,22,FALSE)/4),0)</f>
        <v>0</v>
      </c>
      <c r="T117" s="280">
        <f>_xlfn.IFNA((VLOOKUP($A117,EY!$A:$R,16,FALSE)*80%),0)</f>
        <v>0</v>
      </c>
      <c r="U117" s="280">
        <v>11891.743333333332</v>
      </c>
      <c r="V117" s="280">
        <v>0</v>
      </c>
      <c r="W117" s="279">
        <f t="shared" si="165"/>
        <v>-431.59999999999997</v>
      </c>
      <c r="X117" s="279">
        <f t="shared" si="166"/>
        <v>-340.15686666666664</v>
      </c>
      <c r="Y117" s="280"/>
      <c r="Z117" s="280"/>
      <c r="AA117" s="280"/>
      <c r="AB117" s="279">
        <f t="shared" si="167"/>
        <v>124344.83931615949</v>
      </c>
      <c r="AC117" s="293">
        <f t="shared" si="168"/>
        <v>101233.13284949283</v>
      </c>
      <c r="AD117" s="293"/>
      <c r="AE117" s="293"/>
      <c r="AF117" s="294">
        <f>_xlfn.IFNA((VLOOKUP($A117,HN!$A:$M,8,FALSE)/12),0)</f>
        <v>0</v>
      </c>
      <c r="AG117" s="294">
        <f>_xlfn.IFNA((VLOOKUP($A117,HN!$A:$M,12,FALSE)/12),0)+_xlfn.IFNA(VLOOKUP($A117,HN!$A:$Q,17,FALSE),0)</f>
        <v>0</v>
      </c>
      <c r="AH117" s="294">
        <f>_xlfn.IFNA((VLOOKUP($A117,HN!$A:$M,9,FALSE)/12),0)</f>
        <v>0</v>
      </c>
      <c r="AI117" s="294">
        <f>_xlfn.IFNA((VLOOKUP($A117,'Post 16'!$A:$AR,22,FALSE)/4),0)</f>
        <v>0</v>
      </c>
      <c r="AJ117" s="294"/>
      <c r="AK117" s="294">
        <f>_xlfn.IFNA((VLOOKUP($A117,HN!$A:$M,10,FALSE)/12),0)</f>
        <v>3806.5074999999997</v>
      </c>
      <c r="AL117" s="294">
        <f>_xlfn.IFNA((VLOOKUP($A117,HN!$A:$M,13,FALSE)/12),0)</f>
        <v>0</v>
      </c>
      <c r="AM117" s="293">
        <f t="shared" si="169"/>
        <v>-431.59999999999997</v>
      </c>
      <c r="AN117" s="293">
        <f t="shared" si="170"/>
        <v>-340.15686666666664</v>
      </c>
      <c r="AO117" s="294"/>
      <c r="AP117" s="294"/>
      <c r="AQ117" s="294"/>
      <c r="AR117" s="293">
        <f t="shared" si="171"/>
        <v>104267.88348282616</v>
      </c>
      <c r="AS117" s="286">
        <f t="shared" si="172"/>
        <v>101233.13284949283</v>
      </c>
      <c r="AT117" s="286"/>
      <c r="AU117" s="286">
        <f>_xlfn.IFNA(VLOOKUP(A117,EY!A:AO,40,FALSE),0)</f>
        <v>-6434.1534903047113</v>
      </c>
      <c r="AV117" s="287">
        <f>_xlfn.IFNA((VLOOKUP($A117,HN!$A:$M,8,FALSE)/12),0)</f>
        <v>0</v>
      </c>
      <c r="AW117" s="287">
        <f>_xlfn.IFNA((VLOOKUP($A117,HN!$A:$M,12,FALSE)/12),0)+_xlfn.IFNA(VLOOKUP($A117,HN!$A$8:$AU$200,19,FALSE),0)</f>
        <v>0</v>
      </c>
      <c r="AX117" s="287">
        <f>_xlfn.IFNA((VLOOKUP($A117,HN!$A:$M,9,FALSE)/12),0)</f>
        <v>0</v>
      </c>
      <c r="AY117" s="287">
        <f>_xlfn.IFNA((VLOOKUP($A117,'Post 16'!$A:$AR,22,FALSE)/4),0)</f>
        <v>0</v>
      </c>
      <c r="AZ117" s="287">
        <f>_xlfn.IFNA(VLOOKUP(A117,EY!A:AO,41,FALSE),0)</f>
        <v>0</v>
      </c>
      <c r="BA117" s="287">
        <f>_xlfn.IFNA(((VLOOKUP($A117,HN!$A:$M,10,FALSE)-$U117-$AK117)/10),0)+_xlfn.IFNA(VLOOKUP($A117,HN!$A:$R,18,FALSE),0)</f>
        <v>2997.9839166666666</v>
      </c>
      <c r="BB117" s="287">
        <f>_xlfn.IFNA(((VLOOKUP($A117,HN!$A:$M,13,FALSE)-$V117-$AL117)/10),0)+_xlfn.IFNA(VLOOKUP($A117,HN!$A$8:$AU$200,20,FALSE),0)</f>
        <v>0</v>
      </c>
      <c r="BC117" s="286">
        <f t="shared" si="173"/>
        <v>-431.59999999999997</v>
      </c>
      <c r="BD117" s="286">
        <f t="shared" si="174"/>
        <v>-340.15686666666664</v>
      </c>
      <c r="BE117" s="287"/>
      <c r="BF117" s="287"/>
      <c r="BG117" s="287"/>
      <c r="BH117" s="286">
        <f t="shared" si="175"/>
        <v>97025.206409188104</v>
      </c>
      <c r="BI117" s="307">
        <f t="shared" si="176"/>
        <v>101233.13284949283</v>
      </c>
      <c r="BJ117" s="307">
        <f>_xlfn.IFNA(VLOOKUP(A117,'LA Deductions'!A:AH,34,FALSE),0)</f>
        <v>0</v>
      </c>
      <c r="BK117" s="307"/>
      <c r="BL117" s="308">
        <f>_xlfn.IFNA((VLOOKUP($A117,HN!$A:$M,8,FALSE)/12),0)</f>
        <v>0</v>
      </c>
      <c r="BM117" s="308">
        <f>_xlfn.IFNA((VLOOKUP($A117,HN!$A:$M,12,FALSE)/12),0)</f>
        <v>0</v>
      </c>
      <c r="BN117" s="308">
        <f>_xlfn.IFNA((VLOOKUP($A117,HN!$A:$M,9,FALSE)/12),0)</f>
        <v>0</v>
      </c>
      <c r="BO117" s="308">
        <f>_xlfn.IFNA((VLOOKUP($A117,'Post 16'!$A:$AR,22,FALSE)/4),0)</f>
        <v>0</v>
      </c>
      <c r="BP117" s="308"/>
      <c r="BQ117" s="308">
        <f>_xlfn.IFNA(((VLOOKUP($A117,HN!$A:$M,10,FALSE)-$U117-$AK117)/10),0)</f>
        <v>2997.9839166666666</v>
      </c>
      <c r="BR117" s="308">
        <f>_xlfn.IFNA(((VLOOKUP($A117,HN!$A:$M,13,FALSE)-$V117-$AL117)/10),0)</f>
        <v>0</v>
      </c>
      <c r="BS117" s="307">
        <f t="shared" si="177"/>
        <v>-431.59999999999997</v>
      </c>
      <c r="BT117" s="307">
        <f t="shared" si="178"/>
        <v>-340.15686666666664</v>
      </c>
      <c r="BU117" s="308"/>
      <c r="BV117" s="308"/>
      <c r="BW117" s="308"/>
      <c r="BX117" s="307">
        <f t="shared" si="179"/>
        <v>103459.35989949282</v>
      </c>
      <c r="BY117" s="300">
        <f t="shared" si="180"/>
        <v>101233.13284949283</v>
      </c>
      <c r="BZ117" s="300"/>
      <c r="CA117" s="300"/>
      <c r="CB117" s="301">
        <f>_xlfn.IFNA((VLOOKUP($A117,HN!$A:$M,8,FALSE)/12),0)</f>
        <v>0</v>
      </c>
      <c r="CC117" s="301">
        <f>_xlfn.IFNA((VLOOKUP($A117,HN!$A:$M,12,FALSE)/12),0)</f>
        <v>0</v>
      </c>
      <c r="CD117" s="301">
        <f>_xlfn.IFNA((VLOOKUP($A117,HN!$A:$M,9,FALSE)/12),0)</f>
        <v>0</v>
      </c>
      <c r="CE117" s="301">
        <f>_xlfn.IFNA((VLOOKUP($A117,'Post 16'!$A:$AG,33,FALSE)/8),0)</f>
        <v>0</v>
      </c>
      <c r="CF117" s="301"/>
      <c r="CG117" s="301">
        <f>_xlfn.IFNA(((VLOOKUP($A117,HN!$A:$M,10,FALSE)-$U117-$AK117)/10),0)</f>
        <v>2997.9839166666666</v>
      </c>
      <c r="CH117" s="301">
        <f>_xlfn.IFNA(((VLOOKUP($A117,HN!$A:$M,13,FALSE)-$V117-$AL117)/10),0)</f>
        <v>0</v>
      </c>
      <c r="CI117" s="300">
        <f t="shared" si="181"/>
        <v>-431.59999999999997</v>
      </c>
      <c r="CJ117" s="300">
        <f t="shared" si="182"/>
        <v>-340.15686666666664</v>
      </c>
      <c r="CK117" s="301"/>
      <c r="CL117" s="301"/>
      <c r="CM117" s="301"/>
      <c r="CN117" s="300">
        <f t="shared" si="183"/>
        <v>103459.35989949282</v>
      </c>
      <c r="CO117" s="332">
        <f t="shared" si="184"/>
        <v>101233.13284949283</v>
      </c>
      <c r="CP117" s="332"/>
      <c r="CQ117" s="332">
        <f>_xlfn.IFNA((VLOOKUP($A117,EY!$A:$AB,28,FALSE)-$CV117),0)</f>
        <v>10307.856</v>
      </c>
      <c r="CR117" s="333">
        <f>_xlfn.IFNA((VLOOKUP($A117,HN!$A:$M,8,FALSE)/12),0)</f>
        <v>0</v>
      </c>
      <c r="CS117" s="333">
        <f>_xlfn.IFNA((VLOOKUP($A117,HN!$A:$M,12,FALSE)/12),0)</f>
        <v>0</v>
      </c>
      <c r="CT117" s="333">
        <f>_xlfn.IFNA((VLOOKUP($A117,HN!$A:$M,9,FALSE)/12),0)</f>
        <v>0</v>
      </c>
      <c r="CU117" s="333">
        <f>_xlfn.IFNA((VLOOKUP($A117,'Post 16'!$A:$AG,33,FALSE)/8),0)</f>
        <v>0</v>
      </c>
      <c r="CV117" s="333">
        <f>_xlfn.IFNA((VLOOKUP($A117,EY!$A:$AB,26,FALSE)*80%),0)</f>
        <v>0</v>
      </c>
      <c r="CW117" s="333">
        <f>_xlfn.IFNA(((VLOOKUP($A117,HN!$A:$M,10,FALSE)-$U117-$AK117)/10),0)</f>
        <v>2997.9839166666666</v>
      </c>
      <c r="CX117" s="333">
        <f>_xlfn.IFNA(((VLOOKUP($A117,HN!$A:$M,13,FALSE)-$V117-$AL117)/10),0)</f>
        <v>0</v>
      </c>
      <c r="CY117" s="332">
        <f t="shared" si="185"/>
        <v>-431.59999999999997</v>
      </c>
      <c r="CZ117" s="332">
        <f t="shared" si="186"/>
        <v>-340.15686666666664</v>
      </c>
      <c r="DA117" s="333"/>
      <c r="DB117" s="333"/>
      <c r="DC117" s="333"/>
      <c r="DD117" s="332">
        <f t="shared" si="187"/>
        <v>113767.21589949282</v>
      </c>
      <c r="DE117" s="314">
        <f t="shared" si="188"/>
        <v>101233.13284949283</v>
      </c>
      <c r="DF117" s="314"/>
      <c r="DG117" s="314"/>
      <c r="DH117" s="315">
        <f>_xlfn.IFNA((VLOOKUP($A117,HN!$A:$M,8,FALSE)/12),0)</f>
        <v>0</v>
      </c>
      <c r="DI117" s="315">
        <f>_xlfn.IFNA((VLOOKUP($A117,HN!$A:$M,12,FALSE)/12),0)</f>
        <v>0</v>
      </c>
      <c r="DJ117" s="315">
        <f>_xlfn.IFNA((VLOOKUP($A117,HN!$A:$M,9,FALSE)/12),0)</f>
        <v>0</v>
      </c>
      <c r="DK117" s="315">
        <f>_xlfn.IFNA((VLOOKUP($A117,'Post 16'!$A:$AG,33,FALSE)/8),0)</f>
        <v>0</v>
      </c>
      <c r="DL117" s="315"/>
      <c r="DM117" s="315">
        <f>_xlfn.IFNA(((VLOOKUP($A117,HN!$A:$M,10,FALSE)-$U117-$AK117)/10),0)</f>
        <v>2997.9839166666666</v>
      </c>
      <c r="DN117" s="315">
        <f>_xlfn.IFNA(((VLOOKUP($A117,HN!$A:$M,13,FALSE)-$V117-$AL117)/10),0)</f>
        <v>0</v>
      </c>
      <c r="DO117" s="314">
        <f t="shared" si="189"/>
        <v>-431.59999999999997</v>
      </c>
      <c r="DP117" s="314">
        <f t="shared" si="190"/>
        <v>-340.15686666666664</v>
      </c>
      <c r="DQ117" s="315"/>
      <c r="DR117" s="315"/>
      <c r="DS117" s="315"/>
      <c r="DT117" s="314">
        <f t="shared" si="191"/>
        <v>103459.35989949282</v>
      </c>
      <c r="DU117" s="307">
        <f t="shared" si="192"/>
        <v>101233.13284949283</v>
      </c>
      <c r="DV117" s="307"/>
      <c r="DW117" s="307"/>
      <c r="DX117" s="308">
        <f>_xlfn.IFNA((VLOOKUP($A117,HN!$A:$M,8,FALSE)/12),0)</f>
        <v>0</v>
      </c>
      <c r="DY117" s="308">
        <f>_xlfn.IFNA((VLOOKUP($A117,HN!$A:$M,12,FALSE)/12),0)</f>
        <v>0</v>
      </c>
      <c r="DZ117" s="308">
        <f>_xlfn.IFNA((VLOOKUP($A117,HN!$A:$M,9,FALSE)/12),0)</f>
        <v>0</v>
      </c>
      <c r="EA117" s="308">
        <f>_xlfn.IFNA((VLOOKUP($A117,'Post 16'!$A:$AG,33,FALSE)/8),0)</f>
        <v>0</v>
      </c>
      <c r="EB117" s="308"/>
      <c r="EC117" s="308">
        <f>_xlfn.IFNA(((VLOOKUP($A117,HN!$A:$M,10,FALSE)-$U117-$AK117)/10),0)</f>
        <v>2997.9839166666666</v>
      </c>
      <c r="ED117" s="308">
        <f>_xlfn.IFNA(((VLOOKUP($A117,HN!$A:$M,13,FALSE)-$V117-$AL117)/10),0)</f>
        <v>0</v>
      </c>
      <c r="EE117" s="307">
        <f t="shared" si="193"/>
        <v>-431.59999999999997</v>
      </c>
      <c r="EF117" s="307">
        <f t="shared" si="194"/>
        <v>-340.15686666666664</v>
      </c>
      <c r="EG117" s="308"/>
      <c r="EH117" s="308"/>
      <c r="EI117" s="308"/>
      <c r="EJ117" s="307">
        <f t="shared" si="195"/>
        <v>103459.35989949282</v>
      </c>
      <c r="EK117" s="320">
        <f t="shared" si="196"/>
        <v>101233.13284949283</v>
      </c>
      <c r="EL117" s="320"/>
      <c r="EM117" s="320"/>
      <c r="EN117" s="321">
        <f>_xlfn.IFNA((VLOOKUP($A117,HN!$A:$M,8,FALSE)/12),0)</f>
        <v>0</v>
      </c>
      <c r="EO117" s="321">
        <f>_xlfn.IFNA((VLOOKUP($A117,HN!$A:$M,12,FALSE)/12),0)</f>
        <v>0</v>
      </c>
      <c r="EP117" s="321">
        <f>_xlfn.IFNA((VLOOKUP($A117,HN!$A:$M,9,FALSE)/12),0)</f>
        <v>0</v>
      </c>
      <c r="EQ117" s="321">
        <f>_xlfn.IFNA((VLOOKUP($A117,'Post 16'!$A:$AG,33,FALSE)/8),0)</f>
        <v>0</v>
      </c>
      <c r="ER117" s="321"/>
      <c r="ES117" s="321">
        <f>_xlfn.IFNA(((VLOOKUP($A117,HN!$A:$M,10,FALSE)-$U117-$AK117)/10),0)</f>
        <v>2997.9839166666666</v>
      </c>
      <c r="ET117" s="321">
        <f>_xlfn.IFNA(((VLOOKUP($A117,HN!$A:$M,13,FALSE)-$V117-$AL117)/10),0)</f>
        <v>0</v>
      </c>
      <c r="EU117" s="320">
        <f t="shared" si="197"/>
        <v>-431.59999999999997</v>
      </c>
      <c r="EV117" s="320">
        <f t="shared" si="198"/>
        <v>-340.15686666666664</v>
      </c>
      <c r="EW117" s="321"/>
      <c r="EX117" s="321"/>
      <c r="EY117" s="321"/>
      <c r="EZ117" s="320">
        <f t="shared" si="199"/>
        <v>103459.35989949282</v>
      </c>
      <c r="FA117" s="286">
        <f t="shared" si="200"/>
        <v>101233.13284949283</v>
      </c>
      <c r="FB117" s="286"/>
      <c r="FC117" s="286"/>
      <c r="FD117" s="287">
        <f>_xlfn.IFNA((VLOOKUP($A117,HN!$A:$M,8,FALSE)/12),0)</f>
        <v>0</v>
      </c>
      <c r="FE117" s="287">
        <f>_xlfn.IFNA((VLOOKUP($A117,HN!$A:$M,12,FALSE)/12),0)</f>
        <v>0</v>
      </c>
      <c r="FF117" s="287">
        <f>_xlfn.IFNA((VLOOKUP($A117,HN!$A:$M,9,FALSE)/12),0)</f>
        <v>0</v>
      </c>
      <c r="FG117" s="287">
        <f>_xlfn.IFNA((VLOOKUP($A117,'Post 16'!$A:$AG,33,FALSE)/8),0)</f>
        <v>0</v>
      </c>
      <c r="FH117" s="287"/>
      <c r="FI117" s="287">
        <f>_xlfn.IFNA(((VLOOKUP($A117,HN!$A:$M,10,FALSE)-$U117-$AK117)/10),0)</f>
        <v>2997.9839166666666</v>
      </c>
      <c r="FJ117" s="287">
        <f>_xlfn.IFNA(((VLOOKUP($A117,HN!$A:$M,13,FALSE)-$V117-$AL117)/10),0)</f>
        <v>0</v>
      </c>
      <c r="FK117" s="286">
        <f t="shared" si="201"/>
        <v>-431.59999999999997</v>
      </c>
      <c r="FL117" s="286">
        <f t="shared" si="202"/>
        <v>-340.15686666666664</v>
      </c>
      <c r="FM117" s="287"/>
      <c r="FN117" s="287"/>
      <c r="FO117" s="287"/>
      <c r="FP117" s="286">
        <f t="shared" si="203"/>
        <v>103459.35989949282</v>
      </c>
      <c r="FQ117" s="293">
        <f t="shared" si="204"/>
        <v>101233.13284949283</v>
      </c>
      <c r="FR117" s="293"/>
      <c r="FS117" s="293"/>
      <c r="FT117" s="294">
        <f>_xlfn.IFNA((VLOOKUP($A117,HN!$A:$M,8,FALSE)/12),0)</f>
        <v>0</v>
      </c>
      <c r="FU117" s="294">
        <f>_xlfn.IFNA((VLOOKUP($A117,HN!$A:$M,12,FALSE)/12),0)</f>
        <v>0</v>
      </c>
      <c r="FV117" s="294">
        <f>_xlfn.IFNA((VLOOKUP($A117,HN!$A:$M,9,FALSE)/12),0)</f>
        <v>0</v>
      </c>
      <c r="FW117" s="294">
        <f>_xlfn.IFNA((VLOOKUP($A117,'Post 16'!$A:$AG,33,FALSE)/8),0)</f>
        <v>0</v>
      </c>
      <c r="FX117" s="294"/>
      <c r="FY117" s="294">
        <f>_xlfn.IFNA(((VLOOKUP($A117,HN!$A:$M,10,FALSE)-$U117-$AK117)/10),0)</f>
        <v>2997.9839166666666</v>
      </c>
      <c r="FZ117" s="294">
        <f>_xlfn.IFNA(((VLOOKUP($A117,HN!$A:$M,13,FALSE)-$V117-$AL117)/10),0)</f>
        <v>0</v>
      </c>
      <c r="GA117" s="293">
        <f t="shared" si="205"/>
        <v>-431.59999999999997</v>
      </c>
      <c r="GB117" s="293">
        <f t="shared" si="206"/>
        <v>-340.15686666666664</v>
      </c>
      <c r="GC117" s="294"/>
      <c r="GD117" s="294"/>
      <c r="GE117" s="294"/>
      <c r="GF117" s="293">
        <f t="shared" si="207"/>
        <v>103459.35989949282</v>
      </c>
      <c r="GG117" s="300">
        <f t="shared" si="208"/>
        <v>101233.13284949283</v>
      </c>
      <c r="GH117" s="300"/>
      <c r="GI117" s="300"/>
      <c r="GJ117" s="301">
        <f>_xlfn.IFNA((VLOOKUP($A117,HN!$A:$M,8,FALSE)/12),0)</f>
        <v>0</v>
      </c>
      <c r="GK117" s="301">
        <f>_xlfn.IFNA((VLOOKUP($A117,HN!$A:$M,12,FALSE)/12),0)</f>
        <v>0</v>
      </c>
      <c r="GL117" s="301">
        <f>_xlfn.IFNA((VLOOKUP($A117,HN!$A:$M,9,FALSE)/12),0)</f>
        <v>0</v>
      </c>
      <c r="GM117" s="301">
        <f>_xlfn.IFNA((VLOOKUP($A117,'Post 16'!$A:$AG,33,FALSE)/8),0)</f>
        <v>0</v>
      </c>
      <c r="GN117" s="301"/>
      <c r="GO117" s="301">
        <f>_xlfn.IFNA(((VLOOKUP($A117,HN!$A:$M,10,FALSE)-$U117-$AK117)/10),0)</f>
        <v>2997.9839166666666</v>
      </c>
      <c r="GP117" s="301">
        <f>_xlfn.IFNA(((VLOOKUP($A117,HN!$A:$M,13,FALSE)-$V117-$AL117)/10),0)</f>
        <v>0</v>
      </c>
      <c r="GQ117" s="300">
        <f t="shared" si="209"/>
        <v>-431.59999999999997</v>
      </c>
      <c r="GR117" s="300">
        <f t="shared" si="210"/>
        <v>-340.15686666666664</v>
      </c>
      <c r="GS117" s="301"/>
      <c r="GT117" s="301"/>
      <c r="GU117" s="301"/>
      <c r="GV117" s="300">
        <f t="shared" si="211"/>
        <v>103459.35989949282</v>
      </c>
      <c r="GX117" s="146">
        <f t="shared" si="212"/>
        <v>1230663.0167036091</v>
      </c>
      <c r="GY117" s="146">
        <f t="shared" si="212"/>
        <v>0</v>
      </c>
      <c r="GZ117" s="146">
        <f t="shared" si="212"/>
        <v>45678.09</v>
      </c>
      <c r="HA117" s="146">
        <f t="shared" si="212"/>
        <v>-5179.2000000000007</v>
      </c>
      <c r="HB117" s="146">
        <f t="shared" si="212"/>
        <v>-4081.8824</v>
      </c>
      <c r="HC117" s="146">
        <f t="shared" si="212"/>
        <v>0</v>
      </c>
      <c r="HE117" s="146">
        <f t="shared" si="213"/>
        <v>309256.96505817375</v>
      </c>
      <c r="HF117" s="146">
        <f t="shared" si="213"/>
        <v>0</v>
      </c>
      <c r="HG117" s="146">
        <f t="shared" si="213"/>
        <v>18696.23475</v>
      </c>
      <c r="HH117" s="146">
        <f t="shared" si="213"/>
        <v>-1294.8</v>
      </c>
      <c r="HI117" s="146">
        <f t="shared" si="213"/>
        <v>-1020.4705999999999</v>
      </c>
      <c r="HJ117" s="146">
        <f t="shared" si="213"/>
        <v>0</v>
      </c>
      <c r="HL117" s="146"/>
      <c r="HM117" s="57"/>
    </row>
    <row r="118" spans="1:221">
      <c r="A118" s="185">
        <v>2150</v>
      </c>
      <c r="B118" s="185">
        <v>103241</v>
      </c>
      <c r="C118" s="185" t="s">
        <v>259</v>
      </c>
      <c r="D118" s="2" t="s">
        <v>260</v>
      </c>
      <c r="E118" s="190" t="s">
        <v>39</v>
      </c>
      <c r="F118" s="190" t="s">
        <v>890</v>
      </c>
      <c r="H118" s="271">
        <f>_xlfn.IFNA(VLOOKUP($A118,ISB!$A$4:$BY$441,67,FALSE),0)</f>
        <v>1473503.1122375494</v>
      </c>
      <c r="I118" s="271">
        <f>_xlfn.IFNA(VLOOKUP($A118,ISB!$A$4:$BY$441,72,FALSE),0)</f>
        <v>-5552.7</v>
      </c>
      <c r="J118" s="271">
        <f>-_xlfn.IFNA(VLOOKUP($A118,ISB!$A$4:$BY$441,76,FALSE),0)</f>
        <v>-36595.2405</v>
      </c>
      <c r="K118" s="271">
        <f>_xlfn.IFNA(VLOOKUP($A118,ISB!$A$4:$BY$441,77,FALSE),0)</f>
        <v>1431355.1717375494</v>
      </c>
      <c r="M118" s="279">
        <f t="shared" si="164"/>
        <v>122791.92601979578</v>
      </c>
      <c r="N118" s="279"/>
      <c r="O118" s="279">
        <f>_xlfn.IFNA(VLOOKUP($A118,EY!$A:$H,8,FALSE)+(VLOOKUP($A118,EY!$A:$R,18,FALSE)-$T118),0)</f>
        <v>0</v>
      </c>
      <c r="P118" s="280">
        <f>_xlfn.IFNA((VLOOKUP($A118,HN!$A:$M,8,FALSE)/12),0)</f>
        <v>0</v>
      </c>
      <c r="Q118" s="280">
        <f>_xlfn.IFNA((VLOOKUP($A118,HN!$A:$M,12,FALSE)/12),0)</f>
        <v>0</v>
      </c>
      <c r="R118" s="280">
        <f>_xlfn.IFNA((VLOOKUP($A118,HN!$A:$M,9,FALSE)/12),0)</f>
        <v>0</v>
      </c>
      <c r="S118" s="280">
        <f>_xlfn.IFNA((VLOOKUP($A118,'Post 16'!$A:$AR,22,FALSE)/4),0)</f>
        <v>0</v>
      </c>
      <c r="T118" s="280">
        <f>_xlfn.IFNA((VLOOKUP($A118,EY!$A:$R,16,FALSE)*80%),0)</f>
        <v>0</v>
      </c>
      <c r="U118" s="280">
        <v>10566.569166666666</v>
      </c>
      <c r="V118" s="280">
        <v>0</v>
      </c>
      <c r="W118" s="279">
        <f t="shared" si="165"/>
        <v>-462.72499999999997</v>
      </c>
      <c r="X118" s="279">
        <f t="shared" si="166"/>
        <v>-3049.6033750000001</v>
      </c>
      <c r="Y118" s="280"/>
      <c r="Z118" s="280"/>
      <c r="AA118" s="280"/>
      <c r="AB118" s="279">
        <f t="shared" si="167"/>
        <v>129846.16681146243</v>
      </c>
      <c r="AC118" s="293">
        <f t="shared" si="168"/>
        <v>122791.92601979578</v>
      </c>
      <c r="AD118" s="293"/>
      <c r="AE118" s="293"/>
      <c r="AF118" s="294">
        <f>_xlfn.IFNA((VLOOKUP($A118,HN!$A:$M,8,FALSE)/12),0)</f>
        <v>0</v>
      </c>
      <c r="AG118" s="294">
        <f>_xlfn.IFNA((VLOOKUP($A118,HN!$A:$M,12,FALSE)/12),0)+_xlfn.IFNA(VLOOKUP($A118,HN!$A:$Q,17,FALSE),0)</f>
        <v>0</v>
      </c>
      <c r="AH118" s="294">
        <f>_xlfn.IFNA((VLOOKUP($A118,HN!$A:$M,9,FALSE)/12),0)</f>
        <v>0</v>
      </c>
      <c r="AI118" s="294">
        <f>_xlfn.IFNA((VLOOKUP($A118,'Post 16'!$A:$AR,22,FALSE)/4),0)</f>
        <v>0</v>
      </c>
      <c r="AJ118" s="294"/>
      <c r="AK118" s="294">
        <f>_xlfn.IFNA((VLOOKUP($A118,HN!$A:$M,10,FALSE)/12),0)</f>
        <v>6062.9025000000001</v>
      </c>
      <c r="AL118" s="294">
        <f>_xlfn.IFNA((VLOOKUP($A118,HN!$A:$M,13,FALSE)/12),0)</f>
        <v>0</v>
      </c>
      <c r="AM118" s="293">
        <f t="shared" si="169"/>
        <v>-462.72499999999997</v>
      </c>
      <c r="AN118" s="293">
        <f t="shared" si="170"/>
        <v>-3049.6033750000001</v>
      </c>
      <c r="AO118" s="294"/>
      <c r="AP118" s="294"/>
      <c r="AQ118" s="294"/>
      <c r="AR118" s="293">
        <f t="shared" si="171"/>
        <v>125342.50014479576</v>
      </c>
      <c r="AS118" s="286">
        <f t="shared" si="172"/>
        <v>122791.92601979578</v>
      </c>
      <c r="AT118" s="286"/>
      <c r="AU118" s="286">
        <f>_xlfn.IFNA(VLOOKUP(A118,EY!A:AO,40,FALSE),0)</f>
        <v>-17139.805429362881</v>
      </c>
      <c r="AV118" s="287">
        <f>_xlfn.IFNA((VLOOKUP($A118,HN!$A:$M,8,FALSE)/12),0)</f>
        <v>0</v>
      </c>
      <c r="AW118" s="287">
        <f>_xlfn.IFNA((VLOOKUP($A118,HN!$A:$M,12,FALSE)/12),0)+_xlfn.IFNA(VLOOKUP($A118,HN!$A$8:$AU$200,19,FALSE),0)</f>
        <v>0</v>
      </c>
      <c r="AX118" s="287">
        <f>_xlfn.IFNA((VLOOKUP($A118,HN!$A:$M,9,FALSE)/12),0)</f>
        <v>0</v>
      </c>
      <c r="AY118" s="287">
        <f>_xlfn.IFNA((VLOOKUP($A118,'Post 16'!$A:$AR,22,FALSE)/4),0)</f>
        <v>0</v>
      </c>
      <c r="AZ118" s="287">
        <f>_xlfn.IFNA(VLOOKUP(A118,EY!A:AO,41,FALSE),0)</f>
        <v>0</v>
      </c>
      <c r="BA118" s="287">
        <f>_xlfn.IFNA(((VLOOKUP($A118,HN!$A:$M,10,FALSE)-$U118-$AK118)/10),0)+_xlfn.IFNA(VLOOKUP($A118,HN!$A:$R,18,FALSE),0)</f>
        <v>5612.5358333333334</v>
      </c>
      <c r="BB118" s="287">
        <f>_xlfn.IFNA(((VLOOKUP($A118,HN!$A:$M,13,FALSE)-$V118-$AL118)/10),0)+_xlfn.IFNA(VLOOKUP($A118,HN!$A$8:$AU$200,20,FALSE),0)</f>
        <v>0</v>
      </c>
      <c r="BC118" s="286">
        <f t="shared" si="173"/>
        <v>-462.72499999999997</v>
      </c>
      <c r="BD118" s="286">
        <f t="shared" si="174"/>
        <v>-3049.6033750000001</v>
      </c>
      <c r="BE118" s="287"/>
      <c r="BF118" s="287"/>
      <c r="BG118" s="287"/>
      <c r="BH118" s="286">
        <f t="shared" si="175"/>
        <v>107752.32804876621</v>
      </c>
      <c r="BI118" s="307">
        <f t="shared" si="176"/>
        <v>122791.92601979578</v>
      </c>
      <c r="BJ118" s="307">
        <f>_xlfn.IFNA(VLOOKUP(A118,'LA Deductions'!A:AH,34,FALSE),0)</f>
        <v>0</v>
      </c>
      <c r="BK118" s="307"/>
      <c r="BL118" s="308">
        <f>_xlfn.IFNA((VLOOKUP($A118,HN!$A:$M,8,FALSE)/12),0)</f>
        <v>0</v>
      </c>
      <c r="BM118" s="308">
        <f>_xlfn.IFNA((VLOOKUP($A118,HN!$A:$M,12,FALSE)/12),0)</f>
        <v>0</v>
      </c>
      <c r="BN118" s="308">
        <f>_xlfn.IFNA((VLOOKUP($A118,HN!$A:$M,9,FALSE)/12),0)</f>
        <v>0</v>
      </c>
      <c r="BO118" s="308">
        <f>_xlfn.IFNA((VLOOKUP($A118,'Post 16'!$A:$AR,22,FALSE)/4),0)</f>
        <v>0</v>
      </c>
      <c r="BP118" s="308"/>
      <c r="BQ118" s="308">
        <f>_xlfn.IFNA(((VLOOKUP($A118,HN!$A:$M,10,FALSE)-$U118-$AK118)/10),0)</f>
        <v>5612.5358333333334</v>
      </c>
      <c r="BR118" s="308">
        <f>_xlfn.IFNA(((VLOOKUP($A118,HN!$A:$M,13,FALSE)-$V118-$AL118)/10),0)</f>
        <v>0</v>
      </c>
      <c r="BS118" s="307">
        <f t="shared" si="177"/>
        <v>-462.72499999999997</v>
      </c>
      <c r="BT118" s="307">
        <f t="shared" si="178"/>
        <v>-3049.6033750000001</v>
      </c>
      <c r="BU118" s="308"/>
      <c r="BV118" s="308"/>
      <c r="BW118" s="308"/>
      <c r="BX118" s="307">
        <f t="shared" si="179"/>
        <v>124892.13347812909</v>
      </c>
      <c r="BY118" s="300">
        <f t="shared" si="180"/>
        <v>122791.92601979578</v>
      </c>
      <c r="BZ118" s="300"/>
      <c r="CA118" s="300"/>
      <c r="CB118" s="301">
        <f>_xlfn.IFNA((VLOOKUP($A118,HN!$A:$M,8,FALSE)/12),0)</f>
        <v>0</v>
      </c>
      <c r="CC118" s="301">
        <f>_xlfn.IFNA((VLOOKUP($A118,HN!$A:$M,12,FALSE)/12),0)</f>
        <v>0</v>
      </c>
      <c r="CD118" s="301">
        <f>_xlfn.IFNA((VLOOKUP($A118,HN!$A:$M,9,FALSE)/12),0)</f>
        <v>0</v>
      </c>
      <c r="CE118" s="301">
        <f>_xlfn.IFNA((VLOOKUP($A118,'Post 16'!$A:$AG,33,FALSE)/8),0)</f>
        <v>0</v>
      </c>
      <c r="CF118" s="301"/>
      <c r="CG118" s="301">
        <f>_xlfn.IFNA(((VLOOKUP($A118,HN!$A:$M,10,FALSE)-$U118-$AK118)/10),0)</f>
        <v>5612.5358333333334</v>
      </c>
      <c r="CH118" s="301">
        <f>_xlfn.IFNA(((VLOOKUP($A118,HN!$A:$M,13,FALSE)-$V118-$AL118)/10),0)</f>
        <v>0</v>
      </c>
      <c r="CI118" s="300">
        <f t="shared" si="181"/>
        <v>-462.72499999999997</v>
      </c>
      <c r="CJ118" s="300">
        <f t="shared" si="182"/>
        <v>-3049.6033750000001</v>
      </c>
      <c r="CK118" s="301"/>
      <c r="CL118" s="301"/>
      <c r="CM118" s="301"/>
      <c r="CN118" s="300">
        <f t="shared" si="183"/>
        <v>124892.13347812909</v>
      </c>
      <c r="CO118" s="332">
        <f t="shared" si="184"/>
        <v>122791.92601979578</v>
      </c>
      <c r="CP118" s="332"/>
      <c r="CQ118" s="332">
        <f>_xlfn.IFNA((VLOOKUP($A118,EY!$A:$AB,28,FALSE)-$CV118),0)</f>
        <v>0</v>
      </c>
      <c r="CR118" s="333">
        <f>_xlfn.IFNA((VLOOKUP($A118,HN!$A:$M,8,FALSE)/12),0)</f>
        <v>0</v>
      </c>
      <c r="CS118" s="333">
        <f>_xlfn.IFNA((VLOOKUP($A118,HN!$A:$M,12,FALSE)/12),0)</f>
        <v>0</v>
      </c>
      <c r="CT118" s="333">
        <f>_xlfn.IFNA((VLOOKUP($A118,HN!$A:$M,9,FALSE)/12),0)</f>
        <v>0</v>
      </c>
      <c r="CU118" s="333">
        <f>_xlfn.IFNA((VLOOKUP($A118,'Post 16'!$A:$AG,33,FALSE)/8),0)</f>
        <v>0</v>
      </c>
      <c r="CV118" s="333">
        <f>_xlfn.IFNA((VLOOKUP($A118,EY!$A:$AB,26,FALSE)*80%),0)</f>
        <v>0</v>
      </c>
      <c r="CW118" s="333">
        <f>_xlfn.IFNA(((VLOOKUP($A118,HN!$A:$M,10,FALSE)-$U118-$AK118)/10),0)</f>
        <v>5612.5358333333334</v>
      </c>
      <c r="CX118" s="333">
        <f>_xlfn.IFNA(((VLOOKUP($A118,HN!$A:$M,13,FALSE)-$V118-$AL118)/10),0)</f>
        <v>0</v>
      </c>
      <c r="CY118" s="332">
        <f t="shared" si="185"/>
        <v>-462.72499999999997</v>
      </c>
      <c r="CZ118" s="332">
        <f t="shared" si="186"/>
        <v>-3049.6033750000001</v>
      </c>
      <c r="DA118" s="333"/>
      <c r="DB118" s="333"/>
      <c r="DC118" s="333"/>
      <c r="DD118" s="332">
        <f t="shared" si="187"/>
        <v>124892.13347812909</v>
      </c>
      <c r="DE118" s="314">
        <f t="shared" si="188"/>
        <v>122791.92601979578</v>
      </c>
      <c r="DF118" s="314"/>
      <c r="DG118" s="314"/>
      <c r="DH118" s="315">
        <f>_xlfn.IFNA((VLOOKUP($A118,HN!$A:$M,8,FALSE)/12),0)</f>
        <v>0</v>
      </c>
      <c r="DI118" s="315">
        <f>_xlfn.IFNA((VLOOKUP($A118,HN!$A:$M,12,FALSE)/12),0)</f>
        <v>0</v>
      </c>
      <c r="DJ118" s="315">
        <f>_xlfn.IFNA((VLOOKUP($A118,HN!$A:$M,9,FALSE)/12),0)</f>
        <v>0</v>
      </c>
      <c r="DK118" s="315">
        <f>_xlfn.IFNA((VLOOKUP($A118,'Post 16'!$A:$AG,33,FALSE)/8),0)</f>
        <v>0</v>
      </c>
      <c r="DL118" s="315"/>
      <c r="DM118" s="315">
        <f>_xlfn.IFNA(((VLOOKUP($A118,HN!$A:$M,10,FALSE)-$U118-$AK118)/10),0)</f>
        <v>5612.5358333333334</v>
      </c>
      <c r="DN118" s="315">
        <f>_xlfn.IFNA(((VLOOKUP($A118,HN!$A:$M,13,FALSE)-$V118-$AL118)/10),0)</f>
        <v>0</v>
      </c>
      <c r="DO118" s="314">
        <f t="shared" si="189"/>
        <v>-462.72499999999997</v>
      </c>
      <c r="DP118" s="314">
        <f t="shared" si="190"/>
        <v>-3049.6033750000001</v>
      </c>
      <c r="DQ118" s="315"/>
      <c r="DR118" s="315"/>
      <c r="DS118" s="315"/>
      <c r="DT118" s="314">
        <f t="shared" si="191"/>
        <v>124892.13347812909</v>
      </c>
      <c r="DU118" s="307">
        <f t="shared" si="192"/>
        <v>122791.92601979578</v>
      </c>
      <c r="DV118" s="307"/>
      <c r="DW118" s="307"/>
      <c r="DX118" s="308">
        <f>_xlfn.IFNA((VLOOKUP($A118,HN!$A:$M,8,FALSE)/12),0)</f>
        <v>0</v>
      </c>
      <c r="DY118" s="308">
        <f>_xlfn.IFNA((VLOOKUP($A118,HN!$A:$M,12,FALSE)/12),0)</f>
        <v>0</v>
      </c>
      <c r="DZ118" s="308">
        <f>_xlfn.IFNA((VLOOKUP($A118,HN!$A:$M,9,FALSE)/12),0)</f>
        <v>0</v>
      </c>
      <c r="EA118" s="308">
        <f>_xlfn.IFNA((VLOOKUP($A118,'Post 16'!$A:$AG,33,FALSE)/8),0)</f>
        <v>0</v>
      </c>
      <c r="EB118" s="308"/>
      <c r="EC118" s="308">
        <f>_xlfn.IFNA(((VLOOKUP($A118,HN!$A:$M,10,FALSE)-$U118-$AK118)/10),0)</f>
        <v>5612.5358333333334</v>
      </c>
      <c r="ED118" s="308">
        <f>_xlfn.IFNA(((VLOOKUP($A118,HN!$A:$M,13,FALSE)-$V118-$AL118)/10),0)</f>
        <v>0</v>
      </c>
      <c r="EE118" s="307">
        <f t="shared" si="193"/>
        <v>-462.72499999999997</v>
      </c>
      <c r="EF118" s="307">
        <f t="shared" si="194"/>
        <v>-3049.6033750000001</v>
      </c>
      <c r="EG118" s="308"/>
      <c r="EH118" s="308"/>
      <c r="EI118" s="308"/>
      <c r="EJ118" s="307">
        <f t="shared" si="195"/>
        <v>124892.13347812909</v>
      </c>
      <c r="EK118" s="320">
        <f t="shared" si="196"/>
        <v>122791.92601979578</v>
      </c>
      <c r="EL118" s="320"/>
      <c r="EM118" s="320"/>
      <c r="EN118" s="321">
        <f>_xlfn.IFNA((VLOOKUP($A118,HN!$A:$M,8,FALSE)/12),0)</f>
        <v>0</v>
      </c>
      <c r="EO118" s="321">
        <f>_xlfn.IFNA((VLOOKUP($A118,HN!$A:$M,12,FALSE)/12),0)</f>
        <v>0</v>
      </c>
      <c r="EP118" s="321">
        <f>_xlfn.IFNA((VLOOKUP($A118,HN!$A:$M,9,FALSE)/12),0)</f>
        <v>0</v>
      </c>
      <c r="EQ118" s="321">
        <f>_xlfn.IFNA((VLOOKUP($A118,'Post 16'!$A:$AG,33,FALSE)/8),0)</f>
        <v>0</v>
      </c>
      <c r="ER118" s="321"/>
      <c r="ES118" s="321">
        <f>_xlfn.IFNA(((VLOOKUP($A118,HN!$A:$M,10,FALSE)-$U118-$AK118)/10),0)</f>
        <v>5612.5358333333334</v>
      </c>
      <c r="ET118" s="321">
        <f>_xlfn.IFNA(((VLOOKUP($A118,HN!$A:$M,13,FALSE)-$V118-$AL118)/10),0)</f>
        <v>0</v>
      </c>
      <c r="EU118" s="320">
        <f t="shared" si="197"/>
        <v>-462.72499999999997</v>
      </c>
      <c r="EV118" s="320">
        <f t="shared" si="198"/>
        <v>-3049.6033750000001</v>
      </c>
      <c r="EW118" s="321"/>
      <c r="EX118" s="321"/>
      <c r="EY118" s="321"/>
      <c r="EZ118" s="320">
        <f t="shared" si="199"/>
        <v>124892.13347812909</v>
      </c>
      <c r="FA118" s="286">
        <f t="shared" si="200"/>
        <v>122791.92601979578</v>
      </c>
      <c r="FB118" s="286"/>
      <c r="FC118" s="286"/>
      <c r="FD118" s="287">
        <f>_xlfn.IFNA((VLOOKUP($A118,HN!$A:$M,8,FALSE)/12),0)</f>
        <v>0</v>
      </c>
      <c r="FE118" s="287">
        <f>_xlfn.IFNA((VLOOKUP($A118,HN!$A:$M,12,FALSE)/12),0)</f>
        <v>0</v>
      </c>
      <c r="FF118" s="287">
        <f>_xlfn.IFNA((VLOOKUP($A118,HN!$A:$M,9,FALSE)/12),0)</f>
        <v>0</v>
      </c>
      <c r="FG118" s="287">
        <f>_xlfn.IFNA((VLOOKUP($A118,'Post 16'!$A:$AG,33,FALSE)/8),0)</f>
        <v>0</v>
      </c>
      <c r="FH118" s="287"/>
      <c r="FI118" s="287">
        <f>_xlfn.IFNA(((VLOOKUP($A118,HN!$A:$M,10,FALSE)-$U118-$AK118)/10),0)</f>
        <v>5612.5358333333334</v>
      </c>
      <c r="FJ118" s="287">
        <f>_xlfn.IFNA(((VLOOKUP($A118,HN!$A:$M,13,FALSE)-$V118-$AL118)/10),0)</f>
        <v>0</v>
      </c>
      <c r="FK118" s="286">
        <f t="shared" si="201"/>
        <v>-462.72499999999997</v>
      </c>
      <c r="FL118" s="286">
        <f t="shared" si="202"/>
        <v>-3049.6033750000001</v>
      </c>
      <c r="FM118" s="287"/>
      <c r="FN118" s="287"/>
      <c r="FO118" s="287"/>
      <c r="FP118" s="286">
        <f t="shared" si="203"/>
        <v>124892.13347812909</v>
      </c>
      <c r="FQ118" s="293">
        <f t="shared" si="204"/>
        <v>122791.92601979578</v>
      </c>
      <c r="FR118" s="293"/>
      <c r="FS118" s="293"/>
      <c r="FT118" s="294">
        <f>_xlfn.IFNA((VLOOKUP($A118,HN!$A:$M,8,FALSE)/12),0)</f>
        <v>0</v>
      </c>
      <c r="FU118" s="294">
        <f>_xlfn.IFNA((VLOOKUP($A118,HN!$A:$M,12,FALSE)/12),0)</f>
        <v>0</v>
      </c>
      <c r="FV118" s="294">
        <f>_xlfn.IFNA((VLOOKUP($A118,HN!$A:$M,9,FALSE)/12),0)</f>
        <v>0</v>
      </c>
      <c r="FW118" s="294">
        <f>_xlfn.IFNA((VLOOKUP($A118,'Post 16'!$A:$AG,33,FALSE)/8),0)</f>
        <v>0</v>
      </c>
      <c r="FX118" s="294"/>
      <c r="FY118" s="294">
        <f>_xlfn.IFNA(((VLOOKUP($A118,HN!$A:$M,10,FALSE)-$U118-$AK118)/10),0)</f>
        <v>5612.5358333333334</v>
      </c>
      <c r="FZ118" s="294">
        <f>_xlfn.IFNA(((VLOOKUP($A118,HN!$A:$M,13,FALSE)-$V118-$AL118)/10),0)</f>
        <v>0</v>
      </c>
      <c r="GA118" s="293">
        <f t="shared" si="205"/>
        <v>-462.72499999999997</v>
      </c>
      <c r="GB118" s="293">
        <f t="shared" si="206"/>
        <v>-3049.6033750000001</v>
      </c>
      <c r="GC118" s="294"/>
      <c r="GD118" s="294"/>
      <c r="GE118" s="294"/>
      <c r="GF118" s="293">
        <f t="shared" si="207"/>
        <v>124892.13347812909</v>
      </c>
      <c r="GG118" s="300">
        <f t="shared" si="208"/>
        <v>122791.92601979578</v>
      </c>
      <c r="GH118" s="300"/>
      <c r="GI118" s="300"/>
      <c r="GJ118" s="301">
        <f>_xlfn.IFNA((VLOOKUP($A118,HN!$A:$M,8,FALSE)/12),0)</f>
        <v>0</v>
      </c>
      <c r="GK118" s="301">
        <f>_xlfn.IFNA((VLOOKUP($A118,HN!$A:$M,12,FALSE)/12),0)</f>
        <v>0</v>
      </c>
      <c r="GL118" s="301">
        <f>_xlfn.IFNA((VLOOKUP($A118,HN!$A:$M,9,FALSE)/12),0)</f>
        <v>0</v>
      </c>
      <c r="GM118" s="301">
        <f>_xlfn.IFNA((VLOOKUP($A118,'Post 16'!$A:$AG,33,FALSE)/8),0)</f>
        <v>0</v>
      </c>
      <c r="GN118" s="301"/>
      <c r="GO118" s="301">
        <f>_xlfn.IFNA(((VLOOKUP($A118,HN!$A:$M,10,FALSE)-$U118-$AK118)/10),0)</f>
        <v>5612.5358333333334</v>
      </c>
      <c r="GP118" s="301">
        <f>_xlfn.IFNA(((VLOOKUP($A118,HN!$A:$M,13,FALSE)-$V118-$AL118)/10),0)</f>
        <v>0</v>
      </c>
      <c r="GQ118" s="300">
        <f t="shared" si="209"/>
        <v>-462.72499999999997</v>
      </c>
      <c r="GR118" s="300">
        <f t="shared" si="210"/>
        <v>-3049.6033750000001</v>
      </c>
      <c r="GS118" s="301"/>
      <c r="GT118" s="301"/>
      <c r="GU118" s="301"/>
      <c r="GV118" s="300">
        <f t="shared" si="211"/>
        <v>124892.13347812909</v>
      </c>
      <c r="GX118" s="146">
        <f t="shared" ref="GX118:HC127" si="214">SUMIFS($M118:$GV118,$M$7:$GV$7,GX$7)</f>
        <v>1456363.3068081865</v>
      </c>
      <c r="GY118" s="146">
        <f t="shared" si="214"/>
        <v>0</v>
      </c>
      <c r="GZ118" s="146">
        <f t="shared" si="214"/>
        <v>72754.83</v>
      </c>
      <c r="HA118" s="146">
        <f t="shared" si="214"/>
        <v>-5552.7000000000007</v>
      </c>
      <c r="HB118" s="146">
        <f t="shared" si="214"/>
        <v>-36595.240499999993</v>
      </c>
      <c r="HC118" s="146">
        <f t="shared" si="214"/>
        <v>0</v>
      </c>
      <c r="HE118" s="146">
        <f t="shared" ref="HE118:HJ127" si="215">SUMIFS($M118:$GV118,$M$7:$GV$7,HE$7,$M$4:$GV$4,$HE$6)</f>
        <v>351235.97263002448</v>
      </c>
      <c r="HF118" s="146">
        <f t="shared" si="215"/>
        <v>0</v>
      </c>
      <c r="HG118" s="146">
        <f t="shared" si="215"/>
        <v>22242.0075</v>
      </c>
      <c r="HH118" s="146">
        <f t="shared" si="215"/>
        <v>-1388.175</v>
      </c>
      <c r="HI118" s="146">
        <f t="shared" si="215"/>
        <v>-9148.810125</v>
      </c>
      <c r="HJ118" s="146">
        <f t="shared" si="215"/>
        <v>0</v>
      </c>
      <c r="HL118" s="146"/>
      <c r="HM118" s="57"/>
    </row>
    <row r="119" spans="1:221">
      <c r="A119" s="185">
        <v>2425</v>
      </c>
      <c r="B119" s="185">
        <v>103356</v>
      </c>
      <c r="C119" s="185" t="s">
        <v>261</v>
      </c>
      <c r="D119" s="2" t="s">
        <v>262</v>
      </c>
      <c r="E119" s="190" t="s">
        <v>39</v>
      </c>
      <c r="F119" s="190" t="s">
        <v>890</v>
      </c>
      <c r="H119" s="271">
        <f>_xlfn.IFNA(VLOOKUP($A119,ISB!$A$4:$BY$441,67,FALSE),0)</f>
        <v>1145364.9881404089</v>
      </c>
      <c r="I119" s="271">
        <f>_xlfn.IFNA(VLOOKUP($A119,ISB!$A$4:$BY$441,72,FALSE),0)</f>
        <v>-5054.7</v>
      </c>
      <c r="J119" s="271">
        <f>-_xlfn.IFNA(VLOOKUP($A119,ISB!$A$4:$BY$441,76,FALSE),0)</f>
        <v>-16854.223999999998</v>
      </c>
      <c r="K119" s="271">
        <f>_xlfn.IFNA(VLOOKUP($A119,ISB!$A$4:$BY$441,77,FALSE),0)</f>
        <v>1123456.064140409</v>
      </c>
      <c r="M119" s="279">
        <f t="shared" si="164"/>
        <v>95447.082345034069</v>
      </c>
      <c r="N119" s="279"/>
      <c r="O119" s="279">
        <f>_xlfn.IFNA(VLOOKUP($A119,EY!$A:$H,8,FALSE)+(VLOOKUP($A119,EY!$A:$R,18,FALSE)-$T119),0)</f>
        <v>0</v>
      </c>
      <c r="P119" s="280">
        <f>_xlfn.IFNA((VLOOKUP($A119,HN!$A:$M,8,FALSE)/12),0)</f>
        <v>0</v>
      </c>
      <c r="Q119" s="280">
        <f>_xlfn.IFNA((VLOOKUP($A119,HN!$A:$M,12,FALSE)/12),0)</f>
        <v>0</v>
      </c>
      <c r="R119" s="280">
        <f>_xlfn.IFNA((VLOOKUP($A119,HN!$A:$M,9,FALSE)/12),0)</f>
        <v>0</v>
      </c>
      <c r="S119" s="280">
        <f>_xlfn.IFNA((VLOOKUP($A119,'Post 16'!$A:$AR,22,FALSE)/4),0)</f>
        <v>0</v>
      </c>
      <c r="T119" s="280">
        <f>_xlfn.IFNA((VLOOKUP($A119,EY!$A:$R,16,FALSE)*80%),0)</f>
        <v>0</v>
      </c>
      <c r="U119" s="280">
        <v>5352.916666666667</v>
      </c>
      <c r="V119" s="280">
        <v>0</v>
      </c>
      <c r="W119" s="279">
        <f t="shared" si="165"/>
        <v>-421.22499999999997</v>
      </c>
      <c r="X119" s="279">
        <f t="shared" si="166"/>
        <v>-1404.5186666666666</v>
      </c>
      <c r="Y119" s="280"/>
      <c r="Z119" s="280"/>
      <c r="AA119" s="280"/>
      <c r="AB119" s="279">
        <f t="shared" si="167"/>
        <v>98974.255345034064</v>
      </c>
      <c r="AC119" s="293">
        <f t="shared" si="168"/>
        <v>95447.082345034069</v>
      </c>
      <c r="AD119" s="293"/>
      <c r="AE119" s="293"/>
      <c r="AF119" s="294">
        <f>_xlfn.IFNA((VLOOKUP($A119,HN!$A:$M,8,FALSE)/12),0)</f>
        <v>0</v>
      </c>
      <c r="AG119" s="294">
        <f>_xlfn.IFNA((VLOOKUP($A119,HN!$A:$M,12,FALSE)/12),0)+_xlfn.IFNA(VLOOKUP($A119,HN!$A:$Q,17,FALSE),0)</f>
        <v>0</v>
      </c>
      <c r="AH119" s="294">
        <f>_xlfn.IFNA((VLOOKUP($A119,HN!$A:$M,9,FALSE)/12),0)</f>
        <v>0</v>
      </c>
      <c r="AI119" s="294">
        <f>_xlfn.IFNA((VLOOKUP($A119,'Post 16'!$A:$AR,22,FALSE)/4),0)</f>
        <v>0</v>
      </c>
      <c r="AJ119" s="294"/>
      <c r="AK119" s="294">
        <f>_xlfn.IFNA((VLOOKUP($A119,HN!$A:$M,10,FALSE)/12),0)</f>
        <v>3937.6666666666665</v>
      </c>
      <c r="AL119" s="294">
        <f>_xlfn.IFNA((VLOOKUP($A119,HN!$A:$M,13,FALSE)/12),0)</f>
        <v>0</v>
      </c>
      <c r="AM119" s="293">
        <f t="shared" si="169"/>
        <v>-421.22499999999997</v>
      </c>
      <c r="AN119" s="293">
        <f t="shared" si="170"/>
        <v>-1404.5186666666666</v>
      </c>
      <c r="AO119" s="294"/>
      <c r="AP119" s="294"/>
      <c r="AQ119" s="294"/>
      <c r="AR119" s="293">
        <f t="shared" si="171"/>
        <v>97559.005345034064</v>
      </c>
      <c r="AS119" s="286">
        <f t="shared" si="172"/>
        <v>95447.082345034069</v>
      </c>
      <c r="AT119" s="286"/>
      <c r="AU119" s="286">
        <f>_xlfn.IFNA(VLOOKUP(A119,EY!A:AO,40,FALSE),0)</f>
        <v>0</v>
      </c>
      <c r="AV119" s="287">
        <f>_xlfn.IFNA((VLOOKUP($A119,HN!$A:$M,8,FALSE)/12),0)</f>
        <v>0</v>
      </c>
      <c r="AW119" s="287">
        <f>_xlfn.IFNA((VLOOKUP($A119,HN!$A:$M,12,FALSE)/12),0)+_xlfn.IFNA(VLOOKUP($A119,HN!$A$8:$AU$200,19,FALSE),0)</f>
        <v>0</v>
      </c>
      <c r="AX119" s="287">
        <f>_xlfn.IFNA((VLOOKUP($A119,HN!$A:$M,9,FALSE)/12),0)</f>
        <v>0</v>
      </c>
      <c r="AY119" s="287">
        <f>_xlfn.IFNA((VLOOKUP($A119,'Post 16'!$A:$AR,22,FALSE)/4),0)</f>
        <v>0</v>
      </c>
      <c r="AZ119" s="287">
        <f>_xlfn.IFNA(VLOOKUP(A119,EY!A:AO,41,FALSE),0)</f>
        <v>0</v>
      </c>
      <c r="BA119" s="287">
        <f>_xlfn.IFNA(((VLOOKUP($A119,HN!$A:$M,10,FALSE)-$U119-$AK119)/10),0)+_xlfn.IFNA(VLOOKUP($A119,HN!$A:$R,18,FALSE),0)</f>
        <v>3796.1416666666673</v>
      </c>
      <c r="BB119" s="287">
        <f>_xlfn.IFNA(((VLOOKUP($A119,HN!$A:$M,13,FALSE)-$V119-$AL119)/10),0)+_xlfn.IFNA(VLOOKUP($A119,HN!$A$8:$AU$200,20,FALSE),0)</f>
        <v>0</v>
      </c>
      <c r="BC119" s="286">
        <f t="shared" si="173"/>
        <v>-421.22499999999997</v>
      </c>
      <c r="BD119" s="286">
        <f t="shared" si="174"/>
        <v>-1404.5186666666666</v>
      </c>
      <c r="BE119" s="287"/>
      <c r="BF119" s="287"/>
      <c r="BG119" s="287"/>
      <c r="BH119" s="286">
        <f t="shared" si="175"/>
        <v>97417.480345034055</v>
      </c>
      <c r="BI119" s="307">
        <f t="shared" si="176"/>
        <v>95447.082345034069</v>
      </c>
      <c r="BJ119" s="307">
        <f>_xlfn.IFNA(VLOOKUP(A119,'LA Deductions'!A:AH,34,FALSE),0)</f>
        <v>0</v>
      </c>
      <c r="BK119" s="307"/>
      <c r="BL119" s="308">
        <f>_xlfn.IFNA((VLOOKUP($A119,HN!$A:$M,8,FALSE)/12),0)</f>
        <v>0</v>
      </c>
      <c r="BM119" s="308">
        <f>_xlfn.IFNA((VLOOKUP($A119,HN!$A:$M,12,FALSE)/12),0)</f>
        <v>0</v>
      </c>
      <c r="BN119" s="308">
        <f>_xlfn.IFNA((VLOOKUP($A119,HN!$A:$M,9,FALSE)/12),0)</f>
        <v>0</v>
      </c>
      <c r="BO119" s="308">
        <f>_xlfn.IFNA((VLOOKUP($A119,'Post 16'!$A:$AR,22,FALSE)/4),0)</f>
        <v>0</v>
      </c>
      <c r="BP119" s="308"/>
      <c r="BQ119" s="308">
        <f>_xlfn.IFNA(((VLOOKUP($A119,HN!$A:$M,10,FALSE)-$U119-$AK119)/10),0)</f>
        <v>3796.1416666666673</v>
      </c>
      <c r="BR119" s="308">
        <f>_xlfn.IFNA(((VLOOKUP($A119,HN!$A:$M,13,FALSE)-$V119-$AL119)/10),0)</f>
        <v>0</v>
      </c>
      <c r="BS119" s="307">
        <f t="shared" si="177"/>
        <v>-421.22499999999997</v>
      </c>
      <c r="BT119" s="307">
        <f t="shared" si="178"/>
        <v>-1404.5186666666666</v>
      </c>
      <c r="BU119" s="308"/>
      <c r="BV119" s="308"/>
      <c r="BW119" s="308"/>
      <c r="BX119" s="307">
        <f t="shared" si="179"/>
        <v>97417.480345034055</v>
      </c>
      <c r="BY119" s="300">
        <f t="shared" si="180"/>
        <v>95447.082345034069</v>
      </c>
      <c r="BZ119" s="300"/>
      <c r="CA119" s="300"/>
      <c r="CB119" s="301">
        <f>_xlfn.IFNA((VLOOKUP($A119,HN!$A:$M,8,FALSE)/12),0)</f>
        <v>0</v>
      </c>
      <c r="CC119" s="301">
        <f>_xlfn.IFNA((VLOOKUP($A119,HN!$A:$M,12,FALSE)/12),0)</f>
        <v>0</v>
      </c>
      <c r="CD119" s="301">
        <f>_xlfn.IFNA((VLOOKUP($A119,HN!$A:$M,9,FALSE)/12),0)</f>
        <v>0</v>
      </c>
      <c r="CE119" s="301">
        <f>_xlfn.IFNA((VLOOKUP($A119,'Post 16'!$A:$AG,33,FALSE)/8),0)</f>
        <v>0</v>
      </c>
      <c r="CF119" s="301"/>
      <c r="CG119" s="301">
        <f>_xlfn.IFNA(((VLOOKUP($A119,HN!$A:$M,10,FALSE)-$U119-$AK119)/10),0)</f>
        <v>3796.1416666666673</v>
      </c>
      <c r="CH119" s="301">
        <f>_xlfn.IFNA(((VLOOKUP($A119,HN!$A:$M,13,FALSE)-$V119-$AL119)/10),0)</f>
        <v>0</v>
      </c>
      <c r="CI119" s="300">
        <f t="shared" si="181"/>
        <v>-421.22499999999997</v>
      </c>
      <c r="CJ119" s="300">
        <f t="shared" si="182"/>
        <v>-1404.5186666666666</v>
      </c>
      <c r="CK119" s="301"/>
      <c r="CL119" s="301"/>
      <c r="CM119" s="301"/>
      <c r="CN119" s="300">
        <f t="shared" si="183"/>
        <v>97417.480345034055</v>
      </c>
      <c r="CO119" s="332">
        <f t="shared" si="184"/>
        <v>95447.082345034069</v>
      </c>
      <c r="CP119" s="332"/>
      <c r="CQ119" s="332">
        <f>_xlfn.IFNA((VLOOKUP($A119,EY!$A:$AB,28,FALSE)-$CV119),0)</f>
        <v>0</v>
      </c>
      <c r="CR119" s="333">
        <f>_xlfn.IFNA((VLOOKUP($A119,HN!$A:$M,8,FALSE)/12),0)</f>
        <v>0</v>
      </c>
      <c r="CS119" s="333">
        <f>_xlfn.IFNA((VLOOKUP($A119,HN!$A:$M,12,FALSE)/12),0)</f>
        <v>0</v>
      </c>
      <c r="CT119" s="333">
        <f>_xlfn.IFNA((VLOOKUP($A119,HN!$A:$M,9,FALSE)/12),0)</f>
        <v>0</v>
      </c>
      <c r="CU119" s="333">
        <f>_xlfn.IFNA((VLOOKUP($A119,'Post 16'!$A:$AG,33,FALSE)/8),0)</f>
        <v>0</v>
      </c>
      <c r="CV119" s="333">
        <f>_xlfn.IFNA((VLOOKUP($A119,EY!$A:$AB,26,FALSE)*80%),0)</f>
        <v>0</v>
      </c>
      <c r="CW119" s="333">
        <f>_xlfn.IFNA(((VLOOKUP($A119,HN!$A:$M,10,FALSE)-$U119-$AK119)/10),0)</f>
        <v>3796.1416666666673</v>
      </c>
      <c r="CX119" s="333">
        <f>_xlfn.IFNA(((VLOOKUP($A119,HN!$A:$M,13,FALSE)-$V119-$AL119)/10),0)</f>
        <v>0</v>
      </c>
      <c r="CY119" s="332">
        <f t="shared" si="185"/>
        <v>-421.22499999999997</v>
      </c>
      <c r="CZ119" s="332">
        <f t="shared" si="186"/>
        <v>-1404.5186666666666</v>
      </c>
      <c r="DA119" s="333"/>
      <c r="DB119" s="333"/>
      <c r="DC119" s="333"/>
      <c r="DD119" s="332">
        <f t="shared" si="187"/>
        <v>97417.480345034055</v>
      </c>
      <c r="DE119" s="314">
        <f t="shared" si="188"/>
        <v>95447.082345034069</v>
      </c>
      <c r="DF119" s="314"/>
      <c r="DG119" s="314"/>
      <c r="DH119" s="315">
        <f>_xlfn.IFNA((VLOOKUP($A119,HN!$A:$M,8,FALSE)/12),0)</f>
        <v>0</v>
      </c>
      <c r="DI119" s="315">
        <f>_xlfn.IFNA((VLOOKUP($A119,HN!$A:$M,12,FALSE)/12),0)</f>
        <v>0</v>
      </c>
      <c r="DJ119" s="315">
        <f>_xlfn.IFNA((VLOOKUP($A119,HN!$A:$M,9,FALSE)/12),0)</f>
        <v>0</v>
      </c>
      <c r="DK119" s="315">
        <f>_xlfn.IFNA((VLOOKUP($A119,'Post 16'!$A:$AG,33,FALSE)/8),0)</f>
        <v>0</v>
      </c>
      <c r="DL119" s="315"/>
      <c r="DM119" s="315">
        <f>_xlfn.IFNA(((VLOOKUP($A119,HN!$A:$M,10,FALSE)-$U119-$AK119)/10),0)</f>
        <v>3796.1416666666673</v>
      </c>
      <c r="DN119" s="315">
        <f>_xlfn.IFNA(((VLOOKUP($A119,HN!$A:$M,13,FALSE)-$V119-$AL119)/10),0)</f>
        <v>0</v>
      </c>
      <c r="DO119" s="314">
        <f t="shared" si="189"/>
        <v>-421.22499999999997</v>
      </c>
      <c r="DP119" s="314">
        <f t="shared" si="190"/>
        <v>-1404.5186666666666</v>
      </c>
      <c r="DQ119" s="315"/>
      <c r="DR119" s="315"/>
      <c r="DS119" s="315"/>
      <c r="DT119" s="314">
        <f t="shared" si="191"/>
        <v>97417.480345034055</v>
      </c>
      <c r="DU119" s="307">
        <f t="shared" si="192"/>
        <v>95447.082345034069</v>
      </c>
      <c r="DV119" s="307"/>
      <c r="DW119" s="307"/>
      <c r="DX119" s="308">
        <f>_xlfn.IFNA((VLOOKUP($A119,HN!$A:$M,8,FALSE)/12),0)</f>
        <v>0</v>
      </c>
      <c r="DY119" s="308">
        <f>_xlfn.IFNA((VLOOKUP($A119,HN!$A:$M,12,FALSE)/12),0)</f>
        <v>0</v>
      </c>
      <c r="DZ119" s="308">
        <f>_xlfn.IFNA((VLOOKUP($A119,HN!$A:$M,9,FALSE)/12),0)</f>
        <v>0</v>
      </c>
      <c r="EA119" s="308">
        <f>_xlfn.IFNA((VLOOKUP($A119,'Post 16'!$A:$AG,33,FALSE)/8),0)</f>
        <v>0</v>
      </c>
      <c r="EB119" s="308"/>
      <c r="EC119" s="308">
        <f>_xlfn.IFNA(((VLOOKUP($A119,HN!$A:$M,10,FALSE)-$U119-$AK119)/10),0)</f>
        <v>3796.1416666666673</v>
      </c>
      <c r="ED119" s="308">
        <f>_xlfn.IFNA(((VLOOKUP($A119,HN!$A:$M,13,FALSE)-$V119-$AL119)/10),0)</f>
        <v>0</v>
      </c>
      <c r="EE119" s="307">
        <f t="shared" si="193"/>
        <v>-421.22499999999997</v>
      </c>
      <c r="EF119" s="307">
        <f t="shared" si="194"/>
        <v>-1404.5186666666666</v>
      </c>
      <c r="EG119" s="308"/>
      <c r="EH119" s="308"/>
      <c r="EI119" s="308"/>
      <c r="EJ119" s="307">
        <f t="shared" si="195"/>
        <v>97417.480345034055</v>
      </c>
      <c r="EK119" s="320">
        <f t="shared" si="196"/>
        <v>95447.082345034069</v>
      </c>
      <c r="EL119" s="320"/>
      <c r="EM119" s="320"/>
      <c r="EN119" s="321">
        <f>_xlfn.IFNA((VLOOKUP($A119,HN!$A:$M,8,FALSE)/12),0)</f>
        <v>0</v>
      </c>
      <c r="EO119" s="321">
        <f>_xlfn.IFNA((VLOOKUP($A119,HN!$A:$M,12,FALSE)/12),0)</f>
        <v>0</v>
      </c>
      <c r="EP119" s="321">
        <f>_xlfn.IFNA((VLOOKUP($A119,HN!$A:$M,9,FALSE)/12),0)</f>
        <v>0</v>
      </c>
      <c r="EQ119" s="321">
        <f>_xlfn.IFNA((VLOOKUP($A119,'Post 16'!$A:$AG,33,FALSE)/8),0)</f>
        <v>0</v>
      </c>
      <c r="ER119" s="321"/>
      <c r="ES119" s="321">
        <f>_xlfn.IFNA(((VLOOKUP($A119,HN!$A:$M,10,FALSE)-$U119-$AK119)/10),0)</f>
        <v>3796.1416666666673</v>
      </c>
      <c r="ET119" s="321">
        <f>_xlfn.IFNA(((VLOOKUP($A119,HN!$A:$M,13,FALSE)-$V119-$AL119)/10),0)</f>
        <v>0</v>
      </c>
      <c r="EU119" s="320">
        <f t="shared" si="197"/>
        <v>-421.22499999999997</v>
      </c>
      <c r="EV119" s="320">
        <f t="shared" si="198"/>
        <v>-1404.5186666666666</v>
      </c>
      <c r="EW119" s="321"/>
      <c r="EX119" s="321"/>
      <c r="EY119" s="321"/>
      <c r="EZ119" s="320">
        <f t="shared" si="199"/>
        <v>97417.480345034055</v>
      </c>
      <c r="FA119" s="286">
        <f t="shared" si="200"/>
        <v>95447.082345034069</v>
      </c>
      <c r="FB119" s="286"/>
      <c r="FC119" s="286"/>
      <c r="FD119" s="287">
        <f>_xlfn.IFNA((VLOOKUP($A119,HN!$A:$M,8,FALSE)/12),0)</f>
        <v>0</v>
      </c>
      <c r="FE119" s="287">
        <f>_xlfn.IFNA((VLOOKUP($A119,HN!$A:$M,12,FALSE)/12),0)</f>
        <v>0</v>
      </c>
      <c r="FF119" s="287">
        <f>_xlfn.IFNA((VLOOKUP($A119,HN!$A:$M,9,FALSE)/12),0)</f>
        <v>0</v>
      </c>
      <c r="FG119" s="287">
        <f>_xlfn.IFNA((VLOOKUP($A119,'Post 16'!$A:$AG,33,FALSE)/8),0)</f>
        <v>0</v>
      </c>
      <c r="FH119" s="287"/>
      <c r="FI119" s="287">
        <f>_xlfn.IFNA(((VLOOKUP($A119,HN!$A:$M,10,FALSE)-$U119-$AK119)/10),0)</f>
        <v>3796.1416666666673</v>
      </c>
      <c r="FJ119" s="287">
        <f>_xlfn.IFNA(((VLOOKUP($A119,HN!$A:$M,13,FALSE)-$V119-$AL119)/10),0)</f>
        <v>0</v>
      </c>
      <c r="FK119" s="286">
        <f t="shared" si="201"/>
        <v>-421.22499999999997</v>
      </c>
      <c r="FL119" s="286">
        <f t="shared" si="202"/>
        <v>-1404.5186666666666</v>
      </c>
      <c r="FM119" s="287"/>
      <c r="FN119" s="287"/>
      <c r="FO119" s="287"/>
      <c r="FP119" s="286">
        <f t="shared" si="203"/>
        <v>97417.480345034055</v>
      </c>
      <c r="FQ119" s="293">
        <f t="shared" si="204"/>
        <v>95447.082345034069</v>
      </c>
      <c r="FR119" s="293"/>
      <c r="FS119" s="293"/>
      <c r="FT119" s="294">
        <f>_xlfn.IFNA((VLOOKUP($A119,HN!$A:$M,8,FALSE)/12),0)</f>
        <v>0</v>
      </c>
      <c r="FU119" s="294">
        <f>_xlfn.IFNA((VLOOKUP($A119,HN!$A:$M,12,FALSE)/12),0)</f>
        <v>0</v>
      </c>
      <c r="FV119" s="294">
        <f>_xlfn.IFNA((VLOOKUP($A119,HN!$A:$M,9,FALSE)/12),0)</f>
        <v>0</v>
      </c>
      <c r="FW119" s="294">
        <f>_xlfn.IFNA((VLOOKUP($A119,'Post 16'!$A:$AG,33,FALSE)/8),0)</f>
        <v>0</v>
      </c>
      <c r="FX119" s="294"/>
      <c r="FY119" s="294">
        <f>_xlfn.IFNA(((VLOOKUP($A119,HN!$A:$M,10,FALSE)-$U119-$AK119)/10),0)</f>
        <v>3796.1416666666673</v>
      </c>
      <c r="FZ119" s="294">
        <f>_xlfn.IFNA(((VLOOKUP($A119,HN!$A:$M,13,FALSE)-$V119-$AL119)/10),0)</f>
        <v>0</v>
      </c>
      <c r="GA119" s="293">
        <f t="shared" si="205"/>
        <v>-421.22499999999997</v>
      </c>
      <c r="GB119" s="293">
        <f t="shared" si="206"/>
        <v>-1404.5186666666666</v>
      </c>
      <c r="GC119" s="294"/>
      <c r="GD119" s="294"/>
      <c r="GE119" s="294"/>
      <c r="GF119" s="293">
        <f t="shared" si="207"/>
        <v>97417.480345034055</v>
      </c>
      <c r="GG119" s="300">
        <f t="shared" si="208"/>
        <v>95447.082345034069</v>
      </c>
      <c r="GH119" s="300"/>
      <c r="GI119" s="300"/>
      <c r="GJ119" s="301">
        <f>_xlfn.IFNA((VLOOKUP($A119,HN!$A:$M,8,FALSE)/12),0)</f>
        <v>0</v>
      </c>
      <c r="GK119" s="301">
        <f>_xlfn.IFNA((VLOOKUP($A119,HN!$A:$M,12,FALSE)/12),0)</f>
        <v>0</v>
      </c>
      <c r="GL119" s="301">
        <f>_xlfn.IFNA((VLOOKUP($A119,HN!$A:$M,9,FALSE)/12),0)</f>
        <v>0</v>
      </c>
      <c r="GM119" s="301">
        <f>_xlfn.IFNA((VLOOKUP($A119,'Post 16'!$A:$AG,33,FALSE)/8),0)</f>
        <v>0</v>
      </c>
      <c r="GN119" s="301"/>
      <c r="GO119" s="301">
        <f>_xlfn.IFNA(((VLOOKUP($A119,HN!$A:$M,10,FALSE)-$U119-$AK119)/10),0)</f>
        <v>3796.1416666666673</v>
      </c>
      <c r="GP119" s="301">
        <f>_xlfn.IFNA(((VLOOKUP($A119,HN!$A:$M,13,FALSE)-$V119-$AL119)/10),0)</f>
        <v>0</v>
      </c>
      <c r="GQ119" s="300">
        <f t="shared" si="209"/>
        <v>-421.22499999999997</v>
      </c>
      <c r="GR119" s="300">
        <f t="shared" si="210"/>
        <v>-1404.5186666666666</v>
      </c>
      <c r="GS119" s="301"/>
      <c r="GT119" s="301"/>
      <c r="GU119" s="301"/>
      <c r="GV119" s="300">
        <f t="shared" si="211"/>
        <v>97417.480345034055</v>
      </c>
      <c r="GX119" s="146">
        <f t="shared" si="214"/>
        <v>1145364.9881404089</v>
      </c>
      <c r="GY119" s="146">
        <f t="shared" si="214"/>
        <v>0</v>
      </c>
      <c r="GZ119" s="146">
        <f t="shared" si="214"/>
        <v>47252.000000000015</v>
      </c>
      <c r="HA119" s="146">
        <f t="shared" si="214"/>
        <v>-5054.7000000000007</v>
      </c>
      <c r="HB119" s="146">
        <f t="shared" si="214"/>
        <v>-16854.223999999998</v>
      </c>
      <c r="HC119" s="146">
        <f t="shared" si="214"/>
        <v>0</v>
      </c>
      <c r="HE119" s="146">
        <f t="shared" si="215"/>
        <v>286341.24703510222</v>
      </c>
      <c r="HF119" s="146">
        <f t="shared" si="215"/>
        <v>0</v>
      </c>
      <c r="HG119" s="146">
        <f t="shared" si="215"/>
        <v>13086.725000000002</v>
      </c>
      <c r="HH119" s="146">
        <f t="shared" si="215"/>
        <v>-1263.675</v>
      </c>
      <c r="HI119" s="146">
        <f t="shared" si="215"/>
        <v>-4213.5559999999996</v>
      </c>
      <c r="HJ119" s="146">
        <f t="shared" si="215"/>
        <v>0</v>
      </c>
      <c r="HL119" s="146"/>
      <c r="HM119" s="57"/>
    </row>
    <row r="120" spans="1:221">
      <c r="A120" s="185">
        <v>1008</v>
      </c>
      <c r="B120" s="185">
        <v>103123</v>
      </c>
      <c r="C120" s="185" t="s">
        <v>263</v>
      </c>
      <c r="D120" s="2" t="s">
        <v>264</v>
      </c>
      <c r="E120" s="190" t="s">
        <v>36</v>
      </c>
      <c r="F120" s="190" t="s">
        <v>890</v>
      </c>
      <c r="H120" s="271">
        <f>_xlfn.IFNA(VLOOKUP($A120,ISB!$A$4:$BY$441,67,FALSE),0)</f>
        <v>0</v>
      </c>
      <c r="I120" s="271">
        <f>_xlfn.IFNA(VLOOKUP($A120,ISB!$A$4:$BY$441,72,FALSE),0)</f>
        <v>0</v>
      </c>
      <c r="J120" s="271">
        <f>-_xlfn.IFNA(VLOOKUP($A120,ISB!$A$4:$BY$441,76,FALSE),0)</f>
        <v>0</v>
      </c>
      <c r="K120" s="271">
        <f>_xlfn.IFNA(VLOOKUP($A120,ISB!$A$4:$BY$441,77,FALSE),0)</f>
        <v>0</v>
      </c>
      <c r="M120" s="279">
        <f t="shared" si="164"/>
        <v>0</v>
      </c>
      <c r="N120" s="279"/>
      <c r="O120" s="279">
        <f>_xlfn.IFNA(VLOOKUP($A120,EY!$A:$H,8,FALSE)+(VLOOKUP($A120,EY!$A:$R,18,FALSE)-$T120),0)</f>
        <v>296644.65781924757</v>
      </c>
      <c r="P120" s="280">
        <f>_xlfn.IFNA((VLOOKUP($A120,HN!$A:$M,8,FALSE)/12),0)</f>
        <v>0</v>
      </c>
      <c r="Q120" s="280">
        <f>_xlfn.IFNA((VLOOKUP($A120,HN!$A:$M,12,FALSE)/12),0)</f>
        <v>0</v>
      </c>
      <c r="R120" s="280">
        <f>_xlfn.IFNA((VLOOKUP($A120,HN!$A:$M,9,FALSE)/12),0)</f>
        <v>0</v>
      </c>
      <c r="S120" s="280">
        <f>_xlfn.IFNA((VLOOKUP($A120,'Post 16'!$A:$AR,22,FALSE)/4),0)</f>
        <v>0</v>
      </c>
      <c r="T120" s="280">
        <f>_xlfn.IFNA((VLOOKUP($A120,EY!$A:$R,16,FALSE)*80%),0)</f>
        <v>780</v>
      </c>
      <c r="U120" s="280">
        <v>0</v>
      </c>
      <c r="V120" s="280">
        <v>0</v>
      </c>
      <c r="W120" s="279">
        <f t="shared" si="165"/>
        <v>0</v>
      </c>
      <c r="X120" s="279">
        <f t="shared" si="166"/>
        <v>0</v>
      </c>
      <c r="Y120" s="280"/>
      <c r="Z120" s="280"/>
      <c r="AA120" s="280"/>
      <c r="AB120" s="279">
        <f t="shared" si="167"/>
        <v>297424.65781924757</v>
      </c>
      <c r="AC120" s="293">
        <f t="shared" si="168"/>
        <v>0</v>
      </c>
      <c r="AD120" s="293"/>
      <c r="AE120" s="293"/>
      <c r="AF120" s="294">
        <f>_xlfn.IFNA((VLOOKUP($A120,HN!$A:$M,8,FALSE)/12),0)</f>
        <v>0</v>
      </c>
      <c r="AG120" s="294">
        <f>_xlfn.IFNA((VLOOKUP($A120,HN!$A:$M,12,FALSE)/12),0)+_xlfn.IFNA(VLOOKUP($A120,HN!$A:$Q,17,FALSE),0)</f>
        <v>0</v>
      </c>
      <c r="AH120" s="294">
        <f>_xlfn.IFNA((VLOOKUP($A120,HN!$A:$M,9,FALSE)/12),0)</f>
        <v>0</v>
      </c>
      <c r="AI120" s="294">
        <f>_xlfn.IFNA((VLOOKUP($A120,'Post 16'!$A:$AR,22,FALSE)/4),0)</f>
        <v>0</v>
      </c>
      <c r="AJ120" s="294"/>
      <c r="AK120" s="294">
        <f>_xlfn.IFNA((VLOOKUP($A120,HN!$A:$M,10,FALSE)/12),0)</f>
        <v>0</v>
      </c>
      <c r="AL120" s="294">
        <f>_xlfn.IFNA((VLOOKUP($A120,HN!$A:$M,13,FALSE)/12),0)</f>
        <v>0</v>
      </c>
      <c r="AM120" s="293">
        <f t="shared" si="169"/>
        <v>0</v>
      </c>
      <c r="AN120" s="293">
        <f t="shared" si="170"/>
        <v>0</v>
      </c>
      <c r="AO120" s="294"/>
      <c r="AP120" s="294"/>
      <c r="AQ120" s="294"/>
      <c r="AR120" s="293">
        <f t="shared" si="171"/>
        <v>0</v>
      </c>
      <c r="AS120" s="286">
        <f t="shared" si="172"/>
        <v>0</v>
      </c>
      <c r="AT120" s="286"/>
      <c r="AU120" s="286">
        <f>_xlfn.IFNA(VLOOKUP(A120,EY!A:AO,40,FALSE),0)</f>
        <v>10602.897368421047</v>
      </c>
      <c r="AV120" s="287">
        <f>_xlfn.IFNA((VLOOKUP($A120,HN!$A:$M,8,FALSE)/12),0)</f>
        <v>0</v>
      </c>
      <c r="AW120" s="287">
        <f>_xlfn.IFNA((VLOOKUP($A120,HN!$A:$M,12,FALSE)/12),0)+_xlfn.IFNA(VLOOKUP($A120,HN!$A$8:$AU$200,19,FALSE),0)</f>
        <v>0</v>
      </c>
      <c r="AX120" s="287">
        <f>_xlfn.IFNA((VLOOKUP($A120,HN!$A:$M,9,FALSE)/12),0)</f>
        <v>0</v>
      </c>
      <c r="AY120" s="287">
        <f>_xlfn.IFNA((VLOOKUP($A120,'Post 16'!$A:$AR,22,FALSE)/4),0)</f>
        <v>0</v>
      </c>
      <c r="AZ120" s="287">
        <f>_xlfn.IFNA(VLOOKUP(A120,EY!A:AO,41,FALSE),0)</f>
        <v>-74.832132963988926</v>
      </c>
      <c r="BA120" s="287">
        <f>_xlfn.IFNA(((VLOOKUP($A120,HN!$A:$M,10,FALSE)-$U120-$AK120)/10),0)+_xlfn.IFNA(VLOOKUP($A120,HN!$A:$R,18,FALSE),0)</f>
        <v>0</v>
      </c>
      <c r="BB120" s="287">
        <f>_xlfn.IFNA(((VLOOKUP($A120,HN!$A:$M,13,FALSE)-$V120-$AL120)/10),0)+_xlfn.IFNA(VLOOKUP($A120,HN!$A$8:$AU$200,20,FALSE),0)</f>
        <v>0</v>
      </c>
      <c r="BC120" s="286">
        <f t="shared" si="173"/>
        <v>0</v>
      </c>
      <c r="BD120" s="286">
        <f t="shared" si="174"/>
        <v>0</v>
      </c>
      <c r="BE120" s="287"/>
      <c r="BF120" s="287"/>
      <c r="BG120" s="287"/>
      <c r="BH120" s="286">
        <f t="shared" si="175"/>
        <v>10528.065235457057</v>
      </c>
      <c r="BI120" s="307">
        <f t="shared" si="176"/>
        <v>0</v>
      </c>
      <c r="BJ120" s="307">
        <f>_xlfn.IFNA(VLOOKUP(A120,'LA Deductions'!A:AH,34,FALSE),0)</f>
        <v>0</v>
      </c>
      <c r="BK120" s="307"/>
      <c r="BL120" s="308">
        <f>_xlfn.IFNA((VLOOKUP($A120,HN!$A:$M,8,FALSE)/12),0)</f>
        <v>0</v>
      </c>
      <c r="BM120" s="308">
        <f>_xlfn.IFNA((VLOOKUP($A120,HN!$A:$M,12,FALSE)/12),0)</f>
        <v>0</v>
      </c>
      <c r="BN120" s="308">
        <f>_xlfn.IFNA((VLOOKUP($A120,HN!$A:$M,9,FALSE)/12),0)</f>
        <v>0</v>
      </c>
      <c r="BO120" s="308">
        <f>_xlfn.IFNA((VLOOKUP($A120,'Post 16'!$A:$AR,22,FALSE)/4),0)</f>
        <v>0</v>
      </c>
      <c r="BP120" s="308"/>
      <c r="BQ120" s="308">
        <f>_xlfn.IFNA(((VLOOKUP($A120,HN!$A:$M,10,FALSE)-$U120-$AK120)/10),0)</f>
        <v>0</v>
      </c>
      <c r="BR120" s="308">
        <f>_xlfn.IFNA(((VLOOKUP($A120,HN!$A:$M,13,FALSE)-$V120-$AL120)/10),0)</f>
        <v>0</v>
      </c>
      <c r="BS120" s="307">
        <f t="shared" si="177"/>
        <v>0</v>
      </c>
      <c r="BT120" s="307">
        <f t="shared" si="178"/>
        <v>0</v>
      </c>
      <c r="BU120" s="308"/>
      <c r="BV120" s="308"/>
      <c r="BW120" s="308"/>
      <c r="BX120" s="307">
        <f t="shared" si="179"/>
        <v>0</v>
      </c>
      <c r="BY120" s="300">
        <f t="shared" si="180"/>
        <v>0</v>
      </c>
      <c r="BZ120" s="300"/>
      <c r="CA120" s="300"/>
      <c r="CB120" s="301">
        <f>_xlfn.IFNA((VLOOKUP($A120,HN!$A:$M,8,FALSE)/12),0)</f>
        <v>0</v>
      </c>
      <c r="CC120" s="301">
        <f>_xlfn.IFNA((VLOOKUP($A120,HN!$A:$M,12,FALSE)/12),0)</f>
        <v>0</v>
      </c>
      <c r="CD120" s="301">
        <f>_xlfn.IFNA((VLOOKUP($A120,HN!$A:$M,9,FALSE)/12),0)</f>
        <v>0</v>
      </c>
      <c r="CE120" s="301">
        <f>_xlfn.IFNA((VLOOKUP($A120,'Post 16'!$A:$AG,33,FALSE)/8),0)</f>
        <v>0</v>
      </c>
      <c r="CF120" s="301"/>
      <c r="CG120" s="301">
        <f>_xlfn.IFNA(((VLOOKUP($A120,HN!$A:$M,10,FALSE)-$U120-$AK120)/10),0)</f>
        <v>0</v>
      </c>
      <c r="CH120" s="301">
        <f>_xlfn.IFNA(((VLOOKUP($A120,HN!$A:$M,13,FALSE)-$V120-$AL120)/10),0)</f>
        <v>0</v>
      </c>
      <c r="CI120" s="300">
        <f t="shared" si="181"/>
        <v>0</v>
      </c>
      <c r="CJ120" s="300">
        <f t="shared" si="182"/>
        <v>0</v>
      </c>
      <c r="CK120" s="301"/>
      <c r="CL120" s="301"/>
      <c r="CM120" s="301"/>
      <c r="CN120" s="300">
        <f t="shared" si="183"/>
        <v>0</v>
      </c>
      <c r="CO120" s="332">
        <f t="shared" si="184"/>
        <v>0</v>
      </c>
      <c r="CP120" s="332"/>
      <c r="CQ120" s="332">
        <f>_xlfn.IFNA((VLOOKUP($A120,EY!$A:$AB,28,FALSE)-$CV120),0)</f>
        <v>81104.213894736837</v>
      </c>
      <c r="CR120" s="333">
        <f>_xlfn.IFNA((VLOOKUP($A120,HN!$A:$M,8,FALSE)/12),0)</f>
        <v>0</v>
      </c>
      <c r="CS120" s="333">
        <f>_xlfn.IFNA((VLOOKUP($A120,HN!$A:$M,12,FALSE)/12),0)</f>
        <v>0</v>
      </c>
      <c r="CT120" s="333">
        <f>_xlfn.IFNA((VLOOKUP($A120,HN!$A:$M,9,FALSE)/12),0)</f>
        <v>0</v>
      </c>
      <c r="CU120" s="333">
        <f>_xlfn.IFNA((VLOOKUP($A120,'Post 16'!$A:$AG,33,FALSE)/8),0)</f>
        <v>0</v>
      </c>
      <c r="CV120" s="333">
        <f>_xlfn.IFNA((VLOOKUP($A120,EY!$A:$AB,26,FALSE)*80%),0)</f>
        <v>0</v>
      </c>
      <c r="CW120" s="333">
        <f>_xlfn.IFNA(((VLOOKUP($A120,HN!$A:$M,10,FALSE)-$U120-$AK120)/10),0)</f>
        <v>0</v>
      </c>
      <c r="CX120" s="333">
        <f>_xlfn.IFNA(((VLOOKUP($A120,HN!$A:$M,13,FALSE)-$V120-$AL120)/10),0)</f>
        <v>0</v>
      </c>
      <c r="CY120" s="332">
        <f t="shared" si="185"/>
        <v>0</v>
      </c>
      <c r="CZ120" s="332">
        <f t="shared" si="186"/>
        <v>0</v>
      </c>
      <c r="DA120" s="333"/>
      <c r="DB120" s="333"/>
      <c r="DC120" s="333"/>
      <c r="DD120" s="332">
        <f t="shared" si="187"/>
        <v>81104.213894736837</v>
      </c>
      <c r="DE120" s="314">
        <f t="shared" si="188"/>
        <v>0</v>
      </c>
      <c r="DF120" s="314"/>
      <c r="DG120" s="314"/>
      <c r="DH120" s="315">
        <f>_xlfn.IFNA((VLOOKUP($A120,HN!$A:$M,8,FALSE)/12),0)</f>
        <v>0</v>
      </c>
      <c r="DI120" s="315">
        <f>_xlfn.IFNA((VLOOKUP($A120,HN!$A:$M,12,FALSE)/12),0)</f>
        <v>0</v>
      </c>
      <c r="DJ120" s="315">
        <f>_xlfn.IFNA((VLOOKUP($A120,HN!$A:$M,9,FALSE)/12),0)</f>
        <v>0</v>
      </c>
      <c r="DK120" s="315">
        <f>_xlfn.IFNA((VLOOKUP($A120,'Post 16'!$A:$AG,33,FALSE)/8),0)</f>
        <v>0</v>
      </c>
      <c r="DL120" s="315"/>
      <c r="DM120" s="315">
        <f>_xlfn.IFNA(((VLOOKUP($A120,HN!$A:$M,10,FALSE)-$U120-$AK120)/10),0)</f>
        <v>0</v>
      </c>
      <c r="DN120" s="315">
        <f>_xlfn.IFNA(((VLOOKUP($A120,HN!$A:$M,13,FALSE)-$V120-$AL120)/10),0)</f>
        <v>0</v>
      </c>
      <c r="DO120" s="314">
        <f t="shared" si="189"/>
        <v>0</v>
      </c>
      <c r="DP120" s="314">
        <f t="shared" si="190"/>
        <v>0</v>
      </c>
      <c r="DQ120" s="315"/>
      <c r="DR120" s="315"/>
      <c r="DS120" s="315"/>
      <c r="DT120" s="314">
        <f t="shared" si="191"/>
        <v>0</v>
      </c>
      <c r="DU120" s="307">
        <f t="shared" si="192"/>
        <v>0</v>
      </c>
      <c r="DV120" s="307"/>
      <c r="DW120" s="307"/>
      <c r="DX120" s="308">
        <f>_xlfn.IFNA((VLOOKUP($A120,HN!$A:$M,8,FALSE)/12),0)</f>
        <v>0</v>
      </c>
      <c r="DY120" s="308">
        <f>_xlfn.IFNA((VLOOKUP($A120,HN!$A:$M,12,FALSE)/12),0)</f>
        <v>0</v>
      </c>
      <c r="DZ120" s="308">
        <f>_xlfn.IFNA((VLOOKUP($A120,HN!$A:$M,9,FALSE)/12),0)</f>
        <v>0</v>
      </c>
      <c r="EA120" s="308">
        <f>_xlfn.IFNA((VLOOKUP($A120,'Post 16'!$A:$AG,33,FALSE)/8),0)</f>
        <v>0</v>
      </c>
      <c r="EB120" s="308"/>
      <c r="EC120" s="308">
        <f>_xlfn.IFNA(((VLOOKUP($A120,HN!$A:$M,10,FALSE)-$U120-$AK120)/10),0)</f>
        <v>0</v>
      </c>
      <c r="ED120" s="308">
        <f>_xlfn.IFNA(((VLOOKUP($A120,HN!$A:$M,13,FALSE)-$V120-$AL120)/10),0)</f>
        <v>0</v>
      </c>
      <c r="EE120" s="307">
        <f t="shared" si="193"/>
        <v>0</v>
      </c>
      <c r="EF120" s="307">
        <f t="shared" si="194"/>
        <v>0</v>
      </c>
      <c r="EG120" s="308"/>
      <c r="EH120" s="308"/>
      <c r="EI120" s="308"/>
      <c r="EJ120" s="307">
        <f t="shared" si="195"/>
        <v>0</v>
      </c>
      <c r="EK120" s="320">
        <f t="shared" si="196"/>
        <v>0</v>
      </c>
      <c r="EL120" s="320"/>
      <c r="EM120" s="320"/>
      <c r="EN120" s="321">
        <f>_xlfn.IFNA((VLOOKUP($A120,HN!$A:$M,8,FALSE)/12),0)</f>
        <v>0</v>
      </c>
      <c r="EO120" s="321">
        <f>_xlfn.IFNA((VLOOKUP($A120,HN!$A:$M,12,FALSE)/12),0)</f>
        <v>0</v>
      </c>
      <c r="EP120" s="321">
        <f>_xlfn.IFNA((VLOOKUP($A120,HN!$A:$M,9,FALSE)/12),0)</f>
        <v>0</v>
      </c>
      <c r="EQ120" s="321">
        <f>_xlfn.IFNA((VLOOKUP($A120,'Post 16'!$A:$AG,33,FALSE)/8),0)</f>
        <v>0</v>
      </c>
      <c r="ER120" s="321"/>
      <c r="ES120" s="321">
        <f>_xlfn.IFNA(((VLOOKUP($A120,HN!$A:$M,10,FALSE)-$U120-$AK120)/10),0)</f>
        <v>0</v>
      </c>
      <c r="ET120" s="321">
        <f>_xlfn.IFNA(((VLOOKUP($A120,HN!$A:$M,13,FALSE)-$V120-$AL120)/10),0)</f>
        <v>0</v>
      </c>
      <c r="EU120" s="320">
        <f t="shared" si="197"/>
        <v>0</v>
      </c>
      <c r="EV120" s="320">
        <f t="shared" si="198"/>
        <v>0</v>
      </c>
      <c r="EW120" s="321"/>
      <c r="EX120" s="321"/>
      <c r="EY120" s="321"/>
      <c r="EZ120" s="320">
        <f t="shared" si="199"/>
        <v>0</v>
      </c>
      <c r="FA120" s="286">
        <f t="shared" si="200"/>
        <v>0</v>
      </c>
      <c r="FB120" s="286"/>
      <c r="FC120" s="286"/>
      <c r="FD120" s="287">
        <f>_xlfn.IFNA((VLOOKUP($A120,HN!$A:$M,8,FALSE)/12),0)</f>
        <v>0</v>
      </c>
      <c r="FE120" s="287">
        <f>_xlfn.IFNA((VLOOKUP($A120,HN!$A:$M,12,FALSE)/12),0)</f>
        <v>0</v>
      </c>
      <c r="FF120" s="287">
        <f>_xlfn.IFNA((VLOOKUP($A120,HN!$A:$M,9,FALSE)/12),0)</f>
        <v>0</v>
      </c>
      <c r="FG120" s="287">
        <f>_xlfn.IFNA((VLOOKUP($A120,'Post 16'!$A:$AG,33,FALSE)/8),0)</f>
        <v>0</v>
      </c>
      <c r="FH120" s="287"/>
      <c r="FI120" s="287">
        <f>_xlfn.IFNA(((VLOOKUP($A120,HN!$A:$M,10,FALSE)-$U120-$AK120)/10),0)</f>
        <v>0</v>
      </c>
      <c r="FJ120" s="287">
        <f>_xlfn.IFNA(((VLOOKUP($A120,HN!$A:$M,13,FALSE)-$V120-$AL120)/10),0)</f>
        <v>0</v>
      </c>
      <c r="FK120" s="286">
        <f t="shared" si="201"/>
        <v>0</v>
      </c>
      <c r="FL120" s="286">
        <f t="shared" si="202"/>
        <v>0</v>
      </c>
      <c r="FM120" s="287"/>
      <c r="FN120" s="287"/>
      <c r="FO120" s="287"/>
      <c r="FP120" s="286">
        <f t="shared" si="203"/>
        <v>0</v>
      </c>
      <c r="FQ120" s="293">
        <f t="shared" si="204"/>
        <v>0</v>
      </c>
      <c r="FR120" s="293"/>
      <c r="FS120" s="293"/>
      <c r="FT120" s="294">
        <f>_xlfn.IFNA((VLOOKUP($A120,HN!$A:$M,8,FALSE)/12),0)</f>
        <v>0</v>
      </c>
      <c r="FU120" s="294">
        <f>_xlfn.IFNA((VLOOKUP($A120,HN!$A:$M,12,FALSE)/12),0)</f>
        <v>0</v>
      </c>
      <c r="FV120" s="294">
        <f>_xlfn.IFNA((VLOOKUP($A120,HN!$A:$M,9,FALSE)/12),0)</f>
        <v>0</v>
      </c>
      <c r="FW120" s="294">
        <f>_xlfn.IFNA((VLOOKUP($A120,'Post 16'!$A:$AG,33,FALSE)/8),0)</f>
        <v>0</v>
      </c>
      <c r="FX120" s="294"/>
      <c r="FY120" s="294">
        <f>_xlfn.IFNA(((VLOOKUP($A120,HN!$A:$M,10,FALSE)-$U120-$AK120)/10),0)</f>
        <v>0</v>
      </c>
      <c r="FZ120" s="294">
        <f>_xlfn.IFNA(((VLOOKUP($A120,HN!$A:$M,13,FALSE)-$V120-$AL120)/10),0)</f>
        <v>0</v>
      </c>
      <c r="GA120" s="293">
        <f t="shared" si="205"/>
        <v>0</v>
      </c>
      <c r="GB120" s="293">
        <f t="shared" si="206"/>
        <v>0</v>
      </c>
      <c r="GC120" s="294"/>
      <c r="GD120" s="294"/>
      <c r="GE120" s="294"/>
      <c r="GF120" s="293">
        <f t="shared" si="207"/>
        <v>0</v>
      </c>
      <c r="GG120" s="300">
        <f t="shared" si="208"/>
        <v>0</v>
      </c>
      <c r="GH120" s="300"/>
      <c r="GI120" s="300"/>
      <c r="GJ120" s="301">
        <f>_xlfn.IFNA((VLOOKUP($A120,HN!$A:$M,8,FALSE)/12),0)</f>
        <v>0</v>
      </c>
      <c r="GK120" s="301">
        <f>_xlfn.IFNA((VLOOKUP($A120,HN!$A:$M,12,FALSE)/12),0)</f>
        <v>0</v>
      </c>
      <c r="GL120" s="301">
        <f>_xlfn.IFNA((VLOOKUP($A120,HN!$A:$M,9,FALSE)/12),0)</f>
        <v>0</v>
      </c>
      <c r="GM120" s="301">
        <f>_xlfn.IFNA((VLOOKUP($A120,'Post 16'!$A:$AG,33,FALSE)/8),0)</f>
        <v>0</v>
      </c>
      <c r="GN120" s="301"/>
      <c r="GO120" s="301">
        <f>_xlfn.IFNA(((VLOOKUP($A120,HN!$A:$M,10,FALSE)-$U120-$AK120)/10),0)</f>
        <v>0</v>
      </c>
      <c r="GP120" s="301">
        <f>_xlfn.IFNA(((VLOOKUP($A120,HN!$A:$M,13,FALSE)-$V120-$AL120)/10),0)</f>
        <v>0</v>
      </c>
      <c r="GQ120" s="300">
        <f t="shared" si="209"/>
        <v>0</v>
      </c>
      <c r="GR120" s="300">
        <f t="shared" si="210"/>
        <v>0</v>
      </c>
      <c r="GS120" s="301"/>
      <c r="GT120" s="301"/>
      <c r="GU120" s="301"/>
      <c r="GV120" s="300">
        <f t="shared" si="211"/>
        <v>0</v>
      </c>
      <c r="GX120" s="146">
        <f t="shared" si="214"/>
        <v>388351.76908240543</v>
      </c>
      <c r="GY120" s="146">
        <f t="shared" si="214"/>
        <v>0</v>
      </c>
      <c r="GZ120" s="146">
        <f t="shared" si="214"/>
        <v>705.1678670360111</v>
      </c>
      <c r="HA120" s="146">
        <f t="shared" si="214"/>
        <v>0</v>
      </c>
      <c r="HB120" s="146">
        <f t="shared" si="214"/>
        <v>0</v>
      </c>
      <c r="HC120" s="146">
        <f t="shared" si="214"/>
        <v>0</v>
      </c>
      <c r="HE120" s="146">
        <f t="shared" si="215"/>
        <v>307247.55518766859</v>
      </c>
      <c r="HF120" s="146">
        <f t="shared" si="215"/>
        <v>0</v>
      </c>
      <c r="HG120" s="146">
        <f t="shared" si="215"/>
        <v>705.1678670360111</v>
      </c>
      <c r="HH120" s="146">
        <f t="shared" si="215"/>
        <v>0</v>
      </c>
      <c r="HI120" s="146">
        <f t="shared" si="215"/>
        <v>0</v>
      </c>
      <c r="HJ120" s="146">
        <f t="shared" si="215"/>
        <v>0</v>
      </c>
      <c r="HL120" s="146"/>
      <c r="HM120" s="57"/>
    </row>
    <row r="121" spans="1:221">
      <c r="A121" s="185">
        <v>7034</v>
      </c>
      <c r="B121" s="185">
        <v>103614</v>
      </c>
      <c r="C121" s="185" t="s">
        <v>265</v>
      </c>
      <c r="D121" s="2" t="s">
        <v>266</v>
      </c>
      <c r="E121" s="190" t="s">
        <v>56</v>
      </c>
      <c r="F121" s="190" t="s">
        <v>890</v>
      </c>
      <c r="H121" s="271">
        <f>_xlfn.IFNA(VLOOKUP($A121,ISB!$A$4:$BY$441,67,FALSE),0)</f>
        <v>0</v>
      </c>
      <c r="I121" s="271">
        <f>_xlfn.IFNA(VLOOKUP($A121,ISB!$A$4:$BY$441,72,FALSE),0)</f>
        <v>0</v>
      </c>
      <c r="J121" s="271">
        <f>-_xlfn.IFNA(VLOOKUP($A121,ISB!$A$4:$BY$441,76,FALSE),0)</f>
        <v>0</v>
      </c>
      <c r="K121" s="271">
        <f>_xlfn.IFNA(VLOOKUP($A121,ISB!$A$4:$BY$441,77,FALSE),0)</f>
        <v>0</v>
      </c>
      <c r="M121" s="279">
        <f t="shared" si="164"/>
        <v>0</v>
      </c>
      <c r="N121" s="279"/>
      <c r="O121" s="279">
        <f>_xlfn.IFNA(VLOOKUP($A121,EY!$A:$H,8,FALSE)+(VLOOKUP($A121,EY!$A:$R,18,FALSE)-$T121),0)</f>
        <v>0</v>
      </c>
      <c r="P121" s="280">
        <f>_xlfn.IFNA((VLOOKUP($A121,HN!$A:$M,8,FALSE)/12),0)</f>
        <v>57500</v>
      </c>
      <c r="Q121" s="280">
        <f>_xlfn.IFNA((VLOOKUP($A121,HN!$A:$M,12,FALSE)/12),0)</f>
        <v>0</v>
      </c>
      <c r="R121" s="280">
        <f>_xlfn.IFNA((VLOOKUP($A121,HN!$A:$M,9,FALSE)/12),0)</f>
        <v>17500</v>
      </c>
      <c r="S121" s="280">
        <f>_xlfn.IFNA((VLOOKUP($A121,'Post 16'!$A:$AR,22,FALSE)/4),0)</f>
        <v>0</v>
      </c>
      <c r="T121" s="280">
        <f>_xlfn.IFNA((VLOOKUP($A121,EY!$A:$R,16,FALSE)*80%),0)</f>
        <v>0</v>
      </c>
      <c r="U121" s="280">
        <v>131208.67833333334</v>
      </c>
      <c r="V121" s="280">
        <v>0</v>
      </c>
      <c r="W121" s="279">
        <f t="shared" si="165"/>
        <v>0</v>
      </c>
      <c r="X121" s="279">
        <f t="shared" si="166"/>
        <v>0</v>
      </c>
      <c r="Y121" s="280"/>
      <c r="Z121" s="280"/>
      <c r="AA121" s="280"/>
      <c r="AB121" s="279">
        <f t="shared" si="167"/>
        <v>206208.67833333334</v>
      </c>
      <c r="AC121" s="293">
        <f t="shared" si="168"/>
        <v>0</v>
      </c>
      <c r="AD121" s="293"/>
      <c r="AE121" s="293"/>
      <c r="AF121" s="294">
        <f>_xlfn.IFNA((VLOOKUP($A121,HN!$A:$M,8,FALSE)/12),0)</f>
        <v>57500</v>
      </c>
      <c r="AG121" s="294">
        <f>_xlfn.IFNA((VLOOKUP($A121,HN!$A:$M,12,FALSE)/12),0)+_xlfn.IFNA(VLOOKUP($A121,HN!$A:$Q,17,FALSE),0)</f>
        <v>0</v>
      </c>
      <c r="AH121" s="294">
        <f>_xlfn.IFNA((VLOOKUP($A121,HN!$A:$M,9,FALSE)/12),0)</f>
        <v>17500</v>
      </c>
      <c r="AI121" s="294">
        <f>_xlfn.IFNA((VLOOKUP($A121,'Post 16'!$A:$AR,22,FALSE)/4),0)</f>
        <v>0</v>
      </c>
      <c r="AJ121" s="294"/>
      <c r="AK121" s="294">
        <f>_xlfn.IFNA((VLOOKUP($A121,HN!$A:$M,10,FALSE)/12),0)</f>
        <v>131208.67833333334</v>
      </c>
      <c r="AL121" s="294">
        <f>_xlfn.IFNA((VLOOKUP($A121,HN!$A:$M,13,FALSE)/12),0)</f>
        <v>0</v>
      </c>
      <c r="AM121" s="293">
        <f t="shared" si="169"/>
        <v>0</v>
      </c>
      <c r="AN121" s="293">
        <f t="shared" si="170"/>
        <v>0</v>
      </c>
      <c r="AO121" s="294"/>
      <c r="AP121" s="294"/>
      <c r="AQ121" s="294"/>
      <c r="AR121" s="293">
        <f t="shared" si="171"/>
        <v>206208.67833333334</v>
      </c>
      <c r="AS121" s="286">
        <f t="shared" si="172"/>
        <v>0</v>
      </c>
      <c r="AT121" s="286"/>
      <c r="AU121" s="286">
        <f>_xlfn.IFNA(VLOOKUP(A121,EY!A:AO,40,FALSE),0)</f>
        <v>0</v>
      </c>
      <c r="AV121" s="287">
        <f>_xlfn.IFNA((VLOOKUP($A121,HN!$A:$M,8,FALSE)/12),0)</f>
        <v>57500</v>
      </c>
      <c r="AW121" s="287">
        <f>_xlfn.IFNA((VLOOKUP($A121,HN!$A:$M,12,FALSE)/12),0)+_xlfn.IFNA(VLOOKUP($A121,HN!$A$8:$AU$200,19,FALSE),0)</f>
        <v>0</v>
      </c>
      <c r="AX121" s="287">
        <f>_xlfn.IFNA((VLOOKUP($A121,HN!$A:$M,9,FALSE)/12),0)</f>
        <v>17500</v>
      </c>
      <c r="AY121" s="287">
        <f>_xlfn.IFNA((VLOOKUP($A121,'Post 16'!$A:$AR,22,FALSE)/4),0)</f>
        <v>0</v>
      </c>
      <c r="AZ121" s="287">
        <f>_xlfn.IFNA(VLOOKUP(A121,EY!A:AO,41,FALSE),0)</f>
        <v>0</v>
      </c>
      <c r="BA121" s="287">
        <f>_xlfn.IFNA(((VLOOKUP($A121,HN!$A:$M,10,FALSE)-$U121-$AK121)/10),0)+_xlfn.IFNA(VLOOKUP($A121,HN!$A:$R,18,FALSE),0)</f>
        <v>131208.67833333337</v>
      </c>
      <c r="BB121" s="287">
        <f>_xlfn.IFNA(((VLOOKUP($A121,HN!$A:$M,13,FALSE)-$V121-$AL121)/10),0)+_xlfn.IFNA(VLOOKUP($A121,HN!$A$8:$AU$200,20,FALSE),0)</f>
        <v>0</v>
      </c>
      <c r="BC121" s="286">
        <f t="shared" si="173"/>
        <v>0</v>
      </c>
      <c r="BD121" s="286">
        <f t="shared" si="174"/>
        <v>0</v>
      </c>
      <c r="BE121" s="287"/>
      <c r="BF121" s="287"/>
      <c r="BG121" s="287"/>
      <c r="BH121" s="286">
        <f t="shared" si="175"/>
        <v>206208.67833333337</v>
      </c>
      <c r="BI121" s="307">
        <f t="shared" si="176"/>
        <v>0</v>
      </c>
      <c r="BJ121" s="307">
        <f>_xlfn.IFNA(VLOOKUP(A121,'LA Deductions'!A:AH,34,FALSE),0)</f>
        <v>0</v>
      </c>
      <c r="BK121" s="307"/>
      <c r="BL121" s="308">
        <f>_xlfn.IFNA((VLOOKUP($A121,HN!$A:$M,8,FALSE)/12),0)</f>
        <v>57500</v>
      </c>
      <c r="BM121" s="308">
        <f>_xlfn.IFNA((VLOOKUP($A121,HN!$A:$M,12,FALSE)/12),0)</f>
        <v>0</v>
      </c>
      <c r="BN121" s="308">
        <f>_xlfn.IFNA((VLOOKUP($A121,HN!$A:$M,9,FALSE)/12),0)</f>
        <v>17500</v>
      </c>
      <c r="BO121" s="308">
        <f>_xlfn.IFNA((VLOOKUP($A121,'Post 16'!$A:$AR,22,FALSE)/4),0)</f>
        <v>0</v>
      </c>
      <c r="BP121" s="308"/>
      <c r="BQ121" s="308">
        <f>_xlfn.IFNA(((VLOOKUP($A121,HN!$A:$M,10,FALSE)-$U121-$AK121)/10),0)</f>
        <v>131208.67833333337</v>
      </c>
      <c r="BR121" s="308">
        <f>_xlfn.IFNA(((VLOOKUP($A121,HN!$A:$M,13,FALSE)-$V121-$AL121)/10),0)</f>
        <v>0</v>
      </c>
      <c r="BS121" s="307">
        <f t="shared" si="177"/>
        <v>0</v>
      </c>
      <c r="BT121" s="307">
        <f t="shared" si="178"/>
        <v>0</v>
      </c>
      <c r="BU121" s="308"/>
      <c r="BV121" s="308"/>
      <c r="BW121" s="308"/>
      <c r="BX121" s="307">
        <f t="shared" si="179"/>
        <v>206208.67833333337</v>
      </c>
      <c r="BY121" s="300">
        <f t="shared" si="180"/>
        <v>0</v>
      </c>
      <c r="BZ121" s="300"/>
      <c r="CA121" s="300"/>
      <c r="CB121" s="301">
        <f>_xlfn.IFNA((VLOOKUP($A121,HN!$A:$M,8,FALSE)/12),0)</f>
        <v>57500</v>
      </c>
      <c r="CC121" s="301">
        <f>_xlfn.IFNA((VLOOKUP($A121,HN!$A:$M,12,FALSE)/12),0)</f>
        <v>0</v>
      </c>
      <c r="CD121" s="301">
        <f>_xlfn.IFNA((VLOOKUP($A121,HN!$A:$M,9,FALSE)/12),0)</f>
        <v>17500</v>
      </c>
      <c r="CE121" s="301">
        <f>_xlfn.IFNA((VLOOKUP($A121,'Post 16'!$A:$AG,33,FALSE)/8),0)</f>
        <v>0</v>
      </c>
      <c r="CF121" s="301"/>
      <c r="CG121" s="301">
        <f>_xlfn.IFNA(((VLOOKUP($A121,HN!$A:$M,10,FALSE)-$U121-$AK121)/10),0)</f>
        <v>131208.67833333337</v>
      </c>
      <c r="CH121" s="301">
        <f>_xlfn.IFNA(((VLOOKUP($A121,HN!$A:$M,13,FALSE)-$V121-$AL121)/10),0)</f>
        <v>0</v>
      </c>
      <c r="CI121" s="300">
        <f t="shared" si="181"/>
        <v>0</v>
      </c>
      <c r="CJ121" s="300">
        <f t="shared" si="182"/>
        <v>0</v>
      </c>
      <c r="CK121" s="301"/>
      <c r="CL121" s="301"/>
      <c r="CM121" s="301"/>
      <c r="CN121" s="300">
        <f t="shared" si="183"/>
        <v>206208.67833333337</v>
      </c>
      <c r="CO121" s="332">
        <f t="shared" si="184"/>
        <v>0</v>
      </c>
      <c r="CP121" s="332"/>
      <c r="CQ121" s="332">
        <f>_xlfn.IFNA((VLOOKUP($A121,EY!$A:$AB,28,FALSE)-$CV121),0)</f>
        <v>0</v>
      </c>
      <c r="CR121" s="333">
        <f>_xlfn.IFNA((VLOOKUP($A121,HN!$A:$M,8,FALSE)/12),0)</f>
        <v>57500</v>
      </c>
      <c r="CS121" s="333">
        <f>_xlfn.IFNA((VLOOKUP($A121,HN!$A:$M,12,FALSE)/12),0)</f>
        <v>0</v>
      </c>
      <c r="CT121" s="333">
        <f>_xlfn.IFNA((VLOOKUP($A121,HN!$A:$M,9,FALSE)/12),0)</f>
        <v>17500</v>
      </c>
      <c r="CU121" s="333">
        <f>_xlfn.IFNA((VLOOKUP($A121,'Post 16'!$A:$AG,33,FALSE)/8),0)</f>
        <v>0</v>
      </c>
      <c r="CV121" s="333">
        <f>_xlfn.IFNA((VLOOKUP($A121,EY!$A:$AB,26,FALSE)*80%),0)</f>
        <v>0</v>
      </c>
      <c r="CW121" s="333">
        <f>_xlfn.IFNA(((VLOOKUP($A121,HN!$A:$M,10,FALSE)-$U121-$AK121)/10),0)</f>
        <v>131208.67833333337</v>
      </c>
      <c r="CX121" s="333">
        <f>_xlfn.IFNA(((VLOOKUP($A121,HN!$A:$M,13,FALSE)-$V121-$AL121)/10),0)</f>
        <v>0</v>
      </c>
      <c r="CY121" s="332">
        <f t="shared" si="185"/>
        <v>0</v>
      </c>
      <c r="CZ121" s="332">
        <f t="shared" si="186"/>
        <v>0</v>
      </c>
      <c r="DA121" s="333"/>
      <c r="DB121" s="333"/>
      <c r="DC121" s="333"/>
      <c r="DD121" s="332">
        <f t="shared" si="187"/>
        <v>206208.67833333337</v>
      </c>
      <c r="DE121" s="314">
        <f t="shared" si="188"/>
        <v>0</v>
      </c>
      <c r="DF121" s="314"/>
      <c r="DG121" s="314"/>
      <c r="DH121" s="315">
        <f>_xlfn.IFNA((VLOOKUP($A121,HN!$A:$M,8,FALSE)/12),0)</f>
        <v>57500</v>
      </c>
      <c r="DI121" s="315">
        <f>_xlfn.IFNA((VLOOKUP($A121,HN!$A:$M,12,FALSE)/12),0)</f>
        <v>0</v>
      </c>
      <c r="DJ121" s="315">
        <f>_xlfn.IFNA((VLOOKUP($A121,HN!$A:$M,9,FALSE)/12),0)</f>
        <v>17500</v>
      </c>
      <c r="DK121" s="315">
        <f>_xlfn.IFNA((VLOOKUP($A121,'Post 16'!$A:$AG,33,FALSE)/8),0)</f>
        <v>0</v>
      </c>
      <c r="DL121" s="315"/>
      <c r="DM121" s="315">
        <f>_xlfn.IFNA(((VLOOKUP($A121,HN!$A:$M,10,FALSE)-$U121-$AK121)/10),0)</f>
        <v>131208.67833333337</v>
      </c>
      <c r="DN121" s="315">
        <f>_xlfn.IFNA(((VLOOKUP($A121,HN!$A:$M,13,FALSE)-$V121-$AL121)/10),0)</f>
        <v>0</v>
      </c>
      <c r="DO121" s="314">
        <f t="shared" si="189"/>
        <v>0</v>
      </c>
      <c r="DP121" s="314">
        <f t="shared" si="190"/>
        <v>0</v>
      </c>
      <c r="DQ121" s="315"/>
      <c r="DR121" s="315"/>
      <c r="DS121" s="315"/>
      <c r="DT121" s="314">
        <f t="shared" si="191"/>
        <v>206208.67833333337</v>
      </c>
      <c r="DU121" s="307">
        <f t="shared" si="192"/>
        <v>0</v>
      </c>
      <c r="DV121" s="307"/>
      <c r="DW121" s="307"/>
      <c r="DX121" s="308">
        <f>_xlfn.IFNA((VLOOKUP($A121,HN!$A:$M,8,FALSE)/12),0)</f>
        <v>57500</v>
      </c>
      <c r="DY121" s="308">
        <f>_xlfn.IFNA((VLOOKUP($A121,HN!$A:$M,12,FALSE)/12),0)</f>
        <v>0</v>
      </c>
      <c r="DZ121" s="308">
        <f>_xlfn.IFNA((VLOOKUP($A121,HN!$A:$M,9,FALSE)/12),0)</f>
        <v>17500</v>
      </c>
      <c r="EA121" s="308">
        <f>_xlfn.IFNA((VLOOKUP($A121,'Post 16'!$A:$AG,33,FALSE)/8),0)</f>
        <v>0</v>
      </c>
      <c r="EB121" s="308"/>
      <c r="EC121" s="308">
        <f>_xlfn.IFNA(((VLOOKUP($A121,HN!$A:$M,10,FALSE)-$U121-$AK121)/10),0)</f>
        <v>131208.67833333337</v>
      </c>
      <c r="ED121" s="308">
        <f>_xlfn.IFNA(((VLOOKUP($A121,HN!$A:$M,13,FALSE)-$V121-$AL121)/10),0)</f>
        <v>0</v>
      </c>
      <c r="EE121" s="307">
        <f t="shared" si="193"/>
        <v>0</v>
      </c>
      <c r="EF121" s="307">
        <f t="shared" si="194"/>
        <v>0</v>
      </c>
      <c r="EG121" s="308"/>
      <c r="EH121" s="308"/>
      <c r="EI121" s="308"/>
      <c r="EJ121" s="307">
        <f t="shared" si="195"/>
        <v>206208.67833333337</v>
      </c>
      <c r="EK121" s="320">
        <f t="shared" si="196"/>
        <v>0</v>
      </c>
      <c r="EL121" s="320"/>
      <c r="EM121" s="320"/>
      <c r="EN121" s="321">
        <f>_xlfn.IFNA((VLOOKUP($A121,HN!$A:$M,8,FALSE)/12),0)</f>
        <v>57500</v>
      </c>
      <c r="EO121" s="321">
        <f>_xlfn.IFNA((VLOOKUP($A121,HN!$A:$M,12,FALSE)/12),0)</f>
        <v>0</v>
      </c>
      <c r="EP121" s="321">
        <f>_xlfn.IFNA((VLOOKUP($A121,HN!$A:$M,9,FALSE)/12),0)</f>
        <v>17500</v>
      </c>
      <c r="EQ121" s="321">
        <f>_xlfn.IFNA((VLOOKUP($A121,'Post 16'!$A:$AG,33,FALSE)/8),0)</f>
        <v>0</v>
      </c>
      <c r="ER121" s="321"/>
      <c r="ES121" s="321">
        <f>_xlfn.IFNA(((VLOOKUP($A121,HN!$A:$M,10,FALSE)-$U121-$AK121)/10),0)</f>
        <v>131208.67833333337</v>
      </c>
      <c r="ET121" s="321">
        <f>_xlfn.IFNA(((VLOOKUP($A121,HN!$A:$M,13,FALSE)-$V121-$AL121)/10),0)</f>
        <v>0</v>
      </c>
      <c r="EU121" s="320">
        <f t="shared" si="197"/>
        <v>0</v>
      </c>
      <c r="EV121" s="320">
        <f t="shared" si="198"/>
        <v>0</v>
      </c>
      <c r="EW121" s="321"/>
      <c r="EX121" s="321"/>
      <c r="EY121" s="321"/>
      <c r="EZ121" s="320">
        <f t="shared" si="199"/>
        <v>206208.67833333337</v>
      </c>
      <c r="FA121" s="286">
        <f t="shared" si="200"/>
        <v>0</v>
      </c>
      <c r="FB121" s="286"/>
      <c r="FC121" s="286"/>
      <c r="FD121" s="287">
        <f>_xlfn.IFNA((VLOOKUP($A121,HN!$A:$M,8,FALSE)/12),0)</f>
        <v>57500</v>
      </c>
      <c r="FE121" s="287">
        <f>_xlfn.IFNA((VLOOKUP($A121,HN!$A:$M,12,FALSE)/12),0)</f>
        <v>0</v>
      </c>
      <c r="FF121" s="287">
        <f>_xlfn.IFNA((VLOOKUP($A121,HN!$A:$M,9,FALSE)/12),0)</f>
        <v>17500</v>
      </c>
      <c r="FG121" s="287">
        <f>_xlfn.IFNA((VLOOKUP($A121,'Post 16'!$A:$AG,33,FALSE)/8),0)</f>
        <v>0</v>
      </c>
      <c r="FH121" s="287"/>
      <c r="FI121" s="287">
        <f>_xlfn.IFNA(((VLOOKUP($A121,HN!$A:$M,10,FALSE)-$U121-$AK121)/10),0)</f>
        <v>131208.67833333337</v>
      </c>
      <c r="FJ121" s="287">
        <f>_xlfn.IFNA(((VLOOKUP($A121,HN!$A:$M,13,FALSE)-$V121-$AL121)/10),0)</f>
        <v>0</v>
      </c>
      <c r="FK121" s="286">
        <f t="shared" si="201"/>
        <v>0</v>
      </c>
      <c r="FL121" s="286">
        <f t="shared" si="202"/>
        <v>0</v>
      </c>
      <c r="FM121" s="287"/>
      <c r="FN121" s="287"/>
      <c r="FO121" s="287"/>
      <c r="FP121" s="286">
        <f t="shared" si="203"/>
        <v>206208.67833333337</v>
      </c>
      <c r="FQ121" s="293">
        <f t="shared" si="204"/>
        <v>0</v>
      </c>
      <c r="FR121" s="293"/>
      <c r="FS121" s="293"/>
      <c r="FT121" s="294">
        <f>_xlfn.IFNA((VLOOKUP($A121,HN!$A:$M,8,FALSE)/12),0)</f>
        <v>57500</v>
      </c>
      <c r="FU121" s="294">
        <f>_xlfn.IFNA((VLOOKUP($A121,HN!$A:$M,12,FALSE)/12),0)</f>
        <v>0</v>
      </c>
      <c r="FV121" s="294">
        <f>_xlfn.IFNA((VLOOKUP($A121,HN!$A:$M,9,FALSE)/12),0)</f>
        <v>17500</v>
      </c>
      <c r="FW121" s="294">
        <f>_xlfn.IFNA((VLOOKUP($A121,'Post 16'!$A:$AG,33,FALSE)/8),0)</f>
        <v>0</v>
      </c>
      <c r="FX121" s="294"/>
      <c r="FY121" s="294">
        <f>_xlfn.IFNA(((VLOOKUP($A121,HN!$A:$M,10,FALSE)-$U121-$AK121)/10),0)</f>
        <v>131208.67833333337</v>
      </c>
      <c r="FZ121" s="294">
        <f>_xlfn.IFNA(((VLOOKUP($A121,HN!$A:$M,13,FALSE)-$V121-$AL121)/10),0)</f>
        <v>0</v>
      </c>
      <c r="GA121" s="293">
        <f t="shared" si="205"/>
        <v>0</v>
      </c>
      <c r="GB121" s="293">
        <f t="shared" si="206"/>
        <v>0</v>
      </c>
      <c r="GC121" s="294"/>
      <c r="GD121" s="294"/>
      <c r="GE121" s="294"/>
      <c r="GF121" s="293">
        <f t="shared" si="207"/>
        <v>206208.67833333337</v>
      </c>
      <c r="GG121" s="300">
        <f t="shared" si="208"/>
        <v>0</v>
      </c>
      <c r="GH121" s="300"/>
      <c r="GI121" s="300"/>
      <c r="GJ121" s="301">
        <f>_xlfn.IFNA((VLOOKUP($A121,HN!$A:$M,8,FALSE)/12),0)</f>
        <v>57500</v>
      </c>
      <c r="GK121" s="301">
        <f>_xlfn.IFNA((VLOOKUP($A121,HN!$A:$M,12,FALSE)/12),0)</f>
        <v>0</v>
      </c>
      <c r="GL121" s="301">
        <f>_xlfn.IFNA((VLOOKUP($A121,HN!$A:$M,9,FALSE)/12),0)</f>
        <v>17500</v>
      </c>
      <c r="GM121" s="301">
        <f>_xlfn.IFNA((VLOOKUP($A121,'Post 16'!$A:$AG,33,FALSE)/8),0)</f>
        <v>0</v>
      </c>
      <c r="GN121" s="301"/>
      <c r="GO121" s="301">
        <f>_xlfn.IFNA(((VLOOKUP($A121,HN!$A:$M,10,FALSE)-$U121-$AK121)/10),0)</f>
        <v>131208.67833333337</v>
      </c>
      <c r="GP121" s="301">
        <f>_xlfn.IFNA(((VLOOKUP($A121,HN!$A:$M,13,FALSE)-$V121-$AL121)/10),0)</f>
        <v>0</v>
      </c>
      <c r="GQ121" s="300">
        <f t="shared" si="209"/>
        <v>0</v>
      </c>
      <c r="GR121" s="300">
        <f t="shared" si="210"/>
        <v>0</v>
      </c>
      <c r="GS121" s="301"/>
      <c r="GT121" s="301"/>
      <c r="GU121" s="301"/>
      <c r="GV121" s="300">
        <f t="shared" si="211"/>
        <v>206208.67833333337</v>
      </c>
      <c r="GX121" s="146">
        <f t="shared" si="214"/>
        <v>690000</v>
      </c>
      <c r="GY121" s="146">
        <f t="shared" si="214"/>
        <v>210000</v>
      </c>
      <c r="GZ121" s="146">
        <f t="shared" si="214"/>
        <v>1574504.1400000006</v>
      </c>
      <c r="HA121" s="146">
        <f t="shared" si="214"/>
        <v>0</v>
      </c>
      <c r="HB121" s="146">
        <f t="shared" si="214"/>
        <v>0</v>
      </c>
      <c r="HC121" s="146">
        <f t="shared" si="214"/>
        <v>0</v>
      </c>
      <c r="HE121" s="146">
        <f t="shared" si="215"/>
        <v>172500</v>
      </c>
      <c r="HF121" s="146">
        <f t="shared" si="215"/>
        <v>52500</v>
      </c>
      <c r="HG121" s="146">
        <f t="shared" si="215"/>
        <v>393626.03500000003</v>
      </c>
      <c r="HH121" s="146">
        <f t="shared" si="215"/>
        <v>0</v>
      </c>
      <c r="HI121" s="146">
        <f t="shared" si="215"/>
        <v>0</v>
      </c>
      <c r="HJ121" s="146">
        <f t="shared" si="215"/>
        <v>0</v>
      </c>
      <c r="HL121" s="146"/>
      <c r="HM121" s="57"/>
    </row>
    <row r="122" spans="1:221">
      <c r="A122" s="185">
        <v>4173</v>
      </c>
      <c r="B122" s="185">
        <v>103497</v>
      </c>
      <c r="C122" s="185" t="s">
        <v>267</v>
      </c>
      <c r="D122" s="2" t="s">
        <v>268</v>
      </c>
      <c r="E122" s="190" t="s">
        <v>71</v>
      </c>
      <c r="F122" s="190" t="s">
        <v>890</v>
      </c>
      <c r="H122" s="271">
        <f>_xlfn.IFNA(VLOOKUP($A122,ISB!$A$4:$BY$441,67,FALSE),0)</f>
        <v>7066510.5123640643</v>
      </c>
      <c r="I122" s="271">
        <f>_xlfn.IFNA(VLOOKUP($A122,ISB!$A$4:$BY$441,72,FALSE),0)</f>
        <v>-17842.5</v>
      </c>
      <c r="J122" s="271">
        <f>-_xlfn.IFNA(VLOOKUP($A122,ISB!$A$4:$BY$441,76,FALSE),0)</f>
        <v>-24089.465400000001</v>
      </c>
      <c r="K122" s="271">
        <f>_xlfn.IFNA(VLOOKUP($A122,ISB!$A$4:$BY$441,77,FALSE),0)</f>
        <v>7024578.5469640642</v>
      </c>
      <c r="M122" s="279">
        <f t="shared" si="164"/>
        <v>588875.8760303387</v>
      </c>
      <c r="N122" s="279"/>
      <c r="O122" s="279">
        <f>_xlfn.IFNA(VLOOKUP($A122,EY!$A:$H,8,FALSE)+(VLOOKUP($A122,EY!$A:$R,18,FALSE)-$T122),0)</f>
        <v>0</v>
      </c>
      <c r="P122" s="280">
        <f>_xlfn.IFNA((VLOOKUP($A122,HN!$A:$M,8,FALSE)/12),0)</f>
        <v>0</v>
      </c>
      <c r="Q122" s="280">
        <f>_xlfn.IFNA((VLOOKUP($A122,HN!$A:$M,12,FALSE)/12),0)</f>
        <v>0</v>
      </c>
      <c r="R122" s="280">
        <f>_xlfn.IFNA((VLOOKUP($A122,HN!$A:$M,9,FALSE)/12),0)</f>
        <v>0</v>
      </c>
      <c r="S122" s="280">
        <f>_xlfn.IFNA((VLOOKUP($A122,'Post 16'!$A:$AR,22,FALSE)/4),0)</f>
        <v>0</v>
      </c>
      <c r="T122" s="280">
        <f>_xlfn.IFNA((VLOOKUP($A122,EY!$A:$R,16,FALSE)*80%),0)</f>
        <v>0</v>
      </c>
      <c r="U122" s="280">
        <v>33536.708333333336</v>
      </c>
      <c r="V122" s="280">
        <v>0</v>
      </c>
      <c r="W122" s="279">
        <f t="shared" si="165"/>
        <v>-1486.875</v>
      </c>
      <c r="X122" s="279">
        <f t="shared" si="166"/>
        <v>-2007.4554500000002</v>
      </c>
      <c r="Y122" s="280"/>
      <c r="Z122" s="280"/>
      <c r="AA122" s="280"/>
      <c r="AB122" s="279">
        <f t="shared" si="167"/>
        <v>618918.25391367206</v>
      </c>
      <c r="AC122" s="293">
        <f t="shared" si="168"/>
        <v>588875.8760303387</v>
      </c>
      <c r="AD122" s="293"/>
      <c r="AE122" s="293"/>
      <c r="AF122" s="294">
        <f>_xlfn.IFNA((VLOOKUP($A122,HN!$A:$M,8,FALSE)/12),0)</f>
        <v>0</v>
      </c>
      <c r="AG122" s="294">
        <f>_xlfn.IFNA((VLOOKUP($A122,HN!$A:$M,12,FALSE)/12),0)+_xlfn.IFNA(VLOOKUP($A122,HN!$A:$Q,17,FALSE),0)</f>
        <v>0</v>
      </c>
      <c r="AH122" s="294">
        <f>_xlfn.IFNA((VLOOKUP($A122,HN!$A:$M,9,FALSE)/12),0)</f>
        <v>0</v>
      </c>
      <c r="AI122" s="294">
        <f>_xlfn.IFNA((VLOOKUP($A122,'Post 16'!$A:$AR,22,FALSE)/4),0)</f>
        <v>0</v>
      </c>
      <c r="AJ122" s="294"/>
      <c r="AK122" s="294">
        <f>_xlfn.IFNA((VLOOKUP($A122,HN!$A:$M,10,FALSE)/12),0)</f>
        <v>19835.9725</v>
      </c>
      <c r="AL122" s="294">
        <f>_xlfn.IFNA((VLOOKUP($A122,HN!$A:$M,13,FALSE)/12),0)</f>
        <v>0</v>
      </c>
      <c r="AM122" s="293">
        <f t="shared" si="169"/>
        <v>-1486.875</v>
      </c>
      <c r="AN122" s="293">
        <f t="shared" si="170"/>
        <v>-2007.4554500000002</v>
      </c>
      <c r="AO122" s="294"/>
      <c r="AP122" s="294"/>
      <c r="AQ122" s="294"/>
      <c r="AR122" s="293">
        <f t="shared" si="171"/>
        <v>605217.51808033872</v>
      </c>
      <c r="AS122" s="286">
        <f t="shared" si="172"/>
        <v>588875.8760303387</v>
      </c>
      <c r="AT122" s="286"/>
      <c r="AU122" s="286">
        <f>_xlfn.IFNA(VLOOKUP(A122,EY!A:AO,40,FALSE),0)</f>
        <v>0</v>
      </c>
      <c r="AV122" s="287">
        <f>_xlfn.IFNA((VLOOKUP($A122,HN!$A:$M,8,FALSE)/12),0)</f>
        <v>0</v>
      </c>
      <c r="AW122" s="287">
        <f>_xlfn.IFNA((VLOOKUP($A122,HN!$A:$M,12,FALSE)/12),0)+_xlfn.IFNA(VLOOKUP($A122,HN!$A$8:$AU$200,19,FALSE),0)</f>
        <v>0</v>
      </c>
      <c r="AX122" s="287">
        <f>_xlfn.IFNA((VLOOKUP($A122,HN!$A:$M,9,FALSE)/12),0)</f>
        <v>0</v>
      </c>
      <c r="AY122" s="287">
        <f>_xlfn.IFNA((VLOOKUP($A122,'Post 16'!$A:$AR,22,FALSE)/4),0)</f>
        <v>0</v>
      </c>
      <c r="AZ122" s="287">
        <f>_xlfn.IFNA(VLOOKUP(A122,EY!A:AO,41,FALSE),0)</f>
        <v>0</v>
      </c>
      <c r="BA122" s="287">
        <f>_xlfn.IFNA(((VLOOKUP($A122,HN!$A:$M,10,FALSE)-$U122-$AK122)/10),0)+_xlfn.IFNA(VLOOKUP($A122,HN!$A:$R,18,FALSE),0)</f>
        <v>18465.898916666665</v>
      </c>
      <c r="BB122" s="287">
        <f>_xlfn.IFNA(((VLOOKUP($A122,HN!$A:$M,13,FALSE)-$V122-$AL122)/10),0)+_xlfn.IFNA(VLOOKUP($A122,HN!$A$8:$AU$200,20,FALSE),0)</f>
        <v>0</v>
      </c>
      <c r="BC122" s="286">
        <f t="shared" si="173"/>
        <v>-1486.875</v>
      </c>
      <c r="BD122" s="286">
        <f t="shared" si="174"/>
        <v>-2007.4554500000002</v>
      </c>
      <c r="BE122" s="287"/>
      <c r="BF122" s="287"/>
      <c r="BG122" s="287"/>
      <c r="BH122" s="286">
        <f t="shared" si="175"/>
        <v>603847.44449700532</v>
      </c>
      <c r="BI122" s="307">
        <f t="shared" si="176"/>
        <v>588875.8760303387</v>
      </c>
      <c r="BJ122" s="307">
        <f>_xlfn.IFNA(VLOOKUP(A122,'LA Deductions'!A:AH,34,FALSE),0)</f>
        <v>0</v>
      </c>
      <c r="BK122" s="307"/>
      <c r="BL122" s="308">
        <f>_xlfn.IFNA((VLOOKUP($A122,HN!$A:$M,8,FALSE)/12),0)</f>
        <v>0</v>
      </c>
      <c r="BM122" s="308">
        <f>_xlfn.IFNA((VLOOKUP($A122,HN!$A:$M,12,FALSE)/12),0)</f>
        <v>0</v>
      </c>
      <c r="BN122" s="308">
        <f>_xlfn.IFNA((VLOOKUP($A122,HN!$A:$M,9,FALSE)/12),0)</f>
        <v>0</v>
      </c>
      <c r="BO122" s="308">
        <f>_xlfn.IFNA((VLOOKUP($A122,'Post 16'!$A:$AR,22,FALSE)/4),0)</f>
        <v>0</v>
      </c>
      <c r="BP122" s="308"/>
      <c r="BQ122" s="308">
        <f>_xlfn.IFNA(((VLOOKUP($A122,HN!$A:$M,10,FALSE)-$U122-$AK122)/10),0)</f>
        <v>18465.898916666665</v>
      </c>
      <c r="BR122" s="308">
        <f>_xlfn.IFNA(((VLOOKUP($A122,HN!$A:$M,13,FALSE)-$V122-$AL122)/10),0)</f>
        <v>0</v>
      </c>
      <c r="BS122" s="307">
        <f t="shared" si="177"/>
        <v>-1486.875</v>
      </c>
      <c r="BT122" s="307">
        <f t="shared" si="178"/>
        <v>-2007.4554500000002</v>
      </c>
      <c r="BU122" s="308"/>
      <c r="BV122" s="308"/>
      <c r="BW122" s="308"/>
      <c r="BX122" s="307">
        <f t="shared" si="179"/>
        <v>603847.44449700532</v>
      </c>
      <c r="BY122" s="300">
        <f t="shared" si="180"/>
        <v>588875.8760303387</v>
      </c>
      <c r="BZ122" s="300"/>
      <c r="CA122" s="300"/>
      <c r="CB122" s="301">
        <f>_xlfn.IFNA((VLOOKUP($A122,HN!$A:$M,8,FALSE)/12),0)</f>
        <v>0</v>
      </c>
      <c r="CC122" s="301">
        <f>_xlfn.IFNA((VLOOKUP($A122,HN!$A:$M,12,FALSE)/12),0)</f>
        <v>0</v>
      </c>
      <c r="CD122" s="301">
        <f>_xlfn.IFNA((VLOOKUP($A122,HN!$A:$M,9,FALSE)/12),0)</f>
        <v>0</v>
      </c>
      <c r="CE122" s="301">
        <f>_xlfn.IFNA((VLOOKUP($A122,'Post 16'!$A:$AG,33,FALSE)/8),0)</f>
        <v>0</v>
      </c>
      <c r="CF122" s="301"/>
      <c r="CG122" s="301">
        <f>_xlfn.IFNA(((VLOOKUP($A122,HN!$A:$M,10,FALSE)-$U122-$AK122)/10),0)</f>
        <v>18465.898916666665</v>
      </c>
      <c r="CH122" s="301">
        <f>_xlfn.IFNA(((VLOOKUP($A122,HN!$A:$M,13,FALSE)-$V122-$AL122)/10),0)</f>
        <v>0</v>
      </c>
      <c r="CI122" s="300">
        <f t="shared" si="181"/>
        <v>-1486.875</v>
      </c>
      <c r="CJ122" s="300">
        <f t="shared" si="182"/>
        <v>-2007.4554500000002</v>
      </c>
      <c r="CK122" s="301"/>
      <c r="CL122" s="301"/>
      <c r="CM122" s="301"/>
      <c r="CN122" s="300">
        <f t="shared" si="183"/>
        <v>603847.44449700532</v>
      </c>
      <c r="CO122" s="332">
        <f t="shared" si="184"/>
        <v>588875.8760303387</v>
      </c>
      <c r="CP122" s="332"/>
      <c r="CQ122" s="332">
        <f>_xlfn.IFNA((VLOOKUP($A122,EY!$A:$AB,28,FALSE)-$CV122),0)</f>
        <v>0</v>
      </c>
      <c r="CR122" s="333">
        <f>_xlfn.IFNA((VLOOKUP($A122,HN!$A:$M,8,FALSE)/12),0)</f>
        <v>0</v>
      </c>
      <c r="CS122" s="333">
        <f>_xlfn.IFNA((VLOOKUP($A122,HN!$A:$M,12,FALSE)/12),0)</f>
        <v>0</v>
      </c>
      <c r="CT122" s="333">
        <f>_xlfn.IFNA((VLOOKUP($A122,HN!$A:$M,9,FALSE)/12),0)</f>
        <v>0</v>
      </c>
      <c r="CU122" s="333">
        <f>_xlfn.IFNA((VLOOKUP($A122,'Post 16'!$A:$AG,33,FALSE)/8),0)</f>
        <v>0</v>
      </c>
      <c r="CV122" s="333">
        <f>_xlfn.IFNA((VLOOKUP($A122,EY!$A:$AB,26,FALSE)*80%),0)</f>
        <v>0</v>
      </c>
      <c r="CW122" s="333">
        <f>_xlfn.IFNA(((VLOOKUP($A122,HN!$A:$M,10,FALSE)-$U122-$AK122)/10),0)</f>
        <v>18465.898916666665</v>
      </c>
      <c r="CX122" s="333">
        <f>_xlfn.IFNA(((VLOOKUP($A122,HN!$A:$M,13,FALSE)-$V122-$AL122)/10),0)</f>
        <v>0</v>
      </c>
      <c r="CY122" s="332">
        <f t="shared" si="185"/>
        <v>-1486.875</v>
      </c>
      <c r="CZ122" s="332">
        <f t="shared" si="186"/>
        <v>-2007.4554500000002</v>
      </c>
      <c r="DA122" s="333"/>
      <c r="DB122" s="333"/>
      <c r="DC122" s="333"/>
      <c r="DD122" s="332">
        <f t="shared" si="187"/>
        <v>603847.44449700532</v>
      </c>
      <c r="DE122" s="314">
        <f t="shared" si="188"/>
        <v>588875.8760303387</v>
      </c>
      <c r="DF122" s="314"/>
      <c r="DG122" s="314"/>
      <c r="DH122" s="315">
        <f>_xlfn.IFNA((VLOOKUP($A122,HN!$A:$M,8,FALSE)/12),0)</f>
        <v>0</v>
      </c>
      <c r="DI122" s="315">
        <f>_xlfn.IFNA((VLOOKUP($A122,HN!$A:$M,12,FALSE)/12),0)</f>
        <v>0</v>
      </c>
      <c r="DJ122" s="315">
        <f>_xlfn.IFNA((VLOOKUP($A122,HN!$A:$M,9,FALSE)/12),0)</f>
        <v>0</v>
      </c>
      <c r="DK122" s="315">
        <f>_xlfn.IFNA((VLOOKUP($A122,'Post 16'!$A:$AG,33,FALSE)/8),0)</f>
        <v>0</v>
      </c>
      <c r="DL122" s="315"/>
      <c r="DM122" s="315">
        <f>_xlfn.IFNA(((VLOOKUP($A122,HN!$A:$M,10,FALSE)-$U122-$AK122)/10),0)</f>
        <v>18465.898916666665</v>
      </c>
      <c r="DN122" s="315">
        <f>_xlfn.IFNA(((VLOOKUP($A122,HN!$A:$M,13,FALSE)-$V122-$AL122)/10),0)</f>
        <v>0</v>
      </c>
      <c r="DO122" s="314">
        <f t="shared" si="189"/>
        <v>-1486.875</v>
      </c>
      <c r="DP122" s="314">
        <f t="shared" si="190"/>
        <v>-2007.4554500000002</v>
      </c>
      <c r="DQ122" s="315"/>
      <c r="DR122" s="315"/>
      <c r="DS122" s="315"/>
      <c r="DT122" s="314">
        <f t="shared" si="191"/>
        <v>603847.44449700532</v>
      </c>
      <c r="DU122" s="307">
        <f t="shared" si="192"/>
        <v>588875.8760303387</v>
      </c>
      <c r="DV122" s="307"/>
      <c r="DW122" s="307"/>
      <c r="DX122" s="308">
        <f>_xlfn.IFNA((VLOOKUP($A122,HN!$A:$M,8,FALSE)/12),0)</f>
        <v>0</v>
      </c>
      <c r="DY122" s="308">
        <f>_xlfn.IFNA((VLOOKUP($A122,HN!$A:$M,12,FALSE)/12),0)</f>
        <v>0</v>
      </c>
      <c r="DZ122" s="308">
        <f>_xlfn.IFNA((VLOOKUP($A122,HN!$A:$M,9,FALSE)/12),0)</f>
        <v>0</v>
      </c>
      <c r="EA122" s="308">
        <f>_xlfn.IFNA((VLOOKUP($A122,'Post 16'!$A:$AG,33,FALSE)/8),0)</f>
        <v>0</v>
      </c>
      <c r="EB122" s="308"/>
      <c r="EC122" s="308">
        <f>_xlfn.IFNA(((VLOOKUP($A122,HN!$A:$M,10,FALSE)-$U122-$AK122)/10),0)</f>
        <v>18465.898916666665</v>
      </c>
      <c r="ED122" s="308">
        <f>_xlfn.IFNA(((VLOOKUP($A122,HN!$A:$M,13,FALSE)-$V122-$AL122)/10),0)</f>
        <v>0</v>
      </c>
      <c r="EE122" s="307">
        <f t="shared" si="193"/>
        <v>-1486.875</v>
      </c>
      <c r="EF122" s="307">
        <f t="shared" si="194"/>
        <v>-2007.4554500000002</v>
      </c>
      <c r="EG122" s="308"/>
      <c r="EH122" s="308"/>
      <c r="EI122" s="308"/>
      <c r="EJ122" s="307">
        <f t="shared" si="195"/>
        <v>603847.44449700532</v>
      </c>
      <c r="EK122" s="320">
        <f t="shared" si="196"/>
        <v>588875.8760303387</v>
      </c>
      <c r="EL122" s="320"/>
      <c r="EM122" s="320"/>
      <c r="EN122" s="321">
        <f>_xlfn.IFNA((VLOOKUP($A122,HN!$A:$M,8,FALSE)/12),0)</f>
        <v>0</v>
      </c>
      <c r="EO122" s="321">
        <f>_xlfn.IFNA((VLOOKUP($A122,HN!$A:$M,12,FALSE)/12),0)</f>
        <v>0</v>
      </c>
      <c r="EP122" s="321">
        <f>_xlfn.IFNA((VLOOKUP($A122,HN!$A:$M,9,FALSE)/12),0)</f>
        <v>0</v>
      </c>
      <c r="EQ122" s="321">
        <f>_xlfn.IFNA((VLOOKUP($A122,'Post 16'!$A:$AG,33,FALSE)/8),0)</f>
        <v>0</v>
      </c>
      <c r="ER122" s="321"/>
      <c r="ES122" s="321">
        <f>_xlfn.IFNA(((VLOOKUP($A122,HN!$A:$M,10,FALSE)-$U122-$AK122)/10),0)</f>
        <v>18465.898916666665</v>
      </c>
      <c r="ET122" s="321">
        <f>_xlfn.IFNA(((VLOOKUP($A122,HN!$A:$M,13,FALSE)-$V122-$AL122)/10),0)</f>
        <v>0</v>
      </c>
      <c r="EU122" s="320">
        <f t="shared" si="197"/>
        <v>-1486.875</v>
      </c>
      <c r="EV122" s="320">
        <f t="shared" si="198"/>
        <v>-2007.4554500000002</v>
      </c>
      <c r="EW122" s="321"/>
      <c r="EX122" s="321"/>
      <c r="EY122" s="321"/>
      <c r="EZ122" s="320">
        <f t="shared" si="199"/>
        <v>603847.44449700532</v>
      </c>
      <c r="FA122" s="286">
        <f t="shared" si="200"/>
        <v>588875.8760303387</v>
      </c>
      <c r="FB122" s="286"/>
      <c r="FC122" s="286"/>
      <c r="FD122" s="287">
        <f>_xlfn.IFNA((VLOOKUP($A122,HN!$A:$M,8,FALSE)/12),0)</f>
        <v>0</v>
      </c>
      <c r="FE122" s="287">
        <f>_xlfn.IFNA((VLOOKUP($A122,HN!$A:$M,12,FALSE)/12),0)</f>
        <v>0</v>
      </c>
      <c r="FF122" s="287">
        <f>_xlfn.IFNA((VLOOKUP($A122,HN!$A:$M,9,FALSE)/12),0)</f>
        <v>0</v>
      </c>
      <c r="FG122" s="287">
        <f>_xlfn.IFNA((VLOOKUP($A122,'Post 16'!$A:$AG,33,FALSE)/8),0)</f>
        <v>0</v>
      </c>
      <c r="FH122" s="287"/>
      <c r="FI122" s="287">
        <f>_xlfn.IFNA(((VLOOKUP($A122,HN!$A:$M,10,FALSE)-$U122-$AK122)/10),0)</f>
        <v>18465.898916666665</v>
      </c>
      <c r="FJ122" s="287">
        <f>_xlfn.IFNA(((VLOOKUP($A122,HN!$A:$M,13,FALSE)-$V122-$AL122)/10),0)</f>
        <v>0</v>
      </c>
      <c r="FK122" s="286">
        <f t="shared" si="201"/>
        <v>-1486.875</v>
      </c>
      <c r="FL122" s="286">
        <f t="shared" si="202"/>
        <v>-2007.4554500000002</v>
      </c>
      <c r="FM122" s="287"/>
      <c r="FN122" s="287"/>
      <c r="FO122" s="287"/>
      <c r="FP122" s="286">
        <f t="shared" si="203"/>
        <v>603847.44449700532</v>
      </c>
      <c r="FQ122" s="293">
        <f t="shared" si="204"/>
        <v>588875.8760303387</v>
      </c>
      <c r="FR122" s="293"/>
      <c r="FS122" s="293"/>
      <c r="FT122" s="294">
        <f>_xlfn.IFNA((VLOOKUP($A122,HN!$A:$M,8,FALSE)/12),0)</f>
        <v>0</v>
      </c>
      <c r="FU122" s="294">
        <f>_xlfn.IFNA((VLOOKUP($A122,HN!$A:$M,12,FALSE)/12),0)</f>
        <v>0</v>
      </c>
      <c r="FV122" s="294">
        <f>_xlfn.IFNA((VLOOKUP($A122,HN!$A:$M,9,FALSE)/12),0)</f>
        <v>0</v>
      </c>
      <c r="FW122" s="294">
        <f>_xlfn.IFNA((VLOOKUP($A122,'Post 16'!$A:$AG,33,FALSE)/8),0)</f>
        <v>0</v>
      </c>
      <c r="FX122" s="294"/>
      <c r="FY122" s="294">
        <f>_xlfn.IFNA(((VLOOKUP($A122,HN!$A:$M,10,FALSE)-$U122-$AK122)/10),0)</f>
        <v>18465.898916666665</v>
      </c>
      <c r="FZ122" s="294">
        <f>_xlfn.IFNA(((VLOOKUP($A122,HN!$A:$M,13,FALSE)-$V122-$AL122)/10),0)</f>
        <v>0</v>
      </c>
      <c r="GA122" s="293">
        <f t="shared" si="205"/>
        <v>-1486.875</v>
      </c>
      <c r="GB122" s="293">
        <f t="shared" si="206"/>
        <v>-2007.4554500000002</v>
      </c>
      <c r="GC122" s="294"/>
      <c r="GD122" s="294"/>
      <c r="GE122" s="294"/>
      <c r="GF122" s="293">
        <f t="shared" si="207"/>
        <v>603847.44449700532</v>
      </c>
      <c r="GG122" s="300">
        <f t="shared" si="208"/>
        <v>588875.8760303387</v>
      </c>
      <c r="GH122" s="300"/>
      <c r="GI122" s="300"/>
      <c r="GJ122" s="301">
        <f>_xlfn.IFNA((VLOOKUP($A122,HN!$A:$M,8,FALSE)/12),0)</f>
        <v>0</v>
      </c>
      <c r="GK122" s="301">
        <f>_xlfn.IFNA((VLOOKUP($A122,HN!$A:$M,12,FALSE)/12),0)</f>
        <v>0</v>
      </c>
      <c r="GL122" s="301">
        <f>_xlfn.IFNA((VLOOKUP($A122,HN!$A:$M,9,FALSE)/12),0)</f>
        <v>0</v>
      </c>
      <c r="GM122" s="301">
        <f>_xlfn.IFNA((VLOOKUP($A122,'Post 16'!$A:$AG,33,FALSE)/8),0)</f>
        <v>0</v>
      </c>
      <c r="GN122" s="301"/>
      <c r="GO122" s="301">
        <f>_xlfn.IFNA(((VLOOKUP($A122,HN!$A:$M,10,FALSE)-$U122-$AK122)/10),0)</f>
        <v>18465.898916666665</v>
      </c>
      <c r="GP122" s="301">
        <f>_xlfn.IFNA(((VLOOKUP($A122,HN!$A:$M,13,FALSE)-$V122-$AL122)/10),0)</f>
        <v>0</v>
      </c>
      <c r="GQ122" s="300">
        <f t="shared" si="209"/>
        <v>-1486.875</v>
      </c>
      <c r="GR122" s="300">
        <f t="shared" si="210"/>
        <v>-2007.4554500000002</v>
      </c>
      <c r="GS122" s="301"/>
      <c r="GT122" s="301"/>
      <c r="GU122" s="301"/>
      <c r="GV122" s="300">
        <f t="shared" si="211"/>
        <v>603847.44449700532</v>
      </c>
      <c r="GX122" s="146">
        <f t="shared" si="214"/>
        <v>7066510.5123640662</v>
      </c>
      <c r="GY122" s="146">
        <f t="shared" si="214"/>
        <v>0</v>
      </c>
      <c r="GZ122" s="146">
        <f t="shared" si="214"/>
        <v>238031.66999999993</v>
      </c>
      <c r="HA122" s="146">
        <f t="shared" si="214"/>
        <v>-17842.5</v>
      </c>
      <c r="HB122" s="146">
        <f t="shared" si="214"/>
        <v>-24089.465400000005</v>
      </c>
      <c r="HC122" s="146">
        <f t="shared" si="214"/>
        <v>0</v>
      </c>
      <c r="HE122" s="146">
        <f t="shared" si="215"/>
        <v>1766627.6280910161</v>
      </c>
      <c r="HF122" s="146">
        <f t="shared" si="215"/>
        <v>0</v>
      </c>
      <c r="HG122" s="146">
        <f t="shared" si="215"/>
        <v>71838.579750000004</v>
      </c>
      <c r="HH122" s="146">
        <f t="shared" si="215"/>
        <v>-4460.625</v>
      </c>
      <c r="HI122" s="146">
        <f t="shared" si="215"/>
        <v>-6022.3663500000002</v>
      </c>
      <c r="HJ122" s="146">
        <f t="shared" si="215"/>
        <v>0</v>
      </c>
      <c r="HL122" s="146"/>
      <c r="HM122" s="57"/>
    </row>
    <row r="123" spans="1:221">
      <c r="A123" s="185">
        <v>2157</v>
      </c>
      <c r="B123" s="185">
        <v>103246</v>
      </c>
      <c r="C123" s="185" t="s">
        <v>269</v>
      </c>
      <c r="D123" s="2" t="s">
        <v>270</v>
      </c>
      <c r="E123" s="190" t="s">
        <v>39</v>
      </c>
      <c r="F123" s="190" t="s">
        <v>890</v>
      </c>
      <c r="H123" s="271">
        <f>_xlfn.IFNA(VLOOKUP($A123,ISB!$A$4:$BY$441,67,FALSE),0)</f>
        <v>2047081.3519216992</v>
      </c>
      <c r="I123" s="271">
        <f>_xlfn.IFNA(VLOOKUP($A123,ISB!$A$4:$BY$441,72,FALSE),0)</f>
        <v>-9163.1999999999989</v>
      </c>
      <c r="J123" s="271">
        <f>-_xlfn.IFNA(VLOOKUP($A123,ISB!$A$4:$BY$441,76,FALSE),0)</f>
        <v>-41493.815999999999</v>
      </c>
      <c r="K123" s="271">
        <f>_xlfn.IFNA(VLOOKUP($A123,ISB!$A$4:$BY$441,77,FALSE),0)</f>
        <v>1996424.3359216992</v>
      </c>
      <c r="M123" s="279">
        <f t="shared" si="164"/>
        <v>170590.1126601416</v>
      </c>
      <c r="N123" s="279"/>
      <c r="O123" s="279">
        <f>_xlfn.IFNA(VLOOKUP($A123,EY!$A:$H,8,FALSE)+(VLOOKUP($A123,EY!$A:$R,18,FALSE)-$T123),0)</f>
        <v>27526.2</v>
      </c>
      <c r="P123" s="280">
        <f>_xlfn.IFNA((VLOOKUP($A123,HN!$A:$M,8,FALSE)/12),0)</f>
        <v>0</v>
      </c>
      <c r="Q123" s="280">
        <f>_xlfn.IFNA((VLOOKUP($A123,HN!$A:$M,12,FALSE)/12),0)</f>
        <v>0</v>
      </c>
      <c r="R123" s="280">
        <f>_xlfn.IFNA((VLOOKUP($A123,HN!$A:$M,9,FALSE)/12),0)</f>
        <v>0</v>
      </c>
      <c r="S123" s="280">
        <f>_xlfn.IFNA((VLOOKUP($A123,'Post 16'!$A:$AR,22,FALSE)/4),0)</f>
        <v>0</v>
      </c>
      <c r="T123" s="280">
        <f>_xlfn.IFNA((VLOOKUP($A123,EY!$A:$R,16,FALSE)*80%),0)</f>
        <v>0</v>
      </c>
      <c r="U123" s="280">
        <v>4523.7775000000001</v>
      </c>
      <c r="V123" s="280">
        <v>0</v>
      </c>
      <c r="W123" s="279">
        <f t="shared" si="165"/>
        <v>-763.59999999999991</v>
      </c>
      <c r="X123" s="279">
        <f t="shared" si="166"/>
        <v>-3457.8179999999998</v>
      </c>
      <c r="Y123" s="280"/>
      <c r="Z123" s="280"/>
      <c r="AA123" s="280"/>
      <c r="AB123" s="279">
        <f t="shared" si="167"/>
        <v>198418.67216014161</v>
      </c>
      <c r="AC123" s="293">
        <f t="shared" si="168"/>
        <v>170590.1126601416</v>
      </c>
      <c r="AD123" s="293"/>
      <c r="AE123" s="293"/>
      <c r="AF123" s="294">
        <f>_xlfn.IFNA((VLOOKUP($A123,HN!$A:$M,8,FALSE)/12),0)</f>
        <v>0</v>
      </c>
      <c r="AG123" s="294">
        <f>_xlfn.IFNA((VLOOKUP($A123,HN!$A:$M,12,FALSE)/12),0)+_xlfn.IFNA(VLOOKUP($A123,HN!$A:$Q,17,FALSE),0)</f>
        <v>0</v>
      </c>
      <c r="AH123" s="294">
        <f>_xlfn.IFNA((VLOOKUP($A123,HN!$A:$M,9,FALSE)/12),0)</f>
        <v>0</v>
      </c>
      <c r="AI123" s="294">
        <f>_xlfn.IFNA((VLOOKUP($A123,'Post 16'!$A:$AR,22,FALSE)/4),0)</f>
        <v>0</v>
      </c>
      <c r="AJ123" s="294"/>
      <c r="AK123" s="294">
        <f>_xlfn.IFNA((VLOOKUP($A123,HN!$A:$M,10,FALSE)/12),0)</f>
        <v>1672.7358333333334</v>
      </c>
      <c r="AL123" s="294">
        <f>_xlfn.IFNA((VLOOKUP($A123,HN!$A:$M,13,FALSE)/12),0)</f>
        <v>0</v>
      </c>
      <c r="AM123" s="293">
        <f t="shared" si="169"/>
        <v>-763.59999999999991</v>
      </c>
      <c r="AN123" s="293">
        <f t="shared" si="170"/>
        <v>-3457.8179999999998</v>
      </c>
      <c r="AO123" s="294"/>
      <c r="AP123" s="294"/>
      <c r="AQ123" s="294"/>
      <c r="AR123" s="293">
        <f t="shared" si="171"/>
        <v>168041.43049347494</v>
      </c>
      <c r="AS123" s="286">
        <f t="shared" si="172"/>
        <v>170590.1126601416</v>
      </c>
      <c r="AT123" s="286"/>
      <c r="AU123" s="286">
        <f>_xlfn.IFNA(VLOOKUP(A123,EY!A:AO,40,FALSE),0)</f>
        <v>2625.2531301939089</v>
      </c>
      <c r="AV123" s="287">
        <f>_xlfn.IFNA((VLOOKUP($A123,HN!$A:$M,8,FALSE)/12),0)</f>
        <v>0</v>
      </c>
      <c r="AW123" s="287">
        <f>_xlfn.IFNA((VLOOKUP($A123,HN!$A:$M,12,FALSE)/12),0)+_xlfn.IFNA(VLOOKUP($A123,HN!$A$8:$AU$200,19,FALSE),0)</f>
        <v>0</v>
      </c>
      <c r="AX123" s="287">
        <f>_xlfn.IFNA((VLOOKUP($A123,HN!$A:$M,9,FALSE)/12),0)</f>
        <v>0</v>
      </c>
      <c r="AY123" s="287">
        <f>_xlfn.IFNA((VLOOKUP($A123,'Post 16'!$A:$AR,22,FALSE)/4),0)</f>
        <v>0</v>
      </c>
      <c r="AZ123" s="287">
        <f>_xlfn.IFNA(VLOOKUP(A123,EY!A:AO,41,FALSE),0)</f>
        <v>0</v>
      </c>
      <c r="BA123" s="287">
        <f>_xlfn.IFNA(((VLOOKUP($A123,HN!$A:$M,10,FALSE)-$U123-$AK123)/10),0)+_xlfn.IFNA(VLOOKUP($A123,HN!$A:$R,18,FALSE),0)</f>
        <v>1387.6316666666667</v>
      </c>
      <c r="BB123" s="287">
        <f>_xlfn.IFNA(((VLOOKUP($A123,HN!$A:$M,13,FALSE)-$V123-$AL123)/10),0)+_xlfn.IFNA(VLOOKUP($A123,HN!$A$8:$AU$200,20,FALSE),0)</f>
        <v>0</v>
      </c>
      <c r="BC123" s="286">
        <f t="shared" si="173"/>
        <v>-763.59999999999991</v>
      </c>
      <c r="BD123" s="286">
        <f t="shared" si="174"/>
        <v>-3457.8179999999998</v>
      </c>
      <c r="BE123" s="287"/>
      <c r="BF123" s="287"/>
      <c r="BG123" s="287"/>
      <c r="BH123" s="286">
        <f t="shared" si="175"/>
        <v>170381.57945700217</v>
      </c>
      <c r="BI123" s="307">
        <f t="shared" si="176"/>
        <v>170590.1126601416</v>
      </c>
      <c r="BJ123" s="307">
        <f>_xlfn.IFNA(VLOOKUP(A123,'LA Deductions'!A:AH,34,FALSE),0)</f>
        <v>0</v>
      </c>
      <c r="BK123" s="307"/>
      <c r="BL123" s="308">
        <f>_xlfn.IFNA((VLOOKUP($A123,HN!$A:$M,8,FALSE)/12),0)</f>
        <v>0</v>
      </c>
      <c r="BM123" s="308">
        <f>_xlfn.IFNA((VLOOKUP($A123,HN!$A:$M,12,FALSE)/12),0)</f>
        <v>0</v>
      </c>
      <c r="BN123" s="308">
        <f>_xlfn.IFNA((VLOOKUP($A123,HN!$A:$M,9,FALSE)/12),0)</f>
        <v>0</v>
      </c>
      <c r="BO123" s="308">
        <f>_xlfn.IFNA((VLOOKUP($A123,'Post 16'!$A:$AR,22,FALSE)/4),0)</f>
        <v>0</v>
      </c>
      <c r="BP123" s="308"/>
      <c r="BQ123" s="308">
        <f>_xlfn.IFNA(((VLOOKUP($A123,HN!$A:$M,10,FALSE)-$U123-$AK123)/10),0)</f>
        <v>1387.6316666666667</v>
      </c>
      <c r="BR123" s="308">
        <f>_xlfn.IFNA(((VLOOKUP($A123,HN!$A:$M,13,FALSE)-$V123-$AL123)/10),0)</f>
        <v>0</v>
      </c>
      <c r="BS123" s="307">
        <f t="shared" si="177"/>
        <v>-763.59999999999991</v>
      </c>
      <c r="BT123" s="307">
        <f t="shared" si="178"/>
        <v>-3457.8179999999998</v>
      </c>
      <c r="BU123" s="308"/>
      <c r="BV123" s="308"/>
      <c r="BW123" s="308"/>
      <c r="BX123" s="307">
        <f t="shared" si="179"/>
        <v>167756.32632680825</v>
      </c>
      <c r="BY123" s="300">
        <f t="shared" si="180"/>
        <v>170590.1126601416</v>
      </c>
      <c r="BZ123" s="300"/>
      <c r="CA123" s="300"/>
      <c r="CB123" s="301">
        <f>_xlfn.IFNA((VLOOKUP($A123,HN!$A:$M,8,FALSE)/12),0)</f>
        <v>0</v>
      </c>
      <c r="CC123" s="301">
        <f>_xlfn.IFNA((VLOOKUP($A123,HN!$A:$M,12,FALSE)/12),0)</f>
        <v>0</v>
      </c>
      <c r="CD123" s="301">
        <f>_xlfn.IFNA((VLOOKUP($A123,HN!$A:$M,9,FALSE)/12),0)</f>
        <v>0</v>
      </c>
      <c r="CE123" s="301">
        <f>_xlfn.IFNA((VLOOKUP($A123,'Post 16'!$A:$AG,33,FALSE)/8),0)</f>
        <v>0</v>
      </c>
      <c r="CF123" s="301"/>
      <c r="CG123" s="301">
        <f>_xlfn.IFNA(((VLOOKUP($A123,HN!$A:$M,10,FALSE)-$U123-$AK123)/10),0)</f>
        <v>1387.6316666666667</v>
      </c>
      <c r="CH123" s="301">
        <f>_xlfn.IFNA(((VLOOKUP($A123,HN!$A:$M,13,FALSE)-$V123-$AL123)/10),0)</f>
        <v>0</v>
      </c>
      <c r="CI123" s="300">
        <f t="shared" si="181"/>
        <v>-763.59999999999991</v>
      </c>
      <c r="CJ123" s="300">
        <f t="shared" si="182"/>
        <v>-3457.8179999999998</v>
      </c>
      <c r="CK123" s="301"/>
      <c r="CL123" s="301"/>
      <c r="CM123" s="301"/>
      <c r="CN123" s="300">
        <f t="shared" si="183"/>
        <v>167756.32632680825</v>
      </c>
      <c r="CO123" s="332">
        <f t="shared" si="184"/>
        <v>170590.1126601416</v>
      </c>
      <c r="CP123" s="332"/>
      <c r="CQ123" s="332">
        <f>_xlfn.IFNA((VLOOKUP($A123,EY!$A:$AB,28,FALSE)-$CV123),0)</f>
        <v>31780.320000000003</v>
      </c>
      <c r="CR123" s="333">
        <f>_xlfn.IFNA((VLOOKUP($A123,HN!$A:$M,8,FALSE)/12),0)</f>
        <v>0</v>
      </c>
      <c r="CS123" s="333">
        <f>_xlfn.IFNA((VLOOKUP($A123,HN!$A:$M,12,FALSE)/12),0)</f>
        <v>0</v>
      </c>
      <c r="CT123" s="333">
        <f>_xlfn.IFNA((VLOOKUP($A123,HN!$A:$M,9,FALSE)/12),0)</f>
        <v>0</v>
      </c>
      <c r="CU123" s="333">
        <f>_xlfn.IFNA((VLOOKUP($A123,'Post 16'!$A:$AG,33,FALSE)/8),0)</f>
        <v>0</v>
      </c>
      <c r="CV123" s="333">
        <f>_xlfn.IFNA((VLOOKUP($A123,EY!$A:$AB,26,FALSE)*80%),0)</f>
        <v>0</v>
      </c>
      <c r="CW123" s="333">
        <f>_xlfn.IFNA(((VLOOKUP($A123,HN!$A:$M,10,FALSE)-$U123-$AK123)/10),0)</f>
        <v>1387.6316666666667</v>
      </c>
      <c r="CX123" s="333">
        <f>_xlfn.IFNA(((VLOOKUP($A123,HN!$A:$M,13,FALSE)-$V123-$AL123)/10),0)</f>
        <v>0</v>
      </c>
      <c r="CY123" s="332">
        <f t="shared" si="185"/>
        <v>-763.59999999999991</v>
      </c>
      <c r="CZ123" s="332">
        <f t="shared" si="186"/>
        <v>-3457.8179999999998</v>
      </c>
      <c r="DA123" s="333"/>
      <c r="DB123" s="333"/>
      <c r="DC123" s="333"/>
      <c r="DD123" s="332">
        <f t="shared" si="187"/>
        <v>199536.64632680826</v>
      </c>
      <c r="DE123" s="314">
        <f t="shared" si="188"/>
        <v>170590.1126601416</v>
      </c>
      <c r="DF123" s="314"/>
      <c r="DG123" s="314"/>
      <c r="DH123" s="315">
        <f>_xlfn.IFNA((VLOOKUP($A123,HN!$A:$M,8,FALSE)/12),0)</f>
        <v>0</v>
      </c>
      <c r="DI123" s="315">
        <f>_xlfn.IFNA((VLOOKUP($A123,HN!$A:$M,12,FALSE)/12),0)</f>
        <v>0</v>
      </c>
      <c r="DJ123" s="315">
        <f>_xlfn.IFNA((VLOOKUP($A123,HN!$A:$M,9,FALSE)/12),0)</f>
        <v>0</v>
      </c>
      <c r="DK123" s="315">
        <f>_xlfn.IFNA((VLOOKUP($A123,'Post 16'!$A:$AG,33,FALSE)/8),0)</f>
        <v>0</v>
      </c>
      <c r="DL123" s="315"/>
      <c r="DM123" s="315">
        <f>_xlfn.IFNA(((VLOOKUP($A123,HN!$A:$M,10,FALSE)-$U123-$AK123)/10),0)</f>
        <v>1387.6316666666667</v>
      </c>
      <c r="DN123" s="315">
        <f>_xlfn.IFNA(((VLOOKUP($A123,HN!$A:$M,13,FALSE)-$V123-$AL123)/10),0)</f>
        <v>0</v>
      </c>
      <c r="DO123" s="314">
        <f t="shared" si="189"/>
        <v>-763.59999999999991</v>
      </c>
      <c r="DP123" s="314">
        <f t="shared" si="190"/>
        <v>-3457.8179999999998</v>
      </c>
      <c r="DQ123" s="315"/>
      <c r="DR123" s="315"/>
      <c r="DS123" s="315"/>
      <c r="DT123" s="314">
        <f t="shared" si="191"/>
        <v>167756.32632680825</v>
      </c>
      <c r="DU123" s="307">
        <f t="shared" si="192"/>
        <v>170590.1126601416</v>
      </c>
      <c r="DV123" s="307"/>
      <c r="DW123" s="307"/>
      <c r="DX123" s="308">
        <f>_xlfn.IFNA((VLOOKUP($A123,HN!$A:$M,8,FALSE)/12),0)</f>
        <v>0</v>
      </c>
      <c r="DY123" s="308">
        <f>_xlfn.IFNA((VLOOKUP($A123,HN!$A:$M,12,FALSE)/12),0)</f>
        <v>0</v>
      </c>
      <c r="DZ123" s="308">
        <f>_xlfn.IFNA((VLOOKUP($A123,HN!$A:$M,9,FALSE)/12),0)</f>
        <v>0</v>
      </c>
      <c r="EA123" s="308">
        <f>_xlfn.IFNA((VLOOKUP($A123,'Post 16'!$A:$AG,33,FALSE)/8),0)</f>
        <v>0</v>
      </c>
      <c r="EB123" s="308"/>
      <c r="EC123" s="308">
        <f>_xlfn.IFNA(((VLOOKUP($A123,HN!$A:$M,10,FALSE)-$U123-$AK123)/10),0)</f>
        <v>1387.6316666666667</v>
      </c>
      <c r="ED123" s="308">
        <f>_xlfn.IFNA(((VLOOKUP($A123,HN!$A:$M,13,FALSE)-$V123-$AL123)/10),0)</f>
        <v>0</v>
      </c>
      <c r="EE123" s="307">
        <f t="shared" si="193"/>
        <v>-763.59999999999991</v>
      </c>
      <c r="EF123" s="307">
        <f t="shared" si="194"/>
        <v>-3457.8179999999998</v>
      </c>
      <c r="EG123" s="308"/>
      <c r="EH123" s="308"/>
      <c r="EI123" s="308"/>
      <c r="EJ123" s="307">
        <f t="shared" si="195"/>
        <v>167756.32632680825</v>
      </c>
      <c r="EK123" s="320">
        <f t="shared" si="196"/>
        <v>170590.1126601416</v>
      </c>
      <c r="EL123" s="320"/>
      <c r="EM123" s="320"/>
      <c r="EN123" s="321">
        <f>_xlfn.IFNA((VLOOKUP($A123,HN!$A:$M,8,FALSE)/12),0)</f>
        <v>0</v>
      </c>
      <c r="EO123" s="321">
        <f>_xlfn.IFNA((VLOOKUP($A123,HN!$A:$M,12,FALSE)/12),0)</f>
        <v>0</v>
      </c>
      <c r="EP123" s="321">
        <f>_xlfn.IFNA((VLOOKUP($A123,HN!$A:$M,9,FALSE)/12),0)</f>
        <v>0</v>
      </c>
      <c r="EQ123" s="321">
        <f>_xlfn.IFNA((VLOOKUP($A123,'Post 16'!$A:$AG,33,FALSE)/8),0)</f>
        <v>0</v>
      </c>
      <c r="ER123" s="321"/>
      <c r="ES123" s="321">
        <f>_xlfn.IFNA(((VLOOKUP($A123,HN!$A:$M,10,FALSE)-$U123-$AK123)/10),0)</f>
        <v>1387.6316666666667</v>
      </c>
      <c r="ET123" s="321">
        <f>_xlfn.IFNA(((VLOOKUP($A123,HN!$A:$M,13,FALSE)-$V123-$AL123)/10),0)</f>
        <v>0</v>
      </c>
      <c r="EU123" s="320">
        <f t="shared" si="197"/>
        <v>-763.59999999999991</v>
      </c>
      <c r="EV123" s="320">
        <f t="shared" si="198"/>
        <v>-3457.8179999999998</v>
      </c>
      <c r="EW123" s="321"/>
      <c r="EX123" s="321"/>
      <c r="EY123" s="321"/>
      <c r="EZ123" s="320">
        <f t="shared" si="199"/>
        <v>167756.32632680825</v>
      </c>
      <c r="FA123" s="286">
        <f t="shared" si="200"/>
        <v>170590.1126601416</v>
      </c>
      <c r="FB123" s="286"/>
      <c r="FC123" s="286"/>
      <c r="FD123" s="287">
        <f>_xlfn.IFNA((VLOOKUP($A123,HN!$A:$M,8,FALSE)/12),0)</f>
        <v>0</v>
      </c>
      <c r="FE123" s="287">
        <f>_xlfn.IFNA((VLOOKUP($A123,HN!$A:$M,12,FALSE)/12),0)</f>
        <v>0</v>
      </c>
      <c r="FF123" s="287">
        <f>_xlfn.IFNA((VLOOKUP($A123,HN!$A:$M,9,FALSE)/12),0)</f>
        <v>0</v>
      </c>
      <c r="FG123" s="287">
        <f>_xlfn.IFNA((VLOOKUP($A123,'Post 16'!$A:$AG,33,FALSE)/8),0)</f>
        <v>0</v>
      </c>
      <c r="FH123" s="287"/>
      <c r="FI123" s="287">
        <f>_xlfn.IFNA(((VLOOKUP($A123,HN!$A:$M,10,FALSE)-$U123-$AK123)/10),0)</f>
        <v>1387.6316666666667</v>
      </c>
      <c r="FJ123" s="287">
        <f>_xlfn.IFNA(((VLOOKUP($A123,HN!$A:$M,13,FALSE)-$V123-$AL123)/10),0)</f>
        <v>0</v>
      </c>
      <c r="FK123" s="286">
        <f t="shared" si="201"/>
        <v>-763.59999999999991</v>
      </c>
      <c r="FL123" s="286">
        <f t="shared" si="202"/>
        <v>-3457.8179999999998</v>
      </c>
      <c r="FM123" s="287"/>
      <c r="FN123" s="287"/>
      <c r="FO123" s="287"/>
      <c r="FP123" s="286">
        <f t="shared" si="203"/>
        <v>167756.32632680825</v>
      </c>
      <c r="FQ123" s="293">
        <f t="shared" si="204"/>
        <v>170590.1126601416</v>
      </c>
      <c r="FR123" s="293"/>
      <c r="FS123" s="293"/>
      <c r="FT123" s="294">
        <f>_xlfn.IFNA((VLOOKUP($A123,HN!$A:$M,8,FALSE)/12),0)</f>
        <v>0</v>
      </c>
      <c r="FU123" s="294">
        <f>_xlfn.IFNA((VLOOKUP($A123,HN!$A:$M,12,FALSE)/12),0)</f>
        <v>0</v>
      </c>
      <c r="FV123" s="294">
        <f>_xlfn.IFNA((VLOOKUP($A123,HN!$A:$M,9,FALSE)/12),0)</f>
        <v>0</v>
      </c>
      <c r="FW123" s="294">
        <f>_xlfn.IFNA((VLOOKUP($A123,'Post 16'!$A:$AG,33,FALSE)/8),0)</f>
        <v>0</v>
      </c>
      <c r="FX123" s="294"/>
      <c r="FY123" s="294">
        <f>_xlfn.IFNA(((VLOOKUP($A123,HN!$A:$M,10,FALSE)-$U123-$AK123)/10),0)</f>
        <v>1387.6316666666667</v>
      </c>
      <c r="FZ123" s="294">
        <f>_xlfn.IFNA(((VLOOKUP($A123,HN!$A:$M,13,FALSE)-$V123-$AL123)/10),0)</f>
        <v>0</v>
      </c>
      <c r="GA123" s="293">
        <f t="shared" si="205"/>
        <v>-763.59999999999991</v>
      </c>
      <c r="GB123" s="293">
        <f t="shared" si="206"/>
        <v>-3457.8179999999998</v>
      </c>
      <c r="GC123" s="294"/>
      <c r="GD123" s="294"/>
      <c r="GE123" s="294"/>
      <c r="GF123" s="293">
        <f t="shared" si="207"/>
        <v>167756.32632680825</v>
      </c>
      <c r="GG123" s="300">
        <f t="shared" si="208"/>
        <v>170590.1126601416</v>
      </c>
      <c r="GH123" s="300"/>
      <c r="GI123" s="300"/>
      <c r="GJ123" s="301">
        <f>_xlfn.IFNA((VLOOKUP($A123,HN!$A:$M,8,FALSE)/12),0)</f>
        <v>0</v>
      </c>
      <c r="GK123" s="301">
        <f>_xlfn.IFNA((VLOOKUP($A123,HN!$A:$M,12,FALSE)/12),0)</f>
        <v>0</v>
      </c>
      <c r="GL123" s="301">
        <f>_xlfn.IFNA((VLOOKUP($A123,HN!$A:$M,9,FALSE)/12),0)</f>
        <v>0</v>
      </c>
      <c r="GM123" s="301">
        <f>_xlfn.IFNA((VLOOKUP($A123,'Post 16'!$A:$AG,33,FALSE)/8),0)</f>
        <v>0</v>
      </c>
      <c r="GN123" s="301"/>
      <c r="GO123" s="301">
        <f>_xlfn.IFNA(((VLOOKUP($A123,HN!$A:$M,10,FALSE)-$U123-$AK123)/10),0)</f>
        <v>1387.6316666666667</v>
      </c>
      <c r="GP123" s="301">
        <f>_xlfn.IFNA(((VLOOKUP($A123,HN!$A:$M,13,FALSE)-$V123-$AL123)/10),0)</f>
        <v>0</v>
      </c>
      <c r="GQ123" s="300">
        <f t="shared" si="209"/>
        <v>-763.59999999999991</v>
      </c>
      <c r="GR123" s="300">
        <f t="shared" si="210"/>
        <v>-3457.8179999999998</v>
      </c>
      <c r="GS123" s="301"/>
      <c r="GT123" s="301"/>
      <c r="GU123" s="301"/>
      <c r="GV123" s="300">
        <f t="shared" si="211"/>
        <v>167756.32632680825</v>
      </c>
      <c r="GX123" s="146">
        <f t="shared" si="214"/>
        <v>2109013.1250518938</v>
      </c>
      <c r="GY123" s="146">
        <f t="shared" si="214"/>
        <v>0</v>
      </c>
      <c r="GZ123" s="146">
        <f t="shared" si="214"/>
        <v>20072.830000000002</v>
      </c>
      <c r="HA123" s="146">
        <f t="shared" si="214"/>
        <v>-9163.2000000000007</v>
      </c>
      <c r="HB123" s="146">
        <f t="shared" si="214"/>
        <v>-41493.815999999999</v>
      </c>
      <c r="HC123" s="146">
        <f t="shared" si="214"/>
        <v>0</v>
      </c>
      <c r="HE123" s="146">
        <f t="shared" si="215"/>
        <v>541921.79111061874</v>
      </c>
      <c r="HF123" s="146">
        <f t="shared" si="215"/>
        <v>0</v>
      </c>
      <c r="HG123" s="146">
        <f t="shared" si="215"/>
        <v>7584.1450000000004</v>
      </c>
      <c r="HH123" s="146">
        <f t="shared" si="215"/>
        <v>-2290.7999999999997</v>
      </c>
      <c r="HI123" s="146">
        <f t="shared" si="215"/>
        <v>-10373.454</v>
      </c>
      <c r="HJ123" s="146">
        <f t="shared" si="215"/>
        <v>0</v>
      </c>
      <c r="HL123" s="146"/>
      <c r="HM123" s="57"/>
    </row>
    <row r="124" spans="1:221">
      <c r="A124" s="185">
        <v>2159</v>
      </c>
      <c r="B124" s="185">
        <v>103247</v>
      </c>
      <c r="C124" s="185" t="s">
        <v>271</v>
      </c>
      <c r="D124" s="2" t="s">
        <v>272</v>
      </c>
      <c r="E124" s="190" t="s">
        <v>39</v>
      </c>
      <c r="F124" s="190" t="s">
        <v>890</v>
      </c>
      <c r="H124" s="271">
        <f>_xlfn.IFNA(VLOOKUP($A124,ISB!$A$4:$BY$441,67,FALSE),0)</f>
        <v>1407870.681886483</v>
      </c>
      <c r="I124" s="271">
        <f>_xlfn.IFNA(VLOOKUP($A124,ISB!$A$4:$BY$441,72,FALSE),0)</f>
        <v>-5054.7</v>
      </c>
      <c r="J124" s="271">
        <f>-_xlfn.IFNA(VLOOKUP($A124,ISB!$A$4:$BY$441,76,FALSE),0)</f>
        <v>-20014.391</v>
      </c>
      <c r="K124" s="271">
        <f>_xlfn.IFNA(VLOOKUP($A124,ISB!$A$4:$BY$441,77,FALSE),0)</f>
        <v>1382801.590886483</v>
      </c>
      <c r="M124" s="279">
        <f t="shared" si="164"/>
        <v>117322.55682387359</v>
      </c>
      <c r="N124" s="279"/>
      <c r="O124" s="279">
        <f>_xlfn.IFNA(VLOOKUP($A124,EY!$A:$H,8,FALSE)+(VLOOKUP($A124,EY!$A:$R,18,FALSE)-$T124),0)</f>
        <v>0</v>
      </c>
      <c r="P124" s="280">
        <f>_xlfn.IFNA((VLOOKUP($A124,HN!$A:$M,8,FALSE)/12),0)</f>
        <v>0</v>
      </c>
      <c r="Q124" s="280">
        <f>_xlfn.IFNA((VLOOKUP($A124,HN!$A:$M,12,FALSE)/12),0)</f>
        <v>0</v>
      </c>
      <c r="R124" s="280">
        <f>_xlfn.IFNA((VLOOKUP($A124,HN!$A:$M,9,FALSE)/12),0)</f>
        <v>0</v>
      </c>
      <c r="S124" s="280">
        <f>_xlfn.IFNA((VLOOKUP($A124,'Post 16'!$A:$AR,22,FALSE)/4),0)</f>
        <v>0</v>
      </c>
      <c r="T124" s="280">
        <f>_xlfn.IFNA((VLOOKUP($A124,EY!$A:$R,16,FALSE)*80%),0)</f>
        <v>0</v>
      </c>
      <c r="U124" s="280">
        <v>9485.0141666666659</v>
      </c>
      <c r="V124" s="280">
        <v>0</v>
      </c>
      <c r="W124" s="279">
        <f t="shared" si="165"/>
        <v>-421.22499999999997</v>
      </c>
      <c r="X124" s="279">
        <f t="shared" si="166"/>
        <v>-1667.8659166666666</v>
      </c>
      <c r="Y124" s="280"/>
      <c r="Z124" s="280"/>
      <c r="AA124" s="280"/>
      <c r="AB124" s="279">
        <f t="shared" si="167"/>
        <v>124718.48007387358</v>
      </c>
      <c r="AC124" s="293">
        <f t="shared" si="168"/>
        <v>117322.55682387359</v>
      </c>
      <c r="AD124" s="293"/>
      <c r="AE124" s="293"/>
      <c r="AF124" s="294">
        <f>_xlfn.IFNA((VLOOKUP($A124,HN!$A:$M,8,FALSE)/12),0)</f>
        <v>0</v>
      </c>
      <c r="AG124" s="294">
        <f>_xlfn.IFNA((VLOOKUP($A124,HN!$A:$M,12,FALSE)/12),0)+_xlfn.IFNA(VLOOKUP($A124,HN!$A:$Q,17,FALSE),0)</f>
        <v>0</v>
      </c>
      <c r="AH124" s="294">
        <f>_xlfn.IFNA((VLOOKUP($A124,HN!$A:$M,9,FALSE)/12),0)</f>
        <v>0</v>
      </c>
      <c r="AI124" s="294">
        <f>_xlfn.IFNA((VLOOKUP($A124,'Post 16'!$A:$AR,22,FALSE)/4),0)</f>
        <v>0</v>
      </c>
      <c r="AJ124" s="294"/>
      <c r="AK124" s="294">
        <f>_xlfn.IFNA((VLOOKUP($A124,HN!$A:$M,10,FALSE)/12),0)</f>
        <v>3326.8199999999997</v>
      </c>
      <c r="AL124" s="294">
        <f>_xlfn.IFNA((VLOOKUP($A124,HN!$A:$M,13,FALSE)/12),0)</f>
        <v>0</v>
      </c>
      <c r="AM124" s="293">
        <f t="shared" si="169"/>
        <v>-421.22499999999997</v>
      </c>
      <c r="AN124" s="293">
        <f t="shared" si="170"/>
        <v>-1667.8659166666666</v>
      </c>
      <c r="AO124" s="294"/>
      <c r="AP124" s="294"/>
      <c r="AQ124" s="294"/>
      <c r="AR124" s="293">
        <f t="shared" si="171"/>
        <v>118560.28590720691</v>
      </c>
      <c r="AS124" s="286">
        <f t="shared" si="172"/>
        <v>117322.55682387359</v>
      </c>
      <c r="AT124" s="286"/>
      <c r="AU124" s="286">
        <f>_xlfn.IFNA(VLOOKUP(A124,EY!A:AO,40,FALSE),0)</f>
        <v>0</v>
      </c>
      <c r="AV124" s="287">
        <f>_xlfn.IFNA((VLOOKUP($A124,HN!$A:$M,8,FALSE)/12),0)</f>
        <v>0</v>
      </c>
      <c r="AW124" s="287">
        <f>_xlfn.IFNA((VLOOKUP($A124,HN!$A:$M,12,FALSE)/12),0)+_xlfn.IFNA(VLOOKUP($A124,HN!$A$8:$AU$200,19,FALSE),0)</f>
        <v>0</v>
      </c>
      <c r="AX124" s="287">
        <f>_xlfn.IFNA((VLOOKUP($A124,HN!$A:$M,9,FALSE)/12),0)</f>
        <v>0</v>
      </c>
      <c r="AY124" s="287">
        <f>_xlfn.IFNA((VLOOKUP($A124,'Post 16'!$A:$AR,22,FALSE)/4),0)</f>
        <v>0</v>
      </c>
      <c r="AZ124" s="287">
        <f>_xlfn.IFNA(VLOOKUP(A124,EY!A:AO,41,FALSE),0)</f>
        <v>0</v>
      </c>
      <c r="BA124" s="287">
        <f>_xlfn.IFNA(((VLOOKUP($A124,HN!$A:$M,10,FALSE)-$U124-$AK124)/10),0)+_xlfn.IFNA(VLOOKUP($A124,HN!$A:$R,18,FALSE),0)</f>
        <v>2711.000583333333</v>
      </c>
      <c r="BB124" s="287">
        <f>_xlfn.IFNA(((VLOOKUP($A124,HN!$A:$M,13,FALSE)-$V124-$AL124)/10),0)+_xlfn.IFNA(VLOOKUP($A124,HN!$A$8:$AU$200,20,FALSE),0)</f>
        <v>0</v>
      </c>
      <c r="BC124" s="286">
        <f t="shared" si="173"/>
        <v>-421.22499999999997</v>
      </c>
      <c r="BD124" s="286">
        <f t="shared" si="174"/>
        <v>-1667.8659166666666</v>
      </c>
      <c r="BE124" s="287"/>
      <c r="BF124" s="287"/>
      <c r="BG124" s="287"/>
      <c r="BH124" s="286">
        <f t="shared" si="175"/>
        <v>117944.46649054025</v>
      </c>
      <c r="BI124" s="307">
        <f t="shared" si="176"/>
        <v>117322.55682387359</v>
      </c>
      <c r="BJ124" s="307">
        <f>_xlfn.IFNA(VLOOKUP(A124,'LA Deductions'!A:AH,34,FALSE),0)</f>
        <v>0</v>
      </c>
      <c r="BK124" s="307"/>
      <c r="BL124" s="308">
        <f>_xlfn.IFNA((VLOOKUP($A124,HN!$A:$M,8,FALSE)/12),0)</f>
        <v>0</v>
      </c>
      <c r="BM124" s="308">
        <f>_xlfn.IFNA((VLOOKUP($A124,HN!$A:$M,12,FALSE)/12),0)</f>
        <v>0</v>
      </c>
      <c r="BN124" s="308">
        <f>_xlfn.IFNA((VLOOKUP($A124,HN!$A:$M,9,FALSE)/12),0)</f>
        <v>0</v>
      </c>
      <c r="BO124" s="308">
        <f>_xlfn.IFNA((VLOOKUP($A124,'Post 16'!$A:$AR,22,FALSE)/4),0)</f>
        <v>0</v>
      </c>
      <c r="BP124" s="308"/>
      <c r="BQ124" s="308">
        <f>_xlfn.IFNA(((VLOOKUP($A124,HN!$A:$M,10,FALSE)-$U124-$AK124)/10),0)</f>
        <v>2711.000583333333</v>
      </c>
      <c r="BR124" s="308">
        <f>_xlfn.IFNA(((VLOOKUP($A124,HN!$A:$M,13,FALSE)-$V124-$AL124)/10),0)</f>
        <v>0</v>
      </c>
      <c r="BS124" s="307">
        <f t="shared" si="177"/>
        <v>-421.22499999999997</v>
      </c>
      <c r="BT124" s="307">
        <f t="shared" si="178"/>
        <v>-1667.8659166666666</v>
      </c>
      <c r="BU124" s="308"/>
      <c r="BV124" s="308"/>
      <c r="BW124" s="308"/>
      <c r="BX124" s="307">
        <f t="shared" si="179"/>
        <v>117944.46649054025</v>
      </c>
      <c r="BY124" s="300">
        <f t="shared" si="180"/>
        <v>117322.55682387359</v>
      </c>
      <c r="BZ124" s="300"/>
      <c r="CA124" s="300"/>
      <c r="CB124" s="301">
        <f>_xlfn.IFNA((VLOOKUP($A124,HN!$A:$M,8,FALSE)/12),0)</f>
        <v>0</v>
      </c>
      <c r="CC124" s="301">
        <f>_xlfn.IFNA((VLOOKUP($A124,HN!$A:$M,12,FALSE)/12),0)</f>
        <v>0</v>
      </c>
      <c r="CD124" s="301">
        <f>_xlfn.IFNA((VLOOKUP($A124,HN!$A:$M,9,FALSE)/12),0)</f>
        <v>0</v>
      </c>
      <c r="CE124" s="301">
        <f>_xlfn.IFNA((VLOOKUP($A124,'Post 16'!$A:$AG,33,FALSE)/8),0)</f>
        <v>0</v>
      </c>
      <c r="CF124" s="301"/>
      <c r="CG124" s="301">
        <f>_xlfn.IFNA(((VLOOKUP($A124,HN!$A:$M,10,FALSE)-$U124-$AK124)/10),0)</f>
        <v>2711.000583333333</v>
      </c>
      <c r="CH124" s="301">
        <f>_xlfn.IFNA(((VLOOKUP($A124,HN!$A:$M,13,FALSE)-$V124-$AL124)/10),0)</f>
        <v>0</v>
      </c>
      <c r="CI124" s="300">
        <f t="shared" si="181"/>
        <v>-421.22499999999997</v>
      </c>
      <c r="CJ124" s="300">
        <f t="shared" si="182"/>
        <v>-1667.8659166666666</v>
      </c>
      <c r="CK124" s="301"/>
      <c r="CL124" s="301"/>
      <c r="CM124" s="301"/>
      <c r="CN124" s="300">
        <f t="shared" si="183"/>
        <v>117944.46649054025</v>
      </c>
      <c r="CO124" s="332">
        <f t="shared" si="184"/>
        <v>117322.55682387359</v>
      </c>
      <c r="CP124" s="332"/>
      <c r="CQ124" s="332">
        <f>_xlfn.IFNA((VLOOKUP($A124,EY!$A:$AB,28,FALSE)-$CV124),0)</f>
        <v>0</v>
      </c>
      <c r="CR124" s="333">
        <f>_xlfn.IFNA((VLOOKUP($A124,HN!$A:$M,8,FALSE)/12),0)</f>
        <v>0</v>
      </c>
      <c r="CS124" s="333">
        <f>_xlfn.IFNA((VLOOKUP($A124,HN!$A:$M,12,FALSE)/12),0)</f>
        <v>0</v>
      </c>
      <c r="CT124" s="333">
        <f>_xlfn.IFNA((VLOOKUP($A124,HN!$A:$M,9,FALSE)/12),0)</f>
        <v>0</v>
      </c>
      <c r="CU124" s="333">
        <f>_xlfn.IFNA((VLOOKUP($A124,'Post 16'!$A:$AG,33,FALSE)/8),0)</f>
        <v>0</v>
      </c>
      <c r="CV124" s="333">
        <f>_xlfn.IFNA((VLOOKUP($A124,EY!$A:$AB,26,FALSE)*80%),0)</f>
        <v>0</v>
      </c>
      <c r="CW124" s="333">
        <f>_xlfn.IFNA(((VLOOKUP($A124,HN!$A:$M,10,FALSE)-$U124-$AK124)/10),0)</f>
        <v>2711.000583333333</v>
      </c>
      <c r="CX124" s="333">
        <f>_xlfn.IFNA(((VLOOKUP($A124,HN!$A:$M,13,FALSE)-$V124-$AL124)/10),0)</f>
        <v>0</v>
      </c>
      <c r="CY124" s="332">
        <f t="shared" si="185"/>
        <v>-421.22499999999997</v>
      </c>
      <c r="CZ124" s="332">
        <f t="shared" si="186"/>
        <v>-1667.8659166666666</v>
      </c>
      <c r="DA124" s="333"/>
      <c r="DB124" s="333"/>
      <c r="DC124" s="333"/>
      <c r="DD124" s="332">
        <f t="shared" si="187"/>
        <v>117944.46649054025</v>
      </c>
      <c r="DE124" s="314">
        <f t="shared" si="188"/>
        <v>117322.55682387359</v>
      </c>
      <c r="DF124" s="314"/>
      <c r="DG124" s="314"/>
      <c r="DH124" s="315">
        <f>_xlfn.IFNA((VLOOKUP($A124,HN!$A:$M,8,FALSE)/12),0)</f>
        <v>0</v>
      </c>
      <c r="DI124" s="315">
        <f>_xlfn.IFNA((VLOOKUP($A124,HN!$A:$M,12,FALSE)/12),0)</f>
        <v>0</v>
      </c>
      <c r="DJ124" s="315">
        <f>_xlfn.IFNA((VLOOKUP($A124,HN!$A:$M,9,FALSE)/12),0)</f>
        <v>0</v>
      </c>
      <c r="DK124" s="315">
        <f>_xlfn.IFNA((VLOOKUP($A124,'Post 16'!$A:$AG,33,FALSE)/8),0)</f>
        <v>0</v>
      </c>
      <c r="DL124" s="315"/>
      <c r="DM124" s="315">
        <f>_xlfn.IFNA(((VLOOKUP($A124,HN!$A:$M,10,FALSE)-$U124-$AK124)/10),0)</f>
        <v>2711.000583333333</v>
      </c>
      <c r="DN124" s="315">
        <f>_xlfn.IFNA(((VLOOKUP($A124,HN!$A:$M,13,FALSE)-$V124-$AL124)/10),0)</f>
        <v>0</v>
      </c>
      <c r="DO124" s="314">
        <f t="shared" si="189"/>
        <v>-421.22499999999997</v>
      </c>
      <c r="DP124" s="314">
        <f t="shared" si="190"/>
        <v>-1667.8659166666666</v>
      </c>
      <c r="DQ124" s="315"/>
      <c r="DR124" s="315"/>
      <c r="DS124" s="315"/>
      <c r="DT124" s="314">
        <f t="shared" si="191"/>
        <v>117944.46649054025</v>
      </c>
      <c r="DU124" s="307">
        <f t="shared" si="192"/>
        <v>117322.55682387359</v>
      </c>
      <c r="DV124" s="307"/>
      <c r="DW124" s="307"/>
      <c r="DX124" s="308">
        <f>_xlfn.IFNA((VLOOKUP($A124,HN!$A:$M,8,FALSE)/12),0)</f>
        <v>0</v>
      </c>
      <c r="DY124" s="308">
        <f>_xlfn.IFNA((VLOOKUP($A124,HN!$A:$M,12,FALSE)/12),0)</f>
        <v>0</v>
      </c>
      <c r="DZ124" s="308">
        <f>_xlfn.IFNA((VLOOKUP($A124,HN!$A:$M,9,FALSE)/12),0)</f>
        <v>0</v>
      </c>
      <c r="EA124" s="308">
        <f>_xlfn.IFNA((VLOOKUP($A124,'Post 16'!$A:$AG,33,FALSE)/8),0)</f>
        <v>0</v>
      </c>
      <c r="EB124" s="308"/>
      <c r="EC124" s="308">
        <f>_xlfn.IFNA(((VLOOKUP($A124,HN!$A:$M,10,FALSE)-$U124-$AK124)/10),0)</f>
        <v>2711.000583333333</v>
      </c>
      <c r="ED124" s="308">
        <f>_xlfn.IFNA(((VLOOKUP($A124,HN!$A:$M,13,FALSE)-$V124-$AL124)/10),0)</f>
        <v>0</v>
      </c>
      <c r="EE124" s="307">
        <f t="shared" si="193"/>
        <v>-421.22499999999997</v>
      </c>
      <c r="EF124" s="307">
        <f t="shared" si="194"/>
        <v>-1667.8659166666666</v>
      </c>
      <c r="EG124" s="308"/>
      <c r="EH124" s="308"/>
      <c r="EI124" s="308"/>
      <c r="EJ124" s="307">
        <f t="shared" si="195"/>
        <v>117944.46649054025</v>
      </c>
      <c r="EK124" s="320">
        <f t="shared" si="196"/>
        <v>117322.55682387359</v>
      </c>
      <c r="EL124" s="320"/>
      <c r="EM124" s="320"/>
      <c r="EN124" s="321">
        <f>_xlfn.IFNA((VLOOKUP($A124,HN!$A:$M,8,FALSE)/12),0)</f>
        <v>0</v>
      </c>
      <c r="EO124" s="321">
        <f>_xlfn.IFNA((VLOOKUP($A124,HN!$A:$M,12,FALSE)/12),0)</f>
        <v>0</v>
      </c>
      <c r="EP124" s="321">
        <f>_xlfn.IFNA((VLOOKUP($A124,HN!$A:$M,9,FALSE)/12),0)</f>
        <v>0</v>
      </c>
      <c r="EQ124" s="321">
        <f>_xlfn.IFNA((VLOOKUP($A124,'Post 16'!$A:$AG,33,FALSE)/8),0)</f>
        <v>0</v>
      </c>
      <c r="ER124" s="321"/>
      <c r="ES124" s="321">
        <f>_xlfn.IFNA(((VLOOKUP($A124,HN!$A:$M,10,FALSE)-$U124-$AK124)/10),0)</f>
        <v>2711.000583333333</v>
      </c>
      <c r="ET124" s="321">
        <f>_xlfn.IFNA(((VLOOKUP($A124,HN!$A:$M,13,FALSE)-$V124-$AL124)/10),0)</f>
        <v>0</v>
      </c>
      <c r="EU124" s="320">
        <f t="shared" si="197"/>
        <v>-421.22499999999997</v>
      </c>
      <c r="EV124" s="320">
        <f t="shared" si="198"/>
        <v>-1667.8659166666666</v>
      </c>
      <c r="EW124" s="321"/>
      <c r="EX124" s="321"/>
      <c r="EY124" s="321"/>
      <c r="EZ124" s="320">
        <f t="shared" si="199"/>
        <v>117944.46649054025</v>
      </c>
      <c r="FA124" s="286">
        <f t="shared" si="200"/>
        <v>117322.55682387359</v>
      </c>
      <c r="FB124" s="286"/>
      <c r="FC124" s="286"/>
      <c r="FD124" s="287">
        <f>_xlfn.IFNA((VLOOKUP($A124,HN!$A:$M,8,FALSE)/12),0)</f>
        <v>0</v>
      </c>
      <c r="FE124" s="287">
        <f>_xlfn.IFNA((VLOOKUP($A124,HN!$A:$M,12,FALSE)/12),0)</f>
        <v>0</v>
      </c>
      <c r="FF124" s="287">
        <f>_xlfn.IFNA((VLOOKUP($A124,HN!$A:$M,9,FALSE)/12),0)</f>
        <v>0</v>
      </c>
      <c r="FG124" s="287">
        <f>_xlfn.IFNA((VLOOKUP($A124,'Post 16'!$A:$AG,33,FALSE)/8),0)</f>
        <v>0</v>
      </c>
      <c r="FH124" s="287"/>
      <c r="FI124" s="287">
        <f>_xlfn.IFNA(((VLOOKUP($A124,HN!$A:$M,10,FALSE)-$U124-$AK124)/10),0)</f>
        <v>2711.000583333333</v>
      </c>
      <c r="FJ124" s="287">
        <f>_xlfn.IFNA(((VLOOKUP($A124,HN!$A:$M,13,FALSE)-$V124-$AL124)/10),0)</f>
        <v>0</v>
      </c>
      <c r="FK124" s="286">
        <f t="shared" si="201"/>
        <v>-421.22499999999997</v>
      </c>
      <c r="FL124" s="286">
        <f t="shared" si="202"/>
        <v>-1667.8659166666666</v>
      </c>
      <c r="FM124" s="287"/>
      <c r="FN124" s="287"/>
      <c r="FO124" s="287"/>
      <c r="FP124" s="286">
        <f t="shared" si="203"/>
        <v>117944.46649054025</v>
      </c>
      <c r="FQ124" s="293">
        <f t="shared" si="204"/>
        <v>117322.55682387359</v>
      </c>
      <c r="FR124" s="293"/>
      <c r="FS124" s="293"/>
      <c r="FT124" s="294">
        <f>_xlfn.IFNA((VLOOKUP($A124,HN!$A:$M,8,FALSE)/12),0)</f>
        <v>0</v>
      </c>
      <c r="FU124" s="294">
        <f>_xlfn.IFNA((VLOOKUP($A124,HN!$A:$M,12,FALSE)/12),0)</f>
        <v>0</v>
      </c>
      <c r="FV124" s="294">
        <f>_xlfn.IFNA((VLOOKUP($A124,HN!$A:$M,9,FALSE)/12),0)</f>
        <v>0</v>
      </c>
      <c r="FW124" s="294">
        <f>_xlfn.IFNA((VLOOKUP($A124,'Post 16'!$A:$AG,33,FALSE)/8),0)</f>
        <v>0</v>
      </c>
      <c r="FX124" s="294"/>
      <c r="FY124" s="294">
        <f>_xlfn.IFNA(((VLOOKUP($A124,HN!$A:$M,10,FALSE)-$U124-$AK124)/10),0)</f>
        <v>2711.000583333333</v>
      </c>
      <c r="FZ124" s="294">
        <f>_xlfn.IFNA(((VLOOKUP($A124,HN!$A:$M,13,FALSE)-$V124-$AL124)/10),0)</f>
        <v>0</v>
      </c>
      <c r="GA124" s="293">
        <f t="shared" si="205"/>
        <v>-421.22499999999997</v>
      </c>
      <c r="GB124" s="293">
        <f t="shared" si="206"/>
        <v>-1667.8659166666666</v>
      </c>
      <c r="GC124" s="294"/>
      <c r="GD124" s="294"/>
      <c r="GE124" s="294"/>
      <c r="GF124" s="293">
        <f t="shared" si="207"/>
        <v>117944.46649054025</v>
      </c>
      <c r="GG124" s="300">
        <f t="shared" si="208"/>
        <v>117322.55682387359</v>
      </c>
      <c r="GH124" s="300"/>
      <c r="GI124" s="300"/>
      <c r="GJ124" s="301">
        <f>_xlfn.IFNA((VLOOKUP($A124,HN!$A:$M,8,FALSE)/12),0)</f>
        <v>0</v>
      </c>
      <c r="GK124" s="301">
        <f>_xlfn.IFNA((VLOOKUP($A124,HN!$A:$M,12,FALSE)/12),0)</f>
        <v>0</v>
      </c>
      <c r="GL124" s="301">
        <f>_xlfn.IFNA((VLOOKUP($A124,HN!$A:$M,9,FALSE)/12),0)</f>
        <v>0</v>
      </c>
      <c r="GM124" s="301">
        <f>_xlfn.IFNA((VLOOKUP($A124,'Post 16'!$A:$AG,33,FALSE)/8),0)</f>
        <v>0</v>
      </c>
      <c r="GN124" s="301"/>
      <c r="GO124" s="301">
        <f>_xlfn.IFNA(((VLOOKUP($A124,HN!$A:$M,10,FALSE)-$U124-$AK124)/10),0)</f>
        <v>2711.000583333333</v>
      </c>
      <c r="GP124" s="301">
        <f>_xlfn.IFNA(((VLOOKUP($A124,HN!$A:$M,13,FALSE)-$V124-$AL124)/10),0)</f>
        <v>0</v>
      </c>
      <c r="GQ124" s="300">
        <f t="shared" si="209"/>
        <v>-421.22499999999997</v>
      </c>
      <c r="GR124" s="300">
        <f t="shared" si="210"/>
        <v>-1667.8659166666666</v>
      </c>
      <c r="GS124" s="301"/>
      <c r="GT124" s="301"/>
      <c r="GU124" s="301"/>
      <c r="GV124" s="300">
        <f t="shared" si="211"/>
        <v>117944.46649054025</v>
      </c>
      <c r="GX124" s="146">
        <f t="shared" si="214"/>
        <v>1407870.6818864832</v>
      </c>
      <c r="GY124" s="146">
        <f t="shared" si="214"/>
        <v>0</v>
      </c>
      <c r="GZ124" s="146">
        <f t="shared" si="214"/>
        <v>39921.840000000004</v>
      </c>
      <c r="HA124" s="146">
        <f t="shared" si="214"/>
        <v>-5054.7000000000007</v>
      </c>
      <c r="HB124" s="146">
        <f t="shared" si="214"/>
        <v>-20014.390999999992</v>
      </c>
      <c r="HC124" s="146">
        <f t="shared" si="214"/>
        <v>0</v>
      </c>
      <c r="HE124" s="146">
        <f t="shared" si="215"/>
        <v>351967.67047162075</v>
      </c>
      <c r="HF124" s="146">
        <f t="shared" si="215"/>
        <v>0</v>
      </c>
      <c r="HG124" s="146">
        <f t="shared" si="215"/>
        <v>15522.834749999998</v>
      </c>
      <c r="HH124" s="146">
        <f t="shared" si="215"/>
        <v>-1263.675</v>
      </c>
      <c r="HI124" s="146">
        <f t="shared" si="215"/>
        <v>-5003.5977499999999</v>
      </c>
      <c r="HJ124" s="146">
        <f t="shared" si="215"/>
        <v>0</v>
      </c>
      <c r="HL124" s="146"/>
      <c r="HM124" s="57"/>
    </row>
    <row r="125" spans="1:221">
      <c r="A125" s="185">
        <v>2161</v>
      </c>
      <c r="B125" s="185">
        <v>103249</v>
      </c>
      <c r="C125" s="185" t="s">
        <v>273</v>
      </c>
      <c r="D125" s="2" t="s">
        <v>274</v>
      </c>
      <c r="E125" s="190" t="s">
        <v>39</v>
      </c>
      <c r="F125" s="190" t="s">
        <v>890</v>
      </c>
      <c r="H125" s="271">
        <f>_xlfn.IFNA(VLOOKUP($A125,ISB!$A$4:$BY$441,67,FALSE),0)</f>
        <v>1374253.5997192394</v>
      </c>
      <c r="I125" s="271">
        <f>_xlfn.IFNA(VLOOKUP($A125,ISB!$A$4:$BY$441,72,FALSE),0)</f>
        <v>-5403.2999999999993</v>
      </c>
      <c r="J125" s="271">
        <f>-_xlfn.IFNA(VLOOKUP($A125,ISB!$A$4:$BY$441,76,FALSE),0)</f>
        <v>-14978.241599999999</v>
      </c>
      <c r="K125" s="271">
        <f>_xlfn.IFNA(VLOOKUP($A125,ISB!$A$4:$BY$441,77,FALSE),0)</f>
        <v>1353872.0581192393</v>
      </c>
      <c r="M125" s="279">
        <f t="shared" si="164"/>
        <v>114521.13330993662</v>
      </c>
      <c r="N125" s="279"/>
      <c r="O125" s="279">
        <f>_xlfn.IFNA(VLOOKUP($A125,EY!$A:$H,8,FALSE)+(VLOOKUP($A125,EY!$A:$R,18,FALSE)-$T125),0)</f>
        <v>55690.44</v>
      </c>
      <c r="P125" s="280">
        <f>_xlfn.IFNA((VLOOKUP($A125,HN!$A:$M,8,FALSE)/12),0)</f>
        <v>0</v>
      </c>
      <c r="Q125" s="280">
        <f>_xlfn.IFNA((VLOOKUP($A125,HN!$A:$M,12,FALSE)/12),0)</f>
        <v>0</v>
      </c>
      <c r="R125" s="280">
        <f>_xlfn.IFNA((VLOOKUP($A125,HN!$A:$M,9,FALSE)/12),0)</f>
        <v>0</v>
      </c>
      <c r="S125" s="280">
        <f>_xlfn.IFNA((VLOOKUP($A125,'Post 16'!$A:$AR,22,FALSE)/4),0)</f>
        <v>0</v>
      </c>
      <c r="T125" s="280">
        <f>_xlfn.IFNA((VLOOKUP($A125,EY!$A:$R,16,FALSE)*80%),0)</f>
        <v>0</v>
      </c>
      <c r="U125" s="280">
        <v>12079.360833333334</v>
      </c>
      <c r="V125" s="280">
        <v>0</v>
      </c>
      <c r="W125" s="279">
        <f t="shared" si="165"/>
        <v>-450.27499999999992</v>
      </c>
      <c r="X125" s="279">
        <f t="shared" si="166"/>
        <v>-1248.1867999999999</v>
      </c>
      <c r="Y125" s="280"/>
      <c r="Z125" s="280"/>
      <c r="AA125" s="280"/>
      <c r="AB125" s="279">
        <f t="shared" si="167"/>
        <v>180592.47234326997</v>
      </c>
      <c r="AC125" s="293">
        <f t="shared" si="168"/>
        <v>114521.13330993662</v>
      </c>
      <c r="AD125" s="293"/>
      <c r="AE125" s="293"/>
      <c r="AF125" s="294">
        <f>_xlfn.IFNA((VLOOKUP($A125,HN!$A:$M,8,FALSE)/12),0)</f>
        <v>0</v>
      </c>
      <c r="AG125" s="294">
        <f>_xlfn.IFNA((VLOOKUP($A125,HN!$A:$M,12,FALSE)/12),0)+_xlfn.IFNA(VLOOKUP($A125,HN!$A:$Q,17,FALSE),0)</f>
        <v>0</v>
      </c>
      <c r="AH125" s="294">
        <f>_xlfn.IFNA((VLOOKUP($A125,HN!$A:$M,9,FALSE)/12),0)</f>
        <v>0</v>
      </c>
      <c r="AI125" s="294">
        <f>_xlfn.IFNA((VLOOKUP($A125,'Post 16'!$A:$AR,22,FALSE)/4),0)</f>
        <v>0</v>
      </c>
      <c r="AJ125" s="294"/>
      <c r="AK125" s="294">
        <f>_xlfn.IFNA((VLOOKUP($A125,HN!$A:$M,10,FALSE)/12),0)</f>
        <v>7744.0349999999999</v>
      </c>
      <c r="AL125" s="294">
        <f>_xlfn.IFNA((VLOOKUP($A125,HN!$A:$M,13,FALSE)/12),0)</f>
        <v>0</v>
      </c>
      <c r="AM125" s="293">
        <f t="shared" si="169"/>
        <v>-450.27499999999992</v>
      </c>
      <c r="AN125" s="293">
        <f t="shared" si="170"/>
        <v>-1248.1867999999999</v>
      </c>
      <c r="AO125" s="294"/>
      <c r="AP125" s="294"/>
      <c r="AQ125" s="294"/>
      <c r="AR125" s="293">
        <f t="shared" si="171"/>
        <v>120566.70650993663</v>
      </c>
      <c r="AS125" s="286">
        <f t="shared" si="172"/>
        <v>114521.13330993662</v>
      </c>
      <c r="AT125" s="286"/>
      <c r="AU125" s="286">
        <f>_xlfn.IFNA(VLOOKUP(A125,EY!A:AO,40,FALSE),0)</f>
        <v>9894.2236842105303</v>
      </c>
      <c r="AV125" s="287">
        <f>_xlfn.IFNA((VLOOKUP($A125,HN!$A:$M,8,FALSE)/12),0)</f>
        <v>0</v>
      </c>
      <c r="AW125" s="287">
        <f>_xlfn.IFNA((VLOOKUP($A125,HN!$A:$M,12,FALSE)/12),0)+_xlfn.IFNA(VLOOKUP($A125,HN!$A$8:$AU$200,19,FALSE),0)</f>
        <v>0</v>
      </c>
      <c r="AX125" s="287">
        <f>_xlfn.IFNA((VLOOKUP($A125,HN!$A:$M,9,FALSE)/12),0)</f>
        <v>0</v>
      </c>
      <c r="AY125" s="287">
        <f>_xlfn.IFNA((VLOOKUP($A125,'Post 16'!$A:$AR,22,FALSE)/4),0)</f>
        <v>0</v>
      </c>
      <c r="AZ125" s="287">
        <f>_xlfn.IFNA(VLOOKUP(A125,EY!A:AO,41,FALSE),0)</f>
        <v>0</v>
      </c>
      <c r="BA125" s="287">
        <f>_xlfn.IFNA(((VLOOKUP($A125,HN!$A:$M,10,FALSE)-$U125-$AK125)/10),0)+_xlfn.IFNA(VLOOKUP($A125,HN!$A:$R,18,FALSE),0)</f>
        <v>7310.5024166666653</v>
      </c>
      <c r="BB125" s="287">
        <f>_xlfn.IFNA(((VLOOKUP($A125,HN!$A:$M,13,FALSE)-$V125-$AL125)/10),0)+_xlfn.IFNA(VLOOKUP($A125,HN!$A$8:$AU$200,20,FALSE),0)</f>
        <v>0</v>
      </c>
      <c r="BC125" s="286">
        <f t="shared" si="173"/>
        <v>-450.27499999999992</v>
      </c>
      <c r="BD125" s="286">
        <f t="shared" si="174"/>
        <v>-1248.1867999999999</v>
      </c>
      <c r="BE125" s="287"/>
      <c r="BF125" s="287"/>
      <c r="BG125" s="287"/>
      <c r="BH125" s="286">
        <f t="shared" si="175"/>
        <v>130027.39761081382</v>
      </c>
      <c r="BI125" s="307">
        <f t="shared" si="176"/>
        <v>114521.13330993662</v>
      </c>
      <c r="BJ125" s="307">
        <f>_xlfn.IFNA(VLOOKUP(A125,'LA Deductions'!A:AH,34,FALSE),0)</f>
        <v>0</v>
      </c>
      <c r="BK125" s="307"/>
      <c r="BL125" s="308">
        <f>_xlfn.IFNA((VLOOKUP($A125,HN!$A:$M,8,FALSE)/12),0)</f>
        <v>0</v>
      </c>
      <c r="BM125" s="308">
        <f>_xlfn.IFNA((VLOOKUP($A125,HN!$A:$M,12,FALSE)/12),0)</f>
        <v>0</v>
      </c>
      <c r="BN125" s="308">
        <f>_xlfn.IFNA((VLOOKUP($A125,HN!$A:$M,9,FALSE)/12),0)</f>
        <v>0</v>
      </c>
      <c r="BO125" s="308">
        <f>_xlfn.IFNA((VLOOKUP($A125,'Post 16'!$A:$AR,22,FALSE)/4),0)</f>
        <v>0</v>
      </c>
      <c r="BP125" s="308"/>
      <c r="BQ125" s="308">
        <f>_xlfn.IFNA(((VLOOKUP($A125,HN!$A:$M,10,FALSE)-$U125-$AK125)/10),0)</f>
        <v>7310.5024166666653</v>
      </c>
      <c r="BR125" s="308">
        <f>_xlfn.IFNA(((VLOOKUP($A125,HN!$A:$M,13,FALSE)-$V125-$AL125)/10),0)</f>
        <v>0</v>
      </c>
      <c r="BS125" s="307">
        <f t="shared" si="177"/>
        <v>-450.27499999999992</v>
      </c>
      <c r="BT125" s="307">
        <f t="shared" si="178"/>
        <v>-1248.1867999999999</v>
      </c>
      <c r="BU125" s="308"/>
      <c r="BV125" s="308"/>
      <c r="BW125" s="308"/>
      <c r="BX125" s="307">
        <f t="shared" si="179"/>
        <v>120133.1739266033</v>
      </c>
      <c r="BY125" s="300">
        <f t="shared" si="180"/>
        <v>114521.13330993662</v>
      </c>
      <c r="BZ125" s="300"/>
      <c r="CA125" s="300"/>
      <c r="CB125" s="301">
        <f>_xlfn.IFNA((VLOOKUP($A125,HN!$A:$M,8,FALSE)/12),0)</f>
        <v>0</v>
      </c>
      <c r="CC125" s="301">
        <f>_xlfn.IFNA((VLOOKUP($A125,HN!$A:$M,12,FALSE)/12),0)</f>
        <v>0</v>
      </c>
      <c r="CD125" s="301">
        <f>_xlfn.IFNA((VLOOKUP($A125,HN!$A:$M,9,FALSE)/12),0)</f>
        <v>0</v>
      </c>
      <c r="CE125" s="301">
        <f>_xlfn.IFNA((VLOOKUP($A125,'Post 16'!$A:$AG,33,FALSE)/8),0)</f>
        <v>0</v>
      </c>
      <c r="CF125" s="301"/>
      <c r="CG125" s="301">
        <f>_xlfn.IFNA(((VLOOKUP($A125,HN!$A:$M,10,FALSE)-$U125-$AK125)/10),0)</f>
        <v>7310.5024166666653</v>
      </c>
      <c r="CH125" s="301">
        <f>_xlfn.IFNA(((VLOOKUP($A125,HN!$A:$M,13,FALSE)-$V125-$AL125)/10),0)</f>
        <v>0</v>
      </c>
      <c r="CI125" s="300">
        <f t="shared" si="181"/>
        <v>-450.27499999999992</v>
      </c>
      <c r="CJ125" s="300">
        <f t="shared" si="182"/>
        <v>-1248.1867999999999</v>
      </c>
      <c r="CK125" s="301"/>
      <c r="CL125" s="301"/>
      <c r="CM125" s="301"/>
      <c r="CN125" s="300">
        <f t="shared" si="183"/>
        <v>120133.1739266033</v>
      </c>
      <c r="CO125" s="332">
        <f t="shared" si="184"/>
        <v>114521.13330993662</v>
      </c>
      <c r="CP125" s="332"/>
      <c r="CQ125" s="332">
        <f>_xlfn.IFNA((VLOOKUP($A125,EY!$A:$AB,28,FALSE)-$CV125),0)</f>
        <v>48285.952000000005</v>
      </c>
      <c r="CR125" s="333">
        <f>_xlfn.IFNA((VLOOKUP($A125,HN!$A:$M,8,FALSE)/12),0)</f>
        <v>0</v>
      </c>
      <c r="CS125" s="333">
        <f>_xlfn.IFNA((VLOOKUP($A125,HN!$A:$M,12,FALSE)/12),0)</f>
        <v>0</v>
      </c>
      <c r="CT125" s="333">
        <f>_xlfn.IFNA((VLOOKUP($A125,HN!$A:$M,9,FALSE)/12),0)</f>
        <v>0</v>
      </c>
      <c r="CU125" s="333">
        <f>_xlfn.IFNA((VLOOKUP($A125,'Post 16'!$A:$AG,33,FALSE)/8),0)</f>
        <v>0</v>
      </c>
      <c r="CV125" s="333">
        <f>_xlfn.IFNA((VLOOKUP($A125,EY!$A:$AB,26,FALSE)*80%),0)</f>
        <v>0</v>
      </c>
      <c r="CW125" s="333">
        <f>_xlfn.IFNA(((VLOOKUP($A125,HN!$A:$M,10,FALSE)-$U125-$AK125)/10),0)</f>
        <v>7310.5024166666653</v>
      </c>
      <c r="CX125" s="333">
        <f>_xlfn.IFNA(((VLOOKUP($A125,HN!$A:$M,13,FALSE)-$V125-$AL125)/10),0)</f>
        <v>0</v>
      </c>
      <c r="CY125" s="332">
        <f t="shared" si="185"/>
        <v>-450.27499999999992</v>
      </c>
      <c r="CZ125" s="332">
        <f t="shared" si="186"/>
        <v>-1248.1867999999999</v>
      </c>
      <c r="DA125" s="333"/>
      <c r="DB125" s="333"/>
      <c r="DC125" s="333"/>
      <c r="DD125" s="332">
        <f t="shared" si="187"/>
        <v>168419.12592660327</v>
      </c>
      <c r="DE125" s="314">
        <f t="shared" si="188"/>
        <v>114521.13330993662</v>
      </c>
      <c r="DF125" s="314"/>
      <c r="DG125" s="314"/>
      <c r="DH125" s="315">
        <f>_xlfn.IFNA((VLOOKUP($A125,HN!$A:$M,8,FALSE)/12),0)</f>
        <v>0</v>
      </c>
      <c r="DI125" s="315">
        <f>_xlfn.IFNA((VLOOKUP($A125,HN!$A:$M,12,FALSE)/12),0)</f>
        <v>0</v>
      </c>
      <c r="DJ125" s="315">
        <f>_xlfn.IFNA((VLOOKUP($A125,HN!$A:$M,9,FALSE)/12),0)</f>
        <v>0</v>
      </c>
      <c r="DK125" s="315">
        <f>_xlfn.IFNA((VLOOKUP($A125,'Post 16'!$A:$AG,33,FALSE)/8),0)</f>
        <v>0</v>
      </c>
      <c r="DL125" s="315"/>
      <c r="DM125" s="315">
        <f>_xlfn.IFNA(((VLOOKUP($A125,HN!$A:$M,10,FALSE)-$U125-$AK125)/10),0)</f>
        <v>7310.5024166666653</v>
      </c>
      <c r="DN125" s="315">
        <f>_xlfn.IFNA(((VLOOKUP($A125,HN!$A:$M,13,FALSE)-$V125-$AL125)/10),0)</f>
        <v>0</v>
      </c>
      <c r="DO125" s="314">
        <f t="shared" si="189"/>
        <v>-450.27499999999992</v>
      </c>
      <c r="DP125" s="314">
        <f t="shared" si="190"/>
        <v>-1248.1867999999999</v>
      </c>
      <c r="DQ125" s="315"/>
      <c r="DR125" s="315"/>
      <c r="DS125" s="315"/>
      <c r="DT125" s="314">
        <f t="shared" si="191"/>
        <v>120133.1739266033</v>
      </c>
      <c r="DU125" s="307">
        <f t="shared" si="192"/>
        <v>114521.13330993662</v>
      </c>
      <c r="DV125" s="307"/>
      <c r="DW125" s="307"/>
      <c r="DX125" s="308">
        <f>_xlfn.IFNA((VLOOKUP($A125,HN!$A:$M,8,FALSE)/12),0)</f>
        <v>0</v>
      </c>
      <c r="DY125" s="308">
        <f>_xlfn.IFNA((VLOOKUP($A125,HN!$A:$M,12,FALSE)/12),0)</f>
        <v>0</v>
      </c>
      <c r="DZ125" s="308">
        <f>_xlfn.IFNA((VLOOKUP($A125,HN!$A:$M,9,FALSE)/12),0)</f>
        <v>0</v>
      </c>
      <c r="EA125" s="308">
        <f>_xlfn.IFNA((VLOOKUP($A125,'Post 16'!$A:$AG,33,FALSE)/8),0)</f>
        <v>0</v>
      </c>
      <c r="EB125" s="308"/>
      <c r="EC125" s="308">
        <f>_xlfn.IFNA(((VLOOKUP($A125,HN!$A:$M,10,FALSE)-$U125-$AK125)/10),0)</f>
        <v>7310.5024166666653</v>
      </c>
      <c r="ED125" s="308">
        <f>_xlfn.IFNA(((VLOOKUP($A125,HN!$A:$M,13,FALSE)-$V125-$AL125)/10),0)</f>
        <v>0</v>
      </c>
      <c r="EE125" s="307">
        <f t="shared" si="193"/>
        <v>-450.27499999999992</v>
      </c>
      <c r="EF125" s="307">
        <f t="shared" si="194"/>
        <v>-1248.1867999999999</v>
      </c>
      <c r="EG125" s="308"/>
      <c r="EH125" s="308"/>
      <c r="EI125" s="308"/>
      <c r="EJ125" s="307">
        <f t="shared" si="195"/>
        <v>120133.1739266033</v>
      </c>
      <c r="EK125" s="320">
        <f t="shared" si="196"/>
        <v>114521.13330993662</v>
      </c>
      <c r="EL125" s="320"/>
      <c r="EM125" s="320"/>
      <c r="EN125" s="321">
        <f>_xlfn.IFNA((VLOOKUP($A125,HN!$A:$M,8,FALSE)/12),0)</f>
        <v>0</v>
      </c>
      <c r="EO125" s="321">
        <f>_xlfn.IFNA((VLOOKUP($A125,HN!$A:$M,12,FALSE)/12),0)</f>
        <v>0</v>
      </c>
      <c r="EP125" s="321">
        <f>_xlfn.IFNA((VLOOKUP($A125,HN!$A:$M,9,FALSE)/12),0)</f>
        <v>0</v>
      </c>
      <c r="EQ125" s="321">
        <f>_xlfn.IFNA((VLOOKUP($A125,'Post 16'!$A:$AG,33,FALSE)/8),0)</f>
        <v>0</v>
      </c>
      <c r="ER125" s="321"/>
      <c r="ES125" s="321">
        <f>_xlfn.IFNA(((VLOOKUP($A125,HN!$A:$M,10,FALSE)-$U125-$AK125)/10),0)</f>
        <v>7310.5024166666653</v>
      </c>
      <c r="ET125" s="321">
        <f>_xlfn.IFNA(((VLOOKUP($A125,HN!$A:$M,13,FALSE)-$V125-$AL125)/10),0)</f>
        <v>0</v>
      </c>
      <c r="EU125" s="320">
        <f t="shared" si="197"/>
        <v>-450.27499999999992</v>
      </c>
      <c r="EV125" s="320">
        <f t="shared" si="198"/>
        <v>-1248.1867999999999</v>
      </c>
      <c r="EW125" s="321"/>
      <c r="EX125" s="321"/>
      <c r="EY125" s="321"/>
      <c r="EZ125" s="320">
        <f t="shared" si="199"/>
        <v>120133.1739266033</v>
      </c>
      <c r="FA125" s="286">
        <f t="shared" si="200"/>
        <v>114521.13330993662</v>
      </c>
      <c r="FB125" s="286"/>
      <c r="FC125" s="286"/>
      <c r="FD125" s="287">
        <f>_xlfn.IFNA((VLOOKUP($A125,HN!$A:$M,8,FALSE)/12),0)</f>
        <v>0</v>
      </c>
      <c r="FE125" s="287">
        <f>_xlfn.IFNA((VLOOKUP($A125,HN!$A:$M,12,FALSE)/12),0)</f>
        <v>0</v>
      </c>
      <c r="FF125" s="287">
        <f>_xlfn.IFNA((VLOOKUP($A125,HN!$A:$M,9,FALSE)/12),0)</f>
        <v>0</v>
      </c>
      <c r="FG125" s="287">
        <f>_xlfn.IFNA((VLOOKUP($A125,'Post 16'!$A:$AG,33,FALSE)/8),0)</f>
        <v>0</v>
      </c>
      <c r="FH125" s="287"/>
      <c r="FI125" s="287">
        <f>_xlfn.IFNA(((VLOOKUP($A125,HN!$A:$M,10,FALSE)-$U125-$AK125)/10),0)</f>
        <v>7310.5024166666653</v>
      </c>
      <c r="FJ125" s="287">
        <f>_xlfn.IFNA(((VLOOKUP($A125,HN!$A:$M,13,FALSE)-$V125-$AL125)/10),0)</f>
        <v>0</v>
      </c>
      <c r="FK125" s="286">
        <f t="shared" si="201"/>
        <v>-450.27499999999992</v>
      </c>
      <c r="FL125" s="286">
        <f t="shared" si="202"/>
        <v>-1248.1867999999999</v>
      </c>
      <c r="FM125" s="287"/>
      <c r="FN125" s="287"/>
      <c r="FO125" s="287"/>
      <c r="FP125" s="286">
        <f t="shared" si="203"/>
        <v>120133.1739266033</v>
      </c>
      <c r="FQ125" s="293">
        <f t="shared" si="204"/>
        <v>114521.13330993662</v>
      </c>
      <c r="FR125" s="293"/>
      <c r="FS125" s="293"/>
      <c r="FT125" s="294">
        <f>_xlfn.IFNA((VLOOKUP($A125,HN!$A:$M,8,FALSE)/12),0)</f>
        <v>0</v>
      </c>
      <c r="FU125" s="294">
        <f>_xlfn.IFNA((VLOOKUP($A125,HN!$A:$M,12,FALSE)/12),0)</f>
        <v>0</v>
      </c>
      <c r="FV125" s="294">
        <f>_xlfn.IFNA((VLOOKUP($A125,HN!$A:$M,9,FALSE)/12),0)</f>
        <v>0</v>
      </c>
      <c r="FW125" s="294">
        <f>_xlfn.IFNA((VLOOKUP($A125,'Post 16'!$A:$AG,33,FALSE)/8),0)</f>
        <v>0</v>
      </c>
      <c r="FX125" s="294"/>
      <c r="FY125" s="294">
        <f>_xlfn.IFNA(((VLOOKUP($A125,HN!$A:$M,10,FALSE)-$U125-$AK125)/10),0)</f>
        <v>7310.5024166666653</v>
      </c>
      <c r="FZ125" s="294">
        <f>_xlfn.IFNA(((VLOOKUP($A125,HN!$A:$M,13,FALSE)-$V125-$AL125)/10),0)</f>
        <v>0</v>
      </c>
      <c r="GA125" s="293">
        <f t="shared" si="205"/>
        <v>-450.27499999999992</v>
      </c>
      <c r="GB125" s="293">
        <f t="shared" si="206"/>
        <v>-1248.1867999999999</v>
      </c>
      <c r="GC125" s="294"/>
      <c r="GD125" s="294"/>
      <c r="GE125" s="294"/>
      <c r="GF125" s="293">
        <f t="shared" si="207"/>
        <v>120133.1739266033</v>
      </c>
      <c r="GG125" s="300">
        <f t="shared" si="208"/>
        <v>114521.13330993662</v>
      </c>
      <c r="GH125" s="300"/>
      <c r="GI125" s="300"/>
      <c r="GJ125" s="301">
        <f>_xlfn.IFNA((VLOOKUP($A125,HN!$A:$M,8,FALSE)/12),0)</f>
        <v>0</v>
      </c>
      <c r="GK125" s="301">
        <f>_xlfn.IFNA((VLOOKUP($A125,HN!$A:$M,12,FALSE)/12),0)</f>
        <v>0</v>
      </c>
      <c r="GL125" s="301">
        <f>_xlfn.IFNA((VLOOKUP($A125,HN!$A:$M,9,FALSE)/12),0)</f>
        <v>0</v>
      </c>
      <c r="GM125" s="301">
        <f>_xlfn.IFNA((VLOOKUP($A125,'Post 16'!$A:$AG,33,FALSE)/8),0)</f>
        <v>0</v>
      </c>
      <c r="GN125" s="301"/>
      <c r="GO125" s="301">
        <f>_xlfn.IFNA(((VLOOKUP($A125,HN!$A:$M,10,FALSE)-$U125-$AK125)/10),0)</f>
        <v>7310.5024166666653</v>
      </c>
      <c r="GP125" s="301">
        <f>_xlfn.IFNA(((VLOOKUP($A125,HN!$A:$M,13,FALSE)-$V125-$AL125)/10),0)</f>
        <v>0</v>
      </c>
      <c r="GQ125" s="300">
        <f t="shared" si="209"/>
        <v>-450.27499999999992</v>
      </c>
      <c r="GR125" s="300">
        <f t="shared" si="210"/>
        <v>-1248.1867999999999</v>
      </c>
      <c r="GS125" s="301"/>
      <c r="GT125" s="301"/>
      <c r="GU125" s="301"/>
      <c r="GV125" s="300">
        <f t="shared" si="211"/>
        <v>120133.1739266033</v>
      </c>
      <c r="GX125" s="146">
        <f t="shared" si="214"/>
        <v>1488124.21540345</v>
      </c>
      <c r="GY125" s="146">
        <f t="shared" si="214"/>
        <v>0</v>
      </c>
      <c r="GZ125" s="146">
        <f t="shared" si="214"/>
        <v>92928.42</v>
      </c>
      <c r="HA125" s="146">
        <f t="shared" si="214"/>
        <v>-5403.2999999999993</v>
      </c>
      <c r="HB125" s="146">
        <f t="shared" si="214"/>
        <v>-14978.241599999996</v>
      </c>
      <c r="HC125" s="146">
        <f t="shared" si="214"/>
        <v>0</v>
      </c>
      <c r="HE125" s="146">
        <f t="shared" si="215"/>
        <v>409148.06361402036</v>
      </c>
      <c r="HF125" s="146">
        <f t="shared" si="215"/>
        <v>0</v>
      </c>
      <c r="HG125" s="146">
        <f t="shared" si="215"/>
        <v>27133.898250000002</v>
      </c>
      <c r="HH125" s="146">
        <f t="shared" si="215"/>
        <v>-1350.8249999999998</v>
      </c>
      <c r="HI125" s="146">
        <f t="shared" si="215"/>
        <v>-3744.5603999999998</v>
      </c>
      <c r="HJ125" s="146">
        <f t="shared" si="215"/>
        <v>0</v>
      </c>
      <c r="HL125" s="146"/>
      <c r="HM125" s="57"/>
    </row>
    <row r="126" spans="1:221">
      <c r="A126" s="185">
        <v>2160</v>
      </c>
      <c r="B126" s="185">
        <v>103248</v>
      </c>
      <c r="C126" s="185" t="s">
        <v>275</v>
      </c>
      <c r="D126" s="2" t="s">
        <v>276</v>
      </c>
      <c r="E126" s="190" t="s">
        <v>39</v>
      </c>
      <c r="F126" s="190" t="s">
        <v>890</v>
      </c>
      <c r="H126" s="271">
        <f>_xlfn.IFNA(VLOOKUP($A126,ISB!$A$4:$BY$441,67,FALSE),0)</f>
        <v>2019297.8752641992</v>
      </c>
      <c r="I126" s="271">
        <f>_xlfn.IFNA(VLOOKUP($A126,ISB!$A$4:$BY$441,72,FALSE),0)</f>
        <v>-8142.2999999999993</v>
      </c>
      <c r="J126" s="271">
        <f>-_xlfn.IFNA(VLOOKUP($A126,ISB!$A$4:$BY$441,76,FALSE),0)</f>
        <v>-13024.4478</v>
      </c>
      <c r="K126" s="271">
        <f>_xlfn.IFNA(VLOOKUP($A126,ISB!$A$4:$BY$441,77,FALSE),0)</f>
        <v>1998131.1274641992</v>
      </c>
      <c r="M126" s="279">
        <f t="shared" si="164"/>
        <v>168274.82293868327</v>
      </c>
      <c r="N126" s="279"/>
      <c r="O126" s="279">
        <f>_xlfn.IFNA(VLOOKUP($A126,EY!$A:$H,8,FALSE)+(VLOOKUP($A126,EY!$A:$R,18,FALSE)-$T126),0)</f>
        <v>0</v>
      </c>
      <c r="P126" s="280">
        <f>_xlfn.IFNA((VLOOKUP($A126,HN!$A:$M,8,FALSE)/12),0)</f>
        <v>0</v>
      </c>
      <c r="Q126" s="280">
        <f>_xlfn.IFNA((VLOOKUP($A126,HN!$A:$M,12,FALSE)/12),0)</f>
        <v>0</v>
      </c>
      <c r="R126" s="280">
        <f>_xlfn.IFNA((VLOOKUP($A126,HN!$A:$M,9,FALSE)/12),0)</f>
        <v>0</v>
      </c>
      <c r="S126" s="280">
        <f>_xlfn.IFNA((VLOOKUP($A126,'Post 16'!$A:$AR,22,FALSE)/4),0)</f>
        <v>0</v>
      </c>
      <c r="T126" s="280">
        <f>_xlfn.IFNA((VLOOKUP($A126,EY!$A:$R,16,FALSE)*80%),0)</f>
        <v>0</v>
      </c>
      <c r="U126" s="280">
        <v>6174.5133333333333</v>
      </c>
      <c r="V126" s="280">
        <v>0</v>
      </c>
      <c r="W126" s="279">
        <f t="shared" si="165"/>
        <v>-678.52499999999998</v>
      </c>
      <c r="X126" s="279">
        <f t="shared" si="166"/>
        <v>-1085.3706500000001</v>
      </c>
      <c r="Y126" s="280"/>
      <c r="Z126" s="280"/>
      <c r="AA126" s="280"/>
      <c r="AB126" s="279">
        <f t="shared" si="167"/>
        <v>172685.44062201661</v>
      </c>
      <c r="AC126" s="293">
        <f t="shared" si="168"/>
        <v>168274.82293868327</v>
      </c>
      <c r="AD126" s="293"/>
      <c r="AE126" s="293"/>
      <c r="AF126" s="294">
        <f>_xlfn.IFNA((VLOOKUP($A126,HN!$A:$M,8,FALSE)/12),0)</f>
        <v>0</v>
      </c>
      <c r="AG126" s="294">
        <f>_xlfn.IFNA((VLOOKUP($A126,HN!$A:$M,12,FALSE)/12),0)+_xlfn.IFNA(VLOOKUP($A126,HN!$A:$Q,17,FALSE),0)</f>
        <v>0</v>
      </c>
      <c r="AH126" s="294">
        <f>_xlfn.IFNA((VLOOKUP($A126,HN!$A:$M,9,FALSE)/12),0)</f>
        <v>0</v>
      </c>
      <c r="AI126" s="294">
        <f>_xlfn.IFNA((VLOOKUP($A126,'Post 16'!$A:$AR,22,FALSE)/4),0)</f>
        <v>0</v>
      </c>
      <c r="AJ126" s="294"/>
      <c r="AK126" s="294">
        <f>_xlfn.IFNA((VLOOKUP($A126,HN!$A:$M,10,FALSE)/12),0)</f>
        <v>2676.4583333333335</v>
      </c>
      <c r="AL126" s="294">
        <f>_xlfn.IFNA((VLOOKUP($A126,HN!$A:$M,13,FALSE)/12),0)</f>
        <v>0</v>
      </c>
      <c r="AM126" s="293">
        <f t="shared" si="169"/>
        <v>-678.52499999999998</v>
      </c>
      <c r="AN126" s="293">
        <f t="shared" si="170"/>
        <v>-1085.3706500000001</v>
      </c>
      <c r="AO126" s="294"/>
      <c r="AP126" s="294"/>
      <c r="AQ126" s="294"/>
      <c r="AR126" s="293">
        <f t="shared" si="171"/>
        <v>169187.38562201662</v>
      </c>
      <c r="AS126" s="286">
        <f t="shared" si="172"/>
        <v>168274.82293868327</v>
      </c>
      <c r="AT126" s="286"/>
      <c r="AU126" s="286">
        <f>_xlfn.IFNA(VLOOKUP(A126,EY!A:AO,40,FALSE),0)</f>
        <v>0</v>
      </c>
      <c r="AV126" s="287">
        <f>_xlfn.IFNA((VLOOKUP($A126,HN!$A:$M,8,FALSE)/12),0)</f>
        <v>0</v>
      </c>
      <c r="AW126" s="287">
        <f>_xlfn.IFNA((VLOOKUP($A126,HN!$A:$M,12,FALSE)/12),0)+_xlfn.IFNA(VLOOKUP($A126,HN!$A$8:$AU$200,19,FALSE),0)</f>
        <v>0</v>
      </c>
      <c r="AX126" s="287">
        <f>_xlfn.IFNA((VLOOKUP($A126,HN!$A:$M,9,FALSE)/12),0)</f>
        <v>0</v>
      </c>
      <c r="AY126" s="287">
        <f>_xlfn.IFNA((VLOOKUP($A126,'Post 16'!$A:$AR,22,FALSE)/4),0)</f>
        <v>0</v>
      </c>
      <c r="AZ126" s="287">
        <f>_xlfn.IFNA(VLOOKUP(A126,EY!A:AO,41,FALSE),0)</f>
        <v>0</v>
      </c>
      <c r="BA126" s="287">
        <f>_xlfn.IFNA(((VLOOKUP($A126,HN!$A:$M,10,FALSE)-$U126-$AK126)/10),0)+_xlfn.IFNA(VLOOKUP($A126,HN!$A:$R,18,FALSE),0)</f>
        <v>2326.6528333333335</v>
      </c>
      <c r="BB126" s="287">
        <f>_xlfn.IFNA(((VLOOKUP($A126,HN!$A:$M,13,FALSE)-$V126-$AL126)/10),0)+_xlfn.IFNA(VLOOKUP($A126,HN!$A$8:$AU$200,20,FALSE),0)</f>
        <v>0</v>
      </c>
      <c r="BC126" s="286">
        <f t="shared" si="173"/>
        <v>-678.52499999999998</v>
      </c>
      <c r="BD126" s="286">
        <f t="shared" si="174"/>
        <v>-1085.3706500000001</v>
      </c>
      <c r="BE126" s="287"/>
      <c r="BF126" s="287"/>
      <c r="BG126" s="287"/>
      <c r="BH126" s="286">
        <f t="shared" si="175"/>
        <v>168837.5801220166</v>
      </c>
      <c r="BI126" s="307">
        <f t="shared" si="176"/>
        <v>168274.82293868327</v>
      </c>
      <c r="BJ126" s="307">
        <f>_xlfn.IFNA(VLOOKUP(A126,'LA Deductions'!A:AH,34,FALSE),0)</f>
        <v>0</v>
      </c>
      <c r="BK126" s="307"/>
      <c r="BL126" s="308">
        <f>_xlfn.IFNA((VLOOKUP($A126,HN!$A:$M,8,FALSE)/12),0)</f>
        <v>0</v>
      </c>
      <c r="BM126" s="308">
        <f>_xlfn.IFNA((VLOOKUP($A126,HN!$A:$M,12,FALSE)/12),0)</f>
        <v>0</v>
      </c>
      <c r="BN126" s="308">
        <f>_xlfn.IFNA((VLOOKUP($A126,HN!$A:$M,9,FALSE)/12),0)</f>
        <v>0</v>
      </c>
      <c r="BO126" s="308">
        <f>_xlfn.IFNA((VLOOKUP($A126,'Post 16'!$A:$AR,22,FALSE)/4),0)</f>
        <v>0</v>
      </c>
      <c r="BP126" s="308"/>
      <c r="BQ126" s="308">
        <f>_xlfn.IFNA(((VLOOKUP($A126,HN!$A:$M,10,FALSE)-$U126-$AK126)/10),0)</f>
        <v>2326.6528333333335</v>
      </c>
      <c r="BR126" s="308">
        <f>_xlfn.IFNA(((VLOOKUP($A126,HN!$A:$M,13,FALSE)-$V126-$AL126)/10),0)</f>
        <v>0</v>
      </c>
      <c r="BS126" s="307">
        <f t="shared" si="177"/>
        <v>-678.52499999999998</v>
      </c>
      <c r="BT126" s="307">
        <f t="shared" si="178"/>
        <v>-1085.3706500000001</v>
      </c>
      <c r="BU126" s="308"/>
      <c r="BV126" s="308"/>
      <c r="BW126" s="308"/>
      <c r="BX126" s="307">
        <f t="shared" si="179"/>
        <v>168837.5801220166</v>
      </c>
      <c r="BY126" s="300">
        <f t="shared" si="180"/>
        <v>168274.82293868327</v>
      </c>
      <c r="BZ126" s="300"/>
      <c r="CA126" s="300"/>
      <c r="CB126" s="301">
        <f>_xlfn.IFNA((VLOOKUP($A126,HN!$A:$M,8,FALSE)/12),0)</f>
        <v>0</v>
      </c>
      <c r="CC126" s="301">
        <f>_xlfn.IFNA((VLOOKUP($A126,HN!$A:$M,12,FALSE)/12),0)</f>
        <v>0</v>
      </c>
      <c r="CD126" s="301">
        <f>_xlfn.IFNA((VLOOKUP($A126,HN!$A:$M,9,FALSE)/12),0)</f>
        <v>0</v>
      </c>
      <c r="CE126" s="301">
        <f>_xlfn.IFNA((VLOOKUP($A126,'Post 16'!$A:$AG,33,FALSE)/8),0)</f>
        <v>0</v>
      </c>
      <c r="CF126" s="301"/>
      <c r="CG126" s="301">
        <f>_xlfn.IFNA(((VLOOKUP($A126,HN!$A:$M,10,FALSE)-$U126-$AK126)/10),0)</f>
        <v>2326.6528333333335</v>
      </c>
      <c r="CH126" s="301">
        <f>_xlfn.IFNA(((VLOOKUP($A126,HN!$A:$M,13,FALSE)-$V126-$AL126)/10),0)</f>
        <v>0</v>
      </c>
      <c r="CI126" s="300">
        <f t="shared" si="181"/>
        <v>-678.52499999999998</v>
      </c>
      <c r="CJ126" s="300">
        <f t="shared" si="182"/>
        <v>-1085.3706500000001</v>
      </c>
      <c r="CK126" s="301"/>
      <c r="CL126" s="301"/>
      <c r="CM126" s="301"/>
      <c r="CN126" s="300">
        <f t="shared" si="183"/>
        <v>168837.5801220166</v>
      </c>
      <c r="CO126" s="332">
        <f t="shared" si="184"/>
        <v>168274.82293868327</v>
      </c>
      <c r="CP126" s="332"/>
      <c r="CQ126" s="332">
        <f>_xlfn.IFNA((VLOOKUP($A126,EY!$A:$AB,28,FALSE)-$CV126),0)</f>
        <v>0</v>
      </c>
      <c r="CR126" s="333">
        <f>_xlfn.IFNA((VLOOKUP($A126,HN!$A:$M,8,FALSE)/12),0)</f>
        <v>0</v>
      </c>
      <c r="CS126" s="333">
        <f>_xlfn.IFNA((VLOOKUP($A126,HN!$A:$M,12,FALSE)/12),0)</f>
        <v>0</v>
      </c>
      <c r="CT126" s="333">
        <f>_xlfn.IFNA((VLOOKUP($A126,HN!$A:$M,9,FALSE)/12),0)</f>
        <v>0</v>
      </c>
      <c r="CU126" s="333">
        <f>_xlfn.IFNA((VLOOKUP($A126,'Post 16'!$A:$AG,33,FALSE)/8),0)</f>
        <v>0</v>
      </c>
      <c r="CV126" s="333">
        <f>_xlfn.IFNA((VLOOKUP($A126,EY!$A:$AB,26,FALSE)*80%),0)</f>
        <v>0</v>
      </c>
      <c r="CW126" s="333">
        <f>_xlfn.IFNA(((VLOOKUP($A126,HN!$A:$M,10,FALSE)-$U126-$AK126)/10),0)</f>
        <v>2326.6528333333335</v>
      </c>
      <c r="CX126" s="333">
        <f>_xlfn.IFNA(((VLOOKUP($A126,HN!$A:$M,13,FALSE)-$V126-$AL126)/10),0)</f>
        <v>0</v>
      </c>
      <c r="CY126" s="332">
        <f t="shared" si="185"/>
        <v>-678.52499999999998</v>
      </c>
      <c r="CZ126" s="332">
        <f t="shared" si="186"/>
        <v>-1085.3706500000001</v>
      </c>
      <c r="DA126" s="333"/>
      <c r="DB126" s="333"/>
      <c r="DC126" s="333"/>
      <c r="DD126" s="332">
        <f t="shared" si="187"/>
        <v>168837.5801220166</v>
      </c>
      <c r="DE126" s="314">
        <f t="shared" si="188"/>
        <v>168274.82293868327</v>
      </c>
      <c r="DF126" s="314"/>
      <c r="DG126" s="314"/>
      <c r="DH126" s="315">
        <f>_xlfn.IFNA((VLOOKUP($A126,HN!$A:$M,8,FALSE)/12),0)</f>
        <v>0</v>
      </c>
      <c r="DI126" s="315">
        <f>_xlfn.IFNA((VLOOKUP($A126,HN!$A:$M,12,FALSE)/12),0)</f>
        <v>0</v>
      </c>
      <c r="DJ126" s="315">
        <f>_xlfn.IFNA((VLOOKUP($A126,HN!$A:$M,9,FALSE)/12),0)</f>
        <v>0</v>
      </c>
      <c r="DK126" s="315">
        <f>_xlfn.IFNA((VLOOKUP($A126,'Post 16'!$A:$AG,33,FALSE)/8),0)</f>
        <v>0</v>
      </c>
      <c r="DL126" s="315"/>
      <c r="DM126" s="315">
        <f>_xlfn.IFNA(((VLOOKUP($A126,HN!$A:$M,10,FALSE)-$U126-$AK126)/10),0)</f>
        <v>2326.6528333333335</v>
      </c>
      <c r="DN126" s="315">
        <f>_xlfn.IFNA(((VLOOKUP($A126,HN!$A:$M,13,FALSE)-$V126-$AL126)/10),0)</f>
        <v>0</v>
      </c>
      <c r="DO126" s="314">
        <f t="shared" si="189"/>
        <v>-678.52499999999998</v>
      </c>
      <c r="DP126" s="314">
        <f t="shared" si="190"/>
        <v>-1085.3706500000001</v>
      </c>
      <c r="DQ126" s="315"/>
      <c r="DR126" s="315"/>
      <c r="DS126" s="315"/>
      <c r="DT126" s="314">
        <f t="shared" si="191"/>
        <v>168837.5801220166</v>
      </c>
      <c r="DU126" s="307">
        <f t="shared" si="192"/>
        <v>168274.82293868327</v>
      </c>
      <c r="DV126" s="307"/>
      <c r="DW126" s="307"/>
      <c r="DX126" s="308">
        <f>_xlfn.IFNA((VLOOKUP($A126,HN!$A:$M,8,FALSE)/12),0)</f>
        <v>0</v>
      </c>
      <c r="DY126" s="308">
        <f>_xlfn.IFNA((VLOOKUP($A126,HN!$A:$M,12,FALSE)/12),0)</f>
        <v>0</v>
      </c>
      <c r="DZ126" s="308">
        <f>_xlfn.IFNA((VLOOKUP($A126,HN!$A:$M,9,FALSE)/12),0)</f>
        <v>0</v>
      </c>
      <c r="EA126" s="308">
        <f>_xlfn.IFNA((VLOOKUP($A126,'Post 16'!$A:$AG,33,FALSE)/8),0)</f>
        <v>0</v>
      </c>
      <c r="EB126" s="308"/>
      <c r="EC126" s="308">
        <f>_xlfn.IFNA(((VLOOKUP($A126,HN!$A:$M,10,FALSE)-$U126-$AK126)/10),0)</f>
        <v>2326.6528333333335</v>
      </c>
      <c r="ED126" s="308">
        <f>_xlfn.IFNA(((VLOOKUP($A126,HN!$A:$M,13,FALSE)-$V126-$AL126)/10),0)</f>
        <v>0</v>
      </c>
      <c r="EE126" s="307">
        <f t="shared" si="193"/>
        <v>-678.52499999999998</v>
      </c>
      <c r="EF126" s="307">
        <f t="shared" si="194"/>
        <v>-1085.3706500000001</v>
      </c>
      <c r="EG126" s="308"/>
      <c r="EH126" s="308"/>
      <c r="EI126" s="308"/>
      <c r="EJ126" s="307">
        <f t="shared" si="195"/>
        <v>168837.5801220166</v>
      </c>
      <c r="EK126" s="320">
        <f t="shared" si="196"/>
        <v>168274.82293868327</v>
      </c>
      <c r="EL126" s="320"/>
      <c r="EM126" s="320"/>
      <c r="EN126" s="321">
        <f>_xlfn.IFNA((VLOOKUP($A126,HN!$A:$M,8,FALSE)/12),0)</f>
        <v>0</v>
      </c>
      <c r="EO126" s="321">
        <f>_xlfn.IFNA((VLOOKUP($A126,HN!$A:$M,12,FALSE)/12),0)</f>
        <v>0</v>
      </c>
      <c r="EP126" s="321">
        <f>_xlfn.IFNA((VLOOKUP($A126,HN!$A:$M,9,FALSE)/12),0)</f>
        <v>0</v>
      </c>
      <c r="EQ126" s="321">
        <f>_xlfn.IFNA((VLOOKUP($A126,'Post 16'!$A:$AG,33,FALSE)/8),0)</f>
        <v>0</v>
      </c>
      <c r="ER126" s="321"/>
      <c r="ES126" s="321">
        <f>_xlfn.IFNA(((VLOOKUP($A126,HN!$A:$M,10,FALSE)-$U126-$AK126)/10),0)</f>
        <v>2326.6528333333335</v>
      </c>
      <c r="ET126" s="321">
        <f>_xlfn.IFNA(((VLOOKUP($A126,HN!$A:$M,13,FALSE)-$V126-$AL126)/10),0)</f>
        <v>0</v>
      </c>
      <c r="EU126" s="320">
        <f t="shared" si="197"/>
        <v>-678.52499999999998</v>
      </c>
      <c r="EV126" s="320">
        <f t="shared" si="198"/>
        <v>-1085.3706500000001</v>
      </c>
      <c r="EW126" s="321"/>
      <c r="EX126" s="321"/>
      <c r="EY126" s="321"/>
      <c r="EZ126" s="320">
        <f t="shared" si="199"/>
        <v>168837.5801220166</v>
      </c>
      <c r="FA126" s="286">
        <f t="shared" si="200"/>
        <v>168274.82293868327</v>
      </c>
      <c r="FB126" s="286"/>
      <c r="FC126" s="286"/>
      <c r="FD126" s="287">
        <f>_xlfn.IFNA((VLOOKUP($A126,HN!$A:$M,8,FALSE)/12),0)</f>
        <v>0</v>
      </c>
      <c r="FE126" s="287">
        <f>_xlfn.IFNA((VLOOKUP($A126,HN!$A:$M,12,FALSE)/12),0)</f>
        <v>0</v>
      </c>
      <c r="FF126" s="287">
        <f>_xlfn.IFNA((VLOOKUP($A126,HN!$A:$M,9,FALSE)/12),0)</f>
        <v>0</v>
      </c>
      <c r="FG126" s="287">
        <f>_xlfn.IFNA((VLOOKUP($A126,'Post 16'!$A:$AG,33,FALSE)/8),0)</f>
        <v>0</v>
      </c>
      <c r="FH126" s="287"/>
      <c r="FI126" s="287">
        <f>_xlfn.IFNA(((VLOOKUP($A126,HN!$A:$M,10,FALSE)-$U126-$AK126)/10),0)</f>
        <v>2326.6528333333335</v>
      </c>
      <c r="FJ126" s="287">
        <f>_xlfn.IFNA(((VLOOKUP($A126,HN!$A:$M,13,FALSE)-$V126-$AL126)/10),0)</f>
        <v>0</v>
      </c>
      <c r="FK126" s="286">
        <f t="shared" si="201"/>
        <v>-678.52499999999998</v>
      </c>
      <c r="FL126" s="286">
        <f t="shared" si="202"/>
        <v>-1085.3706500000001</v>
      </c>
      <c r="FM126" s="287"/>
      <c r="FN126" s="287"/>
      <c r="FO126" s="287"/>
      <c r="FP126" s="286">
        <f t="shared" si="203"/>
        <v>168837.5801220166</v>
      </c>
      <c r="FQ126" s="293">
        <f t="shared" si="204"/>
        <v>168274.82293868327</v>
      </c>
      <c r="FR126" s="293"/>
      <c r="FS126" s="293"/>
      <c r="FT126" s="294">
        <f>_xlfn.IFNA((VLOOKUP($A126,HN!$A:$M,8,FALSE)/12),0)</f>
        <v>0</v>
      </c>
      <c r="FU126" s="294">
        <f>_xlfn.IFNA((VLOOKUP($A126,HN!$A:$M,12,FALSE)/12),0)</f>
        <v>0</v>
      </c>
      <c r="FV126" s="294">
        <f>_xlfn.IFNA((VLOOKUP($A126,HN!$A:$M,9,FALSE)/12),0)</f>
        <v>0</v>
      </c>
      <c r="FW126" s="294">
        <f>_xlfn.IFNA((VLOOKUP($A126,'Post 16'!$A:$AG,33,FALSE)/8),0)</f>
        <v>0</v>
      </c>
      <c r="FX126" s="294"/>
      <c r="FY126" s="294">
        <f>_xlfn.IFNA(((VLOOKUP($A126,HN!$A:$M,10,FALSE)-$U126-$AK126)/10),0)</f>
        <v>2326.6528333333335</v>
      </c>
      <c r="FZ126" s="294">
        <f>_xlfn.IFNA(((VLOOKUP($A126,HN!$A:$M,13,FALSE)-$V126-$AL126)/10),0)</f>
        <v>0</v>
      </c>
      <c r="GA126" s="293">
        <f t="shared" si="205"/>
        <v>-678.52499999999998</v>
      </c>
      <c r="GB126" s="293">
        <f t="shared" si="206"/>
        <v>-1085.3706500000001</v>
      </c>
      <c r="GC126" s="294"/>
      <c r="GD126" s="294"/>
      <c r="GE126" s="294"/>
      <c r="GF126" s="293">
        <f t="shared" si="207"/>
        <v>168837.5801220166</v>
      </c>
      <c r="GG126" s="300">
        <f t="shared" si="208"/>
        <v>168274.82293868327</v>
      </c>
      <c r="GH126" s="300"/>
      <c r="GI126" s="300"/>
      <c r="GJ126" s="301">
        <f>_xlfn.IFNA((VLOOKUP($A126,HN!$A:$M,8,FALSE)/12),0)</f>
        <v>0</v>
      </c>
      <c r="GK126" s="301">
        <f>_xlfn.IFNA((VLOOKUP($A126,HN!$A:$M,12,FALSE)/12),0)</f>
        <v>0</v>
      </c>
      <c r="GL126" s="301">
        <f>_xlfn.IFNA((VLOOKUP($A126,HN!$A:$M,9,FALSE)/12),0)</f>
        <v>0</v>
      </c>
      <c r="GM126" s="301">
        <f>_xlfn.IFNA((VLOOKUP($A126,'Post 16'!$A:$AG,33,FALSE)/8),0)</f>
        <v>0</v>
      </c>
      <c r="GN126" s="301"/>
      <c r="GO126" s="301">
        <f>_xlfn.IFNA(((VLOOKUP($A126,HN!$A:$M,10,FALSE)-$U126-$AK126)/10),0)</f>
        <v>2326.6528333333335</v>
      </c>
      <c r="GP126" s="301">
        <f>_xlfn.IFNA(((VLOOKUP($A126,HN!$A:$M,13,FALSE)-$V126-$AL126)/10),0)</f>
        <v>0</v>
      </c>
      <c r="GQ126" s="300">
        <f t="shared" si="209"/>
        <v>-678.52499999999998</v>
      </c>
      <c r="GR126" s="300">
        <f t="shared" si="210"/>
        <v>-1085.3706500000001</v>
      </c>
      <c r="GS126" s="301"/>
      <c r="GT126" s="301"/>
      <c r="GU126" s="301"/>
      <c r="GV126" s="300">
        <f t="shared" si="211"/>
        <v>168837.5801220166</v>
      </c>
      <c r="GX126" s="146">
        <f t="shared" si="214"/>
        <v>2019297.8752641988</v>
      </c>
      <c r="GY126" s="146">
        <f t="shared" si="214"/>
        <v>0</v>
      </c>
      <c r="GZ126" s="146">
        <f t="shared" si="214"/>
        <v>32117.5</v>
      </c>
      <c r="HA126" s="146">
        <f t="shared" si="214"/>
        <v>-8142.2999999999984</v>
      </c>
      <c r="HB126" s="146">
        <f t="shared" si="214"/>
        <v>-13024.447800000004</v>
      </c>
      <c r="HC126" s="146">
        <f t="shared" si="214"/>
        <v>0</v>
      </c>
      <c r="HE126" s="146">
        <f t="shared" si="215"/>
        <v>504824.4688160498</v>
      </c>
      <c r="HF126" s="146">
        <f t="shared" si="215"/>
        <v>0</v>
      </c>
      <c r="HG126" s="146">
        <f t="shared" si="215"/>
        <v>11177.6245</v>
      </c>
      <c r="HH126" s="146">
        <f t="shared" si="215"/>
        <v>-2035.5749999999998</v>
      </c>
      <c r="HI126" s="146">
        <f t="shared" si="215"/>
        <v>-3256.1119500000004</v>
      </c>
      <c r="HJ126" s="146">
        <f t="shared" si="215"/>
        <v>0</v>
      </c>
      <c r="HL126" s="146"/>
      <c r="HM126" s="57"/>
    </row>
    <row r="127" spans="1:221">
      <c r="A127" s="185">
        <v>2063</v>
      </c>
      <c r="B127" s="185">
        <v>103193</v>
      </c>
      <c r="C127" s="185" t="s">
        <v>277</v>
      </c>
      <c r="D127" s="2" t="s">
        <v>278</v>
      </c>
      <c r="E127" s="190" t="s">
        <v>39</v>
      </c>
      <c r="F127" s="190" t="s">
        <v>890</v>
      </c>
      <c r="H127" s="271">
        <f>_xlfn.IFNA(VLOOKUP($A127,ISB!$A$4:$BY$441,67,FALSE),0)</f>
        <v>2603222.3271205276</v>
      </c>
      <c r="I127" s="271">
        <f>_xlfn.IFNA(VLOOKUP($A127,ISB!$A$4:$BY$441,72,FALSE),0)</f>
        <v>-9163.1999999999989</v>
      </c>
      <c r="J127" s="271">
        <f>-_xlfn.IFNA(VLOOKUP($A127,ISB!$A$4:$BY$441,76,FALSE),0)</f>
        <v>-65698.542000000001</v>
      </c>
      <c r="K127" s="271">
        <f>_xlfn.IFNA(VLOOKUP($A127,ISB!$A$4:$BY$441,77,FALSE),0)</f>
        <v>2528360.5851205275</v>
      </c>
      <c r="M127" s="279">
        <f t="shared" si="164"/>
        <v>216935.19392671064</v>
      </c>
      <c r="N127" s="279"/>
      <c r="O127" s="279">
        <f>_xlfn.IFNA(VLOOKUP($A127,EY!$A:$H,8,FALSE)+(VLOOKUP($A127,EY!$A:$R,18,FALSE)-$T127),0)</f>
        <v>31451.160000000003</v>
      </c>
      <c r="P127" s="280">
        <f>_xlfn.IFNA((VLOOKUP($A127,HN!$A:$M,8,FALSE)/12),0)</f>
        <v>0</v>
      </c>
      <c r="Q127" s="280">
        <f>_xlfn.IFNA((VLOOKUP($A127,HN!$A:$M,12,FALSE)/12),0)</f>
        <v>0</v>
      </c>
      <c r="R127" s="280">
        <f>_xlfn.IFNA((VLOOKUP($A127,HN!$A:$M,9,FALSE)/12),0)</f>
        <v>0</v>
      </c>
      <c r="S127" s="280">
        <f>_xlfn.IFNA((VLOOKUP($A127,'Post 16'!$A:$AR,22,FALSE)/4),0)</f>
        <v>0</v>
      </c>
      <c r="T127" s="280">
        <f>_xlfn.IFNA((VLOOKUP($A127,EY!$A:$R,16,FALSE)*80%),0)</f>
        <v>0</v>
      </c>
      <c r="U127" s="280">
        <v>11230.125</v>
      </c>
      <c r="V127" s="280">
        <v>0</v>
      </c>
      <c r="W127" s="279">
        <f t="shared" si="165"/>
        <v>-763.59999999999991</v>
      </c>
      <c r="X127" s="279">
        <f t="shared" si="166"/>
        <v>-5474.8784999999998</v>
      </c>
      <c r="Y127" s="280"/>
      <c r="Z127" s="280"/>
      <c r="AA127" s="280"/>
      <c r="AB127" s="279">
        <f t="shared" si="167"/>
        <v>253378.00042671064</v>
      </c>
      <c r="AC127" s="293">
        <f t="shared" si="168"/>
        <v>216935.19392671064</v>
      </c>
      <c r="AD127" s="293"/>
      <c r="AE127" s="293"/>
      <c r="AF127" s="294">
        <f>_xlfn.IFNA((VLOOKUP($A127,HN!$A:$M,8,FALSE)/12),0)</f>
        <v>0</v>
      </c>
      <c r="AG127" s="294">
        <f>_xlfn.IFNA((VLOOKUP($A127,HN!$A:$M,12,FALSE)/12),0)+_xlfn.IFNA(VLOOKUP($A127,HN!$A:$Q,17,FALSE),0)</f>
        <v>0</v>
      </c>
      <c r="AH127" s="294">
        <f>_xlfn.IFNA((VLOOKUP($A127,HN!$A:$M,9,FALSE)/12),0)</f>
        <v>0</v>
      </c>
      <c r="AI127" s="294">
        <f>_xlfn.IFNA((VLOOKUP($A127,'Post 16'!$A:$AR,22,FALSE)/4),0)</f>
        <v>0</v>
      </c>
      <c r="AJ127" s="294"/>
      <c r="AK127" s="294">
        <f>_xlfn.IFNA((VLOOKUP($A127,HN!$A:$M,10,FALSE)/12),0)</f>
        <v>3624.6666666666665</v>
      </c>
      <c r="AL127" s="294">
        <f>_xlfn.IFNA((VLOOKUP($A127,HN!$A:$M,13,FALSE)/12),0)</f>
        <v>0</v>
      </c>
      <c r="AM127" s="293">
        <f t="shared" si="169"/>
        <v>-763.59999999999991</v>
      </c>
      <c r="AN127" s="293">
        <f t="shared" si="170"/>
        <v>-5474.8784999999998</v>
      </c>
      <c r="AO127" s="294"/>
      <c r="AP127" s="294"/>
      <c r="AQ127" s="294"/>
      <c r="AR127" s="293">
        <f t="shared" si="171"/>
        <v>214321.38209337729</v>
      </c>
      <c r="AS127" s="286">
        <f t="shared" si="172"/>
        <v>216935.19392671064</v>
      </c>
      <c r="AT127" s="286"/>
      <c r="AU127" s="286">
        <f>_xlfn.IFNA(VLOOKUP(A127,EY!A:AO,40,FALSE),0)</f>
        <v>-4052.6947368421052</v>
      </c>
      <c r="AV127" s="287">
        <f>_xlfn.IFNA((VLOOKUP($A127,HN!$A:$M,8,FALSE)/12),0)</f>
        <v>0</v>
      </c>
      <c r="AW127" s="287">
        <f>_xlfn.IFNA((VLOOKUP($A127,HN!$A:$M,12,FALSE)/12),0)+_xlfn.IFNA(VLOOKUP($A127,HN!$A$8:$AU$200,19,FALSE),0)</f>
        <v>0</v>
      </c>
      <c r="AX127" s="287">
        <f>_xlfn.IFNA((VLOOKUP($A127,HN!$A:$M,9,FALSE)/12),0)</f>
        <v>0</v>
      </c>
      <c r="AY127" s="287">
        <f>_xlfn.IFNA((VLOOKUP($A127,'Post 16'!$A:$AR,22,FALSE)/4),0)</f>
        <v>0</v>
      </c>
      <c r="AZ127" s="287">
        <f>_xlfn.IFNA(VLOOKUP(A127,EY!A:AO,41,FALSE),0)</f>
        <v>0</v>
      </c>
      <c r="BA127" s="287">
        <f>_xlfn.IFNA(((VLOOKUP($A127,HN!$A:$M,10,FALSE)-$U127-$AK127)/10),0)+_xlfn.IFNA(VLOOKUP($A127,HN!$A:$R,18,FALSE),0)</f>
        <v>2864.1208333333334</v>
      </c>
      <c r="BB127" s="287">
        <f>_xlfn.IFNA(((VLOOKUP($A127,HN!$A:$M,13,FALSE)-$V127-$AL127)/10),0)+_xlfn.IFNA(VLOOKUP($A127,HN!$A$8:$AU$200,20,FALSE),0)</f>
        <v>0</v>
      </c>
      <c r="BC127" s="286">
        <f t="shared" si="173"/>
        <v>-763.59999999999991</v>
      </c>
      <c r="BD127" s="286">
        <f t="shared" si="174"/>
        <v>-5474.8784999999998</v>
      </c>
      <c r="BE127" s="287"/>
      <c r="BF127" s="287"/>
      <c r="BG127" s="287"/>
      <c r="BH127" s="286">
        <f t="shared" si="175"/>
        <v>209508.14152320186</v>
      </c>
      <c r="BI127" s="307">
        <f t="shared" si="176"/>
        <v>216935.19392671064</v>
      </c>
      <c r="BJ127" s="307">
        <f>_xlfn.IFNA(VLOOKUP(A127,'LA Deductions'!A:AH,34,FALSE),0)</f>
        <v>0</v>
      </c>
      <c r="BK127" s="307"/>
      <c r="BL127" s="308">
        <f>_xlfn.IFNA((VLOOKUP($A127,HN!$A:$M,8,FALSE)/12),0)</f>
        <v>0</v>
      </c>
      <c r="BM127" s="308">
        <f>_xlfn.IFNA((VLOOKUP($A127,HN!$A:$M,12,FALSE)/12),0)</f>
        <v>0</v>
      </c>
      <c r="BN127" s="308">
        <f>_xlfn.IFNA((VLOOKUP($A127,HN!$A:$M,9,FALSE)/12),0)</f>
        <v>0</v>
      </c>
      <c r="BO127" s="308">
        <f>_xlfn.IFNA((VLOOKUP($A127,'Post 16'!$A:$AR,22,FALSE)/4),0)</f>
        <v>0</v>
      </c>
      <c r="BP127" s="308"/>
      <c r="BQ127" s="308">
        <f>_xlfn.IFNA(((VLOOKUP($A127,HN!$A:$M,10,FALSE)-$U127-$AK127)/10),0)</f>
        <v>2864.1208333333334</v>
      </c>
      <c r="BR127" s="308">
        <f>_xlfn.IFNA(((VLOOKUP($A127,HN!$A:$M,13,FALSE)-$V127-$AL127)/10),0)</f>
        <v>0</v>
      </c>
      <c r="BS127" s="307">
        <f t="shared" si="177"/>
        <v>-763.59999999999991</v>
      </c>
      <c r="BT127" s="307">
        <f t="shared" si="178"/>
        <v>-5474.8784999999998</v>
      </c>
      <c r="BU127" s="308"/>
      <c r="BV127" s="308"/>
      <c r="BW127" s="308"/>
      <c r="BX127" s="307">
        <f t="shared" si="179"/>
        <v>213560.83626004396</v>
      </c>
      <c r="BY127" s="300">
        <f t="shared" si="180"/>
        <v>216935.19392671064</v>
      </c>
      <c r="BZ127" s="300"/>
      <c r="CA127" s="300"/>
      <c r="CB127" s="301">
        <f>_xlfn.IFNA((VLOOKUP($A127,HN!$A:$M,8,FALSE)/12),0)</f>
        <v>0</v>
      </c>
      <c r="CC127" s="301">
        <f>_xlfn.IFNA((VLOOKUP($A127,HN!$A:$M,12,FALSE)/12),0)</f>
        <v>0</v>
      </c>
      <c r="CD127" s="301">
        <f>_xlfn.IFNA((VLOOKUP($A127,HN!$A:$M,9,FALSE)/12),0)</f>
        <v>0</v>
      </c>
      <c r="CE127" s="301">
        <f>_xlfn.IFNA((VLOOKUP($A127,'Post 16'!$A:$AG,33,FALSE)/8),0)</f>
        <v>0</v>
      </c>
      <c r="CF127" s="301"/>
      <c r="CG127" s="301">
        <f>_xlfn.IFNA(((VLOOKUP($A127,HN!$A:$M,10,FALSE)-$U127-$AK127)/10),0)</f>
        <v>2864.1208333333334</v>
      </c>
      <c r="CH127" s="301">
        <f>_xlfn.IFNA(((VLOOKUP($A127,HN!$A:$M,13,FALSE)-$V127-$AL127)/10),0)</f>
        <v>0</v>
      </c>
      <c r="CI127" s="300">
        <f t="shared" si="181"/>
        <v>-763.59999999999991</v>
      </c>
      <c r="CJ127" s="300">
        <f t="shared" si="182"/>
        <v>-5474.8784999999998</v>
      </c>
      <c r="CK127" s="301"/>
      <c r="CL127" s="301"/>
      <c r="CM127" s="301"/>
      <c r="CN127" s="300">
        <f t="shared" si="183"/>
        <v>213560.83626004396</v>
      </c>
      <c r="CO127" s="332">
        <f t="shared" si="184"/>
        <v>216935.19392671064</v>
      </c>
      <c r="CP127" s="332"/>
      <c r="CQ127" s="332">
        <f>_xlfn.IFNA((VLOOKUP($A127,EY!$A:$AB,28,FALSE)-$CV127),0)</f>
        <v>23896.080000000002</v>
      </c>
      <c r="CR127" s="333">
        <f>_xlfn.IFNA((VLOOKUP($A127,HN!$A:$M,8,FALSE)/12),0)</f>
        <v>0</v>
      </c>
      <c r="CS127" s="333">
        <f>_xlfn.IFNA((VLOOKUP($A127,HN!$A:$M,12,FALSE)/12),0)</f>
        <v>0</v>
      </c>
      <c r="CT127" s="333">
        <f>_xlfn.IFNA((VLOOKUP($A127,HN!$A:$M,9,FALSE)/12),0)</f>
        <v>0</v>
      </c>
      <c r="CU127" s="333">
        <f>_xlfn.IFNA((VLOOKUP($A127,'Post 16'!$A:$AG,33,FALSE)/8),0)</f>
        <v>0</v>
      </c>
      <c r="CV127" s="333">
        <f>_xlfn.IFNA((VLOOKUP($A127,EY!$A:$AB,26,FALSE)*80%),0)</f>
        <v>0</v>
      </c>
      <c r="CW127" s="333">
        <f>_xlfn.IFNA(((VLOOKUP($A127,HN!$A:$M,10,FALSE)-$U127-$AK127)/10),0)</f>
        <v>2864.1208333333334</v>
      </c>
      <c r="CX127" s="333">
        <f>_xlfn.IFNA(((VLOOKUP($A127,HN!$A:$M,13,FALSE)-$V127-$AL127)/10),0)</f>
        <v>0</v>
      </c>
      <c r="CY127" s="332">
        <f t="shared" si="185"/>
        <v>-763.59999999999991</v>
      </c>
      <c r="CZ127" s="332">
        <f t="shared" si="186"/>
        <v>-5474.8784999999998</v>
      </c>
      <c r="DA127" s="333"/>
      <c r="DB127" s="333"/>
      <c r="DC127" s="333"/>
      <c r="DD127" s="332">
        <f t="shared" si="187"/>
        <v>237456.91626004397</v>
      </c>
      <c r="DE127" s="314">
        <f t="shared" si="188"/>
        <v>216935.19392671064</v>
      </c>
      <c r="DF127" s="314"/>
      <c r="DG127" s="314"/>
      <c r="DH127" s="315">
        <f>_xlfn.IFNA((VLOOKUP($A127,HN!$A:$M,8,FALSE)/12),0)</f>
        <v>0</v>
      </c>
      <c r="DI127" s="315">
        <f>_xlfn.IFNA((VLOOKUP($A127,HN!$A:$M,12,FALSE)/12),0)</f>
        <v>0</v>
      </c>
      <c r="DJ127" s="315">
        <f>_xlfn.IFNA((VLOOKUP($A127,HN!$A:$M,9,FALSE)/12),0)</f>
        <v>0</v>
      </c>
      <c r="DK127" s="315">
        <f>_xlfn.IFNA((VLOOKUP($A127,'Post 16'!$A:$AG,33,FALSE)/8),0)</f>
        <v>0</v>
      </c>
      <c r="DL127" s="315"/>
      <c r="DM127" s="315">
        <f>_xlfn.IFNA(((VLOOKUP($A127,HN!$A:$M,10,FALSE)-$U127-$AK127)/10),0)</f>
        <v>2864.1208333333334</v>
      </c>
      <c r="DN127" s="315">
        <f>_xlfn.IFNA(((VLOOKUP($A127,HN!$A:$M,13,FALSE)-$V127-$AL127)/10),0)</f>
        <v>0</v>
      </c>
      <c r="DO127" s="314">
        <f t="shared" si="189"/>
        <v>-763.59999999999991</v>
      </c>
      <c r="DP127" s="314">
        <f t="shared" si="190"/>
        <v>-5474.8784999999998</v>
      </c>
      <c r="DQ127" s="315"/>
      <c r="DR127" s="315"/>
      <c r="DS127" s="315"/>
      <c r="DT127" s="314">
        <f t="shared" si="191"/>
        <v>213560.83626004396</v>
      </c>
      <c r="DU127" s="307">
        <f t="shared" si="192"/>
        <v>216935.19392671064</v>
      </c>
      <c r="DV127" s="307"/>
      <c r="DW127" s="307"/>
      <c r="DX127" s="308">
        <f>_xlfn.IFNA((VLOOKUP($A127,HN!$A:$M,8,FALSE)/12),0)</f>
        <v>0</v>
      </c>
      <c r="DY127" s="308">
        <f>_xlfn.IFNA((VLOOKUP($A127,HN!$A:$M,12,FALSE)/12),0)</f>
        <v>0</v>
      </c>
      <c r="DZ127" s="308">
        <f>_xlfn.IFNA((VLOOKUP($A127,HN!$A:$M,9,FALSE)/12),0)</f>
        <v>0</v>
      </c>
      <c r="EA127" s="308">
        <f>_xlfn.IFNA((VLOOKUP($A127,'Post 16'!$A:$AG,33,FALSE)/8),0)</f>
        <v>0</v>
      </c>
      <c r="EB127" s="308"/>
      <c r="EC127" s="308">
        <f>_xlfn.IFNA(((VLOOKUP($A127,HN!$A:$M,10,FALSE)-$U127-$AK127)/10),0)</f>
        <v>2864.1208333333334</v>
      </c>
      <c r="ED127" s="308">
        <f>_xlfn.IFNA(((VLOOKUP($A127,HN!$A:$M,13,FALSE)-$V127-$AL127)/10),0)</f>
        <v>0</v>
      </c>
      <c r="EE127" s="307">
        <f t="shared" si="193"/>
        <v>-763.59999999999991</v>
      </c>
      <c r="EF127" s="307">
        <f t="shared" si="194"/>
        <v>-5474.8784999999998</v>
      </c>
      <c r="EG127" s="308"/>
      <c r="EH127" s="308"/>
      <c r="EI127" s="308"/>
      <c r="EJ127" s="307">
        <f t="shared" si="195"/>
        <v>213560.83626004396</v>
      </c>
      <c r="EK127" s="320">
        <f t="shared" si="196"/>
        <v>216935.19392671064</v>
      </c>
      <c r="EL127" s="320"/>
      <c r="EM127" s="320"/>
      <c r="EN127" s="321">
        <f>_xlfn.IFNA((VLOOKUP($A127,HN!$A:$M,8,FALSE)/12),0)</f>
        <v>0</v>
      </c>
      <c r="EO127" s="321">
        <f>_xlfn.IFNA((VLOOKUP($A127,HN!$A:$M,12,FALSE)/12),0)</f>
        <v>0</v>
      </c>
      <c r="EP127" s="321">
        <f>_xlfn.IFNA((VLOOKUP($A127,HN!$A:$M,9,FALSE)/12),0)</f>
        <v>0</v>
      </c>
      <c r="EQ127" s="321">
        <f>_xlfn.IFNA((VLOOKUP($A127,'Post 16'!$A:$AG,33,FALSE)/8),0)</f>
        <v>0</v>
      </c>
      <c r="ER127" s="321"/>
      <c r="ES127" s="321">
        <f>_xlfn.IFNA(((VLOOKUP($A127,HN!$A:$M,10,FALSE)-$U127-$AK127)/10),0)</f>
        <v>2864.1208333333334</v>
      </c>
      <c r="ET127" s="321">
        <f>_xlfn.IFNA(((VLOOKUP($A127,HN!$A:$M,13,FALSE)-$V127-$AL127)/10),0)</f>
        <v>0</v>
      </c>
      <c r="EU127" s="320">
        <f t="shared" si="197"/>
        <v>-763.59999999999991</v>
      </c>
      <c r="EV127" s="320">
        <f t="shared" si="198"/>
        <v>-5474.8784999999998</v>
      </c>
      <c r="EW127" s="321"/>
      <c r="EX127" s="321"/>
      <c r="EY127" s="321"/>
      <c r="EZ127" s="320">
        <f t="shared" si="199"/>
        <v>213560.83626004396</v>
      </c>
      <c r="FA127" s="286">
        <f t="shared" si="200"/>
        <v>216935.19392671064</v>
      </c>
      <c r="FB127" s="286"/>
      <c r="FC127" s="286"/>
      <c r="FD127" s="287">
        <f>_xlfn.IFNA((VLOOKUP($A127,HN!$A:$M,8,FALSE)/12),0)</f>
        <v>0</v>
      </c>
      <c r="FE127" s="287">
        <f>_xlfn.IFNA((VLOOKUP($A127,HN!$A:$M,12,FALSE)/12),0)</f>
        <v>0</v>
      </c>
      <c r="FF127" s="287">
        <f>_xlfn.IFNA((VLOOKUP($A127,HN!$A:$M,9,FALSE)/12),0)</f>
        <v>0</v>
      </c>
      <c r="FG127" s="287">
        <f>_xlfn.IFNA((VLOOKUP($A127,'Post 16'!$A:$AG,33,FALSE)/8),0)</f>
        <v>0</v>
      </c>
      <c r="FH127" s="287"/>
      <c r="FI127" s="287">
        <f>_xlfn.IFNA(((VLOOKUP($A127,HN!$A:$M,10,FALSE)-$U127-$AK127)/10),0)</f>
        <v>2864.1208333333334</v>
      </c>
      <c r="FJ127" s="287">
        <f>_xlfn.IFNA(((VLOOKUP($A127,HN!$A:$M,13,FALSE)-$V127-$AL127)/10),0)</f>
        <v>0</v>
      </c>
      <c r="FK127" s="286">
        <f t="shared" si="201"/>
        <v>-763.59999999999991</v>
      </c>
      <c r="FL127" s="286">
        <f t="shared" si="202"/>
        <v>-5474.8784999999998</v>
      </c>
      <c r="FM127" s="287"/>
      <c r="FN127" s="287"/>
      <c r="FO127" s="287"/>
      <c r="FP127" s="286">
        <f t="shared" si="203"/>
        <v>213560.83626004396</v>
      </c>
      <c r="FQ127" s="293">
        <f t="shared" si="204"/>
        <v>216935.19392671064</v>
      </c>
      <c r="FR127" s="293"/>
      <c r="FS127" s="293"/>
      <c r="FT127" s="294">
        <f>_xlfn.IFNA((VLOOKUP($A127,HN!$A:$M,8,FALSE)/12),0)</f>
        <v>0</v>
      </c>
      <c r="FU127" s="294">
        <f>_xlfn.IFNA((VLOOKUP($A127,HN!$A:$M,12,FALSE)/12),0)</f>
        <v>0</v>
      </c>
      <c r="FV127" s="294">
        <f>_xlfn.IFNA((VLOOKUP($A127,HN!$A:$M,9,FALSE)/12),0)</f>
        <v>0</v>
      </c>
      <c r="FW127" s="294">
        <f>_xlfn.IFNA((VLOOKUP($A127,'Post 16'!$A:$AG,33,FALSE)/8),0)</f>
        <v>0</v>
      </c>
      <c r="FX127" s="294"/>
      <c r="FY127" s="294">
        <f>_xlfn.IFNA(((VLOOKUP($A127,HN!$A:$M,10,FALSE)-$U127-$AK127)/10),0)</f>
        <v>2864.1208333333334</v>
      </c>
      <c r="FZ127" s="294">
        <f>_xlfn.IFNA(((VLOOKUP($A127,HN!$A:$M,13,FALSE)-$V127-$AL127)/10),0)</f>
        <v>0</v>
      </c>
      <c r="GA127" s="293">
        <f t="shared" si="205"/>
        <v>-763.59999999999991</v>
      </c>
      <c r="GB127" s="293">
        <f t="shared" si="206"/>
        <v>-5474.8784999999998</v>
      </c>
      <c r="GC127" s="294"/>
      <c r="GD127" s="294"/>
      <c r="GE127" s="294"/>
      <c r="GF127" s="293">
        <f t="shared" si="207"/>
        <v>213560.83626004396</v>
      </c>
      <c r="GG127" s="300">
        <f t="shared" si="208"/>
        <v>216935.19392671064</v>
      </c>
      <c r="GH127" s="300"/>
      <c r="GI127" s="300"/>
      <c r="GJ127" s="301">
        <f>_xlfn.IFNA((VLOOKUP($A127,HN!$A:$M,8,FALSE)/12),0)</f>
        <v>0</v>
      </c>
      <c r="GK127" s="301">
        <f>_xlfn.IFNA((VLOOKUP($A127,HN!$A:$M,12,FALSE)/12),0)</f>
        <v>0</v>
      </c>
      <c r="GL127" s="301">
        <f>_xlfn.IFNA((VLOOKUP($A127,HN!$A:$M,9,FALSE)/12),0)</f>
        <v>0</v>
      </c>
      <c r="GM127" s="301">
        <f>_xlfn.IFNA((VLOOKUP($A127,'Post 16'!$A:$AG,33,FALSE)/8),0)</f>
        <v>0</v>
      </c>
      <c r="GN127" s="301"/>
      <c r="GO127" s="301">
        <f>_xlfn.IFNA(((VLOOKUP($A127,HN!$A:$M,10,FALSE)-$U127-$AK127)/10),0)</f>
        <v>2864.1208333333334</v>
      </c>
      <c r="GP127" s="301">
        <f>_xlfn.IFNA(((VLOOKUP($A127,HN!$A:$M,13,FALSE)-$V127-$AL127)/10),0)</f>
        <v>0</v>
      </c>
      <c r="GQ127" s="300">
        <f t="shared" si="209"/>
        <v>-763.59999999999991</v>
      </c>
      <c r="GR127" s="300">
        <f t="shared" si="210"/>
        <v>-5474.8784999999998</v>
      </c>
      <c r="GS127" s="301"/>
      <c r="GT127" s="301"/>
      <c r="GU127" s="301"/>
      <c r="GV127" s="300">
        <f t="shared" si="211"/>
        <v>213560.83626004396</v>
      </c>
      <c r="GX127" s="146">
        <f t="shared" si="214"/>
        <v>2654516.8723836858</v>
      </c>
      <c r="GY127" s="146">
        <f t="shared" si="214"/>
        <v>0</v>
      </c>
      <c r="GZ127" s="146">
        <f t="shared" si="214"/>
        <v>43496.000000000007</v>
      </c>
      <c r="HA127" s="146">
        <f t="shared" si="214"/>
        <v>-9163.2000000000007</v>
      </c>
      <c r="HB127" s="146">
        <f t="shared" si="214"/>
        <v>-65698.542000000001</v>
      </c>
      <c r="HC127" s="146">
        <f t="shared" si="214"/>
        <v>0</v>
      </c>
      <c r="HE127" s="146">
        <f t="shared" si="215"/>
        <v>678204.04704328987</v>
      </c>
      <c r="HF127" s="146">
        <f t="shared" si="215"/>
        <v>0</v>
      </c>
      <c r="HG127" s="146">
        <f t="shared" si="215"/>
        <v>17718.912499999999</v>
      </c>
      <c r="HH127" s="146">
        <f t="shared" si="215"/>
        <v>-2290.7999999999997</v>
      </c>
      <c r="HI127" s="146">
        <f t="shared" si="215"/>
        <v>-16424.6355</v>
      </c>
      <c r="HJ127" s="146">
        <f t="shared" si="215"/>
        <v>0</v>
      </c>
      <c r="HL127" s="146"/>
      <c r="HM127" s="57"/>
    </row>
    <row r="128" spans="1:221">
      <c r="A128" s="185">
        <v>1018</v>
      </c>
      <c r="B128" s="185">
        <v>103131</v>
      </c>
      <c r="C128" s="185" t="s">
        <v>279</v>
      </c>
      <c r="D128" s="2" t="s">
        <v>280</v>
      </c>
      <c r="E128" s="190" t="s">
        <v>36</v>
      </c>
      <c r="F128" s="190" t="s">
        <v>890</v>
      </c>
      <c r="H128" s="271">
        <f>_xlfn.IFNA(VLOOKUP($A128,ISB!$A$4:$BY$441,67,FALSE),0)</f>
        <v>0</v>
      </c>
      <c r="I128" s="271">
        <f>_xlfn.IFNA(VLOOKUP($A128,ISB!$A$4:$BY$441,72,FALSE),0)</f>
        <v>0</v>
      </c>
      <c r="J128" s="271">
        <f>-_xlfn.IFNA(VLOOKUP($A128,ISB!$A$4:$BY$441,76,FALSE),0)</f>
        <v>0</v>
      </c>
      <c r="K128" s="271">
        <f>_xlfn.IFNA(VLOOKUP($A128,ISB!$A$4:$BY$441,77,FALSE),0)</f>
        <v>0</v>
      </c>
      <c r="M128" s="279">
        <f t="shared" si="164"/>
        <v>0</v>
      </c>
      <c r="N128" s="279"/>
      <c r="O128" s="279">
        <f>_xlfn.IFNA(VLOOKUP($A128,EY!$A:$H,8,FALSE)+(VLOOKUP($A128,EY!$A:$R,18,FALSE)-$T128),0)</f>
        <v>557875.31236808351</v>
      </c>
      <c r="P128" s="280">
        <f>_xlfn.IFNA((VLOOKUP($A128,HN!$A:$M,8,FALSE)/12),0)</f>
        <v>0</v>
      </c>
      <c r="Q128" s="280">
        <f>_xlfn.IFNA((VLOOKUP($A128,HN!$A:$M,12,FALSE)/12),0)</f>
        <v>0</v>
      </c>
      <c r="R128" s="280">
        <f>_xlfn.IFNA((VLOOKUP($A128,HN!$A:$M,9,FALSE)/12),0)</f>
        <v>0</v>
      </c>
      <c r="S128" s="280">
        <f>_xlfn.IFNA((VLOOKUP($A128,'Post 16'!$A:$AR,22,FALSE)/4),0)</f>
        <v>0</v>
      </c>
      <c r="T128" s="280">
        <f>_xlfn.IFNA((VLOOKUP($A128,EY!$A:$R,16,FALSE)*80%),0)</f>
        <v>13260</v>
      </c>
      <c r="U128" s="280">
        <v>3830.1666666666665</v>
      </c>
      <c r="V128" s="280">
        <v>0</v>
      </c>
      <c r="W128" s="279">
        <f t="shared" si="165"/>
        <v>0</v>
      </c>
      <c r="X128" s="279">
        <f t="shared" si="166"/>
        <v>0</v>
      </c>
      <c r="Y128" s="280"/>
      <c r="Z128" s="280"/>
      <c r="AA128" s="280"/>
      <c r="AB128" s="279">
        <f t="shared" si="167"/>
        <v>574965.47903475014</v>
      </c>
      <c r="AC128" s="293">
        <f t="shared" si="168"/>
        <v>0</v>
      </c>
      <c r="AD128" s="293"/>
      <c r="AE128" s="293"/>
      <c r="AF128" s="294">
        <f>_xlfn.IFNA((VLOOKUP($A128,HN!$A:$M,8,FALSE)/12),0)</f>
        <v>0</v>
      </c>
      <c r="AG128" s="294">
        <f>_xlfn.IFNA((VLOOKUP($A128,HN!$A:$M,12,FALSE)/12),0)+_xlfn.IFNA(VLOOKUP($A128,HN!$A:$Q,17,FALSE),0)</f>
        <v>0</v>
      </c>
      <c r="AH128" s="294">
        <f>_xlfn.IFNA((VLOOKUP($A128,HN!$A:$M,9,FALSE)/12),0)</f>
        <v>0</v>
      </c>
      <c r="AI128" s="294">
        <f>_xlfn.IFNA((VLOOKUP($A128,'Post 16'!$A:$AR,22,FALSE)/4),0)</f>
        <v>0</v>
      </c>
      <c r="AJ128" s="294"/>
      <c r="AK128" s="294">
        <v>-3830.1666666666665</v>
      </c>
      <c r="AL128" s="294">
        <f>_xlfn.IFNA((VLOOKUP($A128,HN!$A:$M,13,FALSE)/12),0)</f>
        <v>0</v>
      </c>
      <c r="AM128" s="293">
        <f t="shared" si="169"/>
        <v>0</v>
      </c>
      <c r="AN128" s="293">
        <f t="shared" si="170"/>
        <v>0</v>
      </c>
      <c r="AO128" s="294"/>
      <c r="AP128" s="294"/>
      <c r="AQ128" s="294"/>
      <c r="AR128" s="293">
        <f t="shared" si="171"/>
        <v>-3830.1666666666665</v>
      </c>
      <c r="AS128" s="286">
        <f t="shared" si="172"/>
        <v>0</v>
      </c>
      <c r="AT128" s="286"/>
      <c r="AU128" s="286">
        <f>_xlfn.IFNA(VLOOKUP(A128,EY!A:AO,40,FALSE),0)</f>
        <v>23975.874044321328</v>
      </c>
      <c r="AV128" s="287">
        <f>_xlfn.IFNA((VLOOKUP($A128,HN!$A:$M,8,FALSE)/12),0)</f>
        <v>0</v>
      </c>
      <c r="AW128" s="287">
        <f>_xlfn.IFNA((VLOOKUP($A128,HN!$A:$M,12,FALSE)/12),0)+_xlfn.IFNA(VLOOKUP($A128,HN!$A$8:$AU$200,19,FALSE),0)</f>
        <v>0</v>
      </c>
      <c r="AX128" s="287">
        <f>_xlfn.IFNA((VLOOKUP($A128,HN!$A:$M,9,FALSE)/12),0)</f>
        <v>0</v>
      </c>
      <c r="AY128" s="287">
        <f>_xlfn.IFNA((VLOOKUP($A128,'Post 16'!$A:$AR,22,FALSE)/4),0)</f>
        <v>0</v>
      </c>
      <c r="AZ128" s="287">
        <f>_xlfn.IFNA(VLOOKUP(A128,EY!A:AO,41,FALSE),0)</f>
        <v>-1870.8033240997233</v>
      </c>
      <c r="BA128" s="287">
        <f>_xlfn.IFNA(((VLOOKUP($A128,HN!$A:$M,10,FALSE)-$U128-$AK128)/10),0)+_xlfn.IFNA(VLOOKUP($A128,HN!$A:$R,18,FALSE),0)</f>
        <v>0</v>
      </c>
      <c r="BB128" s="287">
        <f>_xlfn.IFNA(((VLOOKUP($A128,HN!$A:$M,13,FALSE)-$V128-$AL128)/10),0)+_xlfn.IFNA(VLOOKUP($A128,HN!$A$8:$AU$200,20,FALSE),0)</f>
        <v>0</v>
      </c>
      <c r="BC128" s="286">
        <f t="shared" si="173"/>
        <v>0</v>
      </c>
      <c r="BD128" s="286">
        <f t="shared" si="174"/>
        <v>0</v>
      </c>
      <c r="BE128" s="287"/>
      <c r="BF128" s="287"/>
      <c r="BG128" s="287"/>
      <c r="BH128" s="286">
        <f t="shared" si="175"/>
        <v>22105.070720221604</v>
      </c>
      <c r="BI128" s="307">
        <f t="shared" si="176"/>
        <v>0</v>
      </c>
      <c r="BJ128" s="307">
        <f>_xlfn.IFNA(VLOOKUP(A128,'LA Deductions'!A:AH,34,FALSE),0)</f>
        <v>0</v>
      </c>
      <c r="BK128" s="307"/>
      <c r="BL128" s="308">
        <f>_xlfn.IFNA((VLOOKUP($A128,HN!$A:$M,8,FALSE)/12),0)</f>
        <v>0</v>
      </c>
      <c r="BM128" s="308">
        <f>_xlfn.IFNA((VLOOKUP($A128,HN!$A:$M,12,FALSE)/12),0)</f>
        <v>0</v>
      </c>
      <c r="BN128" s="308">
        <f>_xlfn.IFNA((VLOOKUP($A128,HN!$A:$M,9,FALSE)/12),0)</f>
        <v>0</v>
      </c>
      <c r="BO128" s="308">
        <f>_xlfn.IFNA((VLOOKUP($A128,'Post 16'!$A:$AR,22,FALSE)/4),0)</f>
        <v>0</v>
      </c>
      <c r="BP128" s="308"/>
      <c r="BQ128" s="308">
        <f>_xlfn.IFNA(((VLOOKUP($A128,HN!$A:$M,10,FALSE)-$U128-$AK128)/10),0)</f>
        <v>0</v>
      </c>
      <c r="BR128" s="308">
        <f>_xlfn.IFNA(((VLOOKUP($A128,HN!$A:$M,13,FALSE)-$V128-$AL128)/10),0)</f>
        <v>0</v>
      </c>
      <c r="BS128" s="307">
        <f t="shared" si="177"/>
        <v>0</v>
      </c>
      <c r="BT128" s="307">
        <f t="shared" si="178"/>
        <v>0</v>
      </c>
      <c r="BU128" s="308"/>
      <c r="BV128" s="308"/>
      <c r="BW128" s="308"/>
      <c r="BX128" s="307">
        <f t="shared" si="179"/>
        <v>0</v>
      </c>
      <c r="BY128" s="300">
        <f t="shared" si="180"/>
        <v>0</v>
      </c>
      <c r="BZ128" s="300"/>
      <c r="CA128" s="300"/>
      <c r="CB128" s="301">
        <f>_xlfn.IFNA((VLOOKUP($A128,HN!$A:$M,8,FALSE)/12),0)</f>
        <v>0</v>
      </c>
      <c r="CC128" s="301">
        <f>_xlfn.IFNA((VLOOKUP($A128,HN!$A:$M,12,FALSE)/12),0)</f>
        <v>0</v>
      </c>
      <c r="CD128" s="301">
        <f>_xlfn.IFNA((VLOOKUP($A128,HN!$A:$M,9,FALSE)/12),0)</f>
        <v>0</v>
      </c>
      <c r="CE128" s="301">
        <f>_xlfn.IFNA((VLOOKUP($A128,'Post 16'!$A:$AG,33,FALSE)/8),0)</f>
        <v>0</v>
      </c>
      <c r="CF128" s="301"/>
      <c r="CG128" s="301">
        <f>_xlfn.IFNA(((VLOOKUP($A128,HN!$A:$M,10,FALSE)-$U128-$AK128)/10),0)</f>
        <v>0</v>
      </c>
      <c r="CH128" s="301">
        <f>_xlfn.IFNA(((VLOOKUP($A128,HN!$A:$M,13,FALSE)-$V128-$AL128)/10),0)</f>
        <v>0</v>
      </c>
      <c r="CI128" s="300">
        <f t="shared" si="181"/>
        <v>0</v>
      </c>
      <c r="CJ128" s="300">
        <f t="shared" si="182"/>
        <v>0</v>
      </c>
      <c r="CK128" s="301"/>
      <c r="CL128" s="301"/>
      <c r="CM128" s="301"/>
      <c r="CN128" s="300">
        <f t="shared" si="183"/>
        <v>0</v>
      </c>
      <c r="CO128" s="332">
        <f t="shared" si="184"/>
        <v>0</v>
      </c>
      <c r="CP128" s="332"/>
      <c r="CQ128" s="332">
        <f>_xlfn.IFNA((VLOOKUP($A128,EY!$A:$AB,28,FALSE)-$CV128),0)</f>
        <v>186161.67494736845</v>
      </c>
      <c r="CR128" s="333">
        <f>_xlfn.IFNA((VLOOKUP($A128,HN!$A:$M,8,FALSE)/12),0)</f>
        <v>0</v>
      </c>
      <c r="CS128" s="333">
        <f>_xlfn.IFNA((VLOOKUP($A128,HN!$A:$M,12,FALSE)/12),0)</f>
        <v>0</v>
      </c>
      <c r="CT128" s="333">
        <f>_xlfn.IFNA((VLOOKUP($A128,HN!$A:$M,9,FALSE)/12),0)</f>
        <v>0</v>
      </c>
      <c r="CU128" s="333">
        <f>_xlfn.IFNA((VLOOKUP($A128,'Post 16'!$A:$AG,33,FALSE)/8),0)</f>
        <v>0</v>
      </c>
      <c r="CV128" s="333">
        <f>_xlfn.IFNA((VLOOKUP($A128,EY!$A:$AB,26,FALSE)*80%),0)</f>
        <v>3900</v>
      </c>
      <c r="CW128" s="333">
        <f>_xlfn.IFNA(((VLOOKUP($A128,HN!$A:$M,10,FALSE)-$U128-$AK128)/10),0)</f>
        <v>0</v>
      </c>
      <c r="CX128" s="333">
        <f>_xlfn.IFNA(((VLOOKUP($A128,HN!$A:$M,13,FALSE)-$V128-$AL128)/10),0)</f>
        <v>0</v>
      </c>
      <c r="CY128" s="332">
        <f t="shared" si="185"/>
        <v>0</v>
      </c>
      <c r="CZ128" s="332">
        <f t="shared" si="186"/>
        <v>0</v>
      </c>
      <c r="DA128" s="333"/>
      <c r="DB128" s="333"/>
      <c r="DC128" s="333"/>
      <c r="DD128" s="332">
        <f t="shared" si="187"/>
        <v>190061.67494736845</v>
      </c>
      <c r="DE128" s="314">
        <f t="shared" si="188"/>
        <v>0</v>
      </c>
      <c r="DF128" s="314"/>
      <c r="DG128" s="314"/>
      <c r="DH128" s="315">
        <f>_xlfn.IFNA((VLOOKUP($A128,HN!$A:$M,8,FALSE)/12),0)</f>
        <v>0</v>
      </c>
      <c r="DI128" s="315">
        <f>_xlfn.IFNA((VLOOKUP($A128,HN!$A:$M,12,FALSE)/12),0)</f>
        <v>0</v>
      </c>
      <c r="DJ128" s="315">
        <f>_xlfn.IFNA((VLOOKUP($A128,HN!$A:$M,9,FALSE)/12),0)</f>
        <v>0</v>
      </c>
      <c r="DK128" s="315">
        <f>_xlfn.IFNA((VLOOKUP($A128,'Post 16'!$A:$AG,33,FALSE)/8),0)</f>
        <v>0</v>
      </c>
      <c r="DL128" s="315"/>
      <c r="DM128" s="315">
        <f>_xlfn.IFNA(((VLOOKUP($A128,HN!$A:$M,10,FALSE)-$U128-$AK128)/10),0)</f>
        <v>0</v>
      </c>
      <c r="DN128" s="315">
        <f>_xlfn.IFNA(((VLOOKUP($A128,HN!$A:$M,13,FALSE)-$V128-$AL128)/10),0)</f>
        <v>0</v>
      </c>
      <c r="DO128" s="314">
        <f t="shared" si="189"/>
        <v>0</v>
      </c>
      <c r="DP128" s="314">
        <f t="shared" si="190"/>
        <v>0</v>
      </c>
      <c r="DQ128" s="315"/>
      <c r="DR128" s="315"/>
      <c r="DS128" s="315"/>
      <c r="DT128" s="314">
        <f t="shared" si="191"/>
        <v>0</v>
      </c>
      <c r="DU128" s="307">
        <f t="shared" si="192"/>
        <v>0</v>
      </c>
      <c r="DV128" s="307"/>
      <c r="DW128" s="307"/>
      <c r="DX128" s="308">
        <f>_xlfn.IFNA((VLOOKUP($A128,HN!$A:$M,8,FALSE)/12),0)</f>
        <v>0</v>
      </c>
      <c r="DY128" s="308">
        <f>_xlfn.IFNA((VLOOKUP($A128,HN!$A:$M,12,FALSE)/12),0)</f>
        <v>0</v>
      </c>
      <c r="DZ128" s="308">
        <f>_xlfn.IFNA((VLOOKUP($A128,HN!$A:$M,9,FALSE)/12),0)</f>
        <v>0</v>
      </c>
      <c r="EA128" s="308">
        <f>_xlfn.IFNA((VLOOKUP($A128,'Post 16'!$A:$AG,33,FALSE)/8),0)</f>
        <v>0</v>
      </c>
      <c r="EB128" s="308"/>
      <c r="EC128" s="308">
        <f>_xlfn.IFNA(((VLOOKUP($A128,HN!$A:$M,10,FALSE)-$U128-$AK128)/10),0)</f>
        <v>0</v>
      </c>
      <c r="ED128" s="308">
        <f>_xlfn.IFNA(((VLOOKUP($A128,HN!$A:$M,13,FALSE)-$V128-$AL128)/10),0)</f>
        <v>0</v>
      </c>
      <c r="EE128" s="307">
        <f t="shared" si="193"/>
        <v>0</v>
      </c>
      <c r="EF128" s="307">
        <f t="shared" si="194"/>
        <v>0</v>
      </c>
      <c r="EG128" s="308"/>
      <c r="EH128" s="308"/>
      <c r="EI128" s="308"/>
      <c r="EJ128" s="307">
        <f t="shared" si="195"/>
        <v>0</v>
      </c>
      <c r="EK128" s="320">
        <f t="shared" si="196"/>
        <v>0</v>
      </c>
      <c r="EL128" s="320"/>
      <c r="EM128" s="320"/>
      <c r="EN128" s="321">
        <f>_xlfn.IFNA((VLOOKUP($A128,HN!$A:$M,8,FALSE)/12),0)</f>
        <v>0</v>
      </c>
      <c r="EO128" s="321">
        <f>_xlfn.IFNA((VLOOKUP($A128,HN!$A:$M,12,FALSE)/12),0)</f>
        <v>0</v>
      </c>
      <c r="EP128" s="321">
        <f>_xlfn.IFNA((VLOOKUP($A128,HN!$A:$M,9,FALSE)/12),0)</f>
        <v>0</v>
      </c>
      <c r="EQ128" s="321">
        <f>_xlfn.IFNA((VLOOKUP($A128,'Post 16'!$A:$AG,33,FALSE)/8),0)</f>
        <v>0</v>
      </c>
      <c r="ER128" s="321"/>
      <c r="ES128" s="321">
        <f>_xlfn.IFNA(((VLOOKUP($A128,HN!$A:$M,10,FALSE)-$U128-$AK128)/10),0)</f>
        <v>0</v>
      </c>
      <c r="ET128" s="321">
        <f>_xlfn.IFNA(((VLOOKUP($A128,HN!$A:$M,13,FALSE)-$V128-$AL128)/10),0)</f>
        <v>0</v>
      </c>
      <c r="EU128" s="320">
        <f t="shared" si="197"/>
        <v>0</v>
      </c>
      <c r="EV128" s="320">
        <f t="shared" si="198"/>
        <v>0</v>
      </c>
      <c r="EW128" s="321"/>
      <c r="EX128" s="321"/>
      <c r="EY128" s="321"/>
      <c r="EZ128" s="320">
        <f t="shared" si="199"/>
        <v>0</v>
      </c>
      <c r="FA128" s="286">
        <f t="shared" si="200"/>
        <v>0</v>
      </c>
      <c r="FB128" s="286"/>
      <c r="FC128" s="286"/>
      <c r="FD128" s="287">
        <f>_xlfn.IFNA((VLOOKUP($A128,HN!$A:$M,8,FALSE)/12),0)</f>
        <v>0</v>
      </c>
      <c r="FE128" s="287">
        <f>_xlfn.IFNA((VLOOKUP($A128,HN!$A:$M,12,FALSE)/12),0)</f>
        <v>0</v>
      </c>
      <c r="FF128" s="287">
        <f>_xlfn.IFNA((VLOOKUP($A128,HN!$A:$M,9,FALSE)/12),0)</f>
        <v>0</v>
      </c>
      <c r="FG128" s="287">
        <f>_xlfn.IFNA((VLOOKUP($A128,'Post 16'!$A:$AG,33,FALSE)/8),0)</f>
        <v>0</v>
      </c>
      <c r="FH128" s="287"/>
      <c r="FI128" s="287">
        <f>_xlfn.IFNA(((VLOOKUP($A128,HN!$A:$M,10,FALSE)-$U128-$AK128)/10),0)</f>
        <v>0</v>
      </c>
      <c r="FJ128" s="287">
        <f>_xlfn.IFNA(((VLOOKUP($A128,HN!$A:$M,13,FALSE)-$V128-$AL128)/10),0)</f>
        <v>0</v>
      </c>
      <c r="FK128" s="286">
        <f t="shared" si="201"/>
        <v>0</v>
      </c>
      <c r="FL128" s="286">
        <f t="shared" si="202"/>
        <v>0</v>
      </c>
      <c r="FM128" s="287"/>
      <c r="FN128" s="287"/>
      <c r="FO128" s="287"/>
      <c r="FP128" s="286">
        <f t="shared" si="203"/>
        <v>0</v>
      </c>
      <c r="FQ128" s="293">
        <f t="shared" si="204"/>
        <v>0</v>
      </c>
      <c r="FR128" s="293"/>
      <c r="FS128" s="293"/>
      <c r="FT128" s="294">
        <f>_xlfn.IFNA((VLOOKUP($A128,HN!$A:$M,8,FALSE)/12),0)</f>
        <v>0</v>
      </c>
      <c r="FU128" s="294">
        <f>_xlfn.IFNA((VLOOKUP($A128,HN!$A:$M,12,FALSE)/12),0)</f>
        <v>0</v>
      </c>
      <c r="FV128" s="294">
        <f>_xlfn.IFNA((VLOOKUP($A128,HN!$A:$M,9,FALSE)/12),0)</f>
        <v>0</v>
      </c>
      <c r="FW128" s="294">
        <f>_xlfn.IFNA((VLOOKUP($A128,'Post 16'!$A:$AG,33,FALSE)/8),0)</f>
        <v>0</v>
      </c>
      <c r="FX128" s="294"/>
      <c r="FY128" s="294">
        <f>_xlfn.IFNA(((VLOOKUP($A128,HN!$A:$M,10,FALSE)-$U128-$AK128)/10),0)</f>
        <v>0</v>
      </c>
      <c r="FZ128" s="294">
        <f>_xlfn.IFNA(((VLOOKUP($A128,HN!$A:$M,13,FALSE)-$V128-$AL128)/10),0)</f>
        <v>0</v>
      </c>
      <c r="GA128" s="293">
        <f t="shared" si="205"/>
        <v>0</v>
      </c>
      <c r="GB128" s="293">
        <f t="shared" si="206"/>
        <v>0</v>
      </c>
      <c r="GC128" s="294"/>
      <c r="GD128" s="294"/>
      <c r="GE128" s="294"/>
      <c r="GF128" s="293">
        <f t="shared" si="207"/>
        <v>0</v>
      </c>
      <c r="GG128" s="300">
        <f t="shared" si="208"/>
        <v>0</v>
      </c>
      <c r="GH128" s="300"/>
      <c r="GI128" s="300"/>
      <c r="GJ128" s="301">
        <f>_xlfn.IFNA((VLOOKUP($A128,HN!$A:$M,8,FALSE)/12),0)</f>
        <v>0</v>
      </c>
      <c r="GK128" s="301">
        <f>_xlfn.IFNA((VLOOKUP($A128,HN!$A:$M,12,FALSE)/12),0)</f>
        <v>0</v>
      </c>
      <c r="GL128" s="301">
        <f>_xlfn.IFNA((VLOOKUP($A128,HN!$A:$M,9,FALSE)/12),0)</f>
        <v>0</v>
      </c>
      <c r="GM128" s="301">
        <f>_xlfn.IFNA((VLOOKUP($A128,'Post 16'!$A:$AG,33,FALSE)/8),0)</f>
        <v>0</v>
      </c>
      <c r="GN128" s="301"/>
      <c r="GO128" s="301">
        <f>_xlfn.IFNA(((VLOOKUP($A128,HN!$A:$M,10,FALSE)-$U128-$AK128)/10),0)</f>
        <v>0</v>
      </c>
      <c r="GP128" s="301">
        <f>_xlfn.IFNA(((VLOOKUP($A128,HN!$A:$M,13,FALSE)-$V128-$AL128)/10),0)</f>
        <v>0</v>
      </c>
      <c r="GQ128" s="300">
        <f t="shared" si="209"/>
        <v>0</v>
      </c>
      <c r="GR128" s="300">
        <f t="shared" si="210"/>
        <v>0</v>
      </c>
      <c r="GS128" s="301"/>
      <c r="GT128" s="301"/>
      <c r="GU128" s="301"/>
      <c r="GV128" s="300">
        <f t="shared" si="211"/>
        <v>0</v>
      </c>
      <c r="GX128" s="146">
        <f t="shared" ref="GX128:HC137" si="216">SUMIFS($M128:$GV128,$M$7:$GV$7,GX$7)</f>
        <v>768012.86135977332</v>
      </c>
      <c r="GY128" s="146">
        <f t="shared" si="216"/>
        <v>0</v>
      </c>
      <c r="GZ128" s="146">
        <f t="shared" si="216"/>
        <v>15289.196675900279</v>
      </c>
      <c r="HA128" s="146">
        <f t="shared" si="216"/>
        <v>0</v>
      </c>
      <c r="HB128" s="146">
        <f t="shared" si="216"/>
        <v>0</v>
      </c>
      <c r="HC128" s="146">
        <f t="shared" si="216"/>
        <v>0</v>
      </c>
      <c r="HE128" s="146">
        <f t="shared" ref="HE128:HJ137" si="217">SUMIFS($M128:$GV128,$M$7:$GV$7,HE$7,$M$4:$GV$4,$HE$6)</f>
        <v>581851.18641240487</v>
      </c>
      <c r="HF128" s="146">
        <f t="shared" si="217"/>
        <v>0</v>
      </c>
      <c r="HG128" s="146">
        <f t="shared" si="217"/>
        <v>11389.196675900279</v>
      </c>
      <c r="HH128" s="146">
        <f t="shared" si="217"/>
        <v>0</v>
      </c>
      <c r="HI128" s="146">
        <f t="shared" si="217"/>
        <v>0</v>
      </c>
      <c r="HJ128" s="146">
        <f t="shared" si="217"/>
        <v>0</v>
      </c>
      <c r="HL128" s="146"/>
      <c r="HM128" s="57"/>
    </row>
    <row r="129" spans="1:221">
      <c r="A129" s="185">
        <v>1000</v>
      </c>
      <c r="B129" s="185">
        <v>137796</v>
      </c>
      <c r="C129" s="185" t="s">
        <v>281</v>
      </c>
      <c r="D129" s="2" t="s">
        <v>282</v>
      </c>
      <c r="E129" s="190" t="s">
        <v>36</v>
      </c>
      <c r="F129" s="190" t="s">
        <v>890</v>
      </c>
      <c r="H129" s="271">
        <f>_xlfn.IFNA(VLOOKUP($A129,ISB!$A$4:$BY$441,67,FALSE),0)</f>
        <v>0</v>
      </c>
      <c r="I129" s="271">
        <f>_xlfn.IFNA(VLOOKUP($A129,ISB!$A$4:$BY$441,72,FALSE),0)</f>
        <v>0</v>
      </c>
      <c r="J129" s="271">
        <f>-_xlfn.IFNA(VLOOKUP($A129,ISB!$A$4:$BY$441,76,FALSE),0)</f>
        <v>0</v>
      </c>
      <c r="K129" s="271">
        <f>_xlfn.IFNA(VLOOKUP($A129,ISB!$A$4:$BY$441,77,FALSE),0)</f>
        <v>0</v>
      </c>
      <c r="M129" s="279">
        <f t="shared" si="164"/>
        <v>0</v>
      </c>
      <c r="N129" s="279"/>
      <c r="O129" s="279">
        <f>_xlfn.IFNA(VLOOKUP($A129,EY!$A:$H,8,FALSE)+(VLOOKUP($A129,EY!$A:$R,18,FALSE)-$T129),0)</f>
        <v>273208.28067712032</v>
      </c>
      <c r="P129" s="280">
        <f>_xlfn.IFNA((VLOOKUP($A129,HN!$A:$M,8,FALSE)/12),0)</f>
        <v>0</v>
      </c>
      <c r="Q129" s="280">
        <f>_xlfn.IFNA((VLOOKUP($A129,HN!$A:$M,12,FALSE)/12),0)</f>
        <v>0</v>
      </c>
      <c r="R129" s="280">
        <f>_xlfn.IFNA((VLOOKUP($A129,HN!$A:$M,9,FALSE)/12),0)</f>
        <v>0</v>
      </c>
      <c r="S129" s="280">
        <f>_xlfn.IFNA((VLOOKUP($A129,'Post 16'!$A:$AR,22,FALSE)/4),0)</f>
        <v>0</v>
      </c>
      <c r="T129" s="280">
        <f>_xlfn.IFNA((VLOOKUP($A129,EY!$A:$R,16,FALSE)*80%),0)</f>
        <v>780</v>
      </c>
      <c r="U129" s="280">
        <v>1651.25</v>
      </c>
      <c r="V129" s="280">
        <v>0</v>
      </c>
      <c r="W129" s="279">
        <f t="shared" si="165"/>
        <v>0</v>
      </c>
      <c r="X129" s="279">
        <f t="shared" si="166"/>
        <v>0</v>
      </c>
      <c r="Y129" s="280"/>
      <c r="Z129" s="280"/>
      <c r="AA129" s="280"/>
      <c r="AB129" s="279">
        <f t="shared" si="167"/>
        <v>275639.53067712032</v>
      </c>
      <c r="AC129" s="293">
        <f t="shared" si="168"/>
        <v>0</v>
      </c>
      <c r="AD129" s="293"/>
      <c r="AE129" s="293"/>
      <c r="AF129" s="294">
        <f>_xlfn.IFNA((VLOOKUP($A129,HN!$A:$M,8,FALSE)/12),0)</f>
        <v>0</v>
      </c>
      <c r="AG129" s="294">
        <f>_xlfn.IFNA((VLOOKUP($A129,HN!$A:$M,12,FALSE)/12),0)+_xlfn.IFNA(VLOOKUP($A129,HN!$A:$Q,17,FALSE),0)</f>
        <v>0</v>
      </c>
      <c r="AH129" s="294">
        <f>_xlfn.IFNA((VLOOKUP($A129,HN!$A:$M,9,FALSE)/12),0)</f>
        <v>0</v>
      </c>
      <c r="AI129" s="294">
        <f>_xlfn.IFNA((VLOOKUP($A129,'Post 16'!$A:$AR,22,FALSE)/4),0)</f>
        <v>0</v>
      </c>
      <c r="AJ129" s="294"/>
      <c r="AK129" s="294">
        <v>-1651.25</v>
      </c>
      <c r="AL129" s="294">
        <f>_xlfn.IFNA((VLOOKUP($A129,HN!$A:$M,13,FALSE)/12),0)</f>
        <v>0</v>
      </c>
      <c r="AM129" s="293">
        <f t="shared" si="169"/>
        <v>0</v>
      </c>
      <c r="AN129" s="293">
        <f t="shared" si="170"/>
        <v>0</v>
      </c>
      <c r="AO129" s="294"/>
      <c r="AP129" s="294"/>
      <c r="AQ129" s="294"/>
      <c r="AR129" s="293">
        <f t="shared" si="171"/>
        <v>-1651.25</v>
      </c>
      <c r="AS129" s="286">
        <f t="shared" si="172"/>
        <v>0</v>
      </c>
      <c r="AT129" s="286"/>
      <c r="AU129" s="286">
        <f>_xlfn.IFNA(VLOOKUP(A129,EY!A:AO,40,FALSE),0)</f>
        <v>-19682.983472576176</v>
      </c>
      <c r="AV129" s="287">
        <f>_xlfn.IFNA((VLOOKUP($A129,HN!$A:$M,8,FALSE)/12),0)</f>
        <v>0</v>
      </c>
      <c r="AW129" s="287">
        <f>_xlfn.IFNA((VLOOKUP($A129,HN!$A:$M,12,FALSE)/12),0)+_xlfn.IFNA(VLOOKUP($A129,HN!$A$8:$AU$200,19,FALSE),0)</f>
        <v>0</v>
      </c>
      <c r="AX129" s="287">
        <f>_xlfn.IFNA((VLOOKUP($A129,HN!$A:$M,9,FALSE)/12),0)</f>
        <v>0</v>
      </c>
      <c r="AY129" s="287">
        <f>_xlfn.IFNA((VLOOKUP($A129,'Post 16'!$A:$AR,22,FALSE)/4),0)</f>
        <v>0</v>
      </c>
      <c r="AZ129" s="287">
        <f>_xlfn.IFNA(VLOOKUP(A129,EY!A:AO,41,FALSE),0)</f>
        <v>-299.3285318559557</v>
      </c>
      <c r="BA129" s="287">
        <f>_xlfn.IFNA(((VLOOKUP($A129,HN!$A:$M,10,FALSE)-$U129-$AK129)/10),0)+_xlfn.IFNA(VLOOKUP($A129,HN!$A:$R,18,FALSE),0)</f>
        <v>0</v>
      </c>
      <c r="BB129" s="287">
        <f>_xlfn.IFNA(((VLOOKUP($A129,HN!$A:$M,13,FALSE)-$V129-$AL129)/10),0)+_xlfn.IFNA(VLOOKUP($A129,HN!$A$8:$AU$200,20,FALSE),0)</f>
        <v>0</v>
      </c>
      <c r="BC129" s="286">
        <f t="shared" si="173"/>
        <v>0</v>
      </c>
      <c r="BD129" s="286">
        <f t="shared" si="174"/>
        <v>0</v>
      </c>
      <c r="BE129" s="287"/>
      <c r="BF129" s="287"/>
      <c r="BG129" s="287"/>
      <c r="BH129" s="286">
        <f t="shared" si="175"/>
        <v>-19982.312004432133</v>
      </c>
      <c r="BI129" s="307">
        <f t="shared" si="176"/>
        <v>0</v>
      </c>
      <c r="BJ129" s="307">
        <f>_xlfn.IFNA(VLOOKUP(A129,'LA Deductions'!A:AH,34,FALSE),0)</f>
        <v>0</v>
      </c>
      <c r="BK129" s="307"/>
      <c r="BL129" s="308">
        <f>_xlfn.IFNA((VLOOKUP($A129,HN!$A:$M,8,FALSE)/12),0)</f>
        <v>0</v>
      </c>
      <c r="BM129" s="308">
        <f>_xlfn.IFNA((VLOOKUP($A129,HN!$A:$M,12,FALSE)/12),0)</f>
        <v>0</v>
      </c>
      <c r="BN129" s="308">
        <f>_xlfn.IFNA((VLOOKUP($A129,HN!$A:$M,9,FALSE)/12),0)</f>
        <v>0</v>
      </c>
      <c r="BO129" s="308">
        <f>_xlfn.IFNA((VLOOKUP($A129,'Post 16'!$A:$AR,22,FALSE)/4),0)</f>
        <v>0</v>
      </c>
      <c r="BP129" s="308"/>
      <c r="BQ129" s="308">
        <f>_xlfn.IFNA(((VLOOKUP($A129,HN!$A:$M,10,FALSE)-$U129-$AK129)/10),0)</f>
        <v>0</v>
      </c>
      <c r="BR129" s="308">
        <f>_xlfn.IFNA(((VLOOKUP($A129,HN!$A:$M,13,FALSE)-$V129-$AL129)/10),0)</f>
        <v>0</v>
      </c>
      <c r="BS129" s="307">
        <f t="shared" si="177"/>
        <v>0</v>
      </c>
      <c r="BT129" s="307">
        <f t="shared" si="178"/>
        <v>0</v>
      </c>
      <c r="BU129" s="308"/>
      <c r="BV129" s="308"/>
      <c r="BW129" s="308"/>
      <c r="BX129" s="307">
        <f t="shared" si="179"/>
        <v>0</v>
      </c>
      <c r="BY129" s="300">
        <f t="shared" si="180"/>
        <v>0</v>
      </c>
      <c r="BZ129" s="300"/>
      <c r="CA129" s="300"/>
      <c r="CB129" s="301">
        <f>_xlfn.IFNA((VLOOKUP($A129,HN!$A:$M,8,FALSE)/12),0)</f>
        <v>0</v>
      </c>
      <c r="CC129" s="301">
        <f>_xlfn.IFNA((VLOOKUP($A129,HN!$A:$M,12,FALSE)/12),0)</f>
        <v>0</v>
      </c>
      <c r="CD129" s="301">
        <f>_xlfn.IFNA((VLOOKUP($A129,HN!$A:$M,9,FALSE)/12),0)</f>
        <v>0</v>
      </c>
      <c r="CE129" s="301">
        <f>_xlfn.IFNA((VLOOKUP($A129,'Post 16'!$A:$AG,33,FALSE)/8),0)</f>
        <v>0</v>
      </c>
      <c r="CF129" s="301"/>
      <c r="CG129" s="301">
        <f>_xlfn.IFNA(((VLOOKUP($A129,HN!$A:$M,10,FALSE)-$U129-$AK129)/10),0)</f>
        <v>0</v>
      </c>
      <c r="CH129" s="301">
        <f>_xlfn.IFNA(((VLOOKUP($A129,HN!$A:$M,13,FALSE)-$V129-$AL129)/10),0)</f>
        <v>0</v>
      </c>
      <c r="CI129" s="300">
        <f t="shared" si="181"/>
        <v>0</v>
      </c>
      <c r="CJ129" s="300">
        <f t="shared" si="182"/>
        <v>0</v>
      </c>
      <c r="CK129" s="301"/>
      <c r="CL129" s="301"/>
      <c r="CM129" s="301"/>
      <c r="CN129" s="300">
        <f t="shared" si="183"/>
        <v>0</v>
      </c>
      <c r="CO129" s="332">
        <f t="shared" si="184"/>
        <v>0</v>
      </c>
      <c r="CP129" s="332"/>
      <c r="CQ129" s="332">
        <f>_xlfn.IFNA((VLOOKUP($A129,EY!$A:$AB,28,FALSE)-$CV129),0)</f>
        <v>51041.856</v>
      </c>
      <c r="CR129" s="333">
        <f>_xlfn.IFNA((VLOOKUP($A129,HN!$A:$M,8,FALSE)/12),0)</f>
        <v>0</v>
      </c>
      <c r="CS129" s="333">
        <f>_xlfn.IFNA((VLOOKUP($A129,HN!$A:$M,12,FALSE)/12),0)</f>
        <v>0</v>
      </c>
      <c r="CT129" s="333">
        <f>_xlfn.IFNA((VLOOKUP($A129,HN!$A:$M,9,FALSE)/12),0)</f>
        <v>0</v>
      </c>
      <c r="CU129" s="333">
        <f>_xlfn.IFNA((VLOOKUP($A129,'Post 16'!$A:$AG,33,FALSE)/8),0)</f>
        <v>0</v>
      </c>
      <c r="CV129" s="333">
        <f>_xlfn.IFNA((VLOOKUP($A129,EY!$A:$AB,26,FALSE)*80%),0)</f>
        <v>0</v>
      </c>
      <c r="CW129" s="333">
        <f>_xlfn.IFNA(((VLOOKUP($A129,HN!$A:$M,10,FALSE)-$U129-$AK129)/10),0)</f>
        <v>0</v>
      </c>
      <c r="CX129" s="333">
        <f>_xlfn.IFNA(((VLOOKUP($A129,HN!$A:$M,13,FALSE)-$V129-$AL129)/10),0)</f>
        <v>0</v>
      </c>
      <c r="CY129" s="332">
        <f t="shared" si="185"/>
        <v>0</v>
      </c>
      <c r="CZ129" s="332">
        <f t="shared" si="186"/>
        <v>0</v>
      </c>
      <c r="DA129" s="333"/>
      <c r="DB129" s="333"/>
      <c r="DC129" s="333"/>
      <c r="DD129" s="332">
        <f t="shared" si="187"/>
        <v>51041.856</v>
      </c>
      <c r="DE129" s="314">
        <f t="shared" si="188"/>
        <v>0</v>
      </c>
      <c r="DF129" s="314"/>
      <c r="DG129" s="314"/>
      <c r="DH129" s="315">
        <f>_xlfn.IFNA((VLOOKUP($A129,HN!$A:$M,8,FALSE)/12),0)</f>
        <v>0</v>
      </c>
      <c r="DI129" s="315">
        <f>_xlfn.IFNA((VLOOKUP($A129,HN!$A:$M,12,FALSE)/12),0)</f>
        <v>0</v>
      </c>
      <c r="DJ129" s="315">
        <f>_xlfn.IFNA((VLOOKUP($A129,HN!$A:$M,9,FALSE)/12),0)</f>
        <v>0</v>
      </c>
      <c r="DK129" s="315">
        <f>_xlfn.IFNA((VLOOKUP($A129,'Post 16'!$A:$AG,33,FALSE)/8),0)</f>
        <v>0</v>
      </c>
      <c r="DL129" s="315"/>
      <c r="DM129" s="315">
        <f>_xlfn.IFNA(((VLOOKUP($A129,HN!$A:$M,10,FALSE)-$U129-$AK129)/10),0)</f>
        <v>0</v>
      </c>
      <c r="DN129" s="315">
        <f>_xlfn.IFNA(((VLOOKUP($A129,HN!$A:$M,13,FALSE)-$V129-$AL129)/10),0)</f>
        <v>0</v>
      </c>
      <c r="DO129" s="314">
        <f t="shared" si="189"/>
        <v>0</v>
      </c>
      <c r="DP129" s="314">
        <f t="shared" si="190"/>
        <v>0</v>
      </c>
      <c r="DQ129" s="315"/>
      <c r="DR129" s="315"/>
      <c r="DS129" s="315"/>
      <c r="DT129" s="314">
        <f t="shared" si="191"/>
        <v>0</v>
      </c>
      <c r="DU129" s="307">
        <f t="shared" si="192"/>
        <v>0</v>
      </c>
      <c r="DV129" s="307"/>
      <c r="DW129" s="307"/>
      <c r="DX129" s="308">
        <f>_xlfn.IFNA((VLOOKUP($A129,HN!$A:$M,8,FALSE)/12),0)</f>
        <v>0</v>
      </c>
      <c r="DY129" s="308">
        <f>_xlfn.IFNA((VLOOKUP($A129,HN!$A:$M,12,FALSE)/12),0)</f>
        <v>0</v>
      </c>
      <c r="DZ129" s="308">
        <f>_xlfn.IFNA((VLOOKUP($A129,HN!$A:$M,9,FALSE)/12),0)</f>
        <v>0</v>
      </c>
      <c r="EA129" s="308">
        <f>_xlfn.IFNA((VLOOKUP($A129,'Post 16'!$A:$AG,33,FALSE)/8),0)</f>
        <v>0</v>
      </c>
      <c r="EB129" s="308"/>
      <c r="EC129" s="308">
        <f>_xlfn.IFNA(((VLOOKUP($A129,HN!$A:$M,10,FALSE)-$U129-$AK129)/10),0)</f>
        <v>0</v>
      </c>
      <c r="ED129" s="308">
        <f>_xlfn.IFNA(((VLOOKUP($A129,HN!$A:$M,13,FALSE)-$V129-$AL129)/10),0)</f>
        <v>0</v>
      </c>
      <c r="EE129" s="307">
        <f t="shared" si="193"/>
        <v>0</v>
      </c>
      <c r="EF129" s="307">
        <f t="shared" si="194"/>
        <v>0</v>
      </c>
      <c r="EG129" s="308"/>
      <c r="EH129" s="308"/>
      <c r="EI129" s="308"/>
      <c r="EJ129" s="307">
        <f t="shared" si="195"/>
        <v>0</v>
      </c>
      <c r="EK129" s="320">
        <f t="shared" si="196"/>
        <v>0</v>
      </c>
      <c r="EL129" s="320"/>
      <c r="EM129" s="320"/>
      <c r="EN129" s="321">
        <f>_xlfn.IFNA((VLOOKUP($A129,HN!$A:$M,8,FALSE)/12),0)</f>
        <v>0</v>
      </c>
      <c r="EO129" s="321">
        <f>_xlfn.IFNA((VLOOKUP($A129,HN!$A:$M,12,FALSE)/12),0)</f>
        <v>0</v>
      </c>
      <c r="EP129" s="321">
        <f>_xlfn.IFNA((VLOOKUP($A129,HN!$A:$M,9,FALSE)/12),0)</f>
        <v>0</v>
      </c>
      <c r="EQ129" s="321">
        <f>_xlfn.IFNA((VLOOKUP($A129,'Post 16'!$A:$AG,33,FALSE)/8),0)</f>
        <v>0</v>
      </c>
      <c r="ER129" s="321"/>
      <c r="ES129" s="321">
        <f>_xlfn.IFNA(((VLOOKUP($A129,HN!$A:$M,10,FALSE)-$U129-$AK129)/10),0)</f>
        <v>0</v>
      </c>
      <c r="ET129" s="321">
        <f>_xlfn.IFNA(((VLOOKUP($A129,HN!$A:$M,13,FALSE)-$V129-$AL129)/10),0)</f>
        <v>0</v>
      </c>
      <c r="EU129" s="320">
        <f t="shared" si="197"/>
        <v>0</v>
      </c>
      <c r="EV129" s="320">
        <f t="shared" si="198"/>
        <v>0</v>
      </c>
      <c r="EW129" s="321"/>
      <c r="EX129" s="321"/>
      <c r="EY129" s="321"/>
      <c r="EZ129" s="320">
        <f t="shared" si="199"/>
        <v>0</v>
      </c>
      <c r="FA129" s="286">
        <f t="shared" si="200"/>
        <v>0</v>
      </c>
      <c r="FB129" s="286"/>
      <c r="FC129" s="286"/>
      <c r="FD129" s="287">
        <f>_xlfn.IFNA((VLOOKUP($A129,HN!$A:$M,8,FALSE)/12),0)</f>
        <v>0</v>
      </c>
      <c r="FE129" s="287">
        <f>_xlfn.IFNA((VLOOKUP($A129,HN!$A:$M,12,FALSE)/12),0)</f>
        <v>0</v>
      </c>
      <c r="FF129" s="287">
        <f>_xlfn.IFNA((VLOOKUP($A129,HN!$A:$M,9,FALSE)/12),0)</f>
        <v>0</v>
      </c>
      <c r="FG129" s="287">
        <f>_xlfn.IFNA((VLOOKUP($A129,'Post 16'!$A:$AG,33,FALSE)/8),0)</f>
        <v>0</v>
      </c>
      <c r="FH129" s="287"/>
      <c r="FI129" s="287">
        <f>_xlfn.IFNA(((VLOOKUP($A129,HN!$A:$M,10,FALSE)-$U129-$AK129)/10),0)</f>
        <v>0</v>
      </c>
      <c r="FJ129" s="287">
        <f>_xlfn.IFNA(((VLOOKUP($A129,HN!$A:$M,13,FALSE)-$V129-$AL129)/10),0)</f>
        <v>0</v>
      </c>
      <c r="FK129" s="286">
        <f t="shared" si="201"/>
        <v>0</v>
      </c>
      <c r="FL129" s="286">
        <f t="shared" si="202"/>
        <v>0</v>
      </c>
      <c r="FM129" s="287"/>
      <c r="FN129" s="287"/>
      <c r="FO129" s="287"/>
      <c r="FP129" s="286">
        <f t="shared" si="203"/>
        <v>0</v>
      </c>
      <c r="FQ129" s="293">
        <f t="shared" si="204"/>
        <v>0</v>
      </c>
      <c r="FR129" s="293"/>
      <c r="FS129" s="293"/>
      <c r="FT129" s="294">
        <f>_xlfn.IFNA((VLOOKUP($A129,HN!$A:$M,8,FALSE)/12),0)</f>
        <v>0</v>
      </c>
      <c r="FU129" s="294">
        <f>_xlfn.IFNA((VLOOKUP($A129,HN!$A:$M,12,FALSE)/12),0)</f>
        <v>0</v>
      </c>
      <c r="FV129" s="294">
        <f>_xlfn.IFNA((VLOOKUP($A129,HN!$A:$M,9,FALSE)/12),0)</f>
        <v>0</v>
      </c>
      <c r="FW129" s="294">
        <f>_xlfn.IFNA((VLOOKUP($A129,'Post 16'!$A:$AG,33,FALSE)/8),0)</f>
        <v>0</v>
      </c>
      <c r="FX129" s="294"/>
      <c r="FY129" s="294">
        <f>_xlfn.IFNA(((VLOOKUP($A129,HN!$A:$M,10,FALSE)-$U129-$AK129)/10),0)</f>
        <v>0</v>
      </c>
      <c r="FZ129" s="294">
        <f>_xlfn.IFNA(((VLOOKUP($A129,HN!$A:$M,13,FALSE)-$V129-$AL129)/10),0)</f>
        <v>0</v>
      </c>
      <c r="GA129" s="293">
        <f t="shared" si="205"/>
        <v>0</v>
      </c>
      <c r="GB129" s="293">
        <f t="shared" si="206"/>
        <v>0</v>
      </c>
      <c r="GC129" s="294"/>
      <c r="GD129" s="294"/>
      <c r="GE129" s="294"/>
      <c r="GF129" s="293">
        <f t="shared" si="207"/>
        <v>0</v>
      </c>
      <c r="GG129" s="300">
        <f t="shared" si="208"/>
        <v>0</v>
      </c>
      <c r="GH129" s="300"/>
      <c r="GI129" s="300"/>
      <c r="GJ129" s="301">
        <f>_xlfn.IFNA((VLOOKUP($A129,HN!$A:$M,8,FALSE)/12),0)</f>
        <v>0</v>
      </c>
      <c r="GK129" s="301">
        <f>_xlfn.IFNA((VLOOKUP($A129,HN!$A:$M,12,FALSE)/12),0)</f>
        <v>0</v>
      </c>
      <c r="GL129" s="301">
        <f>_xlfn.IFNA((VLOOKUP($A129,HN!$A:$M,9,FALSE)/12),0)</f>
        <v>0</v>
      </c>
      <c r="GM129" s="301">
        <f>_xlfn.IFNA((VLOOKUP($A129,'Post 16'!$A:$AG,33,FALSE)/8),0)</f>
        <v>0</v>
      </c>
      <c r="GN129" s="301"/>
      <c r="GO129" s="301">
        <f>_xlfn.IFNA(((VLOOKUP($A129,HN!$A:$M,10,FALSE)-$U129-$AK129)/10),0)</f>
        <v>0</v>
      </c>
      <c r="GP129" s="301">
        <f>_xlfn.IFNA(((VLOOKUP($A129,HN!$A:$M,13,FALSE)-$V129-$AL129)/10),0)</f>
        <v>0</v>
      </c>
      <c r="GQ129" s="300">
        <f t="shared" si="209"/>
        <v>0</v>
      </c>
      <c r="GR129" s="300">
        <f t="shared" si="210"/>
        <v>0</v>
      </c>
      <c r="GS129" s="301"/>
      <c r="GT129" s="301"/>
      <c r="GU129" s="301"/>
      <c r="GV129" s="300">
        <f t="shared" si="211"/>
        <v>0</v>
      </c>
      <c r="GX129" s="146">
        <f t="shared" si="216"/>
        <v>304567.1532045441</v>
      </c>
      <c r="GY129" s="146">
        <f t="shared" si="216"/>
        <v>0</v>
      </c>
      <c r="GZ129" s="146">
        <f t="shared" si="216"/>
        <v>480.6714681440443</v>
      </c>
      <c r="HA129" s="146">
        <f t="shared" si="216"/>
        <v>0</v>
      </c>
      <c r="HB129" s="146">
        <f t="shared" si="216"/>
        <v>0</v>
      </c>
      <c r="HC129" s="146">
        <f t="shared" si="216"/>
        <v>0</v>
      </c>
      <c r="HE129" s="146">
        <f t="shared" si="217"/>
        <v>253525.29720454413</v>
      </c>
      <c r="HF129" s="146">
        <f t="shared" si="217"/>
        <v>0</v>
      </c>
      <c r="HG129" s="146">
        <f t="shared" si="217"/>
        <v>480.6714681440443</v>
      </c>
      <c r="HH129" s="146">
        <f t="shared" si="217"/>
        <v>0</v>
      </c>
      <c r="HI129" s="146">
        <f t="shared" si="217"/>
        <v>0</v>
      </c>
      <c r="HJ129" s="146">
        <f t="shared" si="217"/>
        <v>0</v>
      </c>
      <c r="HL129" s="146"/>
      <c r="HM129" s="57"/>
    </row>
    <row r="130" spans="1:221">
      <c r="A130" s="185">
        <v>7033</v>
      </c>
      <c r="B130" s="185">
        <v>103613</v>
      </c>
      <c r="C130" s="185" t="s">
        <v>283</v>
      </c>
      <c r="D130" s="2" t="s">
        <v>284</v>
      </c>
      <c r="E130" s="190" t="s">
        <v>56</v>
      </c>
      <c r="F130" s="190" t="s">
        <v>890</v>
      </c>
      <c r="H130" s="271">
        <f>_xlfn.IFNA(VLOOKUP($A130,ISB!$A$4:$BY$441,67,FALSE),0)</f>
        <v>0</v>
      </c>
      <c r="I130" s="271">
        <f>_xlfn.IFNA(VLOOKUP($A130,ISB!$A$4:$BY$441,72,FALSE),0)</f>
        <v>0</v>
      </c>
      <c r="J130" s="271">
        <f>-_xlfn.IFNA(VLOOKUP($A130,ISB!$A$4:$BY$441,76,FALSE),0)</f>
        <v>0</v>
      </c>
      <c r="K130" s="271">
        <f>_xlfn.IFNA(VLOOKUP($A130,ISB!$A$4:$BY$441,77,FALSE),0)</f>
        <v>0</v>
      </c>
      <c r="M130" s="279">
        <f t="shared" si="164"/>
        <v>0</v>
      </c>
      <c r="N130" s="279"/>
      <c r="O130" s="279">
        <f>_xlfn.IFNA(VLOOKUP($A130,EY!$A:$H,8,FALSE)+(VLOOKUP($A130,EY!$A:$R,18,FALSE)-$T130),0)</f>
        <v>0</v>
      </c>
      <c r="P130" s="280">
        <f>_xlfn.IFNA((VLOOKUP($A130,HN!$A:$M,8,FALSE)/12),0)</f>
        <v>240000</v>
      </c>
      <c r="Q130" s="280">
        <f>_xlfn.IFNA((VLOOKUP($A130,HN!$A:$M,12,FALSE)/12),0)</f>
        <v>0</v>
      </c>
      <c r="R130" s="280">
        <f>_xlfn.IFNA((VLOOKUP($A130,HN!$A:$M,9,FALSE)/12),0)</f>
        <v>89166.666666666672</v>
      </c>
      <c r="S130" s="280">
        <f>_xlfn.IFNA((VLOOKUP($A130,'Post 16'!$A:$AR,22,FALSE)/4),0)</f>
        <v>0</v>
      </c>
      <c r="T130" s="280">
        <f>_xlfn.IFNA((VLOOKUP($A130,EY!$A:$R,16,FALSE)*80%),0)</f>
        <v>0</v>
      </c>
      <c r="U130" s="280">
        <v>374265.84250000003</v>
      </c>
      <c r="V130" s="280">
        <v>0</v>
      </c>
      <c r="W130" s="279">
        <f t="shared" si="165"/>
        <v>0</v>
      </c>
      <c r="X130" s="279">
        <f t="shared" si="166"/>
        <v>0</v>
      </c>
      <c r="Y130" s="280"/>
      <c r="Z130" s="280"/>
      <c r="AA130" s="280"/>
      <c r="AB130" s="279">
        <f t="shared" si="167"/>
        <v>703432.50916666677</v>
      </c>
      <c r="AC130" s="293">
        <f t="shared" si="168"/>
        <v>0</v>
      </c>
      <c r="AD130" s="293"/>
      <c r="AE130" s="293"/>
      <c r="AF130" s="294">
        <f>_xlfn.IFNA((VLOOKUP($A130,HN!$A:$M,8,FALSE)/12),0)</f>
        <v>240000</v>
      </c>
      <c r="AG130" s="294">
        <f>_xlfn.IFNA((VLOOKUP($A130,HN!$A:$M,12,FALSE)/12),0)+_xlfn.IFNA(VLOOKUP($A130,HN!$A:$Q,17,FALSE),0)</f>
        <v>0</v>
      </c>
      <c r="AH130" s="294">
        <f>_xlfn.IFNA((VLOOKUP($A130,HN!$A:$M,9,FALSE)/12),0)</f>
        <v>89166.666666666672</v>
      </c>
      <c r="AI130" s="294">
        <f>_xlfn.IFNA((VLOOKUP($A130,'Post 16'!$A:$AR,22,FALSE)/4),0)</f>
        <v>0</v>
      </c>
      <c r="AJ130" s="294"/>
      <c r="AK130" s="294">
        <f>_xlfn.IFNA((VLOOKUP($A130,HN!$A:$M,10,FALSE)/12),0)</f>
        <v>374265.84250000003</v>
      </c>
      <c r="AL130" s="294">
        <f>_xlfn.IFNA((VLOOKUP($A130,HN!$A:$M,13,FALSE)/12),0)</f>
        <v>0</v>
      </c>
      <c r="AM130" s="293">
        <f t="shared" si="169"/>
        <v>0</v>
      </c>
      <c r="AN130" s="293">
        <f t="shared" si="170"/>
        <v>0</v>
      </c>
      <c r="AO130" s="294"/>
      <c r="AP130" s="294"/>
      <c r="AQ130" s="294"/>
      <c r="AR130" s="293">
        <f t="shared" si="171"/>
        <v>703432.50916666677</v>
      </c>
      <c r="AS130" s="286">
        <f t="shared" si="172"/>
        <v>0</v>
      </c>
      <c r="AT130" s="286"/>
      <c r="AU130" s="286">
        <f>_xlfn.IFNA(VLOOKUP(A130,EY!A:AO,40,FALSE),0)</f>
        <v>0</v>
      </c>
      <c r="AV130" s="287">
        <f>_xlfn.IFNA((VLOOKUP($A130,HN!$A:$M,8,FALSE)/12),0)</f>
        <v>240000</v>
      </c>
      <c r="AW130" s="287">
        <f>_xlfn.IFNA((VLOOKUP($A130,HN!$A:$M,12,FALSE)/12),0)+_xlfn.IFNA(VLOOKUP($A130,HN!$A$8:$AU$200,19,FALSE),0)</f>
        <v>0</v>
      </c>
      <c r="AX130" s="287">
        <f>_xlfn.IFNA((VLOOKUP($A130,HN!$A:$M,9,FALSE)/12),0)</f>
        <v>89166.666666666672</v>
      </c>
      <c r="AY130" s="287">
        <f>_xlfn.IFNA((VLOOKUP($A130,'Post 16'!$A:$AR,22,FALSE)/4),0)</f>
        <v>0</v>
      </c>
      <c r="AZ130" s="287">
        <f>_xlfn.IFNA(VLOOKUP(A130,EY!A:AO,41,FALSE),0)</f>
        <v>0</v>
      </c>
      <c r="BA130" s="287">
        <f>_xlfn.IFNA(((VLOOKUP($A130,HN!$A:$M,10,FALSE)-$U130-$AK130)/10),0)+_xlfn.IFNA(VLOOKUP($A130,HN!$A:$R,18,FALSE),0)</f>
        <v>430372.84249999997</v>
      </c>
      <c r="BB130" s="287">
        <f>_xlfn.IFNA(((VLOOKUP($A130,HN!$A:$M,13,FALSE)-$V130-$AL130)/10),0)+_xlfn.IFNA(VLOOKUP($A130,HN!$A$8:$AU$200,20,FALSE),0)</f>
        <v>0</v>
      </c>
      <c r="BC130" s="286">
        <f t="shared" si="173"/>
        <v>0</v>
      </c>
      <c r="BD130" s="286">
        <f t="shared" si="174"/>
        <v>0</v>
      </c>
      <c r="BE130" s="287"/>
      <c r="BF130" s="287"/>
      <c r="BG130" s="287"/>
      <c r="BH130" s="286">
        <f t="shared" si="175"/>
        <v>759539.50916666666</v>
      </c>
      <c r="BI130" s="307">
        <f t="shared" si="176"/>
        <v>0</v>
      </c>
      <c r="BJ130" s="307">
        <f>_xlfn.IFNA(VLOOKUP(A130,'LA Deductions'!A:AH,34,FALSE),0)</f>
        <v>0</v>
      </c>
      <c r="BK130" s="307"/>
      <c r="BL130" s="308">
        <f>_xlfn.IFNA((VLOOKUP($A130,HN!$A:$M,8,FALSE)/12),0)</f>
        <v>240000</v>
      </c>
      <c r="BM130" s="308">
        <f>_xlfn.IFNA((VLOOKUP($A130,HN!$A:$M,12,FALSE)/12),0)</f>
        <v>0</v>
      </c>
      <c r="BN130" s="308">
        <f>_xlfn.IFNA((VLOOKUP($A130,HN!$A:$M,9,FALSE)/12),0)</f>
        <v>89166.666666666672</v>
      </c>
      <c r="BO130" s="308">
        <f>_xlfn.IFNA((VLOOKUP($A130,'Post 16'!$A:$AR,22,FALSE)/4),0)</f>
        <v>0</v>
      </c>
      <c r="BP130" s="308"/>
      <c r="BQ130" s="308">
        <f>_xlfn.IFNA(((VLOOKUP($A130,HN!$A:$M,10,FALSE)-$U130-$AK130)/10),0)</f>
        <v>374265.84249999997</v>
      </c>
      <c r="BR130" s="308">
        <f>_xlfn.IFNA(((VLOOKUP($A130,HN!$A:$M,13,FALSE)-$V130-$AL130)/10),0)</f>
        <v>0</v>
      </c>
      <c r="BS130" s="307">
        <f t="shared" si="177"/>
        <v>0</v>
      </c>
      <c r="BT130" s="307">
        <f t="shared" si="178"/>
        <v>0</v>
      </c>
      <c r="BU130" s="308"/>
      <c r="BV130" s="308"/>
      <c r="BW130" s="308"/>
      <c r="BX130" s="307">
        <f t="shared" si="179"/>
        <v>703432.50916666666</v>
      </c>
      <c r="BY130" s="300">
        <f t="shared" si="180"/>
        <v>0</v>
      </c>
      <c r="BZ130" s="300"/>
      <c r="CA130" s="300"/>
      <c r="CB130" s="301">
        <f>_xlfn.IFNA((VLOOKUP($A130,HN!$A:$M,8,FALSE)/12),0)</f>
        <v>240000</v>
      </c>
      <c r="CC130" s="301">
        <f>_xlfn.IFNA((VLOOKUP($A130,HN!$A:$M,12,FALSE)/12),0)</f>
        <v>0</v>
      </c>
      <c r="CD130" s="301">
        <f>_xlfn.IFNA((VLOOKUP($A130,HN!$A:$M,9,FALSE)/12),0)</f>
        <v>89166.666666666672</v>
      </c>
      <c r="CE130" s="301">
        <f>_xlfn.IFNA((VLOOKUP($A130,'Post 16'!$A:$AG,33,FALSE)/8),0)</f>
        <v>0</v>
      </c>
      <c r="CF130" s="301"/>
      <c r="CG130" s="301">
        <f>_xlfn.IFNA(((VLOOKUP($A130,HN!$A:$M,10,FALSE)-$U130-$AK130)/10),0)</f>
        <v>374265.84249999997</v>
      </c>
      <c r="CH130" s="301">
        <f>_xlfn.IFNA(((VLOOKUP($A130,HN!$A:$M,13,FALSE)-$V130-$AL130)/10),0)</f>
        <v>0</v>
      </c>
      <c r="CI130" s="300">
        <f t="shared" si="181"/>
        <v>0</v>
      </c>
      <c r="CJ130" s="300">
        <f t="shared" si="182"/>
        <v>0</v>
      </c>
      <c r="CK130" s="301"/>
      <c r="CL130" s="301"/>
      <c r="CM130" s="301"/>
      <c r="CN130" s="300">
        <f t="shared" si="183"/>
        <v>703432.50916666666</v>
      </c>
      <c r="CO130" s="332">
        <f t="shared" si="184"/>
        <v>0</v>
      </c>
      <c r="CP130" s="332"/>
      <c r="CQ130" s="332">
        <f>_xlfn.IFNA((VLOOKUP($A130,EY!$A:$AB,28,FALSE)-$CV130),0)</f>
        <v>0</v>
      </c>
      <c r="CR130" s="333">
        <f>_xlfn.IFNA((VLOOKUP($A130,HN!$A:$M,8,FALSE)/12),0)</f>
        <v>240000</v>
      </c>
      <c r="CS130" s="333">
        <f>_xlfn.IFNA((VLOOKUP($A130,HN!$A:$M,12,FALSE)/12),0)</f>
        <v>0</v>
      </c>
      <c r="CT130" s="333">
        <f>_xlfn.IFNA((VLOOKUP($A130,HN!$A:$M,9,FALSE)/12),0)</f>
        <v>89166.666666666672</v>
      </c>
      <c r="CU130" s="333">
        <f>_xlfn.IFNA((VLOOKUP($A130,'Post 16'!$A:$AG,33,FALSE)/8),0)</f>
        <v>0</v>
      </c>
      <c r="CV130" s="333">
        <f>_xlfn.IFNA((VLOOKUP($A130,EY!$A:$AB,26,FALSE)*80%),0)</f>
        <v>0</v>
      </c>
      <c r="CW130" s="333">
        <f>_xlfn.IFNA(((VLOOKUP($A130,HN!$A:$M,10,FALSE)-$U130-$AK130)/10),0)</f>
        <v>374265.84249999997</v>
      </c>
      <c r="CX130" s="333">
        <f>_xlfn.IFNA(((VLOOKUP($A130,HN!$A:$M,13,FALSE)-$V130-$AL130)/10),0)</f>
        <v>0</v>
      </c>
      <c r="CY130" s="332">
        <f t="shared" si="185"/>
        <v>0</v>
      </c>
      <c r="CZ130" s="332">
        <f t="shared" si="186"/>
        <v>0</v>
      </c>
      <c r="DA130" s="333"/>
      <c r="DB130" s="333"/>
      <c r="DC130" s="333"/>
      <c r="DD130" s="332">
        <f t="shared" si="187"/>
        <v>703432.50916666666</v>
      </c>
      <c r="DE130" s="314">
        <f t="shared" si="188"/>
        <v>0</v>
      </c>
      <c r="DF130" s="314"/>
      <c r="DG130" s="314"/>
      <c r="DH130" s="315">
        <f>_xlfn.IFNA((VLOOKUP($A130,HN!$A:$M,8,FALSE)/12),0)</f>
        <v>240000</v>
      </c>
      <c r="DI130" s="315">
        <f>_xlfn.IFNA((VLOOKUP($A130,HN!$A:$M,12,FALSE)/12),0)</f>
        <v>0</v>
      </c>
      <c r="DJ130" s="315">
        <f>_xlfn.IFNA((VLOOKUP($A130,HN!$A:$M,9,FALSE)/12),0)</f>
        <v>89166.666666666672</v>
      </c>
      <c r="DK130" s="315">
        <f>_xlfn.IFNA((VLOOKUP($A130,'Post 16'!$A:$AG,33,FALSE)/8),0)</f>
        <v>0</v>
      </c>
      <c r="DL130" s="315"/>
      <c r="DM130" s="315">
        <f>_xlfn.IFNA(((VLOOKUP($A130,HN!$A:$M,10,FALSE)-$U130-$AK130)/10),0)</f>
        <v>374265.84249999997</v>
      </c>
      <c r="DN130" s="315">
        <f>_xlfn.IFNA(((VLOOKUP($A130,HN!$A:$M,13,FALSE)-$V130-$AL130)/10),0)</f>
        <v>0</v>
      </c>
      <c r="DO130" s="314">
        <f t="shared" si="189"/>
        <v>0</v>
      </c>
      <c r="DP130" s="314">
        <f t="shared" si="190"/>
        <v>0</v>
      </c>
      <c r="DQ130" s="315"/>
      <c r="DR130" s="315"/>
      <c r="DS130" s="315"/>
      <c r="DT130" s="314">
        <f t="shared" si="191"/>
        <v>703432.50916666666</v>
      </c>
      <c r="DU130" s="307">
        <f t="shared" si="192"/>
        <v>0</v>
      </c>
      <c r="DV130" s="307"/>
      <c r="DW130" s="307"/>
      <c r="DX130" s="308">
        <f>_xlfn.IFNA((VLOOKUP($A130,HN!$A:$M,8,FALSE)/12),0)</f>
        <v>240000</v>
      </c>
      <c r="DY130" s="308">
        <f>_xlfn.IFNA((VLOOKUP($A130,HN!$A:$M,12,FALSE)/12),0)</f>
        <v>0</v>
      </c>
      <c r="DZ130" s="308">
        <f>_xlfn.IFNA((VLOOKUP($A130,HN!$A:$M,9,FALSE)/12),0)</f>
        <v>89166.666666666672</v>
      </c>
      <c r="EA130" s="308">
        <f>_xlfn.IFNA((VLOOKUP($A130,'Post 16'!$A:$AG,33,FALSE)/8),0)</f>
        <v>0</v>
      </c>
      <c r="EB130" s="308"/>
      <c r="EC130" s="308">
        <f>_xlfn.IFNA(((VLOOKUP($A130,HN!$A:$M,10,FALSE)-$U130-$AK130)/10),0)</f>
        <v>374265.84249999997</v>
      </c>
      <c r="ED130" s="308">
        <f>_xlfn.IFNA(((VLOOKUP($A130,HN!$A:$M,13,FALSE)-$V130-$AL130)/10),0)</f>
        <v>0</v>
      </c>
      <c r="EE130" s="307">
        <f t="shared" si="193"/>
        <v>0</v>
      </c>
      <c r="EF130" s="307">
        <f t="shared" si="194"/>
        <v>0</v>
      </c>
      <c r="EG130" s="308"/>
      <c r="EH130" s="308"/>
      <c r="EI130" s="308"/>
      <c r="EJ130" s="307">
        <f t="shared" si="195"/>
        <v>703432.50916666666</v>
      </c>
      <c r="EK130" s="320">
        <f t="shared" si="196"/>
        <v>0</v>
      </c>
      <c r="EL130" s="320"/>
      <c r="EM130" s="320"/>
      <c r="EN130" s="321">
        <f>_xlfn.IFNA((VLOOKUP($A130,HN!$A:$M,8,FALSE)/12),0)</f>
        <v>240000</v>
      </c>
      <c r="EO130" s="321">
        <f>_xlfn.IFNA((VLOOKUP($A130,HN!$A:$M,12,FALSE)/12),0)</f>
        <v>0</v>
      </c>
      <c r="EP130" s="321">
        <f>_xlfn.IFNA((VLOOKUP($A130,HN!$A:$M,9,FALSE)/12),0)</f>
        <v>89166.666666666672</v>
      </c>
      <c r="EQ130" s="321">
        <f>_xlfn.IFNA((VLOOKUP($A130,'Post 16'!$A:$AG,33,FALSE)/8),0)</f>
        <v>0</v>
      </c>
      <c r="ER130" s="321"/>
      <c r="ES130" s="321">
        <f>_xlfn.IFNA(((VLOOKUP($A130,HN!$A:$M,10,FALSE)-$U130-$AK130)/10),0)</f>
        <v>374265.84249999997</v>
      </c>
      <c r="ET130" s="321">
        <f>_xlfn.IFNA(((VLOOKUP($A130,HN!$A:$M,13,FALSE)-$V130-$AL130)/10),0)</f>
        <v>0</v>
      </c>
      <c r="EU130" s="320">
        <f t="shared" si="197"/>
        <v>0</v>
      </c>
      <c r="EV130" s="320">
        <f t="shared" si="198"/>
        <v>0</v>
      </c>
      <c r="EW130" s="321"/>
      <c r="EX130" s="321"/>
      <c r="EY130" s="321"/>
      <c r="EZ130" s="320">
        <f t="shared" si="199"/>
        <v>703432.50916666666</v>
      </c>
      <c r="FA130" s="286">
        <f t="shared" si="200"/>
        <v>0</v>
      </c>
      <c r="FB130" s="286"/>
      <c r="FC130" s="286"/>
      <c r="FD130" s="287">
        <f>_xlfn.IFNA((VLOOKUP($A130,HN!$A:$M,8,FALSE)/12),0)</f>
        <v>240000</v>
      </c>
      <c r="FE130" s="287">
        <f>_xlfn.IFNA((VLOOKUP($A130,HN!$A:$M,12,FALSE)/12),0)</f>
        <v>0</v>
      </c>
      <c r="FF130" s="287">
        <f>_xlfn.IFNA((VLOOKUP($A130,HN!$A:$M,9,FALSE)/12),0)</f>
        <v>89166.666666666672</v>
      </c>
      <c r="FG130" s="287">
        <f>_xlfn.IFNA((VLOOKUP($A130,'Post 16'!$A:$AG,33,FALSE)/8),0)</f>
        <v>0</v>
      </c>
      <c r="FH130" s="287"/>
      <c r="FI130" s="287">
        <f>_xlfn.IFNA(((VLOOKUP($A130,HN!$A:$M,10,FALSE)-$U130-$AK130)/10),0)</f>
        <v>374265.84249999997</v>
      </c>
      <c r="FJ130" s="287">
        <f>_xlfn.IFNA(((VLOOKUP($A130,HN!$A:$M,13,FALSE)-$V130-$AL130)/10),0)</f>
        <v>0</v>
      </c>
      <c r="FK130" s="286">
        <f t="shared" si="201"/>
        <v>0</v>
      </c>
      <c r="FL130" s="286">
        <f t="shared" si="202"/>
        <v>0</v>
      </c>
      <c r="FM130" s="287"/>
      <c r="FN130" s="287"/>
      <c r="FO130" s="287"/>
      <c r="FP130" s="286">
        <f t="shared" si="203"/>
        <v>703432.50916666666</v>
      </c>
      <c r="FQ130" s="293">
        <f t="shared" si="204"/>
        <v>0</v>
      </c>
      <c r="FR130" s="293"/>
      <c r="FS130" s="293"/>
      <c r="FT130" s="294">
        <f>_xlfn.IFNA((VLOOKUP($A130,HN!$A:$M,8,FALSE)/12),0)</f>
        <v>240000</v>
      </c>
      <c r="FU130" s="294">
        <f>_xlfn.IFNA((VLOOKUP($A130,HN!$A:$M,12,FALSE)/12),0)</f>
        <v>0</v>
      </c>
      <c r="FV130" s="294">
        <f>_xlfn.IFNA((VLOOKUP($A130,HN!$A:$M,9,FALSE)/12),0)</f>
        <v>89166.666666666672</v>
      </c>
      <c r="FW130" s="294">
        <f>_xlfn.IFNA((VLOOKUP($A130,'Post 16'!$A:$AG,33,FALSE)/8),0)</f>
        <v>0</v>
      </c>
      <c r="FX130" s="294"/>
      <c r="FY130" s="294">
        <f>_xlfn.IFNA(((VLOOKUP($A130,HN!$A:$M,10,FALSE)-$U130-$AK130)/10),0)</f>
        <v>374265.84249999997</v>
      </c>
      <c r="FZ130" s="294">
        <f>_xlfn.IFNA(((VLOOKUP($A130,HN!$A:$M,13,FALSE)-$V130-$AL130)/10),0)</f>
        <v>0</v>
      </c>
      <c r="GA130" s="293">
        <f t="shared" si="205"/>
        <v>0</v>
      </c>
      <c r="GB130" s="293">
        <f t="shared" si="206"/>
        <v>0</v>
      </c>
      <c r="GC130" s="294"/>
      <c r="GD130" s="294"/>
      <c r="GE130" s="294"/>
      <c r="GF130" s="293">
        <f t="shared" si="207"/>
        <v>703432.50916666666</v>
      </c>
      <c r="GG130" s="300">
        <f t="shared" si="208"/>
        <v>0</v>
      </c>
      <c r="GH130" s="300"/>
      <c r="GI130" s="300"/>
      <c r="GJ130" s="301">
        <f>_xlfn.IFNA((VLOOKUP($A130,HN!$A:$M,8,FALSE)/12),0)</f>
        <v>240000</v>
      </c>
      <c r="GK130" s="301">
        <f>_xlfn.IFNA((VLOOKUP($A130,HN!$A:$M,12,FALSE)/12),0)</f>
        <v>0</v>
      </c>
      <c r="GL130" s="301">
        <f>_xlfn.IFNA((VLOOKUP($A130,HN!$A:$M,9,FALSE)/12),0)</f>
        <v>89166.666666666672</v>
      </c>
      <c r="GM130" s="301">
        <f>_xlfn.IFNA((VLOOKUP($A130,'Post 16'!$A:$AG,33,FALSE)/8),0)</f>
        <v>0</v>
      </c>
      <c r="GN130" s="301"/>
      <c r="GO130" s="301">
        <f>_xlfn.IFNA(((VLOOKUP($A130,HN!$A:$M,10,FALSE)-$U130-$AK130)/10),0)</f>
        <v>374265.84249999997</v>
      </c>
      <c r="GP130" s="301">
        <f>_xlfn.IFNA(((VLOOKUP($A130,HN!$A:$M,13,FALSE)-$V130-$AL130)/10),0)</f>
        <v>0</v>
      </c>
      <c r="GQ130" s="300">
        <f t="shared" si="209"/>
        <v>0</v>
      </c>
      <c r="GR130" s="300">
        <f t="shared" si="210"/>
        <v>0</v>
      </c>
      <c r="GS130" s="301"/>
      <c r="GT130" s="301"/>
      <c r="GU130" s="301"/>
      <c r="GV130" s="300">
        <f t="shared" si="211"/>
        <v>703432.50916666666</v>
      </c>
      <c r="GX130" s="146">
        <f t="shared" si="216"/>
        <v>2880000</v>
      </c>
      <c r="GY130" s="146">
        <f t="shared" si="216"/>
        <v>1069999.9999999998</v>
      </c>
      <c r="GZ130" s="146">
        <f t="shared" si="216"/>
        <v>4547297.1099999994</v>
      </c>
      <c r="HA130" s="146">
        <f t="shared" si="216"/>
        <v>0</v>
      </c>
      <c r="HB130" s="146">
        <f t="shared" si="216"/>
        <v>0</v>
      </c>
      <c r="HC130" s="146">
        <f t="shared" si="216"/>
        <v>0</v>
      </c>
      <c r="HE130" s="146">
        <f t="shared" si="217"/>
        <v>720000</v>
      </c>
      <c r="HF130" s="146">
        <f t="shared" si="217"/>
        <v>267500</v>
      </c>
      <c r="HG130" s="146">
        <f t="shared" si="217"/>
        <v>1178904.5275000001</v>
      </c>
      <c r="HH130" s="146">
        <f t="shared" si="217"/>
        <v>0</v>
      </c>
      <c r="HI130" s="146">
        <f t="shared" si="217"/>
        <v>0</v>
      </c>
      <c r="HJ130" s="146">
        <f t="shared" si="217"/>
        <v>0</v>
      </c>
      <c r="HL130" s="146"/>
      <c r="HM130" s="57"/>
    </row>
    <row r="131" spans="1:221">
      <c r="A131" s="185">
        <v>4177</v>
      </c>
      <c r="B131" s="185">
        <v>103498</v>
      </c>
      <c r="C131" s="185" t="s">
        <v>285</v>
      </c>
      <c r="D131" s="2" t="s">
        <v>286</v>
      </c>
      <c r="E131" s="190" t="s">
        <v>71</v>
      </c>
      <c r="F131" s="190" t="s">
        <v>890</v>
      </c>
      <c r="H131" s="271">
        <f>_xlfn.IFNA(VLOOKUP($A131,ISB!$A$4:$BY$441,67,FALSE),0)</f>
        <v>6947948.6179878339</v>
      </c>
      <c r="I131" s="271">
        <f>_xlfn.IFNA(VLOOKUP($A131,ISB!$A$4:$BY$441,72,FALSE),0)</f>
        <v>-15639</v>
      </c>
      <c r="J131" s="271">
        <f>-_xlfn.IFNA(VLOOKUP($A131,ISB!$A$4:$BY$441,76,FALSE),0)</f>
        <v>-99700.418999999994</v>
      </c>
      <c r="K131" s="271">
        <f>_xlfn.IFNA(VLOOKUP($A131,ISB!$A$4:$BY$441,77,FALSE),0)</f>
        <v>6832609.1989878342</v>
      </c>
      <c r="M131" s="279">
        <f t="shared" si="164"/>
        <v>578995.71816565283</v>
      </c>
      <c r="N131" s="279"/>
      <c r="O131" s="279">
        <f>_xlfn.IFNA(VLOOKUP($A131,EY!$A:$H,8,FALSE)+(VLOOKUP($A131,EY!$A:$R,18,FALSE)-$T131),0)</f>
        <v>0</v>
      </c>
      <c r="P131" s="280">
        <f>_xlfn.IFNA((VLOOKUP($A131,HN!$A:$M,8,FALSE)/12),0)</f>
        <v>0</v>
      </c>
      <c r="Q131" s="280">
        <f>_xlfn.IFNA((VLOOKUP($A131,HN!$A:$M,12,FALSE)/12),0)</f>
        <v>0</v>
      </c>
      <c r="R131" s="280">
        <f>_xlfn.IFNA((VLOOKUP($A131,HN!$A:$M,9,FALSE)/12),0)</f>
        <v>0</v>
      </c>
      <c r="S131" s="280">
        <f>_xlfn.IFNA((VLOOKUP($A131,'Post 16'!$A:$AR,22,FALSE)/4),0)</f>
        <v>0</v>
      </c>
      <c r="T131" s="280">
        <f>_xlfn.IFNA((VLOOKUP($A131,EY!$A:$R,16,FALSE)*80%),0)</f>
        <v>0</v>
      </c>
      <c r="U131" s="280">
        <v>11164.291666666666</v>
      </c>
      <c r="V131" s="280">
        <v>0</v>
      </c>
      <c r="W131" s="279">
        <f t="shared" si="165"/>
        <v>-1303.25</v>
      </c>
      <c r="X131" s="279">
        <f t="shared" si="166"/>
        <v>-8308.3682499999995</v>
      </c>
      <c r="Y131" s="280"/>
      <c r="Z131" s="280"/>
      <c r="AA131" s="280"/>
      <c r="AB131" s="279">
        <f t="shared" si="167"/>
        <v>580548.39158231951</v>
      </c>
      <c r="AC131" s="293">
        <f t="shared" si="168"/>
        <v>578995.71816565283</v>
      </c>
      <c r="AD131" s="293"/>
      <c r="AE131" s="293"/>
      <c r="AF131" s="294">
        <f>_xlfn.IFNA((VLOOKUP($A131,HN!$A:$M,8,FALSE)/12),0)</f>
        <v>0</v>
      </c>
      <c r="AG131" s="294">
        <f>_xlfn.IFNA((VLOOKUP($A131,HN!$A:$M,12,FALSE)/12),0)+_xlfn.IFNA(VLOOKUP($A131,HN!$A:$Q,17,FALSE),0)</f>
        <v>0</v>
      </c>
      <c r="AH131" s="294">
        <f>_xlfn.IFNA((VLOOKUP($A131,HN!$A:$M,9,FALSE)/12),0)</f>
        <v>0</v>
      </c>
      <c r="AI131" s="294">
        <f>_xlfn.IFNA((VLOOKUP($A131,'Post 16'!$A:$AR,22,FALSE)/4),0)</f>
        <v>0</v>
      </c>
      <c r="AJ131" s="294"/>
      <c r="AK131" s="294">
        <f>_xlfn.IFNA((VLOOKUP($A131,HN!$A:$M,10,FALSE)/12),0)</f>
        <v>7611.9441666666671</v>
      </c>
      <c r="AL131" s="294">
        <f>_xlfn.IFNA((VLOOKUP($A131,HN!$A:$M,13,FALSE)/12),0)</f>
        <v>0</v>
      </c>
      <c r="AM131" s="293">
        <f t="shared" si="169"/>
        <v>-1303.25</v>
      </c>
      <c r="AN131" s="293">
        <f t="shared" si="170"/>
        <v>-8308.3682499999995</v>
      </c>
      <c r="AO131" s="294"/>
      <c r="AP131" s="294"/>
      <c r="AQ131" s="294"/>
      <c r="AR131" s="293">
        <f t="shared" si="171"/>
        <v>576996.0440823196</v>
      </c>
      <c r="AS131" s="286">
        <f t="shared" si="172"/>
        <v>578995.71816565283</v>
      </c>
      <c r="AT131" s="286"/>
      <c r="AU131" s="286">
        <f>_xlfn.IFNA(VLOOKUP(A131,EY!A:AO,40,FALSE),0)</f>
        <v>0</v>
      </c>
      <c r="AV131" s="287">
        <f>_xlfn.IFNA((VLOOKUP($A131,HN!$A:$M,8,FALSE)/12),0)</f>
        <v>0</v>
      </c>
      <c r="AW131" s="287">
        <f>_xlfn.IFNA((VLOOKUP($A131,HN!$A:$M,12,FALSE)/12),0)+_xlfn.IFNA(VLOOKUP($A131,HN!$A$8:$AU$200,19,FALSE),0)</f>
        <v>0</v>
      </c>
      <c r="AX131" s="287">
        <f>_xlfn.IFNA((VLOOKUP($A131,HN!$A:$M,9,FALSE)/12),0)</f>
        <v>0</v>
      </c>
      <c r="AY131" s="287">
        <f>_xlfn.IFNA((VLOOKUP($A131,'Post 16'!$A:$AR,22,FALSE)/4),0)</f>
        <v>0</v>
      </c>
      <c r="AZ131" s="287">
        <f>_xlfn.IFNA(VLOOKUP(A131,EY!A:AO,41,FALSE),0)</f>
        <v>0</v>
      </c>
      <c r="BA131" s="287">
        <f>_xlfn.IFNA(((VLOOKUP($A131,HN!$A:$M,10,FALSE)-$U131-$AK131)/10),0)+_xlfn.IFNA(VLOOKUP($A131,HN!$A:$R,18,FALSE),0)</f>
        <v>7256.7094166666666</v>
      </c>
      <c r="BB131" s="287">
        <f>_xlfn.IFNA(((VLOOKUP($A131,HN!$A:$M,13,FALSE)-$V131-$AL131)/10),0)+_xlfn.IFNA(VLOOKUP($A131,HN!$A$8:$AU$200,20,FALSE),0)</f>
        <v>0</v>
      </c>
      <c r="BC131" s="286">
        <f t="shared" si="173"/>
        <v>-1303.25</v>
      </c>
      <c r="BD131" s="286">
        <f t="shared" si="174"/>
        <v>-8308.3682499999995</v>
      </c>
      <c r="BE131" s="287"/>
      <c r="BF131" s="287"/>
      <c r="BG131" s="287"/>
      <c r="BH131" s="286">
        <f t="shared" si="175"/>
        <v>576640.80933231954</v>
      </c>
      <c r="BI131" s="307">
        <f t="shared" si="176"/>
        <v>578995.71816565283</v>
      </c>
      <c r="BJ131" s="307">
        <f>_xlfn.IFNA(VLOOKUP(A131,'LA Deductions'!A:AH,34,FALSE),0)</f>
        <v>0</v>
      </c>
      <c r="BK131" s="307"/>
      <c r="BL131" s="308">
        <f>_xlfn.IFNA((VLOOKUP($A131,HN!$A:$M,8,FALSE)/12),0)</f>
        <v>0</v>
      </c>
      <c r="BM131" s="308">
        <f>_xlfn.IFNA((VLOOKUP($A131,HN!$A:$M,12,FALSE)/12),0)</f>
        <v>0</v>
      </c>
      <c r="BN131" s="308">
        <f>_xlfn.IFNA((VLOOKUP($A131,HN!$A:$M,9,FALSE)/12),0)</f>
        <v>0</v>
      </c>
      <c r="BO131" s="308">
        <f>_xlfn.IFNA((VLOOKUP($A131,'Post 16'!$A:$AR,22,FALSE)/4),0)</f>
        <v>0</v>
      </c>
      <c r="BP131" s="308"/>
      <c r="BQ131" s="308">
        <f>_xlfn.IFNA(((VLOOKUP($A131,HN!$A:$M,10,FALSE)-$U131-$AK131)/10),0)</f>
        <v>7256.7094166666666</v>
      </c>
      <c r="BR131" s="308">
        <f>_xlfn.IFNA(((VLOOKUP($A131,HN!$A:$M,13,FALSE)-$V131-$AL131)/10),0)</f>
        <v>0</v>
      </c>
      <c r="BS131" s="307">
        <f t="shared" si="177"/>
        <v>-1303.25</v>
      </c>
      <c r="BT131" s="307">
        <f t="shared" si="178"/>
        <v>-8308.3682499999995</v>
      </c>
      <c r="BU131" s="308"/>
      <c r="BV131" s="308"/>
      <c r="BW131" s="308"/>
      <c r="BX131" s="307">
        <f t="shared" si="179"/>
        <v>576640.80933231954</v>
      </c>
      <c r="BY131" s="300">
        <f t="shared" si="180"/>
        <v>578995.71816565283</v>
      </c>
      <c r="BZ131" s="300"/>
      <c r="CA131" s="300"/>
      <c r="CB131" s="301">
        <f>_xlfn.IFNA((VLOOKUP($A131,HN!$A:$M,8,FALSE)/12),0)</f>
        <v>0</v>
      </c>
      <c r="CC131" s="301">
        <f>_xlfn.IFNA((VLOOKUP($A131,HN!$A:$M,12,FALSE)/12),0)</f>
        <v>0</v>
      </c>
      <c r="CD131" s="301">
        <f>_xlfn.IFNA((VLOOKUP($A131,HN!$A:$M,9,FALSE)/12),0)</f>
        <v>0</v>
      </c>
      <c r="CE131" s="301">
        <f>_xlfn.IFNA((VLOOKUP($A131,'Post 16'!$A:$AG,33,FALSE)/8),0)</f>
        <v>0</v>
      </c>
      <c r="CF131" s="301"/>
      <c r="CG131" s="301">
        <f>_xlfn.IFNA(((VLOOKUP($A131,HN!$A:$M,10,FALSE)-$U131-$AK131)/10),0)</f>
        <v>7256.7094166666666</v>
      </c>
      <c r="CH131" s="301">
        <f>_xlfn.IFNA(((VLOOKUP($A131,HN!$A:$M,13,FALSE)-$V131-$AL131)/10),0)</f>
        <v>0</v>
      </c>
      <c r="CI131" s="300">
        <f t="shared" si="181"/>
        <v>-1303.25</v>
      </c>
      <c r="CJ131" s="300">
        <f t="shared" si="182"/>
        <v>-8308.3682499999995</v>
      </c>
      <c r="CK131" s="301"/>
      <c r="CL131" s="301"/>
      <c r="CM131" s="301"/>
      <c r="CN131" s="300">
        <f t="shared" si="183"/>
        <v>576640.80933231954</v>
      </c>
      <c r="CO131" s="332">
        <f t="shared" si="184"/>
        <v>578995.71816565283</v>
      </c>
      <c r="CP131" s="332"/>
      <c r="CQ131" s="332">
        <f>_xlfn.IFNA((VLOOKUP($A131,EY!$A:$AB,28,FALSE)-$CV131),0)</f>
        <v>0</v>
      </c>
      <c r="CR131" s="333">
        <f>_xlfn.IFNA((VLOOKUP($A131,HN!$A:$M,8,FALSE)/12),0)</f>
        <v>0</v>
      </c>
      <c r="CS131" s="333">
        <f>_xlfn.IFNA((VLOOKUP($A131,HN!$A:$M,12,FALSE)/12),0)</f>
        <v>0</v>
      </c>
      <c r="CT131" s="333">
        <f>_xlfn.IFNA((VLOOKUP($A131,HN!$A:$M,9,FALSE)/12),0)</f>
        <v>0</v>
      </c>
      <c r="CU131" s="333">
        <f>_xlfn.IFNA((VLOOKUP($A131,'Post 16'!$A:$AG,33,FALSE)/8),0)</f>
        <v>0</v>
      </c>
      <c r="CV131" s="333">
        <f>_xlfn.IFNA((VLOOKUP($A131,EY!$A:$AB,26,FALSE)*80%),0)</f>
        <v>0</v>
      </c>
      <c r="CW131" s="333">
        <f>_xlfn.IFNA(((VLOOKUP($A131,HN!$A:$M,10,FALSE)-$U131-$AK131)/10),0)</f>
        <v>7256.7094166666666</v>
      </c>
      <c r="CX131" s="333">
        <f>_xlfn.IFNA(((VLOOKUP($A131,HN!$A:$M,13,FALSE)-$V131-$AL131)/10),0)</f>
        <v>0</v>
      </c>
      <c r="CY131" s="332">
        <f t="shared" si="185"/>
        <v>-1303.25</v>
      </c>
      <c r="CZ131" s="332">
        <f t="shared" si="186"/>
        <v>-8308.3682499999995</v>
      </c>
      <c r="DA131" s="333"/>
      <c r="DB131" s="333"/>
      <c r="DC131" s="333"/>
      <c r="DD131" s="332">
        <f t="shared" si="187"/>
        <v>576640.80933231954</v>
      </c>
      <c r="DE131" s="314">
        <f t="shared" si="188"/>
        <v>578995.71816565283</v>
      </c>
      <c r="DF131" s="314"/>
      <c r="DG131" s="314"/>
      <c r="DH131" s="315">
        <f>_xlfn.IFNA((VLOOKUP($A131,HN!$A:$M,8,FALSE)/12),0)</f>
        <v>0</v>
      </c>
      <c r="DI131" s="315">
        <f>_xlfn.IFNA((VLOOKUP($A131,HN!$A:$M,12,FALSE)/12),0)</f>
        <v>0</v>
      </c>
      <c r="DJ131" s="315">
        <f>_xlfn.IFNA((VLOOKUP($A131,HN!$A:$M,9,FALSE)/12),0)</f>
        <v>0</v>
      </c>
      <c r="DK131" s="315">
        <f>_xlfn.IFNA((VLOOKUP($A131,'Post 16'!$A:$AG,33,FALSE)/8),0)</f>
        <v>0</v>
      </c>
      <c r="DL131" s="315"/>
      <c r="DM131" s="315">
        <f>_xlfn.IFNA(((VLOOKUP($A131,HN!$A:$M,10,FALSE)-$U131-$AK131)/10),0)</f>
        <v>7256.7094166666666</v>
      </c>
      <c r="DN131" s="315">
        <f>_xlfn.IFNA(((VLOOKUP($A131,HN!$A:$M,13,FALSE)-$V131-$AL131)/10),0)</f>
        <v>0</v>
      </c>
      <c r="DO131" s="314">
        <f t="shared" si="189"/>
        <v>-1303.25</v>
      </c>
      <c r="DP131" s="314">
        <f t="shared" si="190"/>
        <v>-8308.3682499999995</v>
      </c>
      <c r="DQ131" s="315"/>
      <c r="DR131" s="315"/>
      <c r="DS131" s="315"/>
      <c r="DT131" s="314">
        <f t="shared" si="191"/>
        <v>576640.80933231954</v>
      </c>
      <c r="DU131" s="307">
        <f t="shared" si="192"/>
        <v>578995.71816565283</v>
      </c>
      <c r="DV131" s="307"/>
      <c r="DW131" s="307"/>
      <c r="DX131" s="308">
        <f>_xlfn.IFNA((VLOOKUP($A131,HN!$A:$M,8,FALSE)/12),0)</f>
        <v>0</v>
      </c>
      <c r="DY131" s="308">
        <f>_xlfn.IFNA((VLOOKUP($A131,HN!$A:$M,12,FALSE)/12),0)</f>
        <v>0</v>
      </c>
      <c r="DZ131" s="308">
        <f>_xlfn.IFNA((VLOOKUP($A131,HN!$A:$M,9,FALSE)/12),0)</f>
        <v>0</v>
      </c>
      <c r="EA131" s="308">
        <f>_xlfn.IFNA((VLOOKUP($A131,'Post 16'!$A:$AG,33,FALSE)/8),0)</f>
        <v>0</v>
      </c>
      <c r="EB131" s="308"/>
      <c r="EC131" s="308">
        <f>_xlfn.IFNA(((VLOOKUP($A131,HN!$A:$M,10,FALSE)-$U131-$AK131)/10),0)</f>
        <v>7256.7094166666666</v>
      </c>
      <c r="ED131" s="308">
        <f>_xlfn.IFNA(((VLOOKUP($A131,HN!$A:$M,13,FALSE)-$V131-$AL131)/10),0)</f>
        <v>0</v>
      </c>
      <c r="EE131" s="307">
        <f t="shared" si="193"/>
        <v>-1303.25</v>
      </c>
      <c r="EF131" s="307">
        <f t="shared" si="194"/>
        <v>-8308.3682499999995</v>
      </c>
      <c r="EG131" s="308"/>
      <c r="EH131" s="308"/>
      <c r="EI131" s="308"/>
      <c r="EJ131" s="307">
        <f t="shared" si="195"/>
        <v>576640.80933231954</v>
      </c>
      <c r="EK131" s="320">
        <f t="shared" si="196"/>
        <v>578995.71816565283</v>
      </c>
      <c r="EL131" s="320"/>
      <c r="EM131" s="320"/>
      <c r="EN131" s="321">
        <f>_xlfn.IFNA((VLOOKUP($A131,HN!$A:$M,8,FALSE)/12),0)</f>
        <v>0</v>
      </c>
      <c r="EO131" s="321">
        <f>_xlfn.IFNA((VLOOKUP($A131,HN!$A:$M,12,FALSE)/12),0)</f>
        <v>0</v>
      </c>
      <c r="EP131" s="321">
        <f>_xlfn.IFNA((VLOOKUP($A131,HN!$A:$M,9,FALSE)/12),0)</f>
        <v>0</v>
      </c>
      <c r="EQ131" s="321">
        <f>_xlfn.IFNA((VLOOKUP($A131,'Post 16'!$A:$AG,33,FALSE)/8),0)</f>
        <v>0</v>
      </c>
      <c r="ER131" s="321"/>
      <c r="ES131" s="321">
        <f>_xlfn.IFNA(((VLOOKUP($A131,HN!$A:$M,10,FALSE)-$U131-$AK131)/10),0)</f>
        <v>7256.7094166666666</v>
      </c>
      <c r="ET131" s="321">
        <f>_xlfn.IFNA(((VLOOKUP($A131,HN!$A:$M,13,FALSE)-$V131-$AL131)/10),0)</f>
        <v>0</v>
      </c>
      <c r="EU131" s="320">
        <f t="shared" si="197"/>
        <v>-1303.25</v>
      </c>
      <c r="EV131" s="320">
        <f t="shared" si="198"/>
        <v>-8308.3682499999995</v>
      </c>
      <c r="EW131" s="321"/>
      <c r="EX131" s="321"/>
      <c r="EY131" s="321"/>
      <c r="EZ131" s="320">
        <f t="shared" si="199"/>
        <v>576640.80933231954</v>
      </c>
      <c r="FA131" s="286">
        <f t="shared" si="200"/>
        <v>578995.71816565283</v>
      </c>
      <c r="FB131" s="286"/>
      <c r="FC131" s="286"/>
      <c r="FD131" s="287">
        <f>_xlfn.IFNA((VLOOKUP($A131,HN!$A:$M,8,FALSE)/12),0)</f>
        <v>0</v>
      </c>
      <c r="FE131" s="287">
        <f>_xlfn.IFNA((VLOOKUP($A131,HN!$A:$M,12,FALSE)/12),0)</f>
        <v>0</v>
      </c>
      <c r="FF131" s="287">
        <f>_xlfn.IFNA((VLOOKUP($A131,HN!$A:$M,9,FALSE)/12),0)</f>
        <v>0</v>
      </c>
      <c r="FG131" s="287">
        <f>_xlfn.IFNA((VLOOKUP($A131,'Post 16'!$A:$AG,33,FALSE)/8),0)</f>
        <v>0</v>
      </c>
      <c r="FH131" s="287"/>
      <c r="FI131" s="287">
        <f>_xlfn.IFNA(((VLOOKUP($A131,HN!$A:$M,10,FALSE)-$U131-$AK131)/10),0)</f>
        <v>7256.7094166666666</v>
      </c>
      <c r="FJ131" s="287">
        <f>_xlfn.IFNA(((VLOOKUP($A131,HN!$A:$M,13,FALSE)-$V131-$AL131)/10),0)</f>
        <v>0</v>
      </c>
      <c r="FK131" s="286">
        <f t="shared" si="201"/>
        <v>-1303.25</v>
      </c>
      <c r="FL131" s="286">
        <f t="shared" si="202"/>
        <v>-8308.3682499999995</v>
      </c>
      <c r="FM131" s="287"/>
      <c r="FN131" s="287"/>
      <c r="FO131" s="287"/>
      <c r="FP131" s="286">
        <f t="shared" si="203"/>
        <v>576640.80933231954</v>
      </c>
      <c r="FQ131" s="293">
        <f t="shared" si="204"/>
        <v>578995.71816565283</v>
      </c>
      <c r="FR131" s="293"/>
      <c r="FS131" s="293"/>
      <c r="FT131" s="294">
        <f>_xlfn.IFNA((VLOOKUP($A131,HN!$A:$M,8,FALSE)/12),0)</f>
        <v>0</v>
      </c>
      <c r="FU131" s="294">
        <f>_xlfn.IFNA((VLOOKUP($A131,HN!$A:$M,12,FALSE)/12),0)</f>
        <v>0</v>
      </c>
      <c r="FV131" s="294">
        <f>_xlfn.IFNA((VLOOKUP($A131,HN!$A:$M,9,FALSE)/12),0)</f>
        <v>0</v>
      </c>
      <c r="FW131" s="294">
        <f>_xlfn.IFNA((VLOOKUP($A131,'Post 16'!$A:$AG,33,FALSE)/8),0)</f>
        <v>0</v>
      </c>
      <c r="FX131" s="294"/>
      <c r="FY131" s="294">
        <f>_xlfn.IFNA(((VLOOKUP($A131,HN!$A:$M,10,FALSE)-$U131-$AK131)/10),0)</f>
        <v>7256.7094166666666</v>
      </c>
      <c r="FZ131" s="294">
        <f>_xlfn.IFNA(((VLOOKUP($A131,HN!$A:$M,13,FALSE)-$V131-$AL131)/10),0)</f>
        <v>0</v>
      </c>
      <c r="GA131" s="293">
        <f t="shared" si="205"/>
        <v>-1303.25</v>
      </c>
      <c r="GB131" s="293">
        <f t="shared" si="206"/>
        <v>-8308.3682499999995</v>
      </c>
      <c r="GC131" s="294"/>
      <c r="GD131" s="294"/>
      <c r="GE131" s="294"/>
      <c r="GF131" s="293">
        <f t="shared" si="207"/>
        <v>576640.80933231954</v>
      </c>
      <c r="GG131" s="300">
        <f t="shared" si="208"/>
        <v>578995.71816565283</v>
      </c>
      <c r="GH131" s="300"/>
      <c r="GI131" s="300"/>
      <c r="GJ131" s="301">
        <f>_xlfn.IFNA((VLOOKUP($A131,HN!$A:$M,8,FALSE)/12),0)</f>
        <v>0</v>
      </c>
      <c r="GK131" s="301">
        <f>_xlfn.IFNA((VLOOKUP($A131,HN!$A:$M,12,FALSE)/12),0)</f>
        <v>0</v>
      </c>
      <c r="GL131" s="301">
        <f>_xlfn.IFNA((VLOOKUP($A131,HN!$A:$M,9,FALSE)/12),0)</f>
        <v>0</v>
      </c>
      <c r="GM131" s="301">
        <f>_xlfn.IFNA((VLOOKUP($A131,'Post 16'!$A:$AG,33,FALSE)/8),0)</f>
        <v>0</v>
      </c>
      <c r="GN131" s="301"/>
      <c r="GO131" s="301">
        <f>_xlfn.IFNA(((VLOOKUP($A131,HN!$A:$M,10,FALSE)-$U131-$AK131)/10),0)</f>
        <v>7256.7094166666666</v>
      </c>
      <c r="GP131" s="301">
        <f>_xlfn.IFNA(((VLOOKUP($A131,HN!$A:$M,13,FALSE)-$V131-$AL131)/10),0)</f>
        <v>0</v>
      </c>
      <c r="GQ131" s="300">
        <f t="shared" si="209"/>
        <v>-1303.25</v>
      </c>
      <c r="GR131" s="300">
        <f t="shared" si="210"/>
        <v>-8308.3682499999995</v>
      </c>
      <c r="GS131" s="301"/>
      <c r="GT131" s="301"/>
      <c r="GU131" s="301"/>
      <c r="GV131" s="300">
        <f t="shared" si="211"/>
        <v>576640.80933231954</v>
      </c>
      <c r="GX131" s="146">
        <f t="shared" si="216"/>
        <v>6947948.6179878339</v>
      </c>
      <c r="GY131" s="146">
        <f t="shared" si="216"/>
        <v>0</v>
      </c>
      <c r="GZ131" s="146">
        <f t="shared" si="216"/>
        <v>91343.329999999987</v>
      </c>
      <c r="HA131" s="146">
        <f t="shared" si="216"/>
        <v>-15639</v>
      </c>
      <c r="HB131" s="146">
        <f t="shared" si="216"/>
        <v>-99700.418999999994</v>
      </c>
      <c r="HC131" s="146">
        <f t="shared" si="216"/>
        <v>0</v>
      </c>
      <c r="HE131" s="146">
        <f t="shared" si="217"/>
        <v>1736987.1544969585</v>
      </c>
      <c r="HF131" s="146">
        <f t="shared" si="217"/>
        <v>0</v>
      </c>
      <c r="HG131" s="146">
        <f t="shared" si="217"/>
        <v>26032.945249999997</v>
      </c>
      <c r="HH131" s="146">
        <f t="shared" si="217"/>
        <v>-3909.75</v>
      </c>
      <c r="HI131" s="146">
        <f t="shared" si="217"/>
        <v>-24925.104749999999</v>
      </c>
      <c r="HJ131" s="146">
        <f t="shared" si="217"/>
        <v>0</v>
      </c>
      <c r="HL131" s="146"/>
      <c r="HM131" s="57"/>
    </row>
    <row r="132" spans="1:221">
      <c r="A132" s="185">
        <v>2169</v>
      </c>
      <c r="B132" s="185">
        <v>103252</v>
      </c>
      <c r="C132" s="185" t="s">
        <v>287</v>
      </c>
      <c r="D132" s="2" t="s">
        <v>288</v>
      </c>
      <c r="E132" s="190" t="s">
        <v>39</v>
      </c>
      <c r="F132" s="190" t="s">
        <v>890</v>
      </c>
      <c r="H132" s="271">
        <f>_xlfn.IFNA(VLOOKUP($A132,ISB!$A$4:$BY$441,67,FALSE),0)</f>
        <v>2463883.3294036821</v>
      </c>
      <c r="I132" s="271">
        <f>_xlfn.IFNA(VLOOKUP($A132,ISB!$A$4:$BY$441,72,FALSE),0)</f>
        <v>-8988.9</v>
      </c>
      <c r="J132" s="271">
        <f>-_xlfn.IFNA(VLOOKUP($A132,ISB!$A$4:$BY$441,76,FALSE),0)</f>
        <v>-38324.1495</v>
      </c>
      <c r="K132" s="271">
        <f>_xlfn.IFNA(VLOOKUP($A132,ISB!$A$4:$BY$441,77,FALSE),0)</f>
        <v>2416570.2799036824</v>
      </c>
      <c r="M132" s="279">
        <f t="shared" si="164"/>
        <v>205323.61078364018</v>
      </c>
      <c r="N132" s="279"/>
      <c r="O132" s="279">
        <f>_xlfn.IFNA(VLOOKUP($A132,EY!$A:$H,8,FALSE)+(VLOOKUP($A132,EY!$A:$R,18,FALSE)-$T132),0)</f>
        <v>45522.173894736843</v>
      </c>
      <c r="P132" s="280">
        <f>_xlfn.IFNA((VLOOKUP($A132,HN!$A:$M,8,FALSE)/12),0)</f>
        <v>0</v>
      </c>
      <c r="Q132" s="280">
        <f>_xlfn.IFNA((VLOOKUP($A132,HN!$A:$M,12,FALSE)/12),0)</f>
        <v>0</v>
      </c>
      <c r="R132" s="280">
        <f>_xlfn.IFNA((VLOOKUP($A132,HN!$A:$M,9,FALSE)/12),0)</f>
        <v>0</v>
      </c>
      <c r="S132" s="280">
        <f>_xlfn.IFNA((VLOOKUP($A132,'Post 16'!$A:$AR,22,FALSE)/4),0)</f>
        <v>0</v>
      </c>
      <c r="T132" s="280">
        <f>_xlfn.IFNA((VLOOKUP($A132,EY!$A:$R,16,FALSE)*80%),0)</f>
        <v>0</v>
      </c>
      <c r="U132" s="280">
        <v>184.58333333333334</v>
      </c>
      <c r="V132" s="280">
        <v>0</v>
      </c>
      <c r="W132" s="279">
        <f t="shared" si="165"/>
        <v>-749.07499999999993</v>
      </c>
      <c r="X132" s="279">
        <f t="shared" si="166"/>
        <v>-3193.6791250000001</v>
      </c>
      <c r="Y132" s="280"/>
      <c r="Z132" s="280"/>
      <c r="AA132" s="280"/>
      <c r="AB132" s="279">
        <f t="shared" si="167"/>
        <v>247087.61388671037</v>
      </c>
      <c r="AC132" s="293">
        <f t="shared" si="168"/>
        <v>205323.61078364018</v>
      </c>
      <c r="AD132" s="293"/>
      <c r="AE132" s="293"/>
      <c r="AF132" s="294">
        <f>_xlfn.IFNA((VLOOKUP($A132,HN!$A:$M,8,FALSE)/12),0)</f>
        <v>0</v>
      </c>
      <c r="AG132" s="294">
        <f>_xlfn.IFNA((VLOOKUP($A132,HN!$A:$M,12,FALSE)/12),0)+_xlfn.IFNA(VLOOKUP($A132,HN!$A:$Q,17,FALSE),0)</f>
        <v>0</v>
      </c>
      <c r="AH132" s="294">
        <f>_xlfn.IFNA((VLOOKUP($A132,HN!$A:$M,9,FALSE)/12),0)</f>
        <v>0</v>
      </c>
      <c r="AI132" s="294">
        <f>_xlfn.IFNA((VLOOKUP($A132,'Post 16'!$A:$AR,22,FALSE)/4),0)</f>
        <v>0</v>
      </c>
      <c r="AJ132" s="294"/>
      <c r="AK132" s="294">
        <f>_xlfn.IFNA((VLOOKUP($A132,HN!$A:$M,10,FALSE)/12),0)</f>
        <v>692.16666666666663</v>
      </c>
      <c r="AL132" s="294">
        <f>_xlfn.IFNA((VLOOKUP($A132,HN!$A:$M,13,FALSE)/12),0)</f>
        <v>0</v>
      </c>
      <c r="AM132" s="293">
        <f t="shared" si="169"/>
        <v>-749.07499999999993</v>
      </c>
      <c r="AN132" s="293">
        <f t="shared" si="170"/>
        <v>-3193.6791250000001</v>
      </c>
      <c r="AO132" s="294"/>
      <c r="AP132" s="294"/>
      <c r="AQ132" s="294"/>
      <c r="AR132" s="293">
        <f t="shared" si="171"/>
        <v>202073.02332530683</v>
      </c>
      <c r="AS132" s="286">
        <f t="shared" si="172"/>
        <v>205323.61078364018</v>
      </c>
      <c r="AT132" s="286"/>
      <c r="AU132" s="286">
        <f>_xlfn.IFNA(VLOOKUP(A132,EY!A:AO,40,FALSE),0)</f>
        <v>10134.27897506925</v>
      </c>
      <c r="AV132" s="287">
        <f>_xlfn.IFNA((VLOOKUP($A132,HN!$A:$M,8,FALSE)/12),0)</f>
        <v>0</v>
      </c>
      <c r="AW132" s="287">
        <f>_xlfn.IFNA((VLOOKUP($A132,HN!$A:$M,12,FALSE)/12),0)+_xlfn.IFNA(VLOOKUP($A132,HN!$A$8:$AU$200,19,FALSE),0)</f>
        <v>0</v>
      </c>
      <c r="AX132" s="287">
        <f>_xlfn.IFNA((VLOOKUP($A132,HN!$A:$M,9,FALSE)/12),0)</f>
        <v>0</v>
      </c>
      <c r="AY132" s="287">
        <f>_xlfn.IFNA((VLOOKUP($A132,'Post 16'!$A:$AR,22,FALSE)/4),0)</f>
        <v>0</v>
      </c>
      <c r="AZ132" s="287">
        <f>_xlfn.IFNA(VLOOKUP(A132,EY!A:AO,41,FALSE),0)</f>
        <v>0</v>
      </c>
      <c r="BA132" s="287">
        <f>_xlfn.IFNA(((VLOOKUP($A132,HN!$A:$M,10,FALSE)-$U132-$AK132)/10),0)+_xlfn.IFNA(VLOOKUP($A132,HN!$A:$R,18,FALSE),0)</f>
        <v>742.92499999999995</v>
      </c>
      <c r="BB132" s="287">
        <f>_xlfn.IFNA(((VLOOKUP($A132,HN!$A:$M,13,FALSE)-$V132-$AL132)/10),0)+_xlfn.IFNA(VLOOKUP($A132,HN!$A$8:$AU$200,20,FALSE),0)</f>
        <v>0</v>
      </c>
      <c r="BC132" s="286">
        <f t="shared" si="173"/>
        <v>-749.07499999999993</v>
      </c>
      <c r="BD132" s="286">
        <f t="shared" si="174"/>
        <v>-3193.6791250000001</v>
      </c>
      <c r="BE132" s="287"/>
      <c r="BF132" s="287"/>
      <c r="BG132" s="287"/>
      <c r="BH132" s="286">
        <f t="shared" si="175"/>
        <v>212258.06063370942</v>
      </c>
      <c r="BI132" s="307">
        <f t="shared" si="176"/>
        <v>205323.61078364018</v>
      </c>
      <c r="BJ132" s="307">
        <f>_xlfn.IFNA(VLOOKUP(A132,'LA Deductions'!A:AH,34,FALSE),0)</f>
        <v>0</v>
      </c>
      <c r="BK132" s="307"/>
      <c r="BL132" s="308">
        <f>_xlfn.IFNA((VLOOKUP($A132,HN!$A:$M,8,FALSE)/12),0)</f>
        <v>0</v>
      </c>
      <c r="BM132" s="308">
        <f>_xlfn.IFNA((VLOOKUP($A132,HN!$A:$M,12,FALSE)/12),0)</f>
        <v>0</v>
      </c>
      <c r="BN132" s="308">
        <f>_xlfn.IFNA((VLOOKUP($A132,HN!$A:$M,9,FALSE)/12),0)</f>
        <v>0</v>
      </c>
      <c r="BO132" s="308">
        <f>_xlfn.IFNA((VLOOKUP($A132,'Post 16'!$A:$AR,22,FALSE)/4),0)</f>
        <v>0</v>
      </c>
      <c r="BP132" s="308"/>
      <c r="BQ132" s="308">
        <f>_xlfn.IFNA(((VLOOKUP($A132,HN!$A:$M,10,FALSE)-$U132-$AK132)/10),0)</f>
        <v>742.92499999999995</v>
      </c>
      <c r="BR132" s="308">
        <f>_xlfn.IFNA(((VLOOKUP($A132,HN!$A:$M,13,FALSE)-$V132-$AL132)/10),0)</f>
        <v>0</v>
      </c>
      <c r="BS132" s="307">
        <f t="shared" si="177"/>
        <v>-749.07499999999993</v>
      </c>
      <c r="BT132" s="307">
        <f t="shared" si="178"/>
        <v>-3193.6791250000001</v>
      </c>
      <c r="BU132" s="308"/>
      <c r="BV132" s="308"/>
      <c r="BW132" s="308"/>
      <c r="BX132" s="307">
        <f t="shared" si="179"/>
        <v>202123.78165864016</v>
      </c>
      <c r="BY132" s="300">
        <f t="shared" si="180"/>
        <v>205323.61078364018</v>
      </c>
      <c r="BZ132" s="300"/>
      <c r="CA132" s="300"/>
      <c r="CB132" s="301">
        <f>_xlfn.IFNA((VLOOKUP($A132,HN!$A:$M,8,FALSE)/12),0)</f>
        <v>0</v>
      </c>
      <c r="CC132" s="301">
        <f>_xlfn.IFNA((VLOOKUP($A132,HN!$A:$M,12,FALSE)/12),0)</f>
        <v>0</v>
      </c>
      <c r="CD132" s="301">
        <f>_xlfn.IFNA((VLOOKUP($A132,HN!$A:$M,9,FALSE)/12),0)</f>
        <v>0</v>
      </c>
      <c r="CE132" s="301">
        <f>_xlfn.IFNA((VLOOKUP($A132,'Post 16'!$A:$AG,33,FALSE)/8),0)</f>
        <v>0</v>
      </c>
      <c r="CF132" s="301"/>
      <c r="CG132" s="301">
        <f>_xlfn.IFNA(((VLOOKUP($A132,HN!$A:$M,10,FALSE)-$U132-$AK132)/10),0)</f>
        <v>742.92499999999995</v>
      </c>
      <c r="CH132" s="301">
        <f>_xlfn.IFNA(((VLOOKUP($A132,HN!$A:$M,13,FALSE)-$V132-$AL132)/10),0)</f>
        <v>0</v>
      </c>
      <c r="CI132" s="300">
        <f t="shared" si="181"/>
        <v>-749.07499999999993</v>
      </c>
      <c r="CJ132" s="300">
        <f t="shared" si="182"/>
        <v>-3193.6791250000001</v>
      </c>
      <c r="CK132" s="301"/>
      <c r="CL132" s="301"/>
      <c r="CM132" s="301"/>
      <c r="CN132" s="300">
        <f t="shared" si="183"/>
        <v>202123.78165864016</v>
      </c>
      <c r="CO132" s="332">
        <f t="shared" si="184"/>
        <v>205323.61078364018</v>
      </c>
      <c r="CP132" s="332"/>
      <c r="CQ132" s="332">
        <f>_xlfn.IFNA((VLOOKUP($A132,EY!$A:$AB,28,FALSE)-$CV132),0)</f>
        <v>25992.616000000005</v>
      </c>
      <c r="CR132" s="333">
        <f>_xlfn.IFNA((VLOOKUP($A132,HN!$A:$M,8,FALSE)/12),0)</f>
        <v>0</v>
      </c>
      <c r="CS132" s="333">
        <f>_xlfn.IFNA((VLOOKUP($A132,HN!$A:$M,12,FALSE)/12),0)</f>
        <v>0</v>
      </c>
      <c r="CT132" s="333">
        <f>_xlfn.IFNA((VLOOKUP($A132,HN!$A:$M,9,FALSE)/12),0)</f>
        <v>0</v>
      </c>
      <c r="CU132" s="333">
        <f>_xlfn.IFNA((VLOOKUP($A132,'Post 16'!$A:$AG,33,FALSE)/8),0)</f>
        <v>0</v>
      </c>
      <c r="CV132" s="333">
        <f>_xlfn.IFNA((VLOOKUP($A132,EY!$A:$AB,26,FALSE)*80%),0)</f>
        <v>0</v>
      </c>
      <c r="CW132" s="333">
        <f>_xlfn.IFNA(((VLOOKUP($A132,HN!$A:$M,10,FALSE)-$U132-$AK132)/10),0)</f>
        <v>742.92499999999995</v>
      </c>
      <c r="CX132" s="333">
        <f>_xlfn.IFNA(((VLOOKUP($A132,HN!$A:$M,13,FALSE)-$V132-$AL132)/10),0)</f>
        <v>0</v>
      </c>
      <c r="CY132" s="332">
        <f t="shared" si="185"/>
        <v>-749.07499999999993</v>
      </c>
      <c r="CZ132" s="332">
        <f t="shared" si="186"/>
        <v>-3193.6791250000001</v>
      </c>
      <c r="DA132" s="333"/>
      <c r="DB132" s="333"/>
      <c r="DC132" s="333"/>
      <c r="DD132" s="332">
        <f t="shared" si="187"/>
        <v>228116.39765864017</v>
      </c>
      <c r="DE132" s="314">
        <f t="shared" si="188"/>
        <v>205323.61078364018</v>
      </c>
      <c r="DF132" s="314"/>
      <c r="DG132" s="314"/>
      <c r="DH132" s="315">
        <f>_xlfn.IFNA((VLOOKUP($A132,HN!$A:$M,8,FALSE)/12),0)</f>
        <v>0</v>
      </c>
      <c r="DI132" s="315">
        <f>_xlfn.IFNA((VLOOKUP($A132,HN!$A:$M,12,FALSE)/12),0)</f>
        <v>0</v>
      </c>
      <c r="DJ132" s="315">
        <f>_xlfn.IFNA((VLOOKUP($A132,HN!$A:$M,9,FALSE)/12),0)</f>
        <v>0</v>
      </c>
      <c r="DK132" s="315">
        <f>_xlfn.IFNA((VLOOKUP($A132,'Post 16'!$A:$AG,33,FALSE)/8),0)</f>
        <v>0</v>
      </c>
      <c r="DL132" s="315"/>
      <c r="DM132" s="315">
        <f>_xlfn.IFNA(((VLOOKUP($A132,HN!$A:$M,10,FALSE)-$U132-$AK132)/10),0)</f>
        <v>742.92499999999995</v>
      </c>
      <c r="DN132" s="315">
        <f>_xlfn.IFNA(((VLOOKUP($A132,HN!$A:$M,13,FALSE)-$V132-$AL132)/10),0)</f>
        <v>0</v>
      </c>
      <c r="DO132" s="314">
        <f t="shared" si="189"/>
        <v>-749.07499999999993</v>
      </c>
      <c r="DP132" s="314">
        <f t="shared" si="190"/>
        <v>-3193.6791250000001</v>
      </c>
      <c r="DQ132" s="315"/>
      <c r="DR132" s="315"/>
      <c r="DS132" s="315"/>
      <c r="DT132" s="314">
        <f t="shared" si="191"/>
        <v>202123.78165864016</v>
      </c>
      <c r="DU132" s="307">
        <f t="shared" si="192"/>
        <v>205323.61078364018</v>
      </c>
      <c r="DV132" s="307"/>
      <c r="DW132" s="307"/>
      <c r="DX132" s="308">
        <f>_xlfn.IFNA((VLOOKUP($A132,HN!$A:$M,8,FALSE)/12),0)</f>
        <v>0</v>
      </c>
      <c r="DY132" s="308">
        <f>_xlfn.IFNA((VLOOKUP($A132,HN!$A:$M,12,FALSE)/12),0)</f>
        <v>0</v>
      </c>
      <c r="DZ132" s="308">
        <f>_xlfn.IFNA((VLOOKUP($A132,HN!$A:$M,9,FALSE)/12),0)</f>
        <v>0</v>
      </c>
      <c r="EA132" s="308">
        <f>_xlfn.IFNA((VLOOKUP($A132,'Post 16'!$A:$AG,33,FALSE)/8),0)</f>
        <v>0</v>
      </c>
      <c r="EB132" s="308"/>
      <c r="EC132" s="308">
        <f>_xlfn.IFNA(((VLOOKUP($A132,HN!$A:$M,10,FALSE)-$U132-$AK132)/10),0)</f>
        <v>742.92499999999995</v>
      </c>
      <c r="ED132" s="308">
        <f>_xlfn.IFNA(((VLOOKUP($A132,HN!$A:$M,13,FALSE)-$V132-$AL132)/10),0)</f>
        <v>0</v>
      </c>
      <c r="EE132" s="307">
        <f t="shared" si="193"/>
        <v>-749.07499999999993</v>
      </c>
      <c r="EF132" s="307">
        <f t="shared" si="194"/>
        <v>-3193.6791250000001</v>
      </c>
      <c r="EG132" s="308"/>
      <c r="EH132" s="308"/>
      <c r="EI132" s="308"/>
      <c r="EJ132" s="307">
        <f t="shared" si="195"/>
        <v>202123.78165864016</v>
      </c>
      <c r="EK132" s="320">
        <f t="shared" si="196"/>
        <v>205323.61078364018</v>
      </c>
      <c r="EL132" s="320"/>
      <c r="EM132" s="320"/>
      <c r="EN132" s="321">
        <f>_xlfn.IFNA((VLOOKUP($A132,HN!$A:$M,8,FALSE)/12),0)</f>
        <v>0</v>
      </c>
      <c r="EO132" s="321">
        <f>_xlfn.IFNA((VLOOKUP($A132,HN!$A:$M,12,FALSE)/12),0)</f>
        <v>0</v>
      </c>
      <c r="EP132" s="321">
        <f>_xlfn.IFNA((VLOOKUP($A132,HN!$A:$M,9,FALSE)/12),0)</f>
        <v>0</v>
      </c>
      <c r="EQ132" s="321">
        <f>_xlfn.IFNA((VLOOKUP($A132,'Post 16'!$A:$AG,33,FALSE)/8),0)</f>
        <v>0</v>
      </c>
      <c r="ER132" s="321"/>
      <c r="ES132" s="321">
        <f>_xlfn.IFNA(((VLOOKUP($A132,HN!$A:$M,10,FALSE)-$U132-$AK132)/10),0)</f>
        <v>742.92499999999995</v>
      </c>
      <c r="ET132" s="321">
        <f>_xlfn.IFNA(((VLOOKUP($A132,HN!$A:$M,13,FALSE)-$V132-$AL132)/10),0)</f>
        <v>0</v>
      </c>
      <c r="EU132" s="320">
        <f t="shared" si="197"/>
        <v>-749.07499999999993</v>
      </c>
      <c r="EV132" s="320">
        <f t="shared" si="198"/>
        <v>-3193.6791250000001</v>
      </c>
      <c r="EW132" s="321"/>
      <c r="EX132" s="321"/>
      <c r="EY132" s="321"/>
      <c r="EZ132" s="320">
        <f t="shared" si="199"/>
        <v>202123.78165864016</v>
      </c>
      <c r="FA132" s="286">
        <f t="shared" si="200"/>
        <v>205323.61078364018</v>
      </c>
      <c r="FB132" s="286"/>
      <c r="FC132" s="286"/>
      <c r="FD132" s="287">
        <f>_xlfn.IFNA((VLOOKUP($A132,HN!$A:$M,8,FALSE)/12),0)</f>
        <v>0</v>
      </c>
      <c r="FE132" s="287">
        <f>_xlfn.IFNA((VLOOKUP($A132,HN!$A:$M,12,FALSE)/12),0)</f>
        <v>0</v>
      </c>
      <c r="FF132" s="287">
        <f>_xlfn.IFNA((VLOOKUP($A132,HN!$A:$M,9,FALSE)/12),0)</f>
        <v>0</v>
      </c>
      <c r="FG132" s="287">
        <f>_xlfn.IFNA((VLOOKUP($A132,'Post 16'!$A:$AG,33,FALSE)/8),0)</f>
        <v>0</v>
      </c>
      <c r="FH132" s="287"/>
      <c r="FI132" s="287">
        <f>_xlfn.IFNA(((VLOOKUP($A132,HN!$A:$M,10,FALSE)-$U132-$AK132)/10),0)</f>
        <v>742.92499999999995</v>
      </c>
      <c r="FJ132" s="287">
        <f>_xlfn.IFNA(((VLOOKUP($A132,HN!$A:$M,13,FALSE)-$V132-$AL132)/10),0)</f>
        <v>0</v>
      </c>
      <c r="FK132" s="286">
        <f t="shared" si="201"/>
        <v>-749.07499999999993</v>
      </c>
      <c r="FL132" s="286">
        <f t="shared" si="202"/>
        <v>-3193.6791250000001</v>
      </c>
      <c r="FM132" s="287"/>
      <c r="FN132" s="287"/>
      <c r="FO132" s="287"/>
      <c r="FP132" s="286">
        <f t="shared" si="203"/>
        <v>202123.78165864016</v>
      </c>
      <c r="FQ132" s="293">
        <f t="shared" si="204"/>
        <v>205323.61078364018</v>
      </c>
      <c r="FR132" s="293"/>
      <c r="FS132" s="293"/>
      <c r="FT132" s="294">
        <f>_xlfn.IFNA((VLOOKUP($A132,HN!$A:$M,8,FALSE)/12),0)</f>
        <v>0</v>
      </c>
      <c r="FU132" s="294">
        <f>_xlfn.IFNA((VLOOKUP($A132,HN!$A:$M,12,FALSE)/12),0)</f>
        <v>0</v>
      </c>
      <c r="FV132" s="294">
        <f>_xlfn.IFNA((VLOOKUP($A132,HN!$A:$M,9,FALSE)/12),0)</f>
        <v>0</v>
      </c>
      <c r="FW132" s="294">
        <f>_xlfn.IFNA((VLOOKUP($A132,'Post 16'!$A:$AG,33,FALSE)/8),0)</f>
        <v>0</v>
      </c>
      <c r="FX132" s="294"/>
      <c r="FY132" s="294">
        <f>_xlfn.IFNA(((VLOOKUP($A132,HN!$A:$M,10,FALSE)-$U132-$AK132)/10),0)</f>
        <v>742.92499999999995</v>
      </c>
      <c r="FZ132" s="294">
        <f>_xlfn.IFNA(((VLOOKUP($A132,HN!$A:$M,13,FALSE)-$V132-$AL132)/10),0)</f>
        <v>0</v>
      </c>
      <c r="GA132" s="293">
        <f t="shared" si="205"/>
        <v>-749.07499999999993</v>
      </c>
      <c r="GB132" s="293">
        <f t="shared" si="206"/>
        <v>-3193.6791250000001</v>
      </c>
      <c r="GC132" s="294"/>
      <c r="GD132" s="294"/>
      <c r="GE132" s="294"/>
      <c r="GF132" s="293">
        <f t="shared" si="207"/>
        <v>202123.78165864016</v>
      </c>
      <c r="GG132" s="300">
        <f t="shared" si="208"/>
        <v>205323.61078364018</v>
      </c>
      <c r="GH132" s="300"/>
      <c r="GI132" s="300"/>
      <c r="GJ132" s="301">
        <f>_xlfn.IFNA((VLOOKUP($A132,HN!$A:$M,8,FALSE)/12),0)</f>
        <v>0</v>
      </c>
      <c r="GK132" s="301">
        <f>_xlfn.IFNA((VLOOKUP($A132,HN!$A:$M,12,FALSE)/12),0)</f>
        <v>0</v>
      </c>
      <c r="GL132" s="301">
        <f>_xlfn.IFNA((VLOOKUP($A132,HN!$A:$M,9,FALSE)/12),0)</f>
        <v>0</v>
      </c>
      <c r="GM132" s="301">
        <f>_xlfn.IFNA((VLOOKUP($A132,'Post 16'!$A:$AG,33,FALSE)/8),0)</f>
        <v>0</v>
      </c>
      <c r="GN132" s="301"/>
      <c r="GO132" s="301">
        <f>_xlfn.IFNA(((VLOOKUP($A132,HN!$A:$M,10,FALSE)-$U132-$AK132)/10),0)</f>
        <v>742.92499999999995</v>
      </c>
      <c r="GP132" s="301">
        <f>_xlfn.IFNA(((VLOOKUP($A132,HN!$A:$M,13,FALSE)-$V132-$AL132)/10),0)</f>
        <v>0</v>
      </c>
      <c r="GQ132" s="300">
        <f t="shared" si="209"/>
        <v>-749.07499999999993</v>
      </c>
      <c r="GR132" s="300">
        <f t="shared" si="210"/>
        <v>-3193.6791250000001</v>
      </c>
      <c r="GS132" s="301"/>
      <c r="GT132" s="301"/>
      <c r="GU132" s="301"/>
      <c r="GV132" s="300">
        <f t="shared" si="211"/>
        <v>202123.78165864016</v>
      </c>
      <c r="GX132" s="146">
        <f t="shared" si="216"/>
        <v>2545532.398273489</v>
      </c>
      <c r="GY132" s="146">
        <f t="shared" si="216"/>
        <v>0</v>
      </c>
      <c r="GZ132" s="146">
        <f t="shared" si="216"/>
        <v>8306</v>
      </c>
      <c r="HA132" s="146">
        <f t="shared" si="216"/>
        <v>-8988.9</v>
      </c>
      <c r="HB132" s="146">
        <f t="shared" si="216"/>
        <v>-38324.1495</v>
      </c>
      <c r="HC132" s="146">
        <f t="shared" si="216"/>
        <v>0</v>
      </c>
      <c r="HE132" s="146">
        <f t="shared" si="217"/>
        <v>671627.28522072663</v>
      </c>
      <c r="HF132" s="146">
        <f t="shared" si="217"/>
        <v>0</v>
      </c>
      <c r="HG132" s="146">
        <f t="shared" si="217"/>
        <v>1619.675</v>
      </c>
      <c r="HH132" s="146">
        <f t="shared" si="217"/>
        <v>-2247.2249999999999</v>
      </c>
      <c r="HI132" s="146">
        <f t="shared" si="217"/>
        <v>-9581.0373749999999</v>
      </c>
      <c r="HJ132" s="146">
        <f t="shared" si="217"/>
        <v>0</v>
      </c>
      <c r="HL132" s="146"/>
      <c r="HM132" s="57"/>
    </row>
    <row r="133" spans="1:221">
      <c r="A133" s="185">
        <v>2008</v>
      </c>
      <c r="B133" s="185">
        <v>103157</v>
      </c>
      <c r="C133" s="185" t="s">
        <v>289</v>
      </c>
      <c r="D133" s="2" t="s">
        <v>290</v>
      </c>
      <c r="E133" s="190" t="s">
        <v>39</v>
      </c>
      <c r="F133" s="190" t="s">
        <v>890</v>
      </c>
      <c r="H133" s="271">
        <f>_xlfn.IFNA(VLOOKUP($A133,ISB!$A$4:$BY$441,67,FALSE),0)</f>
        <v>2699584.6248990134</v>
      </c>
      <c r="I133" s="271">
        <f>_xlfn.IFNA(VLOOKUP($A133,ISB!$A$4:$BY$441,72,FALSE),0)</f>
        <v>-10582.5</v>
      </c>
      <c r="J133" s="271">
        <f>-_xlfn.IFNA(VLOOKUP($A133,ISB!$A$4:$BY$441,76,FALSE),0)</f>
        <v>-41493.815999999999</v>
      </c>
      <c r="K133" s="271">
        <f>_xlfn.IFNA(VLOOKUP($A133,ISB!$A$4:$BY$441,77,FALSE),0)</f>
        <v>2647508.3088990133</v>
      </c>
      <c r="M133" s="279">
        <f t="shared" si="164"/>
        <v>224965.38540825111</v>
      </c>
      <c r="N133" s="279"/>
      <c r="O133" s="279">
        <f>_xlfn.IFNA(VLOOKUP($A133,EY!$A:$H,8,FALSE)+(VLOOKUP($A133,EY!$A:$R,18,FALSE)-$T133),0)</f>
        <v>57462.769684210529</v>
      </c>
      <c r="P133" s="280">
        <f>_xlfn.IFNA((VLOOKUP($A133,HN!$A:$M,8,FALSE)/12),0)</f>
        <v>0</v>
      </c>
      <c r="Q133" s="280">
        <f>_xlfn.IFNA((VLOOKUP($A133,HN!$A:$M,12,FALSE)/12),0)</f>
        <v>0</v>
      </c>
      <c r="R133" s="280">
        <f>_xlfn.IFNA((VLOOKUP($A133,HN!$A:$M,9,FALSE)/12),0)</f>
        <v>0</v>
      </c>
      <c r="S133" s="280">
        <f>_xlfn.IFNA((VLOOKUP($A133,'Post 16'!$A:$AR,22,FALSE)/4),0)</f>
        <v>0</v>
      </c>
      <c r="T133" s="280">
        <f>_xlfn.IFNA((VLOOKUP($A133,EY!$A:$R,16,FALSE)*80%),0)</f>
        <v>0</v>
      </c>
      <c r="U133" s="280">
        <v>12436.027500000002</v>
      </c>
      <c r="V133" s="280">
        <v>0</v>
      </c>
      <c r="W133" s="279">
        <f t="shared" si="165"/>
        <v>-881.875</v>
      </c>
      <c r="X133" s="279">
        <f t="shared" si="166"/>
        <v>-3457.8179999999998</v>
      </c>
      <c r="Y133" s="280"/>
      <c r="Z133" s="280"/>
      <c r="AA133" s="280"/>
      <c r="AB133" s="279">
        <f t="shared" si="167"/>
        <v>290524.48959246161</v>
      </c>
      <c r="AC133" s="293">
        <f t="shared" si="168"/>
        <v>224965.38540825111</v>
      </c>
      <c r="AD133" s="293"/>
      <c r="AE133" s="293"/>
      <c r="AF133" s="294">
        <f>_xlfn.IFNA((VLOOKUP($A133,HN!$A:$M,8,FALSE)/12),0)</f>
        <v>0</v>
      </c>
      <c r="AG133" s="294">
        <f>_xlfn.IFNA((VLOOKUP($A133,HN!$A:$M,12,FALSE)/12),0)+_xlfn.IFNA(VLOOKUP($A133,HN!$A:$Q,17,FALSE),0)</f>
        <v>0</v>
      </c>
      <c r="AH133" s="294">
        <f>_xlfn.IFNA((VLOOKUP($A133,HN!$A:$M,9,FALSE)/12),0)</f>
        <v>0</v>
      </c>
      <c r="AI133" s="294">
        <f>_xlfn.IFNA((VLOOKUP($A133,'Post 16'!$A:$AR,22,FALSE)/4),0)</f>
        <v>0</v>
      </c>
      <c r="AJ133" s="294"/>
      <c r="AK133" s="294">
        <f>_xlfn.IFNA((VLOOKUP($A133,HN!$A:$M,10,FALSE)/12),0)</f>
        <v>6517.0908333333327</v>
      </c>
      <c r="AL133" s="294">
        <f>_xlfn.IFNA((VLOOKUP($A133,HN!$A:$M,13,FALSE)/12),0)</f>
        <v>0</v>
      </c>
      <c r="AM133" s="293">
        <f t="shared" si="169"/>
        <v>-881.875</v>
      </c>
      <c r="AN133" s="293">
        <f t="shared" si="170"/>
        <v>-3457.8179999999998</v>
      </c>
      <c r="AO133" s="294"/>
      <c r="AP133" s="294"/>
      <c r="AQ133" s="294"/>
      <c r="AR133" s="293">
        <f t="shared" si="171"/>
        <v>227142.78324158443</v>
      </c>
      <c r="AS133" s="286">
        <f t="shared" si="172"/>
        <v>224965.38540825111</v>
      </c>
      <c r="AT133" s="286"/>
      <c r="AU133" s="286">
        <f>_xlfn.IFNA(VLOOKUP(A133,EY!A:AO,40,FALSE),0)</f>
        <v>8138.2353462603915</v>
      </c>
      <c r="AV133" s="287">
        <f>_xlfn.IFNA((VLOOKUP($A133,HN!$A:$M,8,FALSE)/12),0)</f>
        <v>0</v>
      </c>
      <c r="AW133" s="287">
        <f>_xlfn.IFNA((VLOOKUP($A133,HN!$A:$M,12,FALSE)/12),0)+_xlfn.IFNA(VLOOKUP($A133,HN!$A$8:$AU$200,19,FALSE),0)</f>
        <v>0</v>
      </c>
      <c r="AX133" s="287">
        <f>_xlfn.IFNA((VLOOKUP($A133,HN!$A:$M,9,FALSE)/12),0)</f>
        <v>0</v>
      </c>
      <c r="AY133" s="287">
        <f>_xlfn.IFNA((VLOOKUP($A133,'Post 16'!$A:$AR,22,FALSE)/4),0)</f>
        <v>0</v>
      </c>
      <c r="AZ133" s="287">
        <f>_xlfn.IFNA(VLOOKUP(A133,EY!A:AO,41,FALSE),0)</f>
        <v>0</v>
      </c>
      <c r="BA133" s="287">
        <f>_xlfn.IFNA(((VLOOKUP($A133,HN!$A:$M,10,FALSE)-$U133-$AK133)/10),0)+_xlfn.IFNA(VLOOKUP($A133,HN!$A:$R,18,FALSE),0)</f>
        <v>5925.1971666666668</v>
      </c>
      <c r="BB133" s="287">
        <f>_xlfn.IFNA(((VLOOKUP($A133,HN!$A:$M,13,FALSE)-$V133-$AL133)/10),0)+_xlfn.IFNA(VLOOKUP($A133,HN!$A$8:$AU$200,20,FALSE),0)</f>
        <v>0</v>
      </c>
      <c r="BC133" s="286">
        <f t="shared" si="173"/>
        <v>-881.875</v>
      </c>
      <c r="BD133" s="286">
        <f t="shared" si="174"/>
        <v>-3457.8179999999998</v>
      </c>
      <c r="BE133" s="287"/>
      <c r="BF133" s="287"/>
      <c r="BG133" s="287"/>
      <c r="BH133" s="286">
        <f t="shared" si="175"/>
        <v>234689.12492117818</v>
      </c>
      <c r="BI133" s="307">
        <f t="shared" si="176"/>
        <v>224965.38540825111</v>
      </c>
      <c r="BJ133" s="307">
        <f>_xlfn.IFNA(VLOOKUP(A133,'LA Deductions'!A:AH,34,FALSE),0)</f>
        <v>0</v>
      </c>
      <c r="BK133" s="307"/>
      <c r="BL133" s="308">
        <f>_xlfn.IFNA((VLOOKUP($A133,HN!$A:$M,8,FALSE)/12),0)</f>
        <v>0</v>
      </c>
      <c r="BM133" s="308">
        <f>_xlfn.IFNA((VLOOKUP($A133,HN!$A:$M,12,FALSE)/12),0)</f>
        <v>0</v>
      </c>
      <c r="BN133" s="308">
        <f>_xlfn.IFNA((VLOOKUP($A133,HN!$A:$M,9,FALSE)/12),0)</f>
        <v>0</v>
      </c>
      <c r="BO133" s="308">
        <f>_xlfn.IFNA((VLOOKUP($A133,'Post 16'!$A:$AR,22,FALSE)/4),0)</f>
        <v>0</v>
      </c>
      <c r="BP133" s="308"/>
      <c r="BQ133" s="308">
        <f>_xlfn.IFNA(((VLOOKUP($A133,HN!$A:$M,10,FALSE)-$U133-$AK133)/10),0)</f>
        <v>5925.1971666666668</v>
      </c>
      <c r="BR133" s="308">
        <f>_xlfn.IFNA(((VLOOKUP($A133,HN!$A:$M,13,FALSE)-$V133-$AL133)/10),0)</f>
        <v>0</v>
      </c>
      <c r="BS133" s="307">
        <f t="shared" si="177"/>
        <v>-881.875</v>
      </c>
      <c r="BT133" s="307">
        <f t="shared" si="178"/>
        <v>-3457.8179999999998</v>
      </c>
      <c r="BU133" s="308"/>
      <c r="BV133" s="308"/>
      <c r="BW133" s="308"/>
      <c r="BX133" s="307">
        <f t="shared" si="179"/>
        <v>226550.88957491779</v>
      </c>
      <c r="BY133" s="300">
        <f t="shared" si="180"/>
        <v>224965.38540825111</v>
      </c>
      <c r="BZ133" s="300"/>
      <c r="CA133" s="300"/>
      <c r="CB133" s="301">
        <f>_xlfn.IFNA((VLOOKUP($A133,HN!$A:$M,8,FALSE)/12),0)</f>
        <v>0</v>
      </c>
      <c r="CC133" s="301">
        <f>_xlfn.IFNA((VLOOKUP($A133,HN!$A:$M,12,FALSE)/12),0)</f>
        <v>0</v>
      </c>
      <c r="CD133" s="301">
        <f>_xlfn.IFNA((VLOOKUP($A133,HN!$A:$M,9,FALSE)/12),0)</f>
        <v>0</v>
      </c>
      <c r="CE133" s="301">
        <f>_xlfn.IFNA((VLOOKUP($A133,'Post 16'!$A:$AG,33,FALSE)/8),0)</f>
        <v>0</v>
      </c>
      <c r="CF133" s="301"/>
      <c r="CG133" s="301">
        <f>_xlfn.IFNA(((VLOOKUP($A133,HN!$A:$M,10,FALSE)-$U133-$AK133)/10),0)</f>
        <v>5925.1971666666668</v>
      </c>
      <c r="CH133" s="301">
        <f>_xlfn.IFNA(((VLOOKUP($A133,HN!$A:$M,13,FALSE)-$V133-$AL133)/10),0)</f>
        <v>0</v>
      </c>
      <c r="CI133" s="300">
        <f t="shared" si="181"/>
        <v>-881.875</v>
      </c>
      <c r="CJ133" s="300">
        <f t="shared" si="182"/>
        <v>-3457.8179999999998</v>
      </c>
      <c r="CK133" s="301"/>
      <c r="CL133" s="301"/>
      <c r="CM133" s="301"/>
      <c r="CN133" s="300">
        <f t="shared" si="183"/>
        <v>226550.88957491779</v>
      </c>
      <c r="CO133" s="332">
        <f t="shared" si="184"/>
        <v>224965.38540825111</v>
      </c>
      <c r="CP133" s="332"/>
      <c r="CQ133" s="332">
        <f>_xlfn.IFNA((VLOOKUP($A133,EY!$A:$AB,28,FALSE)-$CV133),0)</f>
        <v>40750.008000000002</v>
      </c>
      <c r="CR133" s="333">
        <f>_xlfn.IFNA((VLOOKUP($A133,HN!$A:$M,8,FALSE)/12),0)</f>
        <v>0</v>
      </c>
      <c r="CS133" s="333">
        <f>_xlfn.IFNA((VLOOKUP($A133,HN!$A:$M,12,FALSE)/12),0)</f>
        <v>0</v>
      </c>
      <c r="CT133" s="333">
        <f>_xlfn.IFNA((VLOOKUP($A133,HN!$A:$M,9,FALSE)/12),0)</f>
        <v>0</v>
      </c>
      <c r="CU133" s="333">
        <f>_xlfn.IFNA((VLOOKUP($A133,'Post 16'!$A:$AG,33,FALSE)/8),0)</f>
        <v>0</v>
      </c>
      <c r="CV133" s="333">
        <f>_xlfn.IFNA((VLOOKUP($A133,EY!$A:$AB,26,FALSE)*80%),0)</f>
        <v>0</v>
      </c>
      <c r="CW133" s="333">
        <f>_xlfn.IFNA(((VLOOKUP($A133,HN!$A:$M,10,FALSE)-$U133-$AK133)/10),0)</f>
        <v>5925.1971666666668</v>
      </c>
      <c r="CX133" s="333">
        <f>_xlfn.IFNA(((VLOOKUP($A133,HN!$A:$M,13,FALSE)-$V133-$AL133)/10),0)</f>
        <v>0</v>
      </c>
      <c r="CY133" s="332">
        <f t="shared" si="185"/>
        <v>-881.875</v>
      </c>
      <c r="CZ133" s="332">
        <f t="shared" si="186"/>
        <v>-3457.8179999999998</v>
      </c>
      <c r="DA133" s="333"/>
      <c r="DB133" s="333"/>
      <c r="DC133" s="333"/>
      <c r="DD133" s="332">
        <f t="shared" si="187"/>
        <v>267300.89757491776</v>
      </c>
      <c r="DE133" s="314">
        <f t="shared" si="188"/>
        <v>224965.38540825111</v>
      </c>
      <c r="DF133" s="314"/>
      <c r="DG133" s="314"/>
      <c r="DH133" s="315">
        <f>_xlfn.IFNA((VLOOKUP($A133,HN!$A:$M,8,FALSE)/12),0)</f>
        <v>0</v>
      </c>
      <c r="DI133" s="315">
        <f>_xlfn.IFNA((VLOOKUP($A133,HN!$A:$M,12,FALSE)/12),0)</f>
        <v>0</v>
      </c>
      <c r="DJ133" s="315">
        <f>_xlfn.IFNA((VLOOKUP($A133,HN!$A:$M,9,FALSE)/12),0)</f>
        <v>0</v>
      </c>
      <c r="DK133" s="315">
        <f>_xlfn.IFNA((VLOOKUP($A133,'Post 16'!$A:$AG,33,FALSE)/8),0)</f>
        <v>0</v>
      </c>
      <c r="DL133" s="315"/>
      <c r="DM133" s="315">
        <f>_xlfn.IFNA(((VLOOKUP($A133,HN!$A:$M,10,FALSE)-$U133-$AK133)/10),0)</f>
        <v>5925.1971666666668</v>
      </c>
      <c r="DN133" s="315">
        <f>_xlfn.IFNA(((VLOOKUP($A133,HN!$A:$M,13,FALSE)-$V133-$AL133)/10),0)</f>
        <v>0</v>
      </c>
      <c r="DO133" s="314">
        <f t="shared" si="189"/>
        <v>-881.875</v>
      </c>
      <c r="DP133" s="314">
        <f t="shared" si="190"/>
        <v>-3457.8179999999998</v>
      </c>
      <c r="DQ133" s="315"/>
      <c r="DR133" s="315"/>
      <c r="DS133" s="315"/>
      <c r="DT133" s="314">
        <f t="shared" si="191"/>
        <v>226550.88957491779</v>
      </c>
      <c r="DU133" s="307">
        <f t="shared" si="192"/>
        <v>224965.38540825111</v>
      </c>
      <c r="DV133" s="307"/>
      <c r="DW133" s="307"/>
      <c r="DX133" s="308">
        <f>_xlfn.IFNA((VLOOKUP($A133,HN!$A:$M,8,FALSE)/12),0)</f>
        <v>0</v>
      </c>
      <c r="DY133" s="308">
        <f>_xlfn.IFNA((VLOOKUP($A133,HN!$A:$M,12,FALSE)/12),0)</f>
        <v>0</v>
      </c>
      <c r="DZ133" s="308">
        <f>_xlfn.IFNA((VLOOKUP($A133,HN!$A:$M,9,FALSE)/12),0)</f>
        <v>0</v>
      </c>
      <c r="EA133" s="308">
        <f>_xlfn.IFNA((VLOOKUP($A133,'Post 16'!$A:$AG,33,FALSE)/8),0)</f>
        <v>0</v>
      </c>
      <c r="EB133" s="308"/>
      <c r="EC133" s="308">
        <f>_xlfn.IFNA(((VLOOKUP($A133,HN!$A:$M,10,FALSE)-$U133-$AK133)/10),0)</f>
        <v>5925.1971666666668</v>
      </c>
      <c r="ED133" s="308">
        <f>_xlfn.IFNA(((VLOOKUP($A133,HN!$A:$M,13,FALSE)-$V133-$AL133)/10),0)</f>
        <v>0</v>
      </c>
      <c r="EE133" s="307">
        <f t="shared" si="193"/>
        <v>-881.875</v>
      </c>
      <c r="EF133" s="307">
        <f t="shared" si="194"/>
        <v>-3457.8179999999998</v>
      </c>
      <c r="EG133" s="308"/>
      <c r="EH133" s="308"/>
      <c r="EI133" s="308"/>
      <c r="EJ133" s="307">
        <f t="shared" si="195"/>
        <v>226550.88957491779</v>
      </c>
      <c r="EK133" s="320">
        <f t="shared" si="196"/>
        <v>224965.38540825111</v>
      </c>
      <c r="EL133" s="320"/>
      <c r="EM133" s="320"/>
      <c r="EN133" s="321">
        <f>_xlfn.IFNA((VLOOKUP($A133,HN!$A:$M,8,FALSE)/12),0)</f>
        <v>0</v>
      </c>
      <c r="EO133" s="321">
        <f>_xlfn.IFNA((VLOOKUP($A133,HN!$A:$M,12,FALSE)/12),0)</f>
        <v>0</v>
      </c>
      <c r="EP133" s="321">
        <f>_xlfn.IFNA((VLOOKUP($A133,HN!$A:$M,9,FALSE)/12),0)</f>
        <v>0</v>
      </c>
      <c r="EQ133" s="321">
        <f>_xlfn.IFNA((VLOOKUP($A133,'Post 16'!$A:$AG,33,FALSE)/8),0)</f>
        <v>0</v>
      </c>
      <c r="ER133" s="321"/>
      <c r="ES133" s="321">
        <f>_xlfn.IFNA(((VLOOKUP($A133,HN!$A:$M,10,FALSE)-$U133-$AK133)/10),0)</f>
        <v>5925.1971666666668</v>
      </c>
      <c r="ET133" s="321">
        <f>_xlfn.IFNA(((VLOOKUP($A133,HN!$A:$M,13,FALSE)-$V133-$AL133)/10),0)</f>
        <v>0</v>
      </c>
      <c r="EU133" s="320">
        <f t="shared" si="197"/>
        <v>-881.875</v>
      </c>
      <c r="EV133" s="320">
        <f t="shared" si="198"/>
        <v>-3457.8179999999998</v>
      </c>
      <c r="EW133" s="321"/>
      <c r="EX133" s="321"/>
      <c r="EY133" s="321"/>
      <c r="EZ133" s="320">
        <f t="shared" si="199"/>
        <v>226550.88957491779</v>
      </c>
      <c r="FA133" s="286">
        <f t="shared" si="200"/>
        <v>224965.38540825111</v>
      </c>
      <c r="FB133" s="286"/>
      <c r="FC133" s="286"/>
      <c r="FD133" s="287">
        <f>_xlfn.IFNA((VLOOKUP($A133,HN!$A:$M,8,FALSE)/12),0)</f>
        <v>0</v>
      </c>
      <c r="FE133" s="287">
        <f>_xlfn.IFNA((VLOOKUP($A133,HN!$A:$M,12,FALSE)/12),0)</f>
        <v>0</v>
      </c>
      <c r="FF133" s="287">
        <f>_xlfn.IFNA((VLOOKUP($A133,HN!$A:$M,9,FALSE)/12),0)</f>
        <v>0</v>
      </c>
      <c r="FG133" s="287">
        <f>_xlfn.IFNA((VLOOKUP($A133,'Post 16'!$A:$AG,33,FALSE)/8),0)</f>
        <v>0</v>
      </c>
      <c r="FH133" s="287"/>
      <c r="FI133" s="287">
        <f>_xlfn.IFNA(((VLOOKUP($A133,HN!$A:$M,10,FALSE)-$U133-$AK133)/10),0)</f>
        <v>5925.1971666666668</v>
      </c>
      <c r="FJ133" s="287">
        <f>_xlfn.IFNA(((VLOOKUP($A133,HN!$A:$M,13,FALSE)-$V133-$AL133)/10),0)</f>
        <v>0</v>
      </c>
      <c r="FK133" s="286">
        <f t="shared" si="201"/>
        <v>-881.875</v>
      </c>
      <c r="FL133" s="286">
        <f t="shared" si="202"/>
        <v>-3457.8179999999998</v>
      </c>
      <c r="FM133" s="287"/>
      <c r="FN133" s="287"/>
      <c r="FO133" s="287"/>
      <c r="FP133" s="286">
        <f t="shared" si="203"/>
        <v>226550.88957491779</v>
      </c>
      <c r="FQ133" s="293">
        <f t="shared" si="204"/>
        <v>224965.38540825111</v>
      </c>
      <c r="FR133" s="293"/>
      <c r="FS133" s="293"/>
      <c r="FT133" s="294">
        <f>_xlfn.IFNA((VLOOKUP($A133,HN!$A:$M,8,FALSE)/12),0)</f>
        <v>0</v>
      </c>
      <c r="FU133" s="294">
        <f>_xlfn.IFNA((VLOOKUP($A133,HN!$A:$M,12,FALSE)/12),0)</f>
        <v>0</v>
      </c>
      <c r="FV133" s="294">
        <f>_xlfn.IFNA((VLOOKUP($A133,HN!$A:$M,9,FALSE)/12),0)</f>
        <v>0</v>
      </c>
      <c r="FW133" s="294">
        <f>_xlfn.IFNA((VLOOKUP($A133,'Post 16'!$A:$AG,33,FALSE)/8),0)</f>
        <v>0</v>
      </c>
      <c r="FX133" s="294"/>
      <c r="FY133" s="294">
        <f>_xlfn.IFNA(((VLOOKUP($A133,HN!$A:$M,10,FALSE)-$U133-$AK133)/10),0)</f>
        <v>5925.1971666666668</v>
      </c>
      <c r="FZ133" s="294">
        <f>_xlfn.IFNA(((VLOOKUP($A133,HN!$A:$M,13,FALSE)-$V133-$AL133)/10),0)</f>
        <v>0</v>
      </c>
      <c r="GA133" s="293">
        <f t="shared" si="205"/>
        <v>-881.875</v>
      </c>
      <c r="GB133" s="293">
        <f t="shared" si="206"/>
        <v>-3457.8179999999998</v>
      </c>
      <c r="GC133" s="294"/>
      <c r="GD133" s="294"/>
      <c r="GE133" s="294"/>
      <c r="GF133" s="293">
        <f t="shared" si="207"/>
        <v>226550.88957491779</v>
      </c>
      <c r="GG133" s="300">
        <f t="shared" si="208"/>
        <v>224965.38540825111</v>
      </c>
      <c r="GH133" s="300"/>
      <c r="GI133" s="300"/>
      <c r="GJ133" s="301">
        <f>_xlfn.IFNA((VLOOKUP($A133,HN!$A:$M,8,FALSE)/12),0)</f>
        <v>0</v>
      </c>
      <c r="GK133" s="301">
        <f>_xlfn.IFNA((VLOOKUP($A133,HN!$A:$M,12,FALSE)/12),0)</f>
        <v>0</v>
      </c>
      <c r="GL133" s="301">
        <f>_xlfn.IFNA((VLOOKUP($A133,HN!$A:$M,9,FALSE)/12),0)</f>
        <v>0</v>
      </c>
      <c r="GM133" s="301">
        <f>_xlfn.IFNA((VLOOKUP($A133,'Post 16'!$A:$AG,33,FALSE)/8),0)</f>
        <v>0</v>
      </c>
      <c r="GN133" s="301"/>
      <c r="GO133" s="301">
        <f>_xlfn.IFNA(((VLOOKUP($A133,HN!$A:$M,10,FALSE)-$U133-$AK133)/10),0)</f>
        <v>5925.1971666666668</v>
      </c>
      <c r="GP133" s="301">
        <f>_xlfn.IFNA(((VLOOKUP($A133,HN!$A:$M,13,FALSE)-$V133-$AL133)/10),0)</f>
        <v>0</v>
      </c>
      <c r="GQ133" s="300">
        <f t="shared" si="209"/>
        <v>-881.875</v>
      </c>
      <c r="GR133" s="300">
        <f t="shared" si="210"/>
        <v>-3457.8179999999998</v>
      </c>
      <c r="GS133" s="301"/>
      <c r="GT133" s="301"/>
      <c r="GU133" s="301"/>
      <c r="GV133" s="300">
        <f t="shared" si="211"/>
        <v>226550.88957491779</v>
      </c>
      <c r="GX133" s="146">
        <f t="shared" si="216"/>
        <v>2805935.6379294838</v>
      </c>
      <c r="GY133" s="146">
        <f t="shared" si="216"/>
        <v>0</v>
      </c>
      <c r="GZ133" s="146">
        <f t="shared" si="216"/>
        <v>78205.09</v>
      </c>
      <c r="HA133" s="146">
        <f t="shared" si="216"/>
        <v>-10582.5</v>
      </c>
      <c r="HB133" s="146">
        <f t="shared" si="216"/>
        <v>-41493.815999999999</v>
      </c>
      <c r="HC133" s="146">
        <f t="shared" si="216"/>
        <v>0</v>
      </c>
      <c r="HE133" s="146">
        <f t="shared" si="217"/>
        <v>740497.16125522414</v>
      </c>
      <c r="HF133" s="146">
        <f t="shared" si="217"/>
        <v>0</v>
      </c>
      <c r="HG133" s="146">
        <f t="shared" si="217"/>
        <v>24878.315500000004</v>
      </c>
      <c r="HH133" s="146">
        <f t="shared" si="217"/>
        <v>-2645.625</v>
      </c>
      <c r="HI133" s="146">
        <f t="shared" si="217"/>
        <v>-10373.454</v>
      </c>
      <c r="HJ133" s="146">
        <f t="shared" si="217"/>
        <v>0</v>
      </c>
      <c r="HL133" s="146"/>
      <c r="HM133" s="57"/>
    </row>
    <row r="134" spans="1:221">
      <c r="A134" s="185">
        <v>1038</v>
      </c>
      <c r="B134" s="185">
        <v>103142</v>
      </c>
      <c r="C134" s="185" t="s">
        <v>291</v>
      </c>
      <c r="D134" s="2" t="s">
        <v>292</v>
      </c>
      <c r="E134" s="190" t="s">
        <v>36</v>
      </c>
      <c r="F134" s="190" t="s">
        <v>890</v>
      </c>
      <c r="H134" s="271">
        <f>_xlfn.IFNA(VLOOKUP($A134,ISB!$A$4:$BY$441,67,FALSE),0)</f>
        <v>0</v>
      </c>
      <c r="I134" s="271">
        <f>_xlfn.IFNA(VLOOKUP($A134,ISB!$A$4:$BY$441,72,FALSE),0)</f>
        <v>0</v>
      </c>
      <c r="J134" s="271">
        <f>-_xlfn.IFNA(VLOOKUP($A134,ISB!$A$4:$BY$441,76,FALSE),0)</f>
        <v>0</v>
      </c>
      <c r="K134" s="271">
        <f>_xlfn.IFNA(VLOOKUP($A134,ISB!$A$4:$BY$441,77,FALSE),0)</f>
        <v>0</v>
      </c>
      <c r="M134" s="279">
        <f t="shared" si="164"/>
        <v>0</v>
      </c>
      <c r="N134" s="279"/>
      <c r="O134" s="279">
        <f>_xlfn.IFNA(VLOOKUP($A134,EY!$A:$H,8,FALSE)+(VLOOKUP($A134,EY!$A:$R,18,FALSE)-$T134),0)</f>
        <v>547475.44303245947</v>
      </c>
      <c r="P134" s="280">
        <f>_xlfn.IFNA((VLOOKUP($A134,HN!$A:$M,8,FALSE)/12),0)</f>
        <v>0</v>
      </c>
      <c r="Q134" s="280">
        <f>_xlfn.IFNA((VLOOKUP($A134,HN!$A:$M,12,FALSE)/12),0)</f>
        <v>0</v>
      </c>
      <c r="R134" s="280">
        <f>_xlfn.IFNA((VLOOKUP($A134,HN!$A:$M,9,FALSE)/12),0)</f>
        <v>0</v>
      </c>
      <c r="S134" s="280">
        <f>_xlfn.IFNA((VLOOKUP($A134,'Post 16'!$A:$AR,22,FALSE)/4),0)</f>
        <v>0</v>
      </c>
      <c r="T134" s="280">
        <f>_xlfn.IFNA((VLOOKUP($A134,EY!$A:$R,16,FALSE)*80%),0)</f>
        <v>2340</v>
      </c>
      <c r="U134" s="280">
        <v>7585.166666666667</v>
      </c>
      <c r="V134" s="280">
        <v>0</v>
      </c>
      <c r="W134" s="279">
        <f t="shared" si="165"/>
        <v>0</v>
      </c>
      <c r="X134" s="279">
        <f t="shared" si="166"/>
        <v>0</v>
      </c>
      <c r="Y134" s="280"/>
      <c r="Z134" s="280"/>
      <c r="AA134" s="280"/>
      <c r="AB134" s="279">
        <f t="shared" si="167"/>
        <v>557400.6096991261</v>
      </c>
      <c r="AC134" s="293">
        <f t="shared" si="168"/>
        <v>0</v>
      </c>
      <c r="AD134" s="293"/>
      <c r="AE134" s="293"/>
      <c r="AF134" s="294">
        <f>_xlfn.IFNA((VLOOKUP($A134,HN!$A:$M,8,FALSE)/12),0)</f>
        <v>0</v>
      </c>
      <c r="AG134" s="294">
        <f>_xlfn.IFNA((VLOOKUP($A134,HN!$A:$M,12,FALSE)/12),0)+_xlfn.IFNA(VLOOKUP($A134,HN!$A:$Q,17,FALSE),0)</f>
        <v>0</v>
      </c>
      <c r="AH134" s="294">
        <f>_xlfn.IFNA((VLOOKUP($A134,HN!$A:$M,9,FALSE)/12),0)</f>
        <v>0</v>
      </c>
      <c r="AI134" s="294">
        <f>_xlfn.IFNA((VLOOKUP($A134,'Post 16'!$A:$AR,22,FALSE)/4),0)</f>
        <v>0</v>
      </c>
      <c r="AJ134" s="294"/>
      <c r="AK134" s="294">
        <f>_xlfn.IFNA((VLOOKUP($A134,HN!$A:$M,10,FALSE)/12),0)</f>
        <v>768.09</v>
      </c>
      <c r="AL134" s="294">
        <f>_xlfn.IFNA((VLOOKUP($A134,HN!$A:$M,13,FALSE)/12),0)</f>
        <v>0</v>
      </c>
      <c r="AM134" s="293">
        <f t="shared" si="169"/>
        <v>0</v>
      </c>
      <c r="AN134" s="293">
        <f t="shared" si="170"/>
        <v>0</v>
      </c>
      <c r="AO134" s="294"/>
      <c r="AP134" s="294"/>
      <c r="AQ134" s="294"/>
      <c r="AR134" s="293">
        <f t="shared" si="171"/>
        <v>768.09</v>
      </c>
      <c r="AS134" s="286">
        <f t="shared" si="172"/>
        <v>0</v>
      </c>
      <c r="AT134" s="286"/>
      <c r="AU134" s="286">
        <f>_xlfn.IFNA(VLOOKUP(A134,EY!A:AO,40,FALSE),0)</f>
        <v>61435.440858725749</v>
      </c>
      <c r="AV134" s="287">
        <f>_xlfn.IFNA((VLOOKUP($A134,HN!$A:$M,8,FALSE)/12),0)</f>
        <v>0</v>
      </c>
      <c r="AW134" s="287">
        <f>_xlfn.IFNA((VLOOKUP($A134,HN!$A:$M,12,FALSE)/12),0)+_xlfn.IFNA(VLOOKUP($A134,HN!$A$8:$AU$200,19,FALSE),0)</f>
        <v>0</v>
      </c>
      <c r="AX134" s="287">
        <f>_xlfn.IFNA((VLOOKUP($A134,HN!$A:$M,9,FALSE)/12),0)</f>
        <v>0</v>
      </c>
      <c r="AY134" s="287">
        <f>_xlfn.IFNA((VLOOKUP($A134,'Post 16'!$A:$AR,22,FALSE)/4),0)</f>
        <v>0</v>
      </c>
      <c r="AZ134" s="287">
        <f>_xlfn.IFNA(VLOOKUP(A134,EY!A:AO,41,FALSE),0)</f>
        <v>-224.49639889196675</v>
      </c>
      <c r="BA134" s="287">
        <f>_xlfn.IFNA(((VLOOKUP($A134,HN!$A:$M,10,FALSE)-$U134-$AK134)/10),0)+_xlfn.IFNA(VLOOKUP($A134,HN!$A:$R,18,FALSE),0)</f>
        <v>86.382333333333293</v>
      </c>
      <c r="BB134" s="287">
        <f>_xlfn.IFNA(((VLOOKUP($A134,HN!$A:$M,13,FALSE)-$V134-$AL134)/10),0)+_xlfn.IFNA(VLOOKUP($A134,HN!$A$8:$AU$200,20,FALSE),0)</f>
        <v>0</v>
      </c>
      <c r="BC134" s="286">
        <f t="shared" si="173"/>
        <v>0</v>
      </c>
      <c r="BD134" s="286">
        <f t="shared" si="174"/>
        <v>0</v>
      </c>
      <c r="BE134" s="287"/>
      <c r="BF134" s="287"/>
      <c r="BG134" s="287"/>
      <c r="BH134" s="286">
        <f t="shared" si="175"/>
        <v>61297.326793167114</v>
      </c>
      <c r="BI134" s="307">
        <f t="shared" si="176"/>
        <v>0</v>
      </c>
      <c r="BJ134" s="307">
        <f>_xlfn.IFNA(VLOOKUP(A134,'LA Deductions'!A:AH,34,FALSE),0)</f>
        <v>0</v>
      </c>
      <c r="BK134" s="307"/>
      <c r="BL134" s="308">
        <f>_xlfn.IFNA((VLOOKUP($A134,HN!$A:$M,8,FALSE)/12),0)</f>
        <v>0</v>
      </c>
      <c r="BM134" s="308">
        <f>_xlfn.IFNA((VLOOKUP($A134,HN!$A:$M,12,FALSE)/12),0)</f>
        <v>0</v>
      </c>
      <c r="BN134" s="308">
        <f>_xlfn.IFNA((VLOOKUP($A134,HN!$A:$M,9,FALSE)/12),0)</f>
        <v>0</v>
      </c>
      <c r="BO134" s="308">
        <f>_xlfn.IFNA((VLOOKUP($A134,'Post 16'!$A:$AR,22,FALSE)/4),0)</f>
        <v>0</v>
      </c>
      <c r="BP134" s="308"/>
      <c r="BQ134" s="308">
        <f>_xlfn.IFNA(((VLOOKUP($A134,HN!$A:$M,10,FALSE)-$U134-$AK134)/10),0)</f>
        <v>86.382333333333293</v>
      </c>
      <c r="BR134" s="308">
        <f>_xlfn.IFNA(((VLOOKUP($A134,HN!$A:$M,13,FALSE)-$V134-$AL134)/10),0)</f>
        <v>0</v>
      </c>
      <c r="BS134" s="307">
        <f t="shared" si="177"/>
        <v>0</v>
      </c>
      <c r="BT134" s="307">
        <f t="shared" si="178"/>
        <v>0</v>
      </c>
      <c r="BU134" s="308"/>
      <c r="BV134" s="308"/>
      <c r="BW134" s="308"/>
      <c r="BX134" s="307">
        <f t="shared" si="179"/>
        <v>86.382333333333293</v>
      </c>
      <c r="BY134" s="300">
        <f t="shared" si="180"/>
        <v>0</v>
      </c>
      <c r="BZ134" s="300"/>
      <c r="CA134" s="300"/>
      <c r="CB134" s="301">
        <f>_xlfn.IFNA((VLOOKUP($A134,HN!$A:$M,8,FALSE)/12),0)</f>
        <v>0</v>
      </c>
      <c r="CC134" s="301">
        <f>_xlfn.IFNA((VLOOKUP($A134,HN!$A:$M,12,FALSE)/12),0)</f>
        <v>0</v>
      </c>
      <c r="CD134" s="301">
        <f>_xlfn.IFNA((VLOOKUP($A134,HN!$A:$M,9,FALSE)/12),0)</f>
        <v>0</v>
      </c>
      <c r="CE134" s="301">
        <f>_xlfn.IFNA((VLOOKUP($A134,'Post 16'!$A:$AG,33,FALSE)/8),0)</f>
        <v>0</v>
      </c>
      <c r="CF134" s="301"/>
      <c r="CG134" s="301">
        <f>_xlfn.IFNA(((VLOOKUP($A134,HN!$A:$M,10,FALSE)-$U134-$AK134)/10),0)</f>
        <v>86.382333333333293</v>
      </c>
      <c r="CH134" s="301">
        <f>_xlfn.IFNA(((VLOOKUP($A134,HN!$A:$M,13,FALSE)-$V134-$AL134)/10),0)</f>
        <v>0</v>
      </c>
      <c r="CI134" s="300">
        <f t="shared" si="181"/>
        <v>0</v>
      </c>
      <c r="CJ134" s="300">
        <f t="shared" si="182"/>
        <v>0</v>
      </c>
      <c r="CK134" s="301"/>
      <c r="CL134" s="301"/>
      <c r="CM134" s="301"/>
      <c r="CN134" s="300">
        <f t="shared" si="183"/>
        <v>86.382333333333293</v>
      </c>
      <c r="CO134" s="332">
        <f t="shared" si="184"/>
        <v>0</v>
      </c>
      <c r="CP134" s="332"/>
      <c r="CQ134" s="332">
        <f>_xlfn.IFNA((VLOOKUP($A134,EY!$A:$AB,28,FALSE)-$CV134),0)</f>
        <v>221950.83915789472</v>
      </c>
      <c r="CR134" s="333">
        <f>_xlfn.IFNA((VLOOKUP($A134,HN!$A:$M,8,FALSE)/12),0)</f>
        <v>0</v>
      </c>
      <c r="CS134" s="333">
        <f>_xlfn.IFNA((VLOOKUP($A134,HN!$A:$M,12,FALSE)/12),0)</f>
        <v>0</v>
      </c>
      <c r="CT134" s="333">
        <f>_xlfn.IFNA((VLOOKUP($A134,HN!$A:$M,9,FALSE)/12),0)</f>
        <v>0</v>
      </c>
      <c r="CU134" s="333">
        <f>_xlfn.IFNA((VLOOKUP($A134,'Post 16'!$A:$AG,33,FALSE)/8),0)</f>
        <v>0</v>
      </c>
      <c r="CV134" s="333">
        <f>_xlfn.IFNA((VLOOKUP($A134,EY!$A:$AB,26,FALSE)*80%),0)</f>
        <v>1560</v>
      </c>
      <c r="CW134" s="333">
        <f>_xlfn.IFNA(((VLOOKUP($A134,HN!$A:$M,10,FALSE)-$U134-$AK134)/10),0)</f>
        <v>86.382333333333293</v>
      </c>
      <c r="CX134" s="333">
        <f>_xlfn.IFNA(((VLOOKUP($A134,HN!$A:$M,13,FALSE)-$V134-$AL134)/10),0)</f>
        <v>0</v>
      </c>
      <c r="CY134" s="332">
        <f t="shared" si="185"/>
        <v>0</v>
      </c>
      <c r="CZ134" s="332">
        <f t="shared" si="186"/>
        <v>0</v>
      </c>
      <c r="DA134" s="333"/>
      <c r="DB134" s="333"/>
      <c r="DC134" s="333"/>
      <c r="DD134" s="332">
        <f t="shared" si="187"/>
        <v>223597.22149122806</v>
      </c>
      <c r="DE134" s="314">
        <f t="shared" si="188"/>
        <v>0</v>
      </c>
      <c r="DF134" s="314"/>
      <c r="DG134" s="314"/>
      <c r="DH134" s="315">
        <f>_xlfn.IFNA((VLOOKUP($A134,HN!$A:$M,8,FALSE)/12),0)</f>
        <v>0</v>
      </c>
      <c r="DI134" s="315">
        <f>_xlfn.IFNA((VLOOKUP($A134,HN!$A:$M,12,FALSE)/12),0)</f>
        <v>0</v>
      </c>
      <c r="DJ134" s="315">
        <f>_xlfn.IFNA((VLOOKUP($A134,HN!$A:$M,9,FALSE)/12),0)</f>
        <v>0</v>
      </c>
      <c r="DK134" s="315">
        <f>_xlfn.IFNA((VLOOKUP($A134,'Post 16'!$A:$AG,33,FALSE)/8),0)</f>
        <v>0</v>
      </c>
      <c r="DL134" s="315"/>
      <c r="DM134" s="315">
        <f>_xlfn.IFNA(((VLOOKUP($A134,HN!$A:$M,10,FALSE)-$U134-$AK134)/10),0)</f>
        <v>86.382333333333293</v>
      </c>
      <c r="DN134" s="315">
        <f>_xlfn.IFNA(((VLOOKUP($A134,HN!$A:$M,13,FALSE)-$V134-$AL134)/10),0)</f>
        <v>0</v>
      </c>
      <c r="DO134" s="314">
        <f t="shared" si="189"/>
        <v>0</v>
      </c>
      <c r="DP134" s="314">
        <f t="shared" si="190"/>
        <v>0</v>
      </c>
      <c r="DQ134" s="315"/>
      <c r="DR134" s="315"/>
      <c r="DS134" s="315"/>
      <c r="DT134" s="314">
        <f t="shared" si="191"/>
        <v>86.382333333333293</v>
      </c>
      <c r="DU134" s="307">
        <f t="shared" si="192"/>
        <v>0</v>
      </c>
      <c r="DV134" s="307"/>
      <c r="DW134" s="307"/>
      <c r="DX134" s="308">
        <f>_xlfn.IFNA((VLOOKUP($A134,HN!$A:$M,8,FALSE)/12),0)</f>
        <v>0</v>
      </c>
      <c r="DY134" s="308">
        <f>_xlfn.IFNA((VLOOKUP($A134,HN!$A:$M,12,FALSE)/12),0)</f>
        <v>0</v>
      </c>
      <c r="DZ134" s="308">
        <f>_xlfn.IFNA((VLOOKUP($A134,HN!$A:$M,9,FALSE)/12),0)</f>
        <v>0</v>
      </c>
      <c r="EA134" s="308">
        <f>_xlfn.IFNA((VLOOKUP($A134,'Post 16'!$A:$AG,33,FALSE)/8),0)</f>
        <v>0</v>
      </c>
      <c r="EB134" s="308"/>
      <c r="EC134" s="308">
        <f>_xlfn.IFNA(((VLOOKUP($A134,HN!$A:$M,10,FALSE)-$U134-$AK134)/10),0)</f>
        <v>86.382333333333293</v>
      </c>
      <c r="ED134" s="308">
        <f>_xlfn.IFNA(((VLOOKUP($A134,HN!$A:$M,13,FALSE)-$V134-$AL134)/10),0)</f>
        <v>0</v>
      </c>
      <c r="EE134" s="307">
        <f t="shared" si="193"/>
        <v>0</v>
      </c>
      <c r="EF134" s="307">
        <f t="shared" si="194"/>
        <v>0</v>
      </c>
      <c r="EG134" s="308"/>
      <c r="EH134" s="308"/>
      <c r="EI134" s="308"/>
      <c r="EJ134" s="307">
        <f t="shared" si="195"/>
        <v>86.382333333333293</v>
      </c>
      <c r="EK134" s="320">
        <f t="shared" si="196"/>
        <v>0</v>
      </c>
      <c r="EL134" s="320"/>
      <c r="EM134" s="320"/>
      <c r="EN134" s="321">
        <f>_xlfn.IFNA((VLOOKUP($A134,HN!$A:$M,8,FALSE)/12),0)</f>
        <v>0</v>
      </c>
      <c r="EO134" s="321">
        <f>_xlfn.IFNA((VLOOKUP($A134,HN!$A:$M,12,FALSE)/12),0)</f>
        <v>0</v>
      </c>
      <c r="EP134" s="321">
        <f>_xlfn.IFNA((VLOOKUP($A134,HN!$A:$M,9,FALSE)/12),0)</f>
        <v>0</v>
      </c>
      <c r="EQ134" s="321">
        <f>_xlfn.IFNA((VLOOKUP($A134,'Post 16'!$A:$AG,33,FALSE)/8),0)</f>
        <v>0</v>
      </c>
      <c r="ER134" s="321"/>
      <c r="ES134" s="321">
        <f>_xlfn.IFNA(((VLOOKUP($A134,HN!$A:$M,10,FALSE)-$U134-$AK134)/10),0)</f>
        <v>86.382333333333293</v>
      </c>
      <c r="ET134" s="321">
        <f>_xlfn.IFNA(((VLOOKUP($A134,HN!$A:$M,13,FALSE)-$V134-$AL134)/10),0)</f>
        <v>0</v>
      </c>
      <c r="EU134" s="320">
        <f t="shared" si="197"/>
        <v>0</v>
      </c>
      <c r="EV134" s="320">
        <f t="shared" si="198"/>
        <v>0</v>
      </c>
      <c r="EW134" s="321"/>
      <c r="EX134" s="321"/>
      <c r="EY134" s="321"/>
      <c r="EZ134" s="320">
        <f t="shared" si="199"/>
        <v>86.382333333333293</v>
      </c>
      <c r="FA134" s="286">
        <f t="shared" si="200"/>
        <v>0</v>
      </c>
      <c r="FB134" s="286"/>
      <c r="FC134" s="286"/>
      <c r="FD134" s="287">
        <f>_xlfn.IFNA((VLOOKUP($A134,HN!$A:$M,8,FALSE)/12),0)</f>
        <v>0</v>
      </c>
      <c r="FE134" s="287">
        <f>_xlfn.IFNA((VLOOKUP($A134,HN!$A:$M,12,FALSE)/12),0)</f>
        <v>0</v>
      </c>
      <c r="FF134" s="287">
        <f>_xlfn.IFNA((VLOOKUP($A134,HN!$A:$M,9,FALSE)/12),0)</f>
        <v>0</v>
      </c>
      <c r="FG134" s="287">
        <f>_xlfn.IFNA((VLOOKUP($A134,'Post 16'!$A:$AG,33,FALSE)/8),0)</f>
        <v>0</v>
      </c>
      <c r="FH134" s="287"/>
      <c r="FI134" s="287">
        <f>_xlfn.IFNA(((VLOOKUP($A134,HN!$A:$M,10,FALSE)-$U134-$AK134)/10),0)</f>
        <v>86.382333333333293</v>
      </c>
      <c r="FJ134" s="287">
        <f>_xlfn.IFNA(((VLOOKUP($A134,HN!$A:$M,13,FALSE)-$V134-$AL134)/10),0)</f>
        <v>0</v>
      </c>
      <c r="FK134" s="286">
        <f t="shared" si="201"/>
        <v>0</v>
      </c>
      <c r="FL134" s="286">
        <f t="shared" si="202"/>
        <v>0</v>
      </c>
      <c r="FM134" s="287"/>
      <c r="FN134" s="287"/>
      <c r="FO134" s="287"/>
      <c r="FP134" s="286">
        <f t="shared" si="203"/>
        <v>86.382333333333293</v>
      </c>
      <c r="FQ134" s="293">
        <f t="shared" si="204"/>
        <v>0</v>
      </c>
      <c r="FR134" s="293"/>
      <c r="FS134" s="293"/>
      <c r="FT134" s="294">
        <f>_xlfn.IFNA((VLOOKUP($A134,HN!$A:$M,8,FALSE)/12),0)</f>
        <v>0</v>
      </c>
      <c r="FU134" s="294">
        <f>_xlfn.IFNA((VLOOKUP($A134,HN!$A:$M,12,FALSE)/12),0)</f>
        <v>0</v>
      </c>
      <c r="FV134" s="294">
        <f>_xlfn.IFNA((VLOOKUP($A134,HN!$A:$M,9,FALSE)/12),0)</f>
        <v>0</v>
      </c>
      <c r="FW134" s="294">
        <f>_xlfn.IFNA((VLOOKUP($A134,'Post 16'!$A:$AG,33,FALSE)/8),0)</f>
        <v>0</v>
      </c>
      <c r="FX134" s="294"/>
      <c r="FY134" s="294">
        <f>_xlfn.IFNA(((VLOOKUP($A134,HN!$A:$M,10,FALSE)-$U134-$AK134)/10),0)</f>
        <v>86.382333333333293</v>
      </c>
      <c r="FZ134" s="294">
        <f>_xlfn.IFNA(((VLOOKUP($A134,HN!$A:$M,13,FALSE)-$V134-$AL134)/10),0)</f>
        <v>0</v>
      </c>
      <c r="GA134" s="293">
        <f t="shared" si="205"/>
        <v>0</v>
      </c>
      <c r="GB134" s="293">
        <f t="shared" si="206"/>
        <v>0</v>
      </c>
      <c r="GC134" s="294"/>
      <c r="GD134" s="294"/>
      <c r="GE134" s="294"/>
      <c r="GF134" s="293">
        <f t="shared" si="207"/>
        <v>86.382333333333293</v>
      </c>
      <c r="GG134" s="300">
        <f t="shared" si="208"/>
        <v>0</v>
      </c>
      <c r="GH134" s="300"/>
      <c r="GI134" s="300"/>
      <c r="GJ134" s="301">
        <f>_xlfn.IFNA((VLOOKUP($A134,HN!$A:$M,8,FALSE)/12),0)</f>
        <v>0</v>
      </c>
      <c r="GK134" s="301">
        <f>_xlfn.IFNA((VLOOKUP($A134,HN!$A:$M,12,FALSE)/12),0)</f>
        <v>0</v>
      </c>
      <c r="GL134" s="301">
        <f>_xlfn.IFNA((VLOOKUP($A134,HN!$A:$M,9,FALSE)/12),0)</f>
        <v>0</v>
      </c>
      <c r="GM134" s="301">
        <f>_xlfn.IFNA((VLOOKUP($A134,'Post 16'!$A:$AG,33,FALSE)/8),0)</f>
        <v>0</v>
      </c>
      <c r="GN134" s="301"/>
      <c r="GO134" s="301">
        <f>_xlfn.IFNA(((VLOOKUP($A134,HN!$A:$M,10,FALSE)-$U134-$AK134)/10),0)</f>
        <v>86.382333333333293</v>
      </c>
      <c r="GP134" s="301">
        <f>_xlfn.IFNA(((VLOOKUP($A134,HN!$A:$M,13,FALSE)-$V134-$AL134)/10),0)</f>
        <v>0</v>
      </c>
      <c r="GQ134" s="300">
        <f t="shared" si="209"/>
        <v>0</v>
      </c>
      <c r="GR134" s="300">
        <f t="shared" si="210"/>
        <v>0</v>
      </c>
      <c r="GS134" s="301"/>
      <c r="GT134" s="301"/>
      <c r="GU134" s="301"/>
      <c r="GV134" s="300">
        <f t="shared" si="211"/>
        <v>86.382333333333293</v>
      </c>
      <c r="GX134" s="146">
        <f t="shared" si="216"/>
        <v>830861.72304908</v>
      </c>
      <c r="GY134" s="146">
        <f t="shared" si="216"/>
        <v>0</v>
      </c>
      <c r="GZ134" s="146">
        <f t="shared" si="216"/>
        <v>12892.583601108032</v>
      </c>
      <c r="HA134" s="146">
        <f t="shared" si="216"/>
        <v>0</v>
      </c>
      <c r="HB134" s="146">
        <f t="shared" si="216"/>
        <v>0</v>
      </c>
      <c r="HC134" s="146">
        <f t="shared" si="216"/>
        <v>0</v>
      </c>
      <c r="HE134" s="146">
        <f t="shared" si="217"/>
        <v>608910.88389118528</v>
      </c>
      <c r="HF134" s="146">
        <f t="shared" si="217"/>
        <v>0</v>
      </c>
      <c r="HG134" s="146">
        <f t="shared" si="217"/>
        <v>10555.142601108035</v>
      </c>
      <c r="HH134" s="146">
        <f t="shared" si="217"/>
        <v>0</v>
      </c>
      <c r="HI134" s="146">
        <f t="shared" si="217"/>
        <v>0</v>
      </c>
      <c r="HJ134" s="146">
        <f t="shared" si="217"/>
        <v>0</v>
      </c>
      <c r="HL134" s="146"/>
      <c r="HM134" s="57"/>
    </row>
    <row r="135" spans="1:221">
      <c r="A135" s="185">
        <v>2174</v>
      </c>
      <c r="B135" s="185">
        <v>103255</v>
      </c>
      <c r="C135" s="185" t="s">
        <v>293</v>
      </c>
      <c r="D135" s="2" t="s">
        <v>294</v>
      </c>
      <c r="E135" s="190" t="s">
        <v>39</v>
      </c>
      <c r="F135" s="190" t="s">
        <v>890</v>
      </c>
      <c r="H135" s="271">
        <f>_xlfn.IFNA(VLOOKUP($A135,ISB!$A$4:$BY$441,67,FALSE),0)</f>
        <v>1675517.8294136385</v>
      </c>
      <c r="I135" s="271">
        <f>_xlfn.IFNA(VLOOKUP($A135,ISB!$A$4:$BY$441,72,FALSE),0)</f>
        <v>-6673.2</v>
      </c>
      <c r="J135" s="271">
        <f>-_xlfn.IFNA(VLOOKUP($A135,ISB!$A$4:$BY$441,76,FALSE),0)</f>
        <v>-30832.210500000001</v>
      </c>
      <c r="K135" s="271">
        <f>_xlfn.IFNA(VLOOKUP($A135,ISB!$A$4:$BY$441,77,FALSE),0)</f>
        <v>1638012.4189136385</v>
      </c>
      <c r="M135" s="279">
        <f t="shared" si="164"/>
        <v>139626.48578446987</v>
      </c>
      <c r="N135" s="279"/>
      <c r="O135" s="279">
        <f>_xlfn.IFNA(VLOOKUP($A135,EY!$A:$H,8,FALSE)+(VLOOKUP($A135,EY!$A:$R,18,FALSE)-$T135),0)</f>
        <v>0</v>
      </c>
      <c r="P135" s="280">
        <f>_xlfn.IFNA((VLOOKUP($A135,HN!$A:$M,8,FALSE)/12),0)</f>
        <v>0</v>
      </c>
      <c r="Q135" s="280">
        <f>_xlfn.IFNA((VLOOKUP($A135,HN!$A:$M,12,FALSE)/12),0)</f>
        <v>0</v>
      </c>
      <c r="R135" s="280">
        <f>_xlfn.IFNA((VLOOKUP($A135,HN!$A:$M,9,FALSE)/12),0)</f>
        <v>0</v>
      </c>
      <c r="S135" s="280">
        <f>_xlfn.IFNA((VLOOKUP($A135,'Post 16'!$A:$AR,22,FALSE)/4),0)</f>
        <v>0</v>
      </c>
      <c r="T135" s="280">
        <f>_xlfn.IFNA((VLOOKUP($A135,EY!$A:$R,16,FALSE)*80%),0)</f>
        <v>0</v>
      </c>
      <c r="U135" s="280">
        <v>5204.4033333333327</v>
      </c>
      <c r="V135" s="280">
        <v>0</v>
      </c>
      <c r="W135" s="279">
        <f t="shared" si="165"/>
        <v>-556.1</v>
      </c>
      <c r="X135" s="279">
        <f t="shared" si="166"/>
        <v>-2569.3508750000001</v>
      </c>
      <c r="Y135" s="280"/>
      <c r="Z135" s="280"/>
      <c r="AA135" s="280"/>
      <c r="AB135" s="279">
        <f t="shared" si="167"/>
        <v>141705.43824280318</v>
      </c>
      <c r="AC135" s="293">
        <f t="shared" si="168"/>
        <v>139626.48578446987</v>
      </c>
      <c r="AD135" s="293"/>
      <c r="AE135" s="293"/>
      <c r="AF135" s="294">
        <f>_xlfn.IFNA((VLOOKUP($A135,HN!$A:$M,8,FALSE)/12),0)</f>
        <v>0</v>
      </c>
      <c r="AG135" s="294">
        <f>_xlfn.IFNA((VLOOKUP($A135,HN!$A:$M,12,FALSE)/12),0)+_xlfn.IFNA(VLOOKUP($A135,HN!$A:$Q,17,FALSE),0)</f>
        <v>0</v>
      </c>
      <c r="AH135" s="294">
        <f>_xlfn.IFNA((VLOOKUP($A135,HN!$A:$M,9,FALSE)/12),0)</f>
        <v>0</v>
      </c>
      <c r="AI135" s="294">
        <f>_xlfn.IFNA((VLOOKUP($A135,'Post 16'!$A:$AR,22,FALSE)/4),0)</f>
        <v>0</v>
      </c>
      <c r="AJ135" s="294"/>
      <c r="AK135" s="294">
        <f>_xlfn.IFNA((VLOOKUP($A135,HN!$A:$M,10,FALSE)/12),0)</f>
        <v>6665.4441666666671</v>
      </c>
      <c r="AL135" s="294">
        <f>_xlfn.IFNA((VLOOKUP($A135,HN!$A:$M,13,FALSE)/12),0)</f>
        <v>0</v>
      </c>
      <c r="AM135" s="293">
        <f t="shared" si="169"/>
        <v>-556.1</v>
      </c>
      <c r="AN135" s="293">
        <f t="shared" si="170"/>
        <v>-2569.3508750000001</v>
      </c>
      <c r="AO135" s="294"/>
      <c r="AP135" s="294"/>
      <c r="AQ135" s="294"/>
      <c r="AR135" s="293">
        <f t="shared" si="171"/>
        <v>143166.47907613651</v>
      </c>
      <c r="AS135" s="286">
        <f t="shared" si="172"/>
        <v>139626.48578446987</v>
      </c>
      <c r="AT135" s="286"/>
      <c r="AU135" s="286">
        <f>_xlfn.IFNA(VLOOKUP(A135,EY!A:AO,40,FALSE),0)</f>
        <v>0</v>
      </c>
      <c r="AV135" s="287">
        <f>_xlfn.IFNA((VLOOKUP($A135,HN!$A:$M,8,FALSE)/12),0)</f>
        <v>0</v>
      </c>
      <c r="AW135" s="287">
        <f>_xlfn.IFNA((VLOOKUP($A135,HN!$A:$M,12,FALSE)/12),0)+_xlfn.IFNA(VLOOKUP($A135,HN!$A$8:$AU$200,19,FALSE),0)</f>
        <v>0</v>
      </c>
      <c r="AX135" s="287">
        <f>_xlfn.IFNA((VLOOKUP($A135,HN!$A:$M,9,FALSE)/12),0)</f>
        <v>0</v>
      </c>
      <c r="AY135" s="287">
        <f>_xlfn.IFNA((VLOOKUP($A135,'Post 16'!$A:$AR,22,FALSE)/4),0)</f>
        <v>0</v>
      </c>
      <c r="AZ135" s="287">
        <f>_xlfn.IFNA(VLOOKUP(A135,EY!A:AO,41,FALSE),0)</f>
        <v>0</v>
      </c>
      <c r="BA135" s="287">
        <f>_xlfn.IFNA(((VLOOKUP($A135,HN!$A:$M,10,FALSE)-$U135-$AK135)/10),0)+_xlfn.IFNA(VLOOKUP($A135,HN!$A:$R,18,FALSE),0)</f>
        <v>6811.5482499999998</v>
      </c>
      <c r="BB135" s="287">
        <f>_xlfn.IFNA(((VLOOKUP($A135,HN!$A:$M,13,FALSE)-$V135-$AL135)/10),0)+_xlfn.IFNA(VLOOKUP($A135,HN!$A$8:$AU$200,20,FALSE),0)</f>
        <v>0</v>
      </c>
      <c r="BC135" s="286">
        <f t="shared" si="173"/>
        <v>-556.1</v>
      </c>
      <c r="BD135" s="286">
        <f t="shared" si="174"/>
        <v>-2569.3508750000001</v>
      </c>
      <c r="BE135" s="287"/>
      <c r="BF135" s="287"/>
      <c r="BG135" s="287"/>
      <c r="BH135" s="286">
        <f t="shared" si="175"/>
        <v>143312.58315946985</v>
      </c>
      <c r="BI135" s="307">
        <f t="shared" si="176"/>
        <v>139626.48578446987</v>
      </c>
      <c r="BJ135" s="307">
        <f>_xlfn.IFNA(VLOOKUP(A135,'LA Deductions'!A:AH,34,FALSE),0)</f>
        <v>0</v>
      </c>
      <c r="BK135" s="307"/>
      <c r="BL135" s="308">
        <f>_xlfn.IFNA((VLOOKUP($A135,HN!$A:$M,8,FALSE)/12),0)</f>
        <v>0</v>
      </c>
      <c r="BM135" s="308">
        <f>_xlfn.IFNA((VLOOKUP($A135,HN!$A:$M,12,FALSE)/12),0)</f>
        <v>0</v>
      </c>
      <c r="BN135" s="308">
        <f>_xlfn.IFNA((VLOOKUP($A135,HN!$A:$M,9,FALSE)/12),0)</f>
        <v>0</v>
      </c>
      <c r="BO135" s="308">
        <f>_xlfn.IFNA((VLOOKUP($A135,'Post 16'!$A:$AR,22,FALSE)/4),0)</f>
        <v>0</v>
      </c>
      <c r="BP135" s="308"/>
      <c r="BQ135" s="308">
        <f>_xlfn.IFNA(((VLOOKUP($A135,HN!$A:$M,10,FALSE)-$U135-$AK135)/10),0)</f>
        <v>6811.5482499999998</v>
      </c>
      <c r="BR135" s="308">
        <f>_xlfn.IFNA(((VLOOKUP($A135,HN!$A:$M,13,FALSE)-$V135-$AL135)/10),0)</f>
        <v>0</v>
      </c>
      <c r="BS135" s="307">
        <f t="shared" si="177"/>
        <v>-556.1</v>
      </c>
      <c r="BT135" s="307">
        <f t="shared" si="178"/>
        <v>-2569.3508750000001</v>
      </c>
      <c r="BU135" s="308"/>
      <c r="BV135" s="308"/>
      <c r="BW135" s="308"/>
      <c r="BX135" s="307">
        <f t="shared" si="179"/>
        <v>143312.58315946985</v>
      </c>
      <c r="BY135" s="300">
        <f t="shared" si="180"/>
        <v>139626.48578446987</v>
      </c>
      <c r="BZ135" s="300"/>
      <c r="CA135" s="300"/>
      <c r="CB135" s="301">
        <f>_xlfn.IFNA((VLOOKUP($A135,HN!$A:$M,8,FALSE)/12),0)</f>
        <v>0</v>
      </c>
      <c r="CC135" s="301">
        <f>_xlfn.IFNA((VLOOKUP($A135,HN!$A:$M,12,FALSE)/12),0)</f>
        <v>0</v>
      </c>
      <c r="CD135" s="301">
        <f>_xlfn.IFNA((VLOOKUP($A135,HN!$A:$M,9,FALSE)/12),0)</f>
        <v>0</v>
      </c>
      <c r="CE135" s="301">
        <f>_xlfn.IFNA((VLOOKUP($A135,'Post 16'!$A:$AG,33,FALSE)/8),0)</f>
        <v>0</v>
      </c>
      <c r="CF135" s="301"/>
      <c r="CG135" s="301">
        <f>_xlfn.IFNA(((VLOOKUP($A135,HN!$A:$M,10,FALSE)-$U135-$AK135)/10),0)</f>
        <v>6811.5482499999998</v>
      </c>
      <c r="CH135" s="301">
        <f>_xlfn.IFNA(((VLOOKUP($A135,HN!$A:$M,13,FALSE)-$V135-$AL135)/10),0)</f>
        <v>0</v>
      </c>
      <c r="CI135" s="300">
        <f t="shared" si="181"/>
        <v>-556.1</v>
      </c>
      <c r="CJ135" s="300">
        <f t="shared" si="182"/>
        <v>-2569.3508750000001</v>
      </c>
      <c r="CK135" s="301"/>
      <c r="CL135" s="301"/>
      <c r="CM135" s="301"/>
      <c r="CN135" s="300">
        <f t="shared" si="183"/>
        <v>143312.58315946985</v>
      </c>
      <c r="CO135" s="332">
        <f t="shared" si="184"/>
        <v>139626.48578446987</v>
      </c>
      <c r="CP135" s="332"/>
      <c r="CQ135" s="332">
        <f>_xlfn.IFNA((VLOOKUP($A135,EY!$A:$AB,28,FALSE)-$CV135),0)</f>
        <v>0</v>
      </c>
      <c r="CR135" s="333">
        <f>_xlfn.IFNA((VLOOKUP($A135,HN!$A:$M,8,FALSE)/12),0)</f>
        <v>0</v>
      </c>
      <c r="CS135" s="333">
        <f>_xlfn.IFNA((VLOOKUP($A135,HN!$A:$M,12,FALSE)/12),0)</f>
        <v>0</v>
      </c>
      <c r="CT135" s="333">
        <f>_xlfn.IFNA((VLOOKUP($A135,HN!$A:$M,9,FALSE)/12),0)</f>
        <v>0</v>
      </c>
      <c r="CU135" s="333">
        <f>_xlfn.IFNA((VLOOKUP($A135,'Post 16'!$A:$AG,33,FALSE)/8),0)</f>
        <v>0</v>
      </c>
      <c r="CV135" s="333">
        <f>_xlfn.IFNA((VLOOKUP($A135,EY!$A:$AB,26,FALSE)*80%),0)</f>
        <v>0</v>
      </c>
      <c r="CW135" s="333">
        <f>_xlfn.IFNA(((VLOOKUP($A135,HN!$A:$M,10,FALSE)-$U135-$AK135)/10),0)</f>
        <v>6811.5482499999998</v>
      </c>
      <c r="CX135" s="333">
        <f>_xlfn.IFNA(((VLOOKUP($A135,HN!$A:$M,13,FALSE)-$V135-$AL135)/10),0)</f>
        <v>0</v>
      </c>
      <c r="CY135" s="332">
        <f t="shared" si="185"/>
        <v>-556.1</v>
      </c>
      <c r="CZ135" s="332">
        <f t="shared" si="186"/>
        <v>-2569.3508750000001</v>
      </c>
      <c r="DA135" s="333"/>
      <c r="DB135" s="333"/>
      <c r="DC135" s="333"/>
      <c r="DD135" s="332">
        <f t="shared" si="187"/>
        <v>143312.58315946985</v>
      </c>
      <c r="DE135" s="314">
        <f t="shared" si="188"/>
        <v>139626.48578446987</v>
      </c>
      <c r="DF135" s="314"/>
      <c r="DG135" s="314"/>
      <c r="DH135" s="315">
        <f>_xlfn.IFNA((VLOOKUP($A135,HN!$A:$M,8,FALSE)/12),0)</f>
        <v>0</v>
      </c>
      <c r="DI135" s="315">
        <f>_xlfn.IFNA((VLOOKUP($A135,HN!$A:$M,12,FALSE)/12),0)</f>
        <v>0</v>
      </c>
      <c r="DJ135" s="315">
        <f>_xlfn.IFNA((VLOOKUP($A135,HN!$A:$M,9,FALSE)/12),0)</f>
        <v>0</v>
      </c>
      <c r="DK135" s="315">
        <f>_xlfn.IFNA((VLOOKUP($A135,'Post 16'!$A:$AG,33,FALSE)/8),0)</f>
        <v>0</v>
      </c>
      <c r="DL135" s="315"/>
      <c r="DM135" s="315">
        <f>_xlfn.IFNA(((VLOOKUP($A135,HN!$A:$M,10,FALSE)-$U135-$AK135)/10),0)</f>
        <v>6811.5482499999998</v>
      </c>
      <c r="DN135" s="315">
        <f>_xlfn.IFNA(((VLOOKUP($A135,HN!$A:$M,13,FALSE)-$V135-$AL135)/10),0)</f>
        <v>0</v>
      </c>
      <c r="DO135" s="314">
        <f t="shared" si="189"/>
        <v>-556.1</v>
      </c>
      <c r="DP135" s="314">
        <f t="shared" si="190"/>
        <v>-2569.3508750000001</v>
      </c>
      <c r="DQ135" s="315"/>
      <c r="DR135" s="315"/>
      <c r="DS135" s="315"/>
      <c r="DT135" s="314">
        <f t="shared" si="191"/>
        <v>143312.58315946985</v>
      </c>
      <c r="DU135" s="307">
        <f t="shared" si="192"/>
        <v>139626.48578446987</v>
      </c>
      <c r="DV135" s="307"/>
      <c r="DW135" s="307"/>
      <c r="DX135" s="308">
        <f>_xlfn.IFNA((VLOOKUP($A135,HN!$A:$M,8,FALSE)/12),0)</f>
        <v>0</v>
      </c>
      <c r="DY135" s="308">
        <f>_xlfn.IFNA((VLOOKUP($A135,HN!$A:$M,12,FALSE)/12),0)</f>
        <v>0</v>
      </c>
      <c r="DZ135" s="308">
        <f>_xlfn.IFNA((VLOOKUP($A135,HN!$A:$M,9,FALSE)/12),0)</f>
        <v>0</v>
      </c>
      <c r="EA135" s="308">
        <f>_xlfn.IFNA((VLOOKUP($A135,'Post 16'!$A:$AG,33,FALSE)/8),0)</f>
        <v>0</v>
      </c>
      <c r="EB135" s="308"/>
      <c r="EC135" s="308">
        <f>_xlfn.IFNA(((VLOOKUP($A135,HN!$A:$M,10,FALSE)-$U135-$AK135)/10),0)</f>
        <v>6811.5482499999998</v>
      </c>
      <c r="ED135" s="308">
        <f>_xlfn.IFNA(((VLOOKUP($A135,HN!$A:$M,13,FALSE)-$V135-$AL135)/10),0)</f>
        <v>0</v>
      </c>
      <c r="EE135" s="307">
        <f t="shared" si="193"/>
        <v>-556.1</v>
      </c>
      <c r="EF135" s="307">
        <f t="shared" si="194"/>
        <v>-2569.3508750000001</v>
      </c>
      <c r="EG135" s="308"/>
      <c r="EH135" s="308"/>
      <c r="EI135" s="308"/>
      <c r="EJ135" s="307">
        <f t="shared" si="195"/>
        <v>143312.58315946985</v>
      </c>
      <c r="EK135" s="320">
        <f t="shared" si="196"/>
        <v>139626.48578446987</v>
      </c>
      <c r="EL135" s="320"/>
      <c r="EM135" s="320"/>
      <c r="EN135" s="321">
        <f>_xlfn.IFNA((VLOOKUP($A135,HN!$A:$M,8,FALSE)/12),0)</f>
        <v>0</v>
      </c>
      <c r="EO135" s="321">
        <f>_xlfn.IFNA((VLOOKUP($A135,HN!$A:$M,12,FALSE)/12),0)</f>
        <v>0</v>
      </c>
      <c r="EP135" s="321">
        <f>_xlfn.IFNA((VLOOKUP($A135,HN!$A:$M,9,FALSE)/12),0)</f>
        <v>0</v>
      </c>
      <c r="EQ135" s="321">
        <f>_xlfn.IFNA((VLOOKUP($A135,'Post 16'!$A:$AG,33,FALSE)/8),0)</f>
        <v>0</v>
      </c>
      <c r="ER135" s="321"/>
      <c r="ES135" s="321">
        <f>_xlfn.IFNA(((VLOOKUP($A135,HN!$A:$M,10,FALSE)-$U135-$AK135)/10),0)</f>
        <v>6811.5482499999998</v>
      </c>
      <c r="ET135" s="321">
        <f>_xlfn.IFNA(((VLOOKUP($A135,HN!$A:$M,13,FALSE)-$V135-$AL135)/10),0)</f>
        <v>0</v>
      </c>
      <c r="EU135" s="320">
        <f t="shared" si="197"/>
        <v>-556.1</v>
      </c>
      <c r="EV135" s="320">
        <f t="shared" si="198"/>
        <v>-2569.3508750000001</v>
      </c>
      <c r="EW135" s="321"/>
      <c r="EX135" s="321"/>
      <c r="EY135" s="321"/>
      <c r="EZ135" s="320">
        <f t="shared" si="199"/>
        <v>143312.58315946985</v>
      </c>
      <c r="FA135" s="286">
        <f t="shared" si="200"/>
        <v>139626.48578446987</v>
      </c>
      <c r="FB135" s="286"/>
      <c r="FC135" s="286"/>
      <c r="FD135" s="287">
        <f>_xlfn.IFNA((VLOOKUP($A135,HN!$A:$M,8,FALSE)/12),0)</f>
        <v>0</v>
      </c>
      <c r="FE135" s="287">
        <f>_xlfn.IFNA((VLOOKUP($A135,HN!$A:$M,12,FALSE)/12),0)</f>
        <v>0</v>
      </c>
      <c r="FF135" s="287">
        <f>_xlfn.IFNA((VLOOKUP($A135,HN!$A:$M,9,FALSE)/12),0)</f>
        <v>0</v>
      </c>
      <c r="FG135" s="287">
        <f>_xlfn.IFNA((VLOOKUP($A135,'Post 16'!$A:$AG,33,FALSE)/8),0)</f>
        <v>0</v>
      </c>
      <c r="FH135" s="287"/>
      <c r="FI135" s="287">
        <f>_xlfn.IFNA(((VLOOKUP($A135,HN!$A:$M,10,FALSE)-$U135-$AK135)/10),0)</f>
        <v>6811.5482499999998</v>
      </c>
      <c r="FJ135" s="287">
        <f>_xlfn.IFNA(((VLOOKUP($A135,HN!$A:$M,13,FALSE)-$V135-$AL135)/10),0)</f>
        <v>0</v>
      </c>
      <c r="FK135" s="286">
        <f t="shared" si="201"/>
        <v>-556.1</v>
      </c>
      <c r="FL135" s="286">
        <f t="shared" si="202"/>
        <v>-2569.3508750000001</v>
      </c>
      <c r="FM135" s="287"/>
      <c r="FN135" s="287"/>
      <c r="FO135" s="287"/>
      <c r="FP135" s="286">
        <f t="shared" si="203"/>
        <v>143312.58315946985</v>
      </c>
      <c r="FQ135" s="293">
        <f t="shared" si="204"/>
        <v>139626.48578446987</v>
      </c>
      <c r="FR135" s="293"/>
      <c r="FS135" s="293"/>
      <c r="FT135" s="294">
        <f>_xlfn.IFNA((VLOOKUP($A135,HN!$A:$M,8,FALSE)/12),0)</f>
        <v>0</v>
      </c>
      <c r="FU135" s="294">
        <f>_xlfn.IFNA((VLOOKUP($A135,HN!$A:$M,12,FALSE)/12),0)</f>
        <v>0</v>
      </c>
      <c r="FV135" s="294">
        <f>_xlfn.IFNA((VLOOKUP($A135,HN!$A:$M,9,FALSE)/12),0)</f>
        <v>0</v>
      </c>
      <c r="FW135" s="294">
        <f>_xlfn.IFNA((VLOOKUP($A135,'Post 16'!$A:$AG,33,FALSE)/8),0)</f>
        <v>0</v>
      </c>
      <c r="FX135" s="294"/>
      <c r="FY135" s="294">
        <f>_xlfn.IFNA(((VLOOKUP($A135,HN!$A:$M,10,FALSE)-$U135-$AK135)/10),0)</f>
        <v>6811.5482499999998</v>
      </c>
      <c r="FZ135" s="294">
        <f>_xlfn.IFNA(((VLOOKUP($A135,HN!$A:$M,13,FALSE)-$V135-$AL135)/10),0)</f>
        <v>0</v>
      </c>
      <c r="GA135" s="293">
        <f t="shared" si="205"/>
        <v>-556.1</v>
      </c>
      <c r="GB135" s="293">
        <f t="shared" si="206"/>
        <v>-2569.3508750000001</v>
      </c>
      <c r="GC135" s="294"/>
      <c r="GD135" s="294"/>
      <c r="GE135" s="294"/>
      <c r="GF135" s="293">
        <f t="shared" si="207"/>
        <v>143312.58315946985</v>
      </c>
      <c r="GG135" s="300">
        <f t="shared" si="208"/>
        <v>139626.48578446987</v>
      </c>
      <c r="GH135" s="300"/>
      <c r="GI135" s="300"/>
      <c r="GJ135" s="301">
        <f>_xlfn.IFNA((VLOOKUP($A135,HN!$A:$M,8,FALSE)/12),0)</f>
        <v>0</v>
      </c>
      <c r="GK135" s="301">
        <f>_xlfn.IFNA((VLOOKUP($A135,HN!$A:$M,12,FALSE)/12),0)</f>
        <v>0</v>
      </c>
      <c r="GL135" s="301">
        <f>_xlfn.IFNA((VLOOKUP($A135,HN!$A:$M,9,FALSE)/12),0)</f>
        <v>0</v>
      </c>
      <c r="GM135" s="301">
        <f>_xlfn.IFNA((VLOOKUP($A135,'Post 16'!$A:$AG,33,FALSE)/8),0)</f>
        <v>0</v>
      </c>
      <c r="GN135" s="301"/>
      <c r="GO135" s="301">
        <f>_xlfn.IFNA(((VLOOKUP($A135,HN!$A:$M,10,FALSE)-$U135-$AK135)/10),0)</f>
        <v>6811.5482499999998</v>
      </c>
      <c r="GP135" s="301">
        <f>_xlfn.IFNA(((VLOOKUP($A135,HN!$A:$M,13,FALSE)-$V135-$AL135)/10),0)</f>
        <v>0</v>
      </c>
      <c r="GQ135" s="300">
        <f t="shared" si="209"/>
        <v>-556.1</v>
      </c>
      <c r="GR135" s="300">
        <f t="shared" si="210"/>
        <v>-2569.3508750000001</v>
      </c>
      <c r="GS135" s="301"/>
      <c r="GT135" s="301"/>
      <c r="GU135" s="301"/>
      <c r="GV135" s="300">
        <f t="shared" si="211"/>
        <v>143312.58315946985</v>
      </c>
      <c r="GX135" s="146">
        <f t="shared" si="216"/>
        <v>1675517.8294136385</v>
      </c>
      <c r="GY135" s="146">
        <f t="shared" si="216"/>
        <v>0</v>
      </c>
      <c r="GZ135" s="146">
        <f t="shared" si="216"/>
        <v>79985.329999999987</v>
      </c>
      <c r="HA135" s="146">
        <f t="shared" si="216"/>
        <v>-6673.2000000000016</v>
      </c>
      <c r="HB135" s="146">
        <f t="shared" si="216"/>
        <v>-30832.210500000001</v>
      </c>
      <c r="HC135" s="146">
        <f t="shared" si="216"/>
        <v>0</v>
      </c>
      <c r="HE135" s="146">
        <f t="shared" si="217"/>
        <v>418879.45735340961</v>
      </c>
      <c r="HF135" s="146">
        <f t="shared" si="217"/>
        <v>0</v>
      </c>
      <c r="HG135" s="146">
        <f t="shared" si="217"/>
        <v>18681.39575</v>
      </c>
      <c r="HH135" s="146">
        <f t="shared" si="217"/>
        <v>-1668.3000000000002</v>
      </c>
      <c r="HI135" s="146">
        <f t="shared" si="217"/>
        <v>-7708.0526250000003</v>
      </c>
      <c r="HJ135" s="146">
        <f t="shared" si="217"/>
        <v>0</v>
      </c>
      <c r="HL135" s="146"/>
      <c r="HM135" s="57"/>
    </row>
    <row r="136" spans="1:221">
      <c r="A136" s="185">
        <v>2176</v>
      </c>
      <c r="B136" s="185">
        <v>103256</v>
      </c>
      <c r="C136" s="185" t="s">
        <v>295</v>
      </c>
      <c r="D136" s="2" t="s">
        <v>296</v>
      </c>
      <c r="E136" s="190" t="s">
        <v>39</v>
      </c>
      <c r="F136" s="190" t="s">
        <v>890</v>
      </c>
      <c r="H136" s="271">
        <f>_xlfn.IFNA(VLOOKUP($A136,ISB!$A$4:$BY$441,67,FALSE),0)</f>
        <v>4263425.5433425903</v>
      </c>
      <c r="I136" s="271">
        <f>_xlfn.IFNA(VLOOKUP($A136,ISB!$A$4:$BY$441,72,FALSE),0)</f>
        <v>-16160.099999999999</v>
      </c>
      <c r="J136" s="271">
        <f>-_xlfn.IFNA(VLOOKUP($A136,ISB!$A$4:$BY$441,76,FALSE),0)</f>
        <v>-78377.207999999999</v>
      </c>
      <c r="K136" s="271">
        <f>_xlfn.IFNA(VLOOKUP($A136,ISB!$A$4:$BY$441,77,FALSE),0)</f>
        <v>4168888.2353425906</v>
      </c>
      <c r="M136" s="279">
        <f t="shared" ref="M136:M165" si="218">$H136/12</f>
        <v>355285.46194521588</v>
      </c>
      <c r="N136" s="279"/>
      <c r="O136" s="279">
        <f>_xlfn.IFNA(VLOOKUP($A136,EY!$A:$H,8,FALSE)+(VLOOKUP($A136,EY!$A:$R,18,FALSE)-$T136),0)</f>
        <v>77905.195789473699</v>
      </c>
      <c r="P136" s="280">
        <f>_xlfn.IFNA((VLOOKUP($A136,HN!$A:$M,8,FALSE)/12),0)</f>
        <v>0</v>
      </c>
      <c r="Q136" s="280">
        <f>_xlfn.IFNA((VLOOKUP($A136,HN!$A:$M,12,FALSE)/12),0)</f>
        <v>0</v>
      </c>
      <c r="R136" s="280">
        <f>_xlfn.IFNA((VLOOKUP($A136,HN!$A:$M,9,FALSE)/12),0)</f>
        <v>0</v>
      </c>
      <c r="S136" s="280">
        <f>_xlfn.IFNA((VLOOKUP($A136,'Post 16'!$A:$AR,22,FALSE)/4),0)</f>
        <v>0</v>
      </c>
      <c r="T136" s="280">
        <f>_xlfn.IFNA((VLOOKUP($A136,EY!$A:$R,16,FALSE)*80%),0)</f>
        <v>0</v>
      </c>
      <c r="U136" s="280">
        <v>30483.673333333336</v>
      </c>
      <c r="V136" s="280">
        <v>0</v>
      </c>
      <c r="W136" s="279">
        <f t="shared" ref="W136:W165" si="219">$I136/12</f>
        <v>-1346.675</v>
      </c>
      <c r="X136" s="279">
        <f t="shared" ref="X136:X165" si="220">$J136/12</f>
        <v>-6531.4340000000002</v>
      </c>
      <c r="Y136" s="280"/>
      <c r="Z136" s="280"/>
      <c r="AA136" s="280"/>
      <c r="AB136" s="279">
        <f t="shared" ref="AB136:AB165" si="221">SUM(M136:AA136)</f>
        <v>455796.22206802294</v>
      </c>
      <c r="AC136" s="293">
        <f t="shared" ref="AC136:AC165" si="222">$H136/12</f>
        <v>355285.46194521588</v>
      </c>
      <c r="AD136" s="293"/>
      <c r="AE136" s="293"/>
      <c r="AF136" s="294">
        <f>_xlfn.IFNA((VLOOKUP($A136,HN!$A:$M,8,FALSE)/12),0)</f>
        <v>0</v>
      </c>
      <c r="AG136" s="294">
        <f>_xlfn.IFNA((VLOOKUP($A136,HN!$A:$M,12,FALSE)/12),0)+_xlfn.IFNA(VLOOKUP($A136,HN!$A:$Q,17,FALSE),0)</f>
        <v>0</v>
      </c>
      <c r="AH136" s="294">
        <f>_xlfn.IFNA((VLOOKUP($A136,HN!$A:$M,9,FALSE)/12),0)</f>
        <v>0</v>
      </c>
      <c r="AI136" s="294">
        <f>_xlfn.IFNA((VLOOKUP($A136,'Post 16'!$A:$AR,22,FALSE)/4),0)</f>
        <v>0</v>
      </c>
      <c r="AJ136" s="294"/>
      <c r="AK136" s="294">
        <f>_xlfn.IFNA((VLOOKUP($A136,HN!$A:$M,10,FALSE)/12),0)</f>
        <v>14941.645833333334</v>
      </c>
      <c r="AL136" s="294">
        <f>_xlfn.IFNA((VLOOKUP($A136,HN!$A:$M,13,FALSE)/12),0)</f>
        <v>0</v>
      </c>
      <c r="AM136" s="293">
        <f t="shared" ref="AM136:AM165" si="223">$I136/12</f>
        <v>-1346.675</v>
      </c>
      <c r="AN136" s="293">
        <f t="shared" ref="AN136:AN165" si="224">$J136/12</f>
        <v>-6531.4340000000002</v>
      </c>
      <c r="AO136" s="294"/>
      <c r="AP136" s="294"/>
      <c r="AQ136" s="294"/>
      <c r="AR136" s="293">
        <f t="shared" ref="AR136:AR165" si="225">SUM(AC136:AQ136)</f>
        <v>362348.9987785492</v>
      </c>
      <c r="AS136" s="286">
        <f t="shared" ref="AS136:AS165" si="226">$H136/12</f>
        <v>355285.46194521588</v>
      </c>
      <c r="AT136" s="286"/>
      <c r="AU136" s="286">
        <f>_xlfn.IFNA(VLOOKUP(A136,EY!A:AO,40,FALSE),0)</f>
        <v>30931.092299168973</v>
      </c>
      <c r="AV136" s="287">
        <f>_xlfn.IFNA((VLOOKUP($A136,HN!$A:$M,8,FALSE)/12),0)</f>
        <v>0</v>
      </c>
      <c r="AW136" s="287">
        <f>_xlfn.IFNA((VLOOKUP($A136,HN!$A:$M,12,FALSE)/12),0)+_xlfn.IFNA(VLOOKUP($A136,HN!$A$8:$AU$200,19,FALSE),0)</f>
        <v>0</v>
      </c>
      <c r="AX136" s="287">
        <f>_xlfn.IFNA((VLOOKUP($A136,HN!$A:$M,9,FALSE)/12),0)</f>
        <v>0</v>
      </c>
      <c r="AY136" s="287">
        <f>_xlfn.IFNA((VLOOKUP($A136,'Post 16'!$A:$AR,22,FALSE)/4),0)</f>
        <v>0</v>
      </c>
      <c r="AZ136" s="287">
        <f>_xlfn.IFNA(VLOOKUP(A136,EY!A:AO,41,FALSE),0)</f>
        <v>0</v>
      </c>
      <c r="BA136" s="287">
        <f>_xlfn.IFNA(((VLOOKUP($A136,HN!$A:$M,10,FALSE)-$U136-$AK136)/10),0)+_xlfn.IFNA(VLOOKUP($A136,HN!$A:$R,18,FALSE),0)</f>
        <v>13387.443083333332</v>
      </c>
      <c r="BB136" s="287">
        <f>_xlfn.IFNA(((VLOOKUP($A136,HN!$A:$M,13,FALSE)-$V136-$AL136)/10),0)+_xlfn.IFNA(VLOOKUP($A136,HN!$A$8:$AU$200,20,FALSE),0)</f>
        <v>0</v>
      </c>
      <c r="BC136" s="286">
        <f t="shared" ref="BC136:BC165" si="227">$I136/12</f>
        <v>-1346.675</v>
      </c>
      <c r="BD136" s="286">
        <f t="shared" ref="BD136:BD165" si="228">$J136/12</f>
        <v>-6531.4340000000002</v>
      </c>
      <c r="BE136" s="287"/>
      <c r="BF136" s="287"/>
      <c r="BG136" s="287"/>
      <c r="BH136" s="286">
        <f t="shared" ref="BH136:BH165" si="229">SUM(AS136:BG136)</f>
        <v>391725.88832771819</v>
      </c>
      <c r="BI136" s="307">
        <f t="shared" ref="BI136:BI165" si="230">$H136/12</f>
        <v>355285.46194521588</v>
      </c>
      <c r="BJ136" s="307">
        <f>_xlfn.IFNA(VLOOKUP(A136,'LA Deductions'!A:AH,34,FALSE),0)</f>
        <v>0</v>
      </c>
      <c r="BK136" s="307"/>
      <c r="BL136" s="308">
        <f>_xlfn.IFNA((VLOOKUP($A136,HN!$A:$M,8,FALSE)/12),0)</f>
        <v>0</v>
      </c>
      <c r="BM136" s="308">
        <f>_xlfn.IFNA((VLOOKUP($A136,HN!$A:$M,12,FALSE)/12),0)</f>
        <v>0</v>
      </c>
      <c r="BN136" s="308">
        <f>_xlfn.IFNA((VLOOKUP($A136,HN!$A:$M,9,FALSE)/12),0)</f>
        <v>0</v>
      </c>
      <c r="BO136" s="308">
        <f>_xlfn.IFNA((VLOOKUP($A136,'Post 16'!$A:$AR,22,FALSE)/4),0)</f>
        <v>0</v>
      </c>
      <c r="BP136" s="308"/>
      <c r="BQ136" s="308">
        <f>_xlfn.IFNA(((VLOOKUP($A136,HN!$A:$M,10,FALSE)-$U136-$AK136)/10),0)</f>
        <v>13387.443083333332</v>
      </c>
      <c r="BR136" s="308">
        <f>_xlfn.IFNA(((VLOOKUP($A136,HN!$A:$M,13,FALSE)-$V136-$AL136)/10),0)</f>
        <v>0</v>
      </c>
      <c r="BS136" s="307">
        <f t="shared" ref="BS136:BS165" si="231">$I136/12</f>
        <v>-1346.675</v>
      </c>
      <c r="BT136" s="307">
        <f t="shared" ref="BT136:BT165" si="232">$J136/12</f>
        <v>-6531.4340000000002</v>
      </c>
      <c r="BU136" s="308"/>
      <c r="BV136" s="308"/>
      <c r="BW136" s="308"/>
      <c r="BX136" s="307">
        <f t="shared" ref="BX136:BX165" si="233">SUM(BI136:BW136)</f>
        <v>360794.7960285492</v>
      </c>
      <c r="BY136" s="300">
        <f t="shared" ref="BY136:BY165" si="234">$H136/12</f>
        <v>355285.46194521588</v>
      </c>
      <c r="BZ136" s="300"/>
      <c r="CA136" s="300"/>
      <c r="CB136" s="301">
        <f>_xlfn.IFNA((VLOOKUP($A136,HN!$A:$M,8,FALSE)/12),0)</f>
        <v>0</v>
      </c>
      <c r="CC136" s="301">
        <f>_xlfn.IFNA((VLOOKUP($A136,HN!$A:$M,12,FALSE)/12),0)</f>
        <v>0</v>
      </c>
      <c r="CD136" s="301">
        <f>_xlfn.IFNA((VLOOKUP($A136,HN!$A:$M,9,FALSE)/12),0)</f>
        <v>0</v>
      </c>
      <c r="CE136" s="301">
        <f>_xlfn.IFNA((VLOOKUP($A136,'Post 16'!$A:$AG,33,FALSE)/8),0)</f>
        <v>0</v>
      </c>
      <c r="CF136" s="301"/>
      <c r="CG136" s="301">
        <f>_xlfn.IFNA(((VLOOKUP($A136,HN!$A:$M,10,FALSE)-$U136-$AK136)/10),0)</f>
        <v>13387.443083333332</v>
      </c>
      <c r="CH136" s="301">
        <f>_xlfn.IFNA(((VLOOKUP($A136,HN!$A:$M,13,FALSE)-$V136-$AL136)/10),0)</f>
        <v>0</v>
      </c>
      <c r="CI136" s="300">
        <f t="shared" ref="CI136:CI165" si="235">$I136/12</f>
        <v>-1346.675</v>
      </c>
      <c r="CJ136" s="300">
        <f t="shared" ref="CJ136:CJ165" si="236">$J136/12</f>
        <v>-6531.4340000000002</v>
      </c>
      <c r="CK136" s="301"/>
      <c r="CL136" s="301"/>
      <c r="CM136" s="301"/>
      <c r="CN136" s="300">
        <f t="shared" ref="CN136:CN165" si="237">SUM(BY136:CM136)</f>
        <v>360794.7960285492</v>
      </c>
      <c r="CO136" s="332">
        <f t="shared" ref="CO136:CO165" si="238">$H136/12</f>
        <v>355285.46194521588</v>
      </c>
      <c r="CP136" s="332"/>
      <c r="CQ136" s="332">
        <f>_xlfn.IFNA((VLOOKUP($A136,EY!$A:$AB,28,FALSE)-$CV136),0)</f>
        <v>61366.075789473696</v>
      </c>
      <c r="CR136" s="333">
        <f>_xlfn.IFNA((VLOOKUP($A136,HN!$A:$M,8,FALSE)/12),0)</f>
        <v>0</v>
      </c>
      <c r="CS136" s="333">
        <f>_xlfn.IFNA((VLOOKUP($A136,HN!$A:$M,12,FALSE)/12),0)</f>
        <v>0</v>
      </c>
      <c r="CT136" s="333">
        <f>_xlfn.IFNA((VLOOKUP($A136,HN!$A:$M,9,FALSE)/12),0)</f>
        <v>0</v>
      </c>
      <c r="CU136" s="333">
        <f>_xlfn.IFNA((VLOOKUP($A136,'Post 16'!$A:$AG,33,FALSE)/8),0)</f>
        <v>0</v>
      </c>
      <c r="CV136" s="333">
        <f>_xlfn.IFNA((VLOOKUP($A136,EY!$A:$AB,26,FALSE)*80%),0)</f>
        <v>780</v>
      </c>
      <c r="CW136" s="333">
        <f>_xlfn.IFNA(((VLOOKUP($A136,HN!$A:$M,10,FALSE)-$U136-$AK136)/10),0)</f>
        <v>13387.443083333332</v>
      </c>
      <c r="CX136" s="333">
        <f>_xlfn.IFNA(((VLOOKUP($A136,HN!$A:$M,13,FALSE)-$V136-$AL136)/10),0)</f>
        <v>0</v>
      </c>
      <c r="CY136" s="332">
        <f t="shared" ref="CY136:CY165" si="239">$I136/12</f>
        <v>-1346.675</v>
      </c>
      <c r="CZ136" s="332">
        <f t="shared" ref="CZ136:CZ165" si="240">$J136/12</f>
        <v>-6531.4340000000002</v>
      </c>
      <c r="DA136" s="333"/>
      <c r="DB136" s="333"/>
      <c r="DC136" s="333"/>
      <c r="DD136" s="332">
        <f t="shared" ref="DD136:DD165" si="241">SUM(CO136:DC136)</f>
        <v>422940.87181802292</v>
      </c>
      <c r="DE136" s="314">
        <f t="shared" ref="DE136:DE165" si="242">$H136/12</f>
        <v>355285.46194521588</v>
      </c>
      <c r="DF136" s="314"/>
      <c r="DG136" s="314"/>
      <c r="DH136" s="315">
        <f>_xlfn.IFNA((VLOOKUP($A136,HN!$A:$M,8,FALSE)/12),0)</f>
        <v>0</v>
      </c>
      <c r="DI136" s="315">
        <f>_xlfn.IFNA((VLOOKUP($A136,HN!$A:$M,12,FALSE)/12),0)</f>
        <v>0</v>
      </c>
      <c r="DJ136" s="315">
        <f>_xlfn.IFNA((VLOOKUP($A136,HN!$A:$M,9,FALSE)/12),0)</f>
        <v>0</v>
      </c>
      <c r="DK136" s="315">
        <f>_xlfn.IFNA((VLOOKUP($A136,'Post 16'!$A:$AG,33,FALSE)/8),0)</f>
        <v>0</v>
      </c>
      <c r="DL136" s="315"/>
      <c r="DM136" s="315">
        <f>_xlfn.IFNA(((VLOOKUP($A136,HN!$A:$M,10,FALSE)-$U136-$AK136)/10),0)</f>
        <v>13387.443083333332</v>
      </c>
      <c r="DN136" s="315">
        <f>_xlfn.IFNA(((VLOOKUP($A136,HN!$A:$M,13,FALSE)-$V136-$AL136)/10),0)</f>
        <v>0</v>
      </c>
      <c r="DO136" s="314">
        <f t="shared" ref="DO136:DO165" si="243">$I136/12</f>
        <v>-1346.675</v>
      </c>
      <c r="DP136" s="314">
        <f t="shared" ref="DP136:DP165" si="244">$J136/12</f>
        <v>-6531.4340000000002</v>
      </c>
      <c r="DQ136" s="315"/>
      <c r="DR136" s="315"/>
      <c r="DS136" s="315"/>
      <c r="DT136" s="314">
        <f t="shared" ref="DT136:DT165" si="245">SUM(DE136:DS136)</f>
        <v>360794.7960285492</v>
      </c>
      <c r="DU136" s="307">
        <f t="shared" ref="DU136:DU165" si="246">$H136/12</f>
        <v>355285.46194521588</v>
      </c>
      <c r="DV136" s="307"/>
      <c r="DW136" s="307"/>
      <c r="DX136" s="308">
        <f>_xlfn.IFNA((VLOOKUP($A136,HN!$A:$M,8,FALSE)/12),0)</f>
        <v>0</v>
      </c>
      <c r="DY136" s="308">
        <f>_xlfn.IFNA((VLOOKUP($A136,HN!$A:$M,12,FALSE)/12),0)</f>
        <v>0</v>
      </c>
      <c r="DZ136" s="308">
        <f>_xlfn.IFNA((VLOOKUP($A136,HN!$A:$M,9,FALSE)/12),0)</f>
        <v>0</v>
      </c>
      <c r="EA136" s="308">
        <f>_xlfn.IFNA((VLOOKUP($A136,'Post 16'!$A:$AG,33,FALSE)/8),0)</f>
        <v>0</v>
      </c>
      <c r="EB136" s="308"/>
      <c r="EC136" s="308">
        <f>_xlfn.IFNA(((VLOOKUP($A136,HN!$A:$M,10,FALSE)-$U136-$AK136)/10),0)</f>
        <v>13387.443083333332</v>
      </c>
      <c r="ED136" s="308">
        <f>_xlfn.IFNA(((VLOOKUP($A136,HN!$A:$M,13,FALSE)-$V136-$AL136)/10),0)</f>
        <v>0</v>
      </c>
      <c r="EE136" s="307">
        <f t="shared" ref="EE136:EE165" si="247">$I136/12</f>
        <v>-1346.675</v>
      </c>
      <c r="EF136" s="307">
        <f t="shared" ref="EF136:EF165" si="248">$J136/12</f>
        <v>-6531.4340000000002</v>
      </c>
      <c r="EG136" s="308"/>
      <c r="EH136" s="308"/>
      <c r="EI136" s="308"/>
      <c r="EJ136" s="307">
        <f t="shared" ref="EJ136:EJ165" si="249">SUM(DU136:EH136)</f>
        <v>360794.7960285492</v>
      </c>
      <c r="EK136" s="320">
        <f t="shared" ref="EK136:EK165" si="250">$H136/12</f>
        <v>355285.46194521588</v>
      </c>
      <c r="EL136" s="320"/>
      <c r="EM136" s="320"/>
      <c r="EN136" s="321">
        <f>_xlfn.IFNA((VLOOKUP($A136,HN!$A:$M,8,FALSE)/12),0)</f>
        <v>0</v>
      </c>
      <c r="EO136" s="321">
        <f>_xlfn.IFNA((VLOOKUP($A136,HN!$A:$M,12,FALSE)/12),0)</f>
        <v>0</v>
      </c>
      <c r="EP136" s="321">
        <f>_xlfn.IFNA((VLOOKUP($A136,HN!$A:$M,9,FALSE)/12),0)</f>
        <v>0</v>
      </c>
      <c r="EQ136" s="321">
        <f>_xlfn.IFNA((VLOOKUP($A136,'Post 16'!$A:$AG,33,FALSE)/8),0)</f>
        <v>0</v>
      </c>
      <c r="ER136" s="321"/>
      <c r="ES136" s="321">
        <f>_xlfn.IFNA(((VLOOKUP($A136,HN!$A:$M,10,FALSE)-$U136-$AK136)/10),0)</f>
        <v>13387.443083333332</v>
      </c>
      <c r="ET136" s="321">
        <f>_xlfn.IFNA(((VLOOKUP($A136,HN!$A:$M,13,FALSE)-$V136-$AL136)/10),0)</f>
        <v>0</v>
      </c>
      <c r="EU136" s="320">
        <f t="shared" ref="EU136:EU165" si="251">$I136/12</f>
        <v>-1346.675</v>
      </c>
      <c r="EV136" s="320">
        <f t="shared" ref="EV136:EV165" si="252">$J136/12</f>
        <v>-6531.4340000000002</v>
      </c>
      <c r="EW136" s="321"/>
      <c r="EX136" s="321"/>
      <c r="EY136" s="321"/>
      <c r="EZ136" s="320">
        <f t="shared" ref="EZ136:EZ165" si="253">SUM(EK136:EY136)</f>
        <v>360794.7960285492</v>
      </c>
      <c r="FA136" s="286">
        <f t="shared" ref="FA136:FA165" si="254">$H136/12</f>
        <v>355285.46194521588</v>
      </c>
      <c r="FB136" s="286"/>
      <c r="FC136" s="286"/>
      <c r="FD136" s="287">
        <f>_xlfn.IFNA((VLOOKUP($A136,HN!$A:$M,8,FALSE)/12),0)</f>
        <v>0</v>
      </c>
      <c r="FE136" s="287">
        <f>_xlfn.IFNA((VLOOKUP($A136,HN!$A:$M,12,FALSE)/12),0)</f>
        <v>0</v>
      </c>
      <c r="FF136" s="287">
        <f>_xlfn.IFNA((VLOOKUP($A136,HN!$A:$M,9,FALSE)/12),0)</f>
        <v>0</v>
      </c>
      <c r="FG136" s="287">
        <f>_xlfn.IFNA((VLOOKUP($A136,'Post 16'!$A:$AG,33,FALSE)/8),0)</f>
        <v>0</v>
      </c>
      <c r="FH136" s="287"/>
      <c r="FI136" s="287">
        <f>_xlfn.IFNA(((VLOOKUP($A136,HN!$A:$M,10,FALSE)-$U136-$AK136)/10),0)</f>
        <v>13387.443083333332</v>
      </c>
      <c r="FJ136" s="287">
        <f>_xlfn.IFNA(((VLOOKUP($A136,HN!$A:$M,13,FALSE)-$V136-$AL136)/10),0)</f>
        <v>0</v>
      </c>
      <c r="FK136" s="286">
        <f t="shared" ref="FK136:FK165" si="255">$I136/12</f>
        <v>-1346.675</v>
      </c>
      <c r="FL136" s="286">
        <f t="shared" ref="FL136:FL165" si="256">$J136/12</f>
        <v>-6531.4340000000002</v>
      </c>
      <c r="FM136" s="287"/>
      <c r="FN136" s="287"/>
      <c r="FO136" s="287"/>
      <c r="FP136" s="286">
        <f t="shared" ref="FP136:FP165" si="257">SUM(FA136:FO136)</f>
        <v>360794.7960285492</v>
      </c>
      <c r="FQ136" s="293">
        <f t="shared" ref="FQ136:FQ165" si="258">$H136/12</f>
        <v>355285.46194521588</v>
      </c>
      <c r="FR136" s="293"/>
      <c r="FS136" s="293"/>
      <c r="FT136" s="294">
        <f>_xlfn.IFNA((VLOOKUP($A136,HN!$A:$M,8,FALSE)/12),0)</f>
        <v>0</v>
      </c>
      <c r="FU136" s="294">
        <f>_xlfn.IFNA((VLOOKUP($A136,HN!$A:$M,12,FALSE)/12),0)</f>
        <v>0</v>
      </c>
      <c r="FV136" s="294">
        <f>_xlfn.IFNA((VLOOKUP($A136,HN!$A:$M,9,FALSE)/12),0)</f>
        <v>0</v>
      </c>
      <c r="FW136" s="294">
        <f>_xlfn.IFNA((VLOOKUP($A136,'Post 16'!$A:$AG,33,FALSE)/8),0)</f>
        <v>0</v>
      </c>
      <c r="FX136" s="294"/>
      <c r="FY136" s="294">
        <f>_xlfn.IFNA(((VLOOKUP($A136,HN!$A:$M,10,FALSE)-$U136-$AK136)/10),0)</f>
        <v>13387.443083333332</v>
      </c>
      <c r="FZ136" s="294">
        <f>_xlfn.IFNA(((VLOOKUP($A136,HN!$A:$M,13,FALSE)-$V136-$AL136)/10),0)</f>
        <v>0</v>
      </c>
      <c r="GA136" s="293">
        <f t="shared" ref="GA136:GA165" si="259">$I136/12</f>
        <v>-1346.675</v>
      </c>
      <c r="GB136" s="293">
        <f t="shared" ref="GB136:GB165" si="260">$J136/12</f>
        <v>-6531.4340000000002</v>
      </c>
      <c r="GC136" s="294"/>
      <c r="GD136" s="294"/>
      <c r="GE136" s="294"/>
      <c r="GF136" s="293">
        <f t="shared" ref="GF136:GF165" si="261">SUM(FQ136:GE136)</f>
        <v>360794.7960285492</v>
      </c>
      <c r="GG136" s="300">
        <f t="shared" ref="GG136:GG165" si="262">$H136/12</f>
        <v>355285.46194521588</v>
      </c>
      <c r="GH136" s="300"/>
      <c r="GI136" s="300"/>
      <c r="GJ136" s="301">
        <f>_xlfn.IFNA((VLOOKUP($A136,HN!$A:$M,8,FALSE)/12),0)</f>
        <v>0</v>
      </c>
      <c r="GK136" s="301">
        <f>_xlfn.IFNA((VLOOKUP($A136,HN!$A:$M,12,FALSE)/12),0)</f>
        <v>0</v>
      </c>
      <c r="GL136" s="301">
        <f>_xlfn.IFNA((VLOOKUP($A136,HN!$A:$M,9,FALSE)/12),0)</f>
        <v>0</v>
      </c>
      <c r="GM136" s="301">
        <f>_xlfn.IFNA((VLOOKUP($A136,'Post 16'!$A:$AG,33,FALSE)/8),0)</f>
        <v>0</v>
      </c>
      <c r="GN136" s="301"/>
      <c r="GO136" s="301">
        <f>_xlfn.IFNA(((VLOOKUP($A136,HN!$A:$M,10,FALSE)-$U136-$AK136)/10),0)</f>
        <v>13387.443083333332</v>
      </c>
      <c r="GP136" s="301">
        <f>_xlfn.IFNA(((VLOOKUP($A136,HN!$A:$M,13,FALSE)-$V136-$AL136)/10),0)</f>
        <v>0</v>
      </c>
      <c r="GQ136" s="300">
        <f t="shared" ref="GQ136:GQ165" si="263">$I136/12</f>
        <v>-1346.675</v>
      </c>
      <c r="GR136" s="300">
        <f t="shared" ref="GR136:GR165" si="264">$J136/12</f>
        <v>-6531.4340000000002</v>
      </c>
      <c r="GS136" s="301"/>
      <c r="GT136" s="301"/>
      <c r="GU136" s="301"/>
      <c r="GV136" s="300">
        <f t="shared" ref="GV136:GV165" si="265">SUM(GG136:GU136)</f>
        <v>360794.7960285492</v>
      </c>
      <c r="GX136" s="146">
        <f t="shared" si="216"/>
        <v>4433627.9072207063</v>
      </c>
      <c r="GY136" s="146">
        <f t="shared" si="216"/>
        <v>0</v>
      </c>
      <c r="GZ136" s="146">
        <f t="shared" si="216"/>
        <v>180079.74999999994</v>
      </c>
      <c r="HA136" s="146">
        <f t="shared" si="216"/>
        <v>-16160.099999999997</v>
      </c>
      <c r="HB136" s="146">
        <f t="shared" si="216"/>
        <v>-78377.207999999999</v>
      </c>
      <c r="HC136" s="146">
        <f t="shared" si="216"/>
        <v>0</v>
      </c>
      <c r="HE136" s="146">
        <f t="shared" si="217"/>
        <v>1174692.6739242903</v>
      </c>
      <c r="HF136" s="146">
        <f t="shared" si="217"/>
        <v>0</v>
      </c>
      <c r="HG136" s="146">
        <f t="shared" si="217"/>
        <v>58812.76225</v>
      </c>
      <c r="HH136" s="146">
        <f t="shared" si="217"/>
        <v>-4040.0249999999996</v>
      </c>
      <c r="HI136" s="146">
        <f t="shared" si="217"/>
        <v>-19594.302</v>
      </c>
      <c r="HJ136" s="146">
        <f t="shared" si="217"/>
        <v>0</v>
      </c>
      <c r="HL136" s="146"/>
      <c r="HM136" s="57"/>
    </row>
    <row r="137" spans="1:221">
      <c r="A137" s="185">
        <v>7047</v>
      </c>
      <c r="B137" s="185">
        <v>103623</v>
      </c>
      <c r="C137" s="185" t="s">
        <v>297</v>
      </c>
      <c r="D137" s="2" t="s">
        <v>298</v>
      </c>
      <c r="E137" s="190" t="s">
        <v>56</v>
      </c>
      <c r="F137" s="190" t="s">
        <v>890</v>
      </c>
      <c r="H137" s="271">
        <f>_xlfn.IFNA(VLOOKUP($A137,ISB!$A$4:$BY$441,67,FALSE),0)</f>
        <v>0</v>
      </c>
      <c r="I137" s="271">
        <f>_xlfn.IFNA(VLOOKUP($A137,ISB!$A$4:$BY$441,72,FALSE),0)</f>
        <v>0</v>
      </c>
      <c r="J137" s="271">
        <f>-_xlfn.IFNA(VLOOKUP($A137,ISB!$A$4:$BY$441,76,FALSE),0)</f>
        <v>0</v>
      </c>
      <c r="K137" s="271">
        <f>_xlfn.IFNA(VLOOKUP($A137,ISB!$A$4:$BY$441,77,FALSE),0)</f>
        <v>0</v>
      </c>
      <c r="M137" s="279">
        <f t="shared" si="218"/>
        <v>0</v>
      </c>
      <c r="N137" s="279"/>
      <c r="O137" s="279">
        <f>_xlfn.IFNA(VLOOKUP($A137,EY!$A:$H,8,FALSE)+(VLOOKUP($A137,EY!$A:$R,18,FALSE)-$T137),0)</f>
        <v>0</v>
      </c>
      <c r="P137" s="280">
        <f>_xlfn.IFNA((VLOOKUP($A137,HN!$A:$M,8,FALSE)/12),0)</f>
        <v>95833.333333333328</v>
      </c>
      <c r="Q137" s="280">
        <f>_xlfn.IFNA((VLOOKUP($A137,HN!$A:$M,12,FALSE)/12),0)</f>
        <v>0</v>
      </c>
      <c r="R137" s="280">
        <f>_xlfn.IFNA((VLOOKUP($A137,HN!$A:$M,9,FALSE)/12),0)</f>
        <v>0</v>
      </c>
      <c r="S137" s="280">
        <f>_xlfn.IFNA((VLOOKUP($A137,'Post 16'!$A:$AR,22,FALSE)/4),0)</f>
        <v>0</v>
      </c>
      <c r="T137" s="280">
        <f>_xlfn.IFNA((VLOOKUP($A137,EY!$A:$R,16,FALSE)*80%),0)</f>
        <v>0</v>
      </c>
      <c r="U137" s="280">
        <v>159059.57499999998</v>
      </c>
      <c r="V137" s="280">
        <v>0</v>
      </c>
      <c r="W137" s="279">
        <f t="shared" si="219"/>
        <v>0</v>
      </c>
      <c r="X137" s="279">
        <f t="shared" si="220"/>
        <v>0</v>
      </c>
      <c r="Y137" s="280"/>
      <c r="Z137" s="280"/>
      <c r="AA137" s="280"/>
      <c r="AB137" s="279">
        <f t="shared" si="221"/>
        <v>254892.90833333333</v>
      </c>
      <c r="AC137" s="293">
        <f t="shared" si="222"/>
        <v>0</v>
      </c>
      <c r="AD137" s="293"/>
      <c r="AE137" s="293"/>
      <c r="AF137" s="294">
        <f>_xlfn.IFNA((VLOOKUP($A137,HN!$A:$M,8,FALSE)/12),0)</f>
        <v>95833.333333333328</v>
      </c>
      <c r="AG137" s="294">
        <f>_xlfn.IFNA((VLOOKUP($A137,HN!$A:$M,12,FALSE)/12),0)+_xlfn.IFNA(VLOOKUP($A137,HN!$A:$Q,17,FALSE),0)</f>
        <v>0</v>
      </c>
      <c r="AH137" s="294">
        <f>_xlfn.IFNA((VLOOKUP($A137,HN!$A:$M,9,FALSE)/12),0)</f>
        <v>0</v>
      </c>
      <c r="AI137" s="294">
        <f>_xlfn.IFNA((VLOOKUP($A137,'Post 16'!$A:$AR,22,FALSE)/4),0)</f>
        <v>0</v>
      </c>
      <c r="AJ137" s="294"/>
      <c r="AK137" s="294">
        <f>_xlfn.IFNA((VLOOKUP($A137,HN!$A:$M,10,FALSE)/12),0)</f>
        <v>159059.57499999998</v>
      </c>
      <c r="AL137" s="294">
        <f>_xlfn.IFNA((VLOOKUP($A137,HN!$A:$M,13,FALSE)/12),0)</f>
        <v>0</v>
      </c>
      <c r="AM137" s="293">
        <f t="shared" si="223"/>
        <v>0</v>
      </c>
      <c r="AN137" s="293">
        <f t="shared" si="224"/>
        <v>0</v>
      </c>
      <c r="AO137" s="294"/>
      <c r="AP137" s="294"/>
      <c r="AQ137" s="294"/>
      <c r="AR137" s="293">
        <f t="shared" si="225"/>
        <v>254892.90833333333</v>
      </c>
      <c r="AS137" s="286">
        <f t="shared" si="226"/>
        <v>0</v>
      </c>
      <c r="AT137" s="286"/>
      <c r="AU137" s="286">
        <f>_xlfn.IFNA(VLOOKUP(A137,EY!A:AO,40,FALSE),0)</f>
        <v>0</v>
      </c>
      <c r="AV137" s="287">
        <f>_xlfn.IFNA((VLOOKUP($A137,HN!$A:$M,8,FALSE)/12),0)</f>
        <v>95833.333333333328</v>
      </c>
      <c r="AW137" s="287">
        <f>_xlfn.IFNA((VLOOKUP($A137,HN!$A:$M,12,FALSE)/12),0)+_xlfn.IFNA(VLOOKUP($A137,HN!$A$8:$AU$200,19,FALSE),0)</f>
        <v>0</v>
      </c>
      <c r="AX137" s="287">
        <f>_xlfn.IFNA((VLOOKUP($A137,HN!$A:$M,9,FALSE)/12),0)</f>
        <v>0</v>
      </c>
      <c r="AY137" s="287">
        <f>_xlfn.IFNA((VLOOKUP($A137,'Post 16'!$A:$AR,22,FALSE)/4),0)</f>
        <v>0</v>
      </c>
      <c r="AZ137" s="287">
        <f>_xlfn.IFNA(VLOOKUP(A137,EY!A:AO,41,FALSE),0)</f>
        <v>0</v>
      </c>
      <c r="BA137" s="287">
        <f>_xlfn.IFNA(((VLOOKUP($A137,HN!$A:$M,10,FALSE)-$U137-$AK137)/10),0)+_xlfn.IFNA(VLOOKUP($A137,HN!$A:$R,18,FALSE),0)</f>
        <v>159059.57500000001</v>
      </c>
      <c r="BB137" s="287">
        <f>_xlfn.IFNA(((VLOOKUP($A137,HN!$A:$M,13,FALSE)-$V137-$AL137)/10),0)+_xlfn.IFNA(VLOOKUP($A137,HN!$A$8:$AU$200,20,FALSE),0)</f>
        <v>0</v>
      </c>
      <c r="BC137" s="286">
        <f t="shared" si="227"/>
        <v>0</v>
      </c>
      <c r="BD137" s="286">
        <f t="shared" si="228"/>
        <v>0</v>
      </c>
      <c r="BE137" s="287"/>
      <c r="BF137" s="287"/>
      <c r="BG137" s="287"/>
      <c r="BH137" s="286">
        <f t="shared" si="229"/>
        <v>254892.90833333333</v>
      </c>
      <c r="BI137" s="307">
        <f t="shared" si="230"/>
        <v>0</v>
      </c>
      <c r="BJ137" s="307">
        <f>_xlfn.IFNA(VLOOKUP(A137,'LA Deductions'!A:AH,34,FALSE),0)</f>
        <v>0</v>
      </c>
      <c r="BK137" s="307"/>
      <c r="BL137" s="308">
        <f>_xlfn.IFNA((VLOOKUP($A137,HN!$A:$M,8,FALSE)/12),0)</f>
        <v>95833.333333333328</v>
      </c>
      <c r="BM137" s="308">
        <f>_xlfn.IFNA((VLOOKUP($A137,HN!$A:$M,12,FALSE)/12),0)</f>
        <v>0</v>
      </c>
      <c r="BN137" s="308">
        <f>_xlfn.IFNA((VLOOKUP($A137,HN!$A:$M,9,FALSE)/12),0)</f>
        <v>0</v>
      </c>
      <c r="BO137" s="308">
        <f>_xlfn.IFNA((VLOOKUP($A137,'Post 16'!$A:$AR,22,FALSE)/4),0)</f>
        <v>0</v>
      </c>
      <c r="BP137" s="308"/>
      <c r="BQ137" s="308">
        <f>_xlfn.IFNA(((VLOOKUP($A137,HN!$A:$M,10,FALSE)-$U137-$AK137)/10),0)</f>
        <v>159059.57500000001</v>
      </c>
      <c r="BR137" s="308">
        <f>_xlfn.IFNA(((VLOOKUP($A137,HN!$A:$M,13,FALSE)-$V137-$AL137)/10),0)</f>
        <v>0</v>
      </c>
      <c r="BS137" s="307">
        <f t="shared" si="231"/>
        <v>0</v>
      </c>
      <c r="BT137" s="307">
        <f t="shared" si="232"/>
        <v>0</v>
      </c>
      <c r="BU137" s="308"/>
      <c r="BV137" s="308"/>
      <c r="BW137" s="308"/>
      <c r="BX137" s="307">
        <f t="shared" si="233"/>
        <v>254892.90833333333</v>
      </c>
      <c r="BY137" s="300">
        <f t="shared" si="234"/>
        <v>0</v>
      </c>
      <c r="BZ137" s="300"/>
      <c r="CA137" s="300"/>
      <c r="CB137" s="301">
        <f>_xlfn.IFNA((VLOOKUP($A137,HN!$A:$M,8,FALSE)/12),0)</f>
        <v>95833.333333333328</v>
      </c>
      <c r="CC137" s="301">
        <f>_xlfn.IFNA((VLOOKUP($A137,HN!$A:$M,12,FALSE)/12),0)</f>
        <v>0</v>
      </c>
      <c r="CD137" s="301">
        <f>_xlfn.IFNA((VLOOKUP($A137,HN!$A:$M,9,FALSE)/12),0)</f>
        <v>0</v>
      </c>
      <c r="CE137" s="301">
        <f>_xlfn.IFNA((VLOOKUP($A137,'Post 16'!$A:$AG,33,FALSE)/8),0)</f>
        <v>0</v>
      </c>
      <c r="CF137" s="301"/>
      <c r="CG137" s="301">
        <f>_xlfn.IFNA(((VLOOKUP($A137,HN!$A:$M,10,FALSE)-$U137-$AK137)/10),0)</f>
        <v>159059.57500000001</v>
      </c>
      <c r="CH137" s="301">
        <f>_xlfn.IFNA(((VLOOKUP($A137,HN!$A:$M,13,FALSE)-$V137-$AL137)/10),0)</f>
        <v>0</v>
      </c>
      <c r="CI137" s="300">
        <f t="shared" si="235"/>
        <v>0</v>
      </c>
      <c r="CJ137" s="300">
        <f t="shared" si="236"/>
        <v>0</v>
      </c>
      <c r="CK137" s="301"/>
      <c r="CL137" s="301"/>
      <c r="CM137" s="301"/>
      <c r="CN137" s="300">
        <f t="shared" si="237"/>
        <v>254892.90833333333</v>
      </c>
      <c r="CO137" s="332">
        <f t="shared" si="238"/>
        <v>0</v>
      </c>
      <c r="CP137" s="332"/>
      <c r="CQ137" s="332">
        <f>_xlfn.IFNA((VLOOKUP($A137,EY!$A:$AB,28,FALSE)-$CV137),0)</f>
        <v>0</v>
      </c>
      <c r="CR137" s="333">
        <f>_xlfn.IFNA((VLOOKUP($A137,HN!$A:$M,8,FALSE)/12),0)</f>
        <v>95833.333333333328</v>
      </c>
      <c r="CS137" s="333">
        <f>_xlfn.IFNA((VLOOKUP($A137,HN!$A:$M,12,FALSE)/12),0)</f>
        <v>0</v>
      </c>
      <c r="CT137" s="333">
        <f>_xlfn.IFNA((VLOOKUP($A137,HN!$A:$M,9,FALSE)/12),0)</f>
        <v>0</v>
      </c>
      <c r="CU137" s="333">
        <f>_xlfn.IFNA((VLOOKUP($A137,'Post 16'!$A:$AG,33,FALSE)/8),0)</f>
        <v>0</v>
      </c>
      <c r="CV137" s="333">
        <f>_xlfn.IFNA((VLOOKUP($A137,EY!$A:$AB,26,FALSE)*80%),0)</f>
        <v>0</v>
      </c>
      <c r="CW137" s="333">
        <f>_xlfn.IFNA(((VLOOKUP($A137,HN!$A:$M,10,FALSE)-$U137-$AK137)/10),0)</f>
        <v>159059.57500000001</v>
      </c>
      <c r="CX137" s="333">
        <f>_xlfn.IFNA(((VLOOKUP($A137,HN!$A:$M,13,FALSE)-$V137-$AL137)/10),0)</f>
        <v>0</v>
      </c>
      <c r="CY137" s="332">
        <f t="shared" si="239"/>
        <v>0</v>
      </c>
      <c r="CZ137" s="332">
        <f t="shared" si="240"/>
        <v>0</v>
      </c>
      <c r="DA137" s="333"/>
      <c r="DB137" s="333"/>
      <c r="DC137" s="333"/>
      <c r="DD137" s="332">
        <f t="shared" si="241"/>
        <v>254892.90833333333</v>
      </c>
      <c r="DE137" s="314">
        <f t="shared" si="242"/>
        <v>0</v>
      </c>
      <c r="DF137" s="314"/>
      <c r="DG137" s="314"/>
      <c r="DH137" s="315">
        <f>_xlfn.IFNA((VLOOKUP($A137,HN!$A:$M,8,FALSE)/12),0)</f>
        <v>95833.333333333328</v>
      </c>
      <c r="DI137" s="315">
        <f>_xlfn.IFNA((VLOOKUP($A137,HN!$A:$M,12,FALSE)/12),0)</f>
        <v>0</v>
      </c>
      <c r="DJ137" s="315">
        <f>_xlfn.IFNA((VLOOKUP($A137,HN!$A:$M,9,FALSE)/12),0)</f>
        <v>0</v>
      </c>
      <c r="DK137" s="315">
        <f>_xlfn.IFNA((VLOOKUP($A137,'Post 16'!$A:$AG,33,FALSE)/8),0)</f>
        <v>0</v>
      </c>
      <c r="DL137" s="315"/>
      <c r="DM137" s="315">
        <f>_xlfn.IFNA(((VLOOKUP($A137,HN!$A:$M,10,FALSE)-$U137-$AK137)/10),0)</f>
        <v>159059.57500000001</v>
      </c>
      <c r="DN137" s="315">
        <f>_xlfn.IFNA(((VLOOKUP($A137,HN!$A:$M,13,FALSE)-$V137-$AL137)/10),0)</f>
        <v>0</v>
      </c>
      <c r="DO137" s="314">
        <f t="shared" si="243"/>
        <v>0</v>
      </c>
      <c r="DP137" s="314">
        <f t="shared" si="244"/>
        <v>0</v>
      </c>
      <c r="DQ137" s="315"/>
      <c r="DR137" s="315"/>
      <c r="DS137" s="315"/>
      <c r="DT137" s="314">
        <f t="shared" si="245"/>
        <v>254892.90833333333</v>
      </c>
      <c r="DU137" s="307">
        <f t="shared" si="246"/>
        <v>0</v>
      </c>
      <c r="DV137" s="307"/>
      <c r="DW137" s="307"/>
      <c r="DX137" s="308">
        <f>_xlfn.IFNA((VLOOKUP($A137,HN!$A:$M,8,FALSE)/12),0)</f>
        <v>95833.333333333328</v>
      </c>
      <c r="DY137" s="308">
        <f>_xlfn.IFNA((VLOOKUP($A137,HN!$A:$M,12,FALSE)/12),0)</f>
        <v>0</v>
      </c>
      <c r="DZ137" s="308">
        <f>_xlfn.IFNA((VLOOKUP($A137,HN!$A:$M,9,FALSE)/12),0)</f>
        <v>0</v>
      </c>
      <c r="EA137" s="308">
        <f>_xlfn.IFNA((VLOOKUP($A137,'Post 16'!$A:$AG,33,FALSE)/8),0)</f>
        <v>0</v>
      </c>
      <c r="EB137" s="308"/>
      <c r="EC137" s="308">
        <f>_xlfn.IFNA(((VLOOKUP($A137,HN!$A:$M,10,FALSE)-$U137-$AK137)/10),0)</f>
        <v>159059.57500000001</v>
      </c>
      <c r="ED137" s="308">
        <f>_xlfn.IFNA(((VLOOKUP($A137,HN!$A:$M,13,FALSE)-$V137-$AL137)/10),0)</f>
        <v>0</v>
      </c>
      <c r="EE137" s="307">
        <f t="shared" si="247"/>
        <v>0</v>
      </c>
      <c r="EF137" s="307">
        <f t="shared" si="248"/>
        <v>0</v>
      </c>
      <c r="EG137" s="308"/>
      <c r="EH137" s="308"/>
      <c r="EI137" s="308"/>
      <c r="EJ137" s="307">
        <f t="shared" si="249"/>
        <v>254892.90833333333</v>
      </c>
      <c r="EK137" s="320">
        <f t="shared" si="250"/>
        <v>0</v>
      </c>
      <c r="EL137" s="320"/>
      <c r="EM137" s="320"/>
      <c r="EN137" s="321">
        <f>_xlfn.IFNA((VLOOKUP($A137,HN!$A:$M,8,FALSE)/12),0)</f>
        <v>95833.333333333328</v>
      </c>
      <c r="EO137" s="321">
        <f>_xlfn.IFNA((VLOOKUP($A137,HN!$A:$M,12,FALSE)/12),0)</f>
        <v>0</v>
      </c>
      <c r="EP137" s="321">
        <f>_xlfn.IFNA((VLOOKUP($A137,HN!$A:$M,9,FALSE)/12),0)</f>
        <v>0</v>
      </c>
      <c r="EQ137" s="321">
        <f>_xlfn.IFNA((VLOOKUP($A137,'Post 16'!$A:$AG,33,FALSE)/8),0)</f>
        <v>0</v>
      </c>
      <c r="ER137" s="321"/>
      <c r="ES137" s="321">
        <f>_xlfn.IFNA(((VLOOKUP($A137,HN!$A:$M,10,FALSE)-$U137-$AK137)/10),0)</f>
        <v>159059.57500000001</v>
      </c>
      <c r="ET137" s="321">
        <f>_xlfn.IFNA(((VLOOKUP($A137,HN!$A:$M,13,FALSE)-$V137-$AL137)/10),0)</f>
        <v>0</v>
      </c>
      <c r="EU137" s="320">
        <f t="shared" si="251"/>
        <v>0</v>
      </c>
      <c r="EV137" s="320">
        <f t="shared" si="252"/>
        <v>0</v>
      </c>
      <c r="EW137" s="321"/>
      <c r="EX137" s="321"/>
      <c r="EY137" s="321"/>
      <c r="EZ137" s="320">
        <f t="shared" si="253"/>
        <v>254892.90833333333</v>
      </c>
      <c r="FA137" s="286">
        <f t="shared" si="254"/>
        <v>0</v>
      </c>
      <c r="FB137" s="286"/>
      <c r="FC137" s="286"/>
      <c r="FD137" s="287">
        <f>_xlfn.IFNA((VLOOKUP($A137,HN!$A:$M,8,FALSE)/12),0)</f>
        <v>95833.333333333328</v>
      </c>
      <c r="FE137" s="287">
        <f>_xlfn.IFNA((VLOOKUP($A137,HN!$A:$M,12,FALSE)/12),0)</f>
        <v>0</v>
      </c>
      <c r="FF137" s="287">
        <f>_xlfn.IFNA((VLOOKUP($A137,HN!$A:$M,9,FALSE)/12),0)</f>
        <v>0</v>
      </c>
      <c r="FG137" s="287">
        <f>_xlfn.IFNA((VLOOKUP($A137,'Post 16'!$A:$AG,33,FALSE)/8),0)</f>
        <v>0</v>
      </c>
      <c r="FH137" s="287"/>
      <c r="FI137" s="287">
        <f>_xlfn.IFNA(((VLOOKUP($A137,HN!$A:$M,10,FALSE)-$U137-$AK137)/10),0)</f>
        <v>159059.57500000001</v>
      </c>
      <c r="FJ137" s="287">
        <f>_xlfn.IFNA(((VLOOKUP($A137,HN!$A:$M,13,FALSE)-$V137-$AL137)/10),0)</f>
        <v>0</v>
      </c>
      <c r="FK137" s="286">
        <f t="shared" si="255"/>
        <v>0</v>
      </c>
      <c r="FL137" s="286">
        <f t="shared" si="256"/>
        <v>0</v>
      </c>
      <c r="FM137" s="287"/>
      <c r="FN137" s="287"/>
      <c r="FO137" s="287"/>
      <c r="FP137" s="286">
        <f t="shared" si="257"/>
        <v>254892.90833333333</v>
      </c>
      <c r="FQ137" s="293">
        <f t="shared" si="258"/>
        <v>0</v>
      </c>
      <c r="FR137" s="293"/>
      <c r="FS137" s="293"/>
      <c r="FT137" s="294">
        <f>_xlfn.IFNA((VLOOKUP($A137,HN!$A:$M,8,FALSE)/12),0)</f>
        <v>95833.333333333328</v>
      </c>
      <c r="FU137" s="294">
        <f>_xlfn.IFNA((VLOOKUP($A137,HN!$A:$M,12,FALSE)/12),0)</f>
        <v>0</v>
      </c>
      <c r="FV137" s="294">
        <f>_xlfn.IFNA((VLOOKUP($A137,HN!$A:$M,9,FALSE)/12),0)</f>
        <v>0</v>
      </c>
      <c r="FW137" s="294">
        <f>_xlfn.IFNA((VLOOKUP($A137,'Post 16'!$A:$AG,33,FALSE)/8),0)</f>
        <v>0</v>
      </c>
      <c r="FX137" s="294"/>
      <c r="FY137" s="294">
        <f>_xlfn.IFNA(((VLOOKUP($A137,HN!$A:$M,10,FALSE)-$U137-$AK137)/10),0)</f>
        <v>159059.57500000001</v>
      </c>
      <c r="FZ137" s="294">
        <f>_xlfn.IFNA(((VLOOKUP($A137,HN!$A:$M,13,FALSE)-$V137-$AL137)/10),0)</f>
        <v>0</v>
      </c>
      <c r="GA137" s="293">
        <f t="shared" si="259"/>
        <v>0</v>
      </c>
      <c r="GB137" s="293">
        <f t="shared" si="260"/>
        <v>0</v>
      </c>
      <c r="GC137" s="294"/>
      <c r="GD137" s="294"/>
      <c r="GE137" s="294"/>
      <c r="GF137" s="293">
        <f t="shared" si="261"/>
        <v>254892.90833333333</v>
      </c>
      <c r="GG137" s="300">
        <f t="shared" si="262"/>
        <v>0</v>
      </c>
      <c r="GH137" s="300"/>
      <c r="GI137" s="300"/>
      <c r="GJ137" s="301">
        <f>_xlfn.IFNA((VLOOKUP($A137,HN!$A:$M,8,FALSE)/12),0)</f>
        <v>95833.333333333328</v>
      </c>
      <c r="GK137" s="301">
        <f>_xlfn.IFNA((VLOOKUP($A137,HN!$A:$M,12,FALSE)/12),0)</f>
        <v>0</v>
      </c>
      <c r="GL137" s="301">
        <f>_xlfn.IFNA((VLOOKUP($A137,HN!$A:$M,9,FALSE)/12),0)</f>
        <v>0</v>
      </c>
      <c r="GM137" s="301">
        <f>_xlfn.IFNA((VLOOKUP($A137,'Post 16'!$A:$AG,33,FALSE)/8),0)</f>
        <v>0</v>
      </c>
      <c r="GN137" s="301"/>
      <c r="GO137" s="301">
        <f>_xlfn.IFNA(((VLOOKUP($A137,HN!$A:$M,10,FALSE)-$U137-$AK137)/10),0)</f>
        <v>159059.57500000001</v>
      </c>
      <c r="GP137" s="301">
        <f>_xlfn.IFNA(((VLOOKUP($A137,HN!$A:$M,13,FALSE)-$V137-$AL137)/10),0)</f>
        <v>0</v>
      </c>
      <c r="GQ137" s="300">
        <f t="shared" si="263"/>
        <v>0</v>
      </c>
      <c r="GR137" s="300">
        <f t="shared" si="264"/>
        <v>0</v>
      </c>
      <c r="GS137" s="301"/>
      <c r="GT137" s="301"/>
      <c r="GU137" s="301"/>
      <c r="GV137" s="300">
        <f t="shared" si="265"/>
        <v>254892.90833333333</v>
      </c>
      <c r="GX137" s="146">
        <f t="shared" si="216"/>
        <v>1150000</v>
      </c>
      <c r="GY137" s="146">
        <f t="shared" si="216"/>
        <v>0</v>
      </c>
      <c r="GZ137" s="146">
        <f t="shared" si="216"/>
        <v>1908714.8999999997</v>
      </c>
      <c r="HA137" s="146">
        <f t="shared" si="216"/>
        <v>0</v>
      </c>
      <c r="HB137" s="146">
        <f t="shared" si="216"/>
        <v>0</v>
      </c>
      <c r="HC137" s="146">
        <f t="shared" si="216"/>
        <v>0</v>
      </c>
      <c r="HE137" s="146">
        <f t="shared" si="217"/>
        <v>287500</v>
      </c>
      <c r="HF137" s="146">
        <f t="shared" si="217"/>
        <v>0</v>
      </c>
      <c r="HG137" s="146">
        <f t="shared" si="217"/>
        <v>477178.72499999998</v>
      </c>
      <c r="HH137" s="146">
        <f t="shared" si="217"/>
        <v>0</v>
      </c>
      <c r="HI137" s="146">
        <f t="shared" si="217"/>
        <v>0</v>
      </c>
      <c r="HJ137" s="146">
        <f t="shared" si="217"/>
        <v>0</v>
      </c>
      <c r="HL137" s="146"/>
      <c r="HM137" s="57"/>
    </row>
    <row r="138" spans="1:221">
      <c r="A138" s="185">
        <v>3410</v>
      </c>
      <c r="B138" s="185">
        <v>103478</v>
      </c>
      <c r="C138" s="185" t="s">
        <v>299</v>
      </c>
      <c r="D138" s="2" t="s">
        <v>300</v>
      </c>
      <c r="E138" s="190" t="s">
        <v>39</v>
      </c>
      <c r="F138" s="190" t="s">
        <v>890</v>
      </c>
      <c r="H138" s="271">
        <f>_xlfn.IFNA(VLOOKUP($A138,ISB!$A$4:$BY$441,67,FALSE),0)</f>
        <v>1235837.4303285044</v>
      </c>
      <c r="I138" s="271">
        <f>_xlfn.IFNA(VLOOKUP($A138,ISB!$A$4:$BY$441,72,FALSE),0)</f>
        <v>-4980</v>
      </c>
      <c r="J138" s="271">
        <f>-_xlfn.IFNA(VLOOKUP($A138,ISB!$A$4:$BY$441,76,FALSE),0)</f>
        <v>-4187.2213000000002</v>
      </c>
      <c r="K138" s="271">
        <f>_xlfn.IFNA(VLOOKUP($A138,ISB!$A$4:$BY$441,77,FALSE),0)</f>
        <v>1226670.2090285043</v>
      </c>
      <c r="M138" s="279">
        <f t="shared" si="218"/>
        <v>102986.45252737537</v>
      </c>
      <c r="N138" s="279"/>
      <c r="O138" s="279">
        <f>_xlfn.IFNA(VLOOKUP($A138,EY!$A:$H,8,FALSE)+(VLOOKUP($A138,EY!$A:$R,18,FALSE)-$T138),0)</f>
        <v>0</v>
      </c>
      <c r="P138" s="280">
        <f>_xlfn.IFNA((VLOOKUP($A138,HN!$A:$M,8,FALSE)/12),0)</f>
        <v>0</v>
      </c>
      <c r="Q138" s="280">
        <f>_xlfn.IFNA((VLOOKUP($A138,HN!$A:$M,12,FALSE)/12),0)</f>
        <v>0</v>
      </c>
      <c r="R138" s="280">
        <f>_xlfn.IFNA((VLOOKUP($A138,HN!$A:$M,9,FALSE)/12),0)</f>
        <v>0</v>
      </c>
      <c r="S138" s="280">
        <f>_xlfn.IFNA((VLOOKUP($A138,'Post 16'!$A:$AR,22,FALSE)/4),0)</f>
        <v>0</v>
      </c>
      <c r="T138" s="280">
        <f>_xlfn.IFNA((VLOOKUP($A138,EY!$A:$R,16,FALSE)*80%),0)</f>
        <v>0</v>
      </c>
      <c r="U138" s="280">
        <v>20546.0275</v>
      </c>
      <c r="V138" s="280">
        <v>0</v>
      </c>
      <c r="W138" s="279">
        <f t="shared" si="219"/>
        <v>-415</v>
      </c>
      <c r="X138" s="279">
        <f t="shared" si="220"/>
        <v>-348.93510833333335</v>
      </c>
      <c r="Y138" s="280"/>
      <c r="Z138" s="280"/>
      <c r="AA138" s="280"/>
      <c r="AB138" s="279">
        <f t="shared" si="221"/>
        <v>122768.54491904203</v>
      </c>
      <c r="AC138" s="293">
        <f t="shared" si="222"/>
        <v>102986.45252737537</v>
      </c>
      <c r="AD138" s="293"/>
      <c r="AE138" s="293"/>
      <c r="AF138" s="294">
        <f>_xlfn.IFNA((VLOOKUP($A138,HN!$A:$M,8,FALSE)/12),0)</f>
        <v>0</v>
      </c>
      <c r="AG138" s="294">
        <f>_xlfn.IFNA((VLOOKUP($A138,HN!$A:$M,12,FALSE)/12),0)+_xlfn.IFNA(VLOOKUP($A138,HN!$A:$Q,17,FALSE),0)</f>
        <v>0</v>
      </c>
      <c r="AH138" s="294">
        <f>_xlfn.IFNA((VLOOKUP($A138,HN!$A:$M,9,FALSE)/12),0)</f>
        <v>0</v>
      </c>
      <c r="AI138" s="294">
        <f>_xlfn.IFNA((VLOOKUP($A138,'Post 16'!$A:$AR,22,FALSE)/4),0)</f>
        <v>0</v>
      </c>
      <c r="AJ138" s="294"/>
      <c r="AK138" s="294">
        <f>_xlfn.IFNA((VLOOKUP($A138,HN!$A:$M,10,FALSE)/12),0)</f>
        <v>13722.1325</v>
      </c>
      <c r="AL138" s="294">
        <f>_xlfn.IFNA((VLOOKUP($A138,HN!$A:$M,13,FALSE)/12),0)</f>
        <v>0</v>
      </c>
      <c r="AM138" s="293">
        <f t="shared" si="223"/>
        <v>-415</v>
      </c>
      <c r="AN138" s="293">
        <f t="shared" si="224"/>
        <v>-348.93510833333335</v>
      </c>
      <c r="AO138" s="294"/>
      <c r="AP138" s="294"/>
      <c r="AQ138" s="294"/>
      <c r="AR138" s="293">
        <f t="shared" si="225"/>
        <v>115944.64991904204</v>
      </c>
      <c r="AS138" s="286">
        <f t="shared" si="226"/>
        <v>102986.45252737537</v>
      </c>
      <c r="AT138" s="286"/>
      <c r="AU138" s="286">
        <f>_xlfn.IFNA(VLOOKUP(A138,EY!A:AO,40,FALSE),0)</f>
        <v>0</v>
      </c>
      <c r="AV138" s="287">
        <f>_xlfn.IFNA((VLOOKUP($A138,HN!$A:$M,8,FALSE)/12),0)</f>
        <v>0</v>
      </c>
      <c r="AW138" s="287">
        <f>_xlfn.IFNA((VLOOKUP($A138,HN!$A:$M,12,FALSE)/12),0)+_xlfn.IFNA(VLOOKUP($A138,HN!$A$8:$AU$200,19,FALSE),0)</f>
        <v>0</v>
      </c>
      <c r="AX138" s="287">
        <f>_xlfn.IFNA((VLOOKUP($A138,HN!$A:$M,9,FALSE)/12),0)</f>
        <v>0</v>
      </c>
      <c r="AY138" s="287">
        <f>_xlfn.IFNA((VLOOKUP($A138,'Post 16'!$A:$AR,22,FALSE)/4),0)</f>
        <v>0</v>
      </c>
      <c r="AZ138" s="287">
        <f>_xlfn.IFNA(VLOOKUP(A138,EY!A:AO,41,FALSE),0)</f>
        <v>0</v>
      </c>
      <c r="BA138" s="287">
        <f>_xlfn.IFNA(((VLOOKUP($A138,HN!$A:$M,10,FALSE)-$U138-$AK138)/10),0)+_xlfn.IFNA(VLOOKUP($A138,HN!$A:$R,18,FALSE),0)</f>
        <v>13039.742999999999</v>
      </c>
      <c r="BB138" s="287">
        <f>_xlfn.IFNA(((VLOOKUP($A138,HN!$A:$M,13,FALSE)-$V138-$AL138)/10),0)+_xlfn.IFNA(VLOOKUP($A138,HN!$A$8:$AU$200,20,FALSE),0)</f>
        <v>0</v>
      </c>
      <c r="BC138" s="286">
        <f t="shared" si="227"/>
        <v>-415</v>
      </c>
      <c r="BD138" s="286">
        <f t="shared" si="228"/>
        <v>-348.93510833333335</v>
      </c>
      <c r="BE138" s="287"/>
      <c r="BF138" s="287"/>
      <c r="BG138" s="287"/>
      <c r="BH138" s="286">
        <f t="shared" si="229"/>
        <v>115262.26041904204</v>
      </c>
      <c r="BI138" s="307">
        <f t="shared" si="230"/>
        <v>102986.45252737537</v>
      </c>
      <c r="BJ138" s="307">
        <f>_xlfn.IFNA(VLOOKUP(A138,'LA Deductions'!A:AH,34,FALSE),0)</f>
        <v>0</v>
      </c>
      <c r="BK138" s="307"/>
      <c r="BL138" s="308">
        <f>_xlfn.IFNA((VLOOKUP($A138,HN!$A:$M,8,FALSE)/12),0)</f>
        <v>0</v>
      </c>
      <c r="BM138" s="308">
        <f>_xlfn.IFNA((VLOOKUP($A138,HN!$A:$M,12,FALSE)/12),0)</f>
        <v>0</v>
      </c>
      <c r="BN138" s="308">
        <f>_xlfn.IFNA((VLOOKUP($A138,HN!$A:$M,9,FALSE)/12),0)</f>
        <v>0</v>
      </c>
      <c r="BO138" s="308">
        <f>_xlfn.IFNA((VLOOKUP($A138,'Post 16'!$A:$AR,22,FALSE)/4),0)</f>
        <v>0</v>
      </c>
      <c r="BP138" s="308"/>
      <c r="BQ138" s="308">
        <f>_xlfn.IFNA(((VLOOKUP($A138,HN!$A:$M,10,FALSE)-$U138-$AK138)/10),0)</f>
        <v>13039.742999999999</v>
      </c>
      <c r="BR138" s="308">
        <f>_xlfn.IFNA(((VLOOKUP($A138,HN!$A:$M,13,FALSE)-$V138-$AL138)/10),0)</f>
        <v>0</v>
      </c>
      <c r="BS138" s="307">
        <f t="shared" si="231"/>
        <v>-415</v>
      </c>
      <c r="BT138" s="307">
        <f t="shared" si="232"/>
        <v>-348.93510833333335</v>
      </c>
      <c r="BU138" s="308"/>
      <c r="BV138" s="308"/>
      <c r="BW138" s="308"/>
      <c r="BX138" s="307">
        <f t="shared" si="233"/>
        <v>115262.26041904204</v>
      </c>
      <c r="BY138" s="300">
        <f t="shared" si="234"/>
        <v>102986.45252737537</v>
      </c>
      <c r="BZ138" s="300"/>
      <c r="CA138" s="300"/>
      <c r="CB138" s="301">
        <f>_xlfn.IFNA((VLOOKUP($A138,HN!$A:$M,8,FALSE)/12),0)</f>
        <v>0</v>
      </c>
      <c r="CC138" s="301">
        <f>_xlfn.IFNA((VLOOKUP($A138,HN!$A:$M,12,FALSE)/12),0)</f>
        <v>0</v>
      </c>
      <c r="CD138" s="301">
        <f>_xlfn.IFNA((VLOOKUP($A138,HN!$A:$M,9,FALSE)/12),0)</f>
        <v>0</v>
      </c>
      <c r="CE138" s="301">
        <f>_xlfn.IFNA((VLOOKUP($A138,'Post 16'!$A:$AG,33,FALSE)/8),0)</f>
        <v>0</v>
      </c>
      <c r="CF138" s="301"/>
      <c r="CG138" s="301">
        <f>_xlfn.IFNA(((VLOOKUP($A138,HN!$A:$M,10,FALSE)-$U138-$AK138)/10),0)</f>
        <v>13039.742999999999</v>
      </c>
      <c r="CH138" s="301">
        <f>_xlfn.IFNA(((VLOOKUP($A138,HN!$A:$M,13,FALSE)-$V138-$AL138)/10),0)</f>
        <v>0</v>
      </c>
      <c r="CI138" s="300">
        <f t="shared" si="235"/>
        <v>-415</v>
      </c>
      <c r="CJ138" s="300">
        <f t="shared" si="236"/>
        <v>-348.93510833333335</v>
      </c>
      <c r="CK138" s="301"/>
      <c r="CL138" s="301"/>
      <c r="CM138" s="301"/>
      <c r="CN138" s="300">
        <f t="shared" si="237"/>
        <v>115262.26041904204</v>
      </c>
      <c r="CO138" s="332">
        <f t="shared" si="238"/>
        <v>102986.45252737537</v>
      </c>
      <c r="CP138" s="332"/>
      <c r="CQ138" s="332">
        <f>_xlfn.IFNA((VLOOKUP($A138,EY!$A:$AB,28,FALSE)-$CV138),0)</f>
        <v>0</v>
      </c>
      <c r="CR138" s="333">
        <f>_xlfn.IFNA((VLOOKUP($A138,HN!$A:$M,8,FALSE)/12),0)</f>
        <v>0</v>
      </c>
      <c r="CS138" s="333">
        <f>_xlfn.IFNA((VLOOKUP($A138,HN!$A:$M,12,FALSE)/12),0)</f>
        <v>0</v>
      </c>
      <c r="CT138" s="333">
        <f>_xlfn.IFNA((VLOOKUP($A138,HN!$A:$M,9,FALSE)/12),0)</f>
        <v>0</v>
      </c>
      <c r="CU138" s="333">
        <f>_xlfn.IFNA((VLOOKUP($A138,'Post 16'!$A:$AG,33,FALSE)/8),0)</f>
        <v>0</v>
      </c>
      <c r="CV138" s="333">
        <f>_xlfn.IFNA((VLOOKUP($A138,EY!$A:$AB,26,FALSE)*80%),0)</f>
        <v>0</v>
      </c>
      <c r="CW138" s="333">
        <f>_xlfn.IFNA(((VLOOKUP($A138,HN!$A:$M,10,FALSE)-$U138-$AK138)/10),0)</f>
        <v>13039.742999999999</v>
      </c>
      <c r="CX138" s="333">
        <f>_xlfn.IFNA(((VLOOKUP($A138,HN!$A:$M,13,FALSE)-$V138-$AL138)/10),0)</f>
        <v>0</v>
      </c>
      <c r="CY138" s="332">
        <f t="shared" si="239"/>
        <v>-415</v>
      </c>
      <c r="CZ138" s="332">
        <f t="shared" si="240"/>
        <v>-348.93510833333335</v>
      </c>
      <c r="DA138" s="333"/>
      <c r="DB138" s="333"/>
      <c r="DC138" s="333"/>
      <c r="DD138" s="332">
        <f t="shared" si="241"/>
        <v>115262.26041904204</v>
      </c>
      <c r="DE138" s="314">
        <f t="shared" si="242"/>
        <v>102986.45252737537</v>
      </c>
      <c r="DF138" s="314"/>
      <c r="DG138" s="314"/>
      <c r="DH138" s="315">
        <f>_xlfn.IFNA((VLOOKUP($A138,HN!$A:$M,8,FALSE)/12),0)</f>
        <v>0</v>
      </c>
      <c r="DI138" s="315">
        <f>_xlfn.IFNA((VLOOKUP($A138,HN!$A:$M,12,FALSE)/12),0)</f>
        <v>0</v>
      </c>
      <c r="DJ138" s="315">
        <f>_xlfn.IFNA((VLOOKUP($A138,HN!$A:$M,9,FALSE)/12),0)</f>
        <v>0</v>
      </c>
      <c r="DK138" s="315">
        <f>_xlfn.IFNA((VLOOKUP($A138,'Post 16'!$A:$AG,33,FALSE)/8),0)</f>
        <v>0</v>
      </c>
      <c r="DL138" s="315"/>
      <c r="DM138" s="315">
        <f>_xlfn.IFNA(((VLOOKUP($A138,HN!$A:$M,10,FALSE)-$U138-$AK138)/10),0)</f>
        <v>13039.742999999999</v>
      </c>
      <c r="DN138" s="315">
        <f>_xlfn.IFNA(((VLOOKUP($A138,HN!$A:$M,13,FALSE)-$V138-$AL138)/10),0)</f>
        <v>0</v>
      </c>
      <c r="DO138" s="314">
        <f t="shared" si="243"/>
        <v>-415</v>
      </c>
      <c r="DP138" s="314">
        <f t="shared" si="244"/>
        <v>-348.93510833333335</v>
      </c>
      <c r="DQ138" s="315"/>
      <c r="DR138" s="315"/>
      <c r="DS138" s="315"/>
      <c r="DT138" s="314">
        <f t="shared" si="245"/>
        <v>115262.26041904204</v>
      </c>
      <c r="DU138" s="307">
        <f t="shared" si="246"/>
        <v>102986.45252737537</v>
      </c>
      <c r="DV138" s="307"/>
      <c r="DW138" s="307"/>
      <c r="DX138" s="308">
        <f>_xlfn.IFNA((VLOOKUP($A138,HN!$A:$M,8,FALSE)/12),0)</f>
        <v>0</v>
      </c>
      <c r="DY138" s="308">
        <f>_xlfn.IFNA((VLOOKUP($A138,HN!$A:$M,12,FALSE)/12),0)</f>
        <v>0</v>
      </c>
      <c r="DZ138" s="308">
        <f>_xlfn.IFNA((VLOOKUP($A138,HN!$A:$M,9,FALSE)/12),0)</f>
        <v>0</v>
      </c>
      <c r="EA138" s="308">
        <f>_xlfn.IFNA((VLOOKUP($A138,'Post 16'!$A:$AG,33,FALSE)/8),0)</f>
        <v>0</v>
      </c>
      <c r="EB138" s="308"/>
      <c r="EC138" s="308">
        <f>_xlfn.IFNA(((VLOOKUP($A138,HN!$A:$M,10,FALSE)-$U138-$AK138)/10),0)</f>
        <v>13039.742999999999</v>
      </c>
      <c r="ED138" s="308">
        <f>_xlfn.IFNA(((VLOOKUP($A138,HN!$A:$M,13,FALSE)-$V138-$AL138)/10),0)</f>
        <v>0</v>
      </c>
      <c r="EE138" s="307">
        <f t="shared" si="247"/>
        <v>-415</v>
      </c>
      <c r="EF138" s="307">
        <f t="shared" si="248"/>
        <v>-348.93510833333335</v>
      </c>
      <c r="EG138" s="308"/>
      <c r="EH138" s="308"/>
      <c r="EI138" s="308"/>
      <c r="EJ138" s="307">
        <f t="shared" si="249"/>
        <v>115262.26041904204</v>
      </c>
      <c r="EK138" s="320">
        <f t="shared" si="250"/>
        <v>102986.45252737537</v>
      </c>
      <c r="EL138" s="320"/>
      <c r="EM138" s="320"/>
      <c r="EN138" s="321">
        <f>_xlfn.IFNA((VLOOKUP($A138,HN!$A:$M,8,FALSE)/12),0)</f>
        <v>0</v>
      </c>
      <c r="EO138" s="321">
        <f>_xlfn.IFNA((VLOOKUP($A138,HN!$A:$M,12,FALSE)/12),0)</f>
        <v>0</v>
      </c>
      <c r="EP138" s="321">
        <f>_xlfn.IFNA((VLOOKUP($A138,HN!$A:$M,9,FALSE)/12),0)</f>
        <v>0</v>
      </c>
      <c r="EQ138" s="321">
        <f>_xlfn.IFNA((VLOOKUP($A138,'Post 16'!$A:$AG,33,FALSE)/8),0)</f>
        <v>0</v>
      </c>
      <c r="ER138" s="321"/>
      <c r="ES138" s="321">
        <f>_xlfn.IFNA(((VLOOKUP($A138,HN!$A:$M,10,FALSE)-$U138-$AK138)/10),0)</f>
        <v>13039.742999999999</v>
      </c>
      <c r="ET138" s="321">
        <f>_xlfn.IFNA(((VLOOKUP($A138,HN!$A:$M,13,FALSE)-$V138-$AL138)/10),0)</f>
        <v>0</v>
      </c>
      <c r="EU138" s="320">
        <f t="shared" si="251"/>
        <v>-415</v>
      </c>
      <c r="EV138" s="320">
        <f t="shared" si="252"/>
        <v>-348.93510833333335</v>
      </c>
      <c r="EW138" s="321"/>
      <c r="EX138" s="321"/>
      <c r="EY138" s="321"/>
      <c r="EZ138" s="320">
        <f t="shared" si="253"/>
        <v>115262.26041904204</v>
      </c>
      <c r="FA138" s="286">
        <f t="shared" si="254"/>
        <v>102986.45252737537</v>
      </c>
      <c r="FB138" s="286"/>
      <c r="FC138" s="286"/>
      <c r="FD138" s="287">
        <f>_xlfn.IFNA((VLOOKUP($A138,HN!$A:$M,8,FALSE)/12),0)</f>
        <v>0</v>
      </c>
      <c r="FE138" s="287">
        <f>_xlfn.IFNA((VLOOKUP($A138,HN!$A:$M,12,FALSE)/12),0)</f>
        <v>0</v>
      </c>
      <c r="FF138" s="287">
        <f>_xlfn.IFNA((VLOOKUP($A138,HN!$A:$M,9,FALSE)/12),0)</f>
        <v>0</v>
      </c>
      <c r="FG138" s="287">
        <f>_xlfn.IFNA((VLOOKUP($A138,'Post 16'!$A:$AG,33,FALSE)/8),0)</f>
        <v>0</v>
      </c>
      <c r="FH138" s="287"/>
      <c r="FI138" s="287">
        <f>_xlfn.IFNA(((VLOOKUP($A138,HN!$A:$M,10,FALSE)-$U138-$AK138)/10),0)</f>
        <v>13039.742999999999</v>
      </c>
      <c r="FJ138" s="287">
        <f>_xlfn.IFNA(((VLOOKUP($A138,HN!$A:$M,13,FALSE)-$V138-$AL138)/10),0)</f>
        <v>0</v>
      </c>
      <c r="FK138" s="286">
        <f t="shared" si="255"/>
        <v>-415</v>
      </c>
      <c r="FL138" s="286">
        <f t="shared" si="256"/>
        <v>-348.93510833333335</v>
      </c>
      <c r="FM138" s="287"/>
      <c r="FN138" s="287"/>
      <c r="FO138" s="287"/>
      <c r="FP138" s="286">
        <f t="shared" si="257"/>
        <v>115262.26041904204</v>
      </c>
      <c r="FQ138" s="293">
        <f t="shared" si="258"/>
        <v>102986.45252737537</v>
      </c>
      <c r="FR138" s="293"/>
      <c r="FS138" s="293"/>
      <c r="FT138" s="294">
        <f>_xlfn.IFNA((VLOOKUP($A138,HN!$A:$M,8,FALSE)/12),0)</f>
        <v>0</v>
      </c>
      <c r="FU138" s="294">
        <f>_xlfn.IFNA((VLOOKUP($A138,HN!$A:$M,12,FALSE)/12),0)</f>
        <v>0</v>
      </c>
      <c r="FV138" s="294">
        <f>_xlfn.IFNA((VLOOKUP($A138,HN!$A:$M,9,FALSE)/12),0)</f>
        <v>0</v>
      </c>
      <c r="FW138" s="294">
        <f>_xlfn.IFNA((VLOOKUP($A138,'Post 16'!$A:$AG,33,FALSE)/8),0)</f>
        <v>0</v>
      </c>
      <c r="FX138" s="294"/>
      <c r="FY138" s="294">
        <f>_xlfn.IFNA(((VLOOKUP($A138,HN!$A:$M,10,FALSE)-$U138-$AK138)/10),0)</f>
        <v>13039.742999999999</v>
      </c>
      <c r="FZ138" s="294">
        <f>_xlfn.IFNA(((VLOOKUP($A138,HN!$A:$M,13,FALSE)-$V138-$AL138)/10),0)</f>
        <v>0</v>
      </c>
      <c r="GA138" s="293">
        <f t="shared" si="259"/>
        <v>-415</v>
      </c>
      <c r="GB138" s="293">
        <f t="shared" si="260"/>
        <v>-348.93510833333335</v>
      </c>
      <c r="GC138" s="294"/>
      <c r="GD138" s="294"/>
      <c r="GE138" s="294"/>
      <c r="GF138" s="293">
        <f t="shared" si="261"/>
        <v>115262.26041904204</v>
      </c>
      <c r="GG138" s="300">
        <f t="shared" si="262"/>
        <v>102986.45252737537</v>
      </c>
      <c r="GH138" s="300"/>
      <c r="GI138" s="300"/>
      <c r="GJ138" s="301">
        <f>_xlfn.IFNA((VLOOKUP($A138,HN!$A:$M,8,FALSE)/12),0)</f>
        <v>0</v>
      </c>
      <c r="GK138" s="301">
        <f>_xlfn.IFNA((VLOOKUP($A138,HN!$A:$M,12,FALSE)/12),0)</f>
        <v>0</v>
      </c>
      <c r="GL138" s="301">
        <f>_xlfn.IFNA((VLOOKUP($A138,HN!$A:$M,9,FALSE)/12),0)</f>
        <v>0</v>
      </c>
      <c r="GM138" s="301">
        <f>_xlfn.IFNA((VLOOKUP($A138,'Post 16'!$A:$AG,33,FALSE)/8),0)</f>
        <v>0</v>
      </c>
      <c r="GN138" s="301"/>
      <c r="GO138" s="301">
        <f>_xlfn.IFNA(((VLOOKUP($A138,HN!$A:$M,10,FALSE)-$U138-$AK138)/10),0)</f>
        <v>13039.742999999999</v>
      </c>
      <c r="GP138" s="301">
        <f>_xlfn.IFNA(((VLOOKUP($A138,HN!$A:$M,13,FALSE)-$V138-$AL138)/10),0)</f>
        <v>0</v>
      </c>
      <c r="GQ138" s="300">
        <f t="shared" si="263"/>
        <v>-415</v>
      </c>
      <c r="GR138" s="300">
        <f t="shared" si="264"/>
        <v>-348.93510833333335</v>
      </c>
      <c r="GS138" s="301"/>
      <c r="GT138" s="301"/>
      <c r="GU138" s="301"/>
      <c r="GV138" s="300">
        <f t="shared" si="265"/>
        <v>115262.26041904204</v>
      </c>
      <c r="GX138" s="146">
        <f t="shared" ref="GX138:HC147" si="266">SUMIFS($M138:$GV138,$M$7:$GV$7,GX$7)</f>
        <v>1235837.4303285046</v>
      </c>
      <c r="GY138" s="146">
        <f t="shared" si="266"/>
        <v>0</v>
      </c>
      <c r="GZ138" s="146">
        <f t="shared" si="266"/>
        <v>164665.59</v>
      </c>
      <c r="HA138" s="146">
        <f t="shared" si="266"/>
        <v>-4980</v>
      </c>
      <c r="HB138" s="146">
        <f t="shared" si="266"/>
        <v>-4187.2212999999992</v>
      </c>
      <c r="HC138" s="146">
        <f t="shared" si="266"/>
        <v>0</v>
      </c>
      <c r="HE138" s="146">
        <f t="shared" ref="HE138:HJ147" si="267">SUMIFS($M138:$GV138,$M$7:$GV$7,HE$7,$M$4:$GV$4,$HE$6)</f>
        <v>308959.3575821261</v>
      </c>
      <c r="HF138" s="146">
        <f t="shared" si="267"/>
        <v>0</v>
      </c>
      <c r="HG138" s="146">
        <f t="shared" si="267"/>
        <v>47307.903000000006</v>
      </c>
      <c r="HH138" s="146">
        <f t="shared" si="267"/>
        <v>-1245</v>
      </c>
      <c r="HI138" s="146">
        <f t="shared" si="267"/>
        <v>-1046.805325</v>
      </c>
      <c r="HJ138" s="146">
        <f t="shared" si="267"/>
        <v>0</v>
      </c>
      <c r="HL138" s="146"/>
      <c r="HM138" s="57"/>
    </row>
    <row r="139" spans="1:221">
      <c r="A139" s="185">
        <v>3381</v>
      </c>
      <c r="B139" s="185">
        <v>103466</v>
      </c>
      <c r="C139" s="185" t="s">
        <v>301</v>
      </c>
      <c r="D139" s="2" t="s">
        <v>302</v>
      </c>
      <c r="E139" s="190" t="s">
        <v>39</v>
      </c>
      <c r="F139" s="190" t="s">
        <v>890</v>
      </c>
      <c r="H139" s="271">
        <f>_xlfn.IFNA(VLOOKUP($A139,ISB!$A$4:$BY$441,67,FALSE),0)</f>
        <v>1243135.3819974607</v>
      </c>
      <c r="I139" s="271">
        <f>_xlfn.IFNA(VLOOKUP($A139,ISB!$A$4:$BY$441,72,FALSE),0)</f>
        <v>-5154.2999999999993</v>
      </c>
      <c r="J139" s="271">
        <f>-_xlfn.IFNA(VLOOKUP($A139,ISB!$A$4:$BY$441,76,FALSE),0)</f>
        <v>-3660.5268000000001</v>
      </c>
      <c r="K139" s="271">
        <f>_xlfn.IFNA(VLOOKUP($A139,ISB!$A$4:$BY$441,77,FALSE),0)</f>
        <v>1234320.5551974606</v>
      </c>
      <c r="M139" s="279">
        <f t="shared" si="218"/>
        <v>103594.61516645506</v>
      </c>
      <c r="N139" s="279"/>
      <c r="O139" s="279">
        <f>_xlfn.IFNA(VLOOKUP($A139,EY!$A:$H,8,FALSE)+(VLOOKUP($A139,EY!$A:$R,18,FALSE)-$T139),0)</f>
        <v>0</v>
      </c>
      <c r="P139" s="280">
        <f>_xlfn.IFNA((VLOOKUP($A139,HN!$A:$M,8,FALSE)/12),0)</f>
        <v>0</v>
      </c>
      <c r="Q139" s="280">
        <f>_xlfn.IFNA((VLOOKUP($A139,HN!$A:$M,12,FALSE)/12),0)</f>
        <v>0</v>
      </c>
      <c r="R139" s="280">
        <f>_xlfn.IFNA((VLOOKUP($A139,HN!$A:$M,9,FALSE)/12),0)</f>
        <v>0</v>
      </c>
      <c r="S139" s="280">
        <f>_xlfn.IFNA((VLOOKUP($A139,'Post 16'!$A:$AR,22,FALSE)/4),0)</f>
        <v>0</v>
      </c>
      <c r="T139" s="280">
        <f>_xlfn.IFNA((VLOOKUP($A139,EY!$A:$R,16,FALSE)*80%),0)</f>
        <v>0</v>
      </c>
      <c r="U139" s="280">
        <v>4517.5</v>
      </c>
      <c r="V139" s="280">
        <v>0</v>
      </c>
      <c r="W139" s="279">
        <f t="shared" si="219"/>
        <v>-429.52499999999992</v>
      </c>
      <c r="X139" s="279">
        <f t="shared" si="220"/>
        <v>-305.04390000000001</v>
      </c>
      <c r="Y139" s="280"/>
      <c r="Z139" s="280"/>
      <c r="AA139" s="280"/>
      <c r="AB139" s="279">
        <f t="shared" si="221"/>
        <v>107377.54626645506</v>
      </c>
      <c r="AC139" s="293">
        <f t="shared" si="222"/>
        <v>103594.61516645506</v>
      </c>
      <c r="AD139" s="293"/>
      <c r="AE139" s="293"/>
      <c r="AF139" s="294">
        <f>_xlfn.IFNA((VLOOKUP($A139,HN!$A:$M,8,FALSE)/12),0)</f>
        <v>0</v>
      </c>
      <c r="AG139" s="294">
        <f>_xlfn.IFNA((VLOOKUP($A139,HN!$A:$M,12,FALSE)/12),0)+_xlfn.IFNA(VLOOKUP($A139,HN!$A:$Q,17,FALSE),0)</f>
        <v>0</v>
      </c>
      <c r="AH139" s="294">
        <f>_xlfn.IFNA((VLOOKUP($A139,HN!$A:$M,9,FALSE)/12),0)</f>
        <v>0</v>
      </c>
      <c r="AI139" s="294">
        <f>_xlfn.IFNA((VLOOKUP($A139,'Post 16'!$A:$AR,22,FALSE)/4),0)</f>
        <v>0</v>
      </c>
      <c r="AJ139" s="294"/>
      <c r="AK139" s="294">
        <f>_xlfn.IFNA((VLOOKUP($A139,HN!$A:$M,10,FALSE)/12),0)</f>
        <v>4421.270833333333</v>
      </c>
      <c r="AL139" s="294">
        <f>_xlfn.IFNA((VLOOKUP($A139,HN!$A:$M,13,FALSE)/12),0)</f>
        <v>0</v>
      </c>
      <c r="AM139" s="293">
        <f t="shared" si="223"/>
        <v>-429.52499999999992</v>
      </c>
      <c r="AN139" s="293">
        <f t="shared" si="224"/>
        <v>-305.04390000000001</v>
      </c>
      <c r="AO139" s="294"/>
      <c r="AP139" s="294"/>
      <c r="AQ139" s="294"/>
      <c r="AR139" s="293">
        <f t="shared" si="225"/>
        <v>107281.31709978839</v>
      </c>
      <c r="AS139" s="286">
        <f t="shared" si="226"/>
        <v>103594.61516645506</v>
      </c>
      <c r="AT139" s="286"/>
      <c r="AU139" s="286">
        <f>_xlfn.IFNA(VLOOKUP(A139,EY!A:AO,40,FALSE),0)</f>
        <v>0</v>
      </c>
      <c r="AV139" s="287">
        <f>_xlfn.IFNA((VLOOKUP($A139,HN!$A:$M,8,FALSE)/12),0)</f>
        <v>0</v>
      </c>
      <c r="AW139" s="287">
        <f>_xlfn.IFNA((VLOOKUP($A139,HN!$A:$M,12,FALSE)/12),0)+_xlfn.IFNA(VLOOKUP($A139,HN!$A$8:$AU$200,19,FALSE),0)</f>
        <v>0</v>
      </c>
      <c r="AX139" s="287">
        <f>_xlfn.IFNA((VLOOKUP($A139,HN!$A:$M,9,FALSE)/12),0)</f>
        <v>0</v>
      </c>
      <c r="AY139" s="287">
        <f>_xlfn.IFNA((VLOOKUP($A139,'Post 16'!$A:$AR,22,FALSE)/4),0)</f>
        <v>0</v>
      </c>
      <c r="AZ139" s="287">
        <f>_xlfn.IFNA(VLOOKUP(A139,EY!A:AO,41,FALSE),0)</f>
        <v>0</v>
      </c>
      <c r="BA139" s="287">
        <f>_xlfn.IFNA(((VLOOKUP($A139,HN!$A:$M,10,FALSE)-$U139-$AK139)/10),0)+_xlfn.IFNA(VLOOKUP($A139,HN!$A:$R,18,FALSE),0)</f>
        <v>4411.6479166666668</v>
      </c>
      <c r="BB139" s="287">
        <f>_xlfn.IFNA(((VLOOKUP($A139,HN!$A:$M,13,FALSE)-$V139-$AL139)/10),0)+_xlfn.IFNA(VLOOKUP($A139,HN!$A$8:$AU$200,20,FALSE),0)</f>
        <v>0</v>
      </c>
      <c r="BC139" s="286">
        <f t="shared" si="227"/>
        <v>-429.52499999999992</v>
      </c>
      <c r="BD139" s="286">
        <f t="shared" si="228"/>
        <v>-305.04390000000001</v>
      </c>
      <c r="BE139" s="287"/>
      <c r="BF139" s="287"/>
      <c r="BG139" s="287"/>
      <c r="BH139" s="286">
        <f t="shared" si="229"/>
        <v>107271.69418312173</v>
      </c>
      <c r="BI139" s="307">
        <f t="shared" si="230"/>
        <v>103594.61516645506</v>
      </c>
      <c r="BJ139" s="307">
        <f>_xlfn.IFNA(VLOOKUP(A139,'LA Deductions'!A:AH,34,FALSE),0)</f>
        <v>0</v>
      </c>
      <c r="BK139" s="307"/>
      <c r="BL139" s="308">
        <f>_xlfn.IFNA((VLOOKUP($A139,HN!$A:$M,8,FALSE)/12),0)</f>
        <v>0</v>
      </c>
      <c r="BM139" s="308">
        <f>_xlfn.IFNA((VLOOKUP($A139,HN!$A:$M,12,FALSE)/12),0)</f>
        <v>0</v>
      </c>
      <c r="BN139" s="308">
        <f>_xlfn.IFNA((VLOOKUP($A139,HN!$A:$M,9,FALSE)/12),0)</f>
        <v>0</v>
      </c>
      <c r="BO139" s="308">
        <f>_xlfn.IFNA((VLOOKUP($A139,'Post 16'!$A:$AR,22,FALSE)/4),0)</f>
        <v>0</v>
      </c>
      <c r="BP139" s="308"/>
      <c r="BQ139" s="308">
        <f>_xlfn.IFNA(((VLOOKUP($A139,HN!$A:$M,10,FALSE)-$U139-$AK139)/10),0)</f>
        <v>4411.6479166666668</v>
      </c>
      <c r="BR139" s="308">
        <f>_xlfn.IFNA(((VLOOKUP($A139,HN!$A:$M,13,FALSE)-$V139-$AL139)/10),0)</f>
        <v>0</v>
      </c>
      <c r="BS139" s="307">
        <f t="shared" si="231"/>
        <v>-429.52499999999992</v>
      </c>
      <c r="BT139" s="307">
        <f t="shared" si="232"/>
        <v>-305.04390000000001</v>
      </c>
      <c r="BU139" s="308"/>
      <c r="BV139" s="308"/>
      <c r="BW139" s="308"/>
      <c r="BX139" s="307">
        <f t="shared" si="233"/>
        <v>107271.69418312173</v>
      </c>
      <c r="BY139" s="300">
        <f t="shared" si="234"/>
        <v>103594.61516645506</v>
      </c>
      <c r="BZ139" s="300"/>
      <c r="CA139" s="300"/>
      <c r="CB139" s="301">
        <f>_xlfn.IFNA((VLOOKUP($A139,HN!$A:$M,8,FALSE)/12),0)</f>
        <v>0</v>
      </c>
      <c r="CC139" s="301">
        <f>_xlfn.IFNA((VLOOKUP($A139,HN!$A:$M,12,FALSE)/12),0)</f>
        <v>0</v>
      </c>
      <c r="CD139" s="301">
        <f>_xlfn.IFNA((VLOOKUP($A139,HN!$A:$M,9,FALSE)/12),0)</f>
        <v>0</v>
      </c>
      <c r="CE139" s="301">
        <f>_xlfn.IFNA((VLOOKUP($A139,'Post 16'!$A:$AG,33,FALSE)/8),0)</f>
        <v>0</v>
      </c>
      <c r="CF139" s="301"/>
      <c r="CG139" s="301">
        <f>_xlfn.IFNA(((VLOOKUP($A139,HN!$A:$M,10,FALSE)-$U139-$AK139)/10),0)</f>
        <v>4411.6479166666668</v>
      </c>
      <c r="CH139" s="301">
        <f>_xlfn.IFNA(((VLOOKUP($A139,HN!$A:$M,13,FALSE)-$V139-$AL139)/10),0)</f>
        <v>0</v>
      </c>
      <c r="CI139" s="300">
        <f t="shared" si="235"/>
        <v>-429.52499999999992</v>
      </c>
      <c r="CJ139" s="300">
        <f t="shared" si="236"/>
        <v>-305.04390000000001</v>
      </c>
      <c r="CK139" s="301"/>
      <c r="CL139" s="301"/>
      <c r="CM139" s="301"/>
      <c r="CN139" s="300">
        <f t="shared" si="237"/>
        <v>107271.69418312173</v>
      </c>
      <c r="CO139" s="332">
        <f t="shared" si="238"/>
        <v>103594.61516645506</v>
      </c>
      <c r="CP139" s="332"/>
      <c r="CQ139" s="332">
        <f>_xlfn.IFNA((VLOOKUP($A139,EY!$A:$AB,28,FALSE)-$CV139),0)</f>
        <v>0</v>
      </c>
      <c r="CR139" s="333">
        <f>_xlfn.IFNA((VLOOKUP($A139,HN!$A:$M,8,FALSE)/12),0)</f>
        <v>0</v>
      </c>
      <c r="CS139" s="333">
        <f>_xlfn.IFNA((VLOOKUP($A139,HN!$A:$M,12,FALSE)/12),0)</f>
        <v>0</v>
      </c>
      <c r="CT139" s="333">
        <f>_xlfn.IFNA((VLOOKUP($A139,HN!$A:$M,9,FALSE)/12),0)</f>
        <v>0</v>
      </c>
      <c r="CU139" s="333">
        <f>_xlfn.IFNA((VLOOKUP($A139,'Post 16'!$A:$AG,33,FALSE)/8),0)</f>
        <v>0</v>
      </c>
      <c r="CV139" s="333">
        <f>_xlfn.IFNA((VLOOKUP($A139,EY!$A:$AB,26,FALSE)*80%),0)</f>
        <v>0</v>
      </c>
      <c r="CW139" s="333">
        <f>_xlfn.IFNA(((VLOOKUP($A139,HN!$A:$M,10,FALSE)-$U139-$AK139)/10),0)</f>
        <v>4411.6479166666668</v>
      </c>
      <c r="CX139" s="333">
        <f>_xlfn.IFNA(((VLOOKUP($A139,HN!$A:$M,13,FALSE)-$V139-$AL139)/10),0)</f>
        <v>0</v>
      </c>
      <c r="CY139" s="332">
        <f t="shared" si="239"/>
        <v>-429.52499999999992</v>
      </c>
      <c r="CZ139" s="332">
        <f t="shared" si="240"/>
        <v>-305.04390000000001</v>
      </c>
      <c r="DA139" s="333"/>
      <c r="DB139" s="333"/>
      <c r="DC139" s="333"/>
      <c r="DD139" s="332">
        <f t="shared" si="241"/>
        <v>107271.69418312173</v>
      </c>
      <c r="DE139" s="314">
        <f t="shared" si="242"/>
        <v>103594.61516645506</v>
      </c>
      <c r="DF139" s="314"/>
      <c r="DG139" s="314"/>
      <c r="DH139" s="315">
        <f>_xlfn.IFNA((VLOOKUP($A139,HN!$A:$M,8,FALSE)/12),0)</f>
        <v>0</v>
      </c>
      <c r="DI139" s="315">
        <f>_xlfn.IFNA((VLOOKUP($A139,HN!$A:$M,12,FALSE)/12),0)</f>
        <v>0</v>
      </c>
      <c r="DJ139" s="315">
        <f>_xlfn.IFNA((VLOOKUP($A139,HN!$A:$M,9,FALSE)/12),0)</f>
        <v>0</v>
      </c>
      <c r="DK139" s="315">
        <f>_xlfn.IFNA((VLOOKUP($A139,'Post 16'!$A:$AG,33,FALSE)/8),0)</f>
        <v>0</v>
      </c>
      <c r="DL139" s="315"/>
      <c r="DM139" s="315">
        <f>_xlfn.IFNA(((VLOOKUP($A139,HN!$A:$M,10,FALSE)-$U139-$AK139)/10),0)</f>
        <v>4411.6479166666668</v>
      </c>
      <c r="DN139" s="315">
        <f>_xlfn.IFNA(((VLOOKUP($A139,HN!$A:$M,13,FALSE)-$V139-$AL139)/10),0)</f>
        <v>0</v>
      </c>
      <c r="DO139" s="314">
        <f t="shared" si="243"/>
        <v>-429.52499999999992</v>
      </c>
      <c r="DP139" s="314">
        <f t="shared" si="244"/>
        <v>-305.04390000000001</v>
      </c>
      <c r="DQ139" s="315"/>
      <c r="DR139" s="315"/>
      <c r="DS139" s="315"/>
      <c r="DT139" s="314">
        <f t="shared" si="245"/>
        <v>107271.69418312173</v>
      </c>
      <c r="DU139" s="307">
        <f t="shared" si="246"/>
        <v>103594.61516645506</v>
      </c>
      <c r="DV139" s="307"/>
      <c r="DW139" s="307"/>
      <c r="DX139" s="308">
        <f>_xlfn.IFNA((VLOOKUP($A139,HN!$A:$M,8,FALSE)/12),0)</f>
        <v>0</v>
      </c>
      <c r="DY139" s="308">
        <f>_xlfn.IFNA((VLOOKUP($A139,HN!$A:$M,12,FALSE)/12),0)</f>
        <v>0</v>
      </c>
      <c r="DZ139" s="308">
        <f>_xlfn.IFNA((VLOOKUP($A139,HN!$A:$M,9,FALSE)/12),0)</f>
        <v>0</v>
      </c>
      <c r="EA139" s="308">
        <f>_xlfn.IFNA((VLOOKUP($A139,'Post 16'!$A:$AG,33,FALSE)/8),0)</f>
        <v>0</v>
      </c>
      <c r="EB139" s="308"/>
      <c r="EC139" s="308">
        <f>_xlfn.IFNA(((VLOOKUP($A139,HN!$A:$M,10,FALSE)-$U139-$AK139)/10),0)</f>
        <v>4411.6479166666668</v>
      </c>
      <c r="ED139" s="308">
        <f>_xlfn.IFNA(((VLOOKUP($A139,HN!$A:$M,13,FALSE)-$V139-$AL139)/10),0)</f>
        <v>0</v>
      </c>
      <c r="EE139" s="307">
        <f t="shared" si="247"/>
        <v>-429.52499999999992</v>
      </c>
      <c r="EF139" s="307">
        <f t="shared" si="248"/>
        <v>-305.04390000000001</v>
      </c>
      <c r="EG139" s="308"/>
      <c r="EH139" s="308"/>
      <c r="EI139" s="308"/>
      <c r="EJ139" s="307">
        <f t="shared" si="249"/>
        <v>107271.69418312173</v>
      </c>
      <c r="EK139" s="320">
        <f t="shared" si="250"/>
        <v>103594.61516645506</v>
      </c>
      <c r="EL139" s="320"/>
      <c r="EM139" s="320"/>
      <c r="EN139" s="321">
        <f>_xlfn.IFNA((VLOOKUP($A139,HN!$A:$M,8,FALSE)/12),0)</f>
        <v>0</v>
      </c>
      <c r="EO139" s="321">
        <f>_xlfn.IFNA((VLOOKUP($A139,HN!$A:$M,12,FALSE)/12),0)</f>
        <v>0</v>
      </c>
      <c r="EP139" s="321">
        <f>_xlfn.IFNA((VLOOKUP($A139,HN!$A:$M,9,FALSE)/12),0)</f>
        <v>0</v>
      </c>
      <c r="EQ139" s="321">
        <f>_xlfn.IFNA((VLOOKUP($A139,'Post 16'!$A:$AG,33,FALSE)/8),0)</f>
        <v>0</v>
      </c>
      <c r="ER139" s="321"/>
      <c r="ES139" s="321">
        <f>_xlfn.IFNA(((VLOOKUP($A139,HN!$A:$M,10,FALSE)-$U139-$AK139)/10),0)</f>
        <v>4411.6479166666668</v>
      </c>
      <c r="ET139" s="321">
        <f>_xlfn.IFNA(((VLOOKUP($A139,HN!$A:$M,13,FALSE)-$V139-$AL139)/10),0)</f>
        <v>0</v>
      </c>
      <c r="EU139" s="320">
        <f t="shared" si="251"/>
        <v>-429.52499999999992</v>
      </c>
      <c r="EV139" s="320">
        <f t="shared" si="252"/>
        <v>-305.04390000000001</v>
      </c>
      <c r="EW139" s="321"/>
      <c r="EX139" s="321"/>
      <c r="EY139" s="321"/>
      <c r="EZ139" s="320">
        <f t="shared" si="253"/>
        <v>107271.69418312173</v>
      </c>
      <c r="FA139" s="286">
        <f t="shared" si="254"/>
        <v>103594.61516645506</v>
      </c>
      <c r="FB139" s="286"/>
      <c r="FC139" s="286"/>
      <c r="FD139" s="287">
        <f>_xlfn.IFNA((VLOOKUP($A139,HN!$A:$M,8,FALSE)/12),0)</f>
        <v>0</v>
      </c>
      <c r="FE139" s="287">
        <f>_xlfn.IFNA((VLOOKUP($A139,HN!$A:$M,12,FALSE)/12),0)</f>
        <v>0</v>
      </c>
      <c r="FF139" s="287">
        <f>_xlfn.IFNA((VLOOKUP($A139,HN!$A:$M,9,FALSE)/12),0)</f>
        <v>0</v>
      </c>
      <c r="FG139" s="287">
        <f>_xlfn.IFNA((VLOOKUP($A139,'Post 16'!$A:$AG,33,FALSE)/8),0)</f>
        <v>0</v>
      </c>
      <c r="FH139" s="287"/>
      <c r="FI139" s="287">
        <f>_xlfn.IFNA(((VLOOKUP($A139,HN!$A:$M,10,FALSE)-$U139-$AK139)/10),0)</f>
        <v>4411.6479166666668</v>
      </c>
      <c r="FJ139" s="287">
        <f>_xlfn.IFNA(((VLOOKUP($A139,HN!$A:$M,13,FALSE)-$V139-$AL139)/10),0)</f>
        <v>0</v>
      </c>
      <c r="FK139" s="286">
        <f t="shared" si="255"/>
        <v>-429.52499999999992</v>
      </c>
      <c r="FL139" s="286">
        <f t="shared" si="256"/>
        <v>-305.04390000000001</v>
      </c>
      <c r="FM139" s="287"/>
      <c r="FN139" s="287"/>
      <c r="FO139" s="287"/>
      <c r="FP139" s="286">
        <f t="shared" si="257"/>
        <v>107271.69418312173</v>
      </c>
      <c r="FQ139" s="293">
        <f t="shared" si="258"/>
        <v>103594.61516645506</v>
      </c>
      <c r="FR139" s="293"/>
      <c r="FS139" s="293"/>
      <c r="FT139" s="294">
        <f>_xlfn.IFNA((VLOOKUP($A139,HN!$A:$M,8,FALSE)/12),0)</f>
        <v>0</v>
      </c>
      <c r="FU139" s="294">
        <f>_xlfn.IFNA((VLOOKUP($A139,HN!$A:$M,12,FALSE)/12),0)</f>
        <v>0</v>
      </c>
      <c r="FV139" s="294">
        <f>_xlfn.IFNA((VLOOKUP($A139,HN!$A:$M,9,FALSE)/12),0)</f>
        <v>0</v>
      </c>
      <c r="FW139" s="294">
        <f>_xlfn.IFNA((VLOOKUP($A139,'Post 16'!$A:$AG,33,FALSE)/8),0)</f>
        <v>0</v>
      </c>
      <c r="FX139" s="294"/>
      <c r="FY139" s="294">
        <f>_xlfn.IFNA(((VLOOKUP($A139,HN!$A:$M,10,FALSE)-$U139-$AK139)/10),0)</f>
        <v>4411.6479166666668</v>
      </c>
      <c r="FZ139" s="294">
        <f>_xlfn.IFNA(((VLOOKUP($A139,HN!$A:$M,13,FALSE)-$V139-$AL139)/10),0)</f>
        <v>0</v>
      </c>
      <c r="GA139" s="293">
        <f t="shared" si="259"/>
        <v>-429.52499999999992</v>
      </c>
      <c r="GB139" s="293">
        <f t="shared" si="260"/>
        <v>-305.04390000000001</v>
      </c>
      <c r="GC139" s="294"/>
      <c r="GD139" s="294"/>
      <c r="GE139" s="294"/>
      <c r="GF139" s="293">
        <f t="shared" si="261"/>
        <v>107271.69418312173</v>
      </c>
      <c r="GG139" s="300">
        <f t="shared" si="262"/>
        <v>103594.61516645506</v>
      </c>
      <c r="GH139" s="300"/>
      <c r="GI139" s="300"/>
      <c r="GJ139" s="301">
        <f>_xlfn.IFNA((VLOOKUP($A139,HN!$A:$M,8,FALSE)/12),0)</f>
        <v>0</v>
      </c>
      <c r="GK139" s="301">
        <f>_xlfn.IFNA((VLOOKUP($A139,HN!$A:$M,12,FALSE)/12),0)</f>
        <v>0</v>
      </c>
      <c r="GL139" s="301">
        <f>_xlfn.IFNA((VLOOKUP($A139,HN!$A:$M,9,FALSE)/12),0)</f>
        <v>0</v>
      </c>
      <c r="GM139" s="301">
        <f>_xlfn.IFNA((VLOOKUP($A139,'Post 16'!$A:$AG,33,FALSE)/8),0)</f>
        <v>0</v>
      </c>
      <c r="GN139" s="301"/>
      <c r="GO139" s="301">
        <f>_xlfn.IFNA(((VLOOKUP($A139,HN!$A:$M,10,FALSE)-$U139-$AK139)/10),0)</f>
        <v>4411.6479166666668</v>
      </c>
      <c r="GP139" s="301">
        <f>_xlfn.IFNA(((VLOOKUP($A139,HN!$A:$M,13,FALSE)-$V139-$AL139)/10),0)</f>
        <v>0</v>
      </c>
      <c r="GQ139" s="300">
        <f t="shared" si="263"/>
        <v>-429.52499999999992</v>
      </c>
      <c r="GR139" s="300">
        <f t="shared" si="264"/>
        <v>-305.04390000000001</v>
      </c>
      <c r="GS139" s="301"/>
      <c r="GT139" s="301"/>
      <c r="GU139" s="301"/>
      <c r="GV139" s="300">
        <f t="shared" si="265"/>
        <v>107271.69418312173</v>
      </c>
      <c r="GX139" s="146">
        <f t="shared" si="266"/>
        <v>1243135.3819974607</v>
      </c>
      <c r="GY139" s="146">
        <f t="shared" si="266"/>
        <v>0</v>
      </c>
      <c r="GZ139" s="146">
        <f t="shared" si="266"/>
        <v>53055.250000000015</v>
      </c>
      <c r="HA139" s="146">
        <f t="shared" si="266"/>
        <v>-5154.2999999999993</v>
      </c>
      <c r="HB139" s="146">
        <f t="shared" si="266"/>
        <v>-3660.526800000001</v>
      </c>
      <c r="HC139" s="146">
        <f t="shared" si="266"/>
        <v>0</v>
      </c>
      <c r="HE139" s="146">
        <f t="shared" si="267"/>
        <v>310783.84549936518</v>
      </c>
      <c r="HF139" s="146">
        <f t="shared" si="267"/>
        <v>0</v>
      </c>
      <c r="HG139" s="146">
        <f t="shared" si="267"/>
        <v>13350.418749999999</v>
      </c>
      <c r="HH139" s="146">
        <f t="shared" si="267"/>
        <v>-1288.5749999999998</v>
      </c>
      <c r="HI139" s="146">
        <f t="shared" si="267"/>
        <v>-915.13170000000002</v>
      </c>
      <c r="HJ139" s="146">
        <f t="shared" si="267"/>
        <v>0</v>
      </c>
      <c r="HL139" s="146"/>
      <c r="HM139" s="57"/>
    </row>
    <row r="140" spans="1:221">
      <c r="A140" s="185">
        <v>3335</v>
      </c>
      <c r="B140" s="185">
        <v>103434</v>
      </c>
      <c r="C140" s="185" t="s">
        <v>303</v>
      </c>
      <c r="D140" s="2" t="s">
        <v>304</v>
      </c>
      <c r="E140" s="190" t="s">
        <v>39</v>
      </c>
      <c r="F140" s="190" t="s">
        <v>890</v>
      </c>
      <c r="H140" s="271">
        <f>_xlfn.IFNA(VLOOKUP($A140,ISB!$A$4:$BY$441,67,FALSE),0)</f>
        <v>1359270.4154016546</v>
      </c>
      <c r="I140" s="271">
        <f>_xlfn.IFNA(VLOOKUP($A140,ISB!$A$4:$BY$441,72,FALSE),0)</f>
        <v>-4855.5</v>
      </c>
      <c r="J140" s="271">
        <f>-_xlfn.IFNA(VLOOKUP($A140,ISB!$A$4:$BY$441,76,FALSE),0)</f>
        <v>-4687.5811000000003</v>
      </c>
      <c r="K140" s="271">
        <f>_xlfn.IFNA(VLOOKUP($A140,ISB!$A$4:$BY$441,77,FALSE),0)</f>
        <v>1349727.3343016545</v>
      </c>
      <c r="M140" s="279">
        <f t="shared" si="218"/>
        <v>113272.53461680455</v>
      </c>
      <c r="N140" s="279"/>
      <c r="O140" s="279">
        <f>_xlfn.IFNA(VLOOKUP($A140,EY!$A:$H,8,FALSE)+(VLOOKUP($A140,EY!$A:$R,18,FALSE)-$T140),0)</f>
        <v>0</v>
      </c>
      <c r="P140" s="280">
        <f>_xlfn.IFNA((VLOOKUP($A140,HN!$A:$M,8,FALSE)/12),0)</f>
        <v>0</v>
      </c>
      <c r="Q140" s="280">
        <f>_xlfn.IFNA((VLOOKUP($A140,HN!$A:$M,12,FALSE)/12),0)</f>
        <v>0</v>
      </c>
      <c r="R140" s="280">
        <f>_xlfn.IFNA((VLOOKUP($A140,HN!$A:$M,9,FALSE)/12),0)</f>
        <v>0</v>
      </c>
      <c r="S140" s="280">
        <f>_xlfn.IFNA((VLOOKUP($A140,'Post 16'!$A:$AR,22,FALSE)/4),0)</f>
        <v>0</v>
      </c>
      <c r="T140" s="280">
        <f>_xlfn.IFNA((VLOOKUP($A140,EY!$A:$R,16,FALSE)*80%),0)</f>
        <v>0</v>
      </c>
      <c r="U140" s="280">
        <v>10212.375</v>
      </c>
      <c r="V140" s="280">
        <v>0</v>
      </c>
      <c r="W140" s="279">
        <f t="shared" si="219"/>
        <v>-404.625</v>
      </c>
      <c r="X140" s="279">
        <f t="shared" si="220"/>
        <v>-390.63175833333338</v>
      </c>
      <c r="Y140" s="280"/>
      <c r="Z140" s="280"/>
      <c r="AA140" s="280"/>
      <c r="AB140" s="279">
        <f t="shared" si="221"/>
        <v>122689.65285847122</v>
      </c>
      <c r="AC140" s="293">
        <f t="shared" si="222"/>
        <v>113272.53461680455</v>
      </c>
      <c r="AD140" s="293"/>
      <c r="AE140" s="293"/>
      <c r="AF140" s="294">
        <f>_xlfn.IFNA((VLOOKUP($A140,HN!$A:$M,8,FALSE)/12),0)</f>
        <v>0</v>
      </c>
      <c r="AG140" s="294">
        <f>_xlfn.IFNA((VLOOKUP($A140,HN!$A:$M,12,FALSE)/12),0)+_xlfn.IFNA(VLOOKUP($A140,HN!$A:$Q,17,FALSE),0)</f>
        <v>0</v>
      </c>
      <c r="AH140" s="294">
        <f>_xlfn.IFNA((VLOOKUP($A140,HN!$A:$M,9,FALSE)/12),0)</f>
        <v>0</v>
      </c>
      <c r="AI140" s="294">
        <f>_xlfn.IFNA((VLOOKUP($A140,'Post 16'!$A:$AR,22,FALSE)/4),0)</f>
        <v>0</v>
      </c>
      <c r="AJ140" s="294"/>
      <c r="AK140" s="294">
        <f>_xlfn.IFNA((VLOOKUP($A140,HN!$A:$M,10,FALSE)/12),0)</f>
        <v>6403.3191666666671</v>
      </c>
      <c r="AL140" s="294">
        <f>_xlfn.IFNA((VLOOKUP($A140,HN!$A:$M,13,FALSE)/12),0)</f>
        <v>0</v>
      </c>
      <c r="AM140" s="293">
        <f t="shared" si="223"/>
        <v>-404.625</v>
      </c>
      <c r="AN140" s="293">
        <f t="shared" si="224"/>
        <v>-390.63175833333338</v>
      </c>
      <c r="AO140" s="294"/>
      <c r="AP140" s="294"/>
      <c r="AQ140" s="294"/>
      <c r="AR140" s="293">
        <f t="shared" si="225"/>
        <v>118880.59702513789</v>
      </c>
      <c r="AS140" s="286">
        <f t="shared" si="226"/>
        <v>113272.53461680455</v>
      </c>
      <c r="AT140" s="286"/>
      <c r="AU140" s="286">
        <f>_xlfn.IFNA(VLOOKUP(A140,EY!A:AO,40,FALSE),0)</f>
        <v>0</v>
      </c>
      <c r="AV140" s="287">
        <f>_xlfn.IFNA((VLOOKUP($A140,HN!$A:$M,8,FALSE)/12),0)</f>
        <v>0</v>
      </c>
      <c r="AW140" s="287">
        <f>_xlfn.IFNA((VLOOKUP($A140,HN!$A:$M,12,FALSE)/12),0)+_xlfn.IFNA(VLOOKUP($A140,HN!$A$8:$AU$200,19,FALSE),0)</f>
        <v>0</v>
      </c>
      <c r="AX140" s="287">
        <f>_xlfn.IFNA((VLOOKUP($A140,HN!$A:$M,9,FALSE)/12),0)</f>
        <v>0</v>
      </c>
      <c r="AY140" s="287">
        <f>_xlfn.IFNA((VLOOKUP($A140,'Post 16'!$A:$AR,22,FALSE)/4),0)</f>
        <v>0</v>
      </c>
      <c r="AZ140" s="287">
        <f>_xlfn.IFNA(VLOOKUP(A140,EY!A:AO,41,FALSE),0)</f>
        <v>0</v>
      </c>
      <c r="BA140" s="287">
        <f>_xlfn.IFNA(((VLOOKUP($A140,HN!$A:$M,10,FALSE)-$U140-$AK140)/10),0)+_xlfn.IFNA(VLOOKUP($A140,HN!$A:$R,18,FALSE),0)</f>
        <v>6022.413583333333</v>
      </c>
      <c r="BB140" s="287">
        <f>_xlfn.IFNA(((VLOOKUP($A140,HN!$A:$M,13,FALSE)-$V140-$AL140)/10),0)+_xlfn.IFNA(VLOOKUP($A140,HN!$A$8:$AU$200,20,FALSE),0)</f>
        <v>0</v>
      </c>
      <c r="BC140" s="286">
        <f t="shared" si="227"/>
        <v>-404.625</v>
      </c>
      <c r="BD140" s="286">
        <f t="shared" si="228"/>
        <v>-390.63175833333338</v>
      </c>
      <c r="BE140" s="287"/>
      <c r="BF140" s="287"/>
      <c r="BG140" s="287"/>
      <c r="BH140" s="286">
        <f t="shared" si="229"/>
        <v>118499.69144180455</v>
      </c>
      <c r="BI140" s="307">
        <f t="shared" si="230"/>
        <v>113272.53461680455</v>
      </c>
      <c r="BJ140" s="307">
        <f>_xlfn.IFNA(VLOOKUP(A140,'LA Deductions'!A:AH,34,FALSE),0)</f>
        <v>0</v>
      </c>
      <c r="BK140" s="307"/>
      <c r="BL140" s="308">
        <f>_xlfn.IFNA((VLOOKUP($A140,HN!$A:$M,8,FALSE)/12),0)</f>
        <v>0</v>
      </c>
      <c r="BM140" s="308">
        <f>_xlfn.IFNA((VLOOKUP($A140,HN!$A:$M,12,FALSE)/12),0)</f>
        <v>0</v>
      </c>
      <c r="BN140" s="308">
        <f>_xlfn.IFNA((VLOOKUP($A140,HN!$A:$M,9,FALSE)/12),0)</f>
        <v>0</v>
      </c>
      <c r="BO140" s="308">
        <f>_xlfn.IFNA((VLOOKUP($A140,'Post 16'!$A:$AR,22,FALSE)/4),0)</f>
        <v>0</v>
      </c>
      <c r="BP140" s="308"/>
      <c r="BQ140" s="308">
        <f>_xlfn.IFNA(((VLOOKUP($A140,HN!$A:$M,10,FALSE)-$U140-$AK140)/10),0)</f>
        <v>6022.413583333333</v>
      </c>
      <c r="BR140" s="308">
        <f>_xlfn.IFNA(((VLOOKUP($A140,HN!$A:$M,13,FALSE)-$V140-$AL140)/10),0)</f>
        <v>0</v>
      </c>
      <c r="BS140" s="307">
        <f t="shared" si="231"/>
        <v>-404.625</v>
      </c>
      <c r="BT140" s="307">
        <f t="shared" si="232"/>
        <v>-390.63175833333338</v>
      </c>
      <c r="BU140" s="308"/>
      <c r="BV140" s="308"/>
      <c r="BW140" s="308"/>
      <c r="BX140" s="307">
        <f t="shared" si="233"/>
        <v>118499.69144180455</v>
      </c>
      <c r="BY140" s="300">
        <f t="shared" si="234"/>
        <v>113272.53461680455</v>
      </c>
      <c r="BZ140" s="300"/>
      <c r="CA140" s="300"/>
      <c r="CB140" s="301">
        <f>_xlfn.IFNA((VLOOKUP($A140,HN!$A:$M,8,FALSE)/12),0)</f>
        <v>0</v>
      </c>
      <c r="CC140" s="301">
        <f>_xlfn.IFNA((VLOOKUP($A140,HN!$A:$M,12,FALSE)/12),0)</f>
        <v>0</v>
      </c>
      <c r="CD140" s="301">
        <f>_xlfn.IFNA((VLOOKUP($A140,HN!$A:$M,9,FALSE)/12),0)</f>
        <v>0</v>
      </c>
      <c r="CE140" s="301">
        <f>_xlfn.IFNA((VLOOKUP($A140,'Post 16'!$A:$AG,33,FALSE)/8),0)</f>
        <v>0</v>
      </c>
      <c r="CF140" s="301"/>
      <c r="CG140" s="301">
        <f>_xlfn.IFNA(((VLOOKUP($A140,HN!$A:$M,10,FALSE)-$U140-$AK140)/10),0)</f>
        <v>6022.413583333333</v>
      </c>
      <c r="CH140" s="301">
        <f>_xlfn.IFNA(((VLOOKUP($A140,HN!$A:$M,13,FALSE)-$V140-$AL140)/10),0)</f>
        <v>0</v>
      </c>
      <c r="CI140" s="300">
        <f t="shared" si="235"/>
        <v>-404.625</v>
      </c>
      <c r="CJ140" s="300">
        <f t="shared" si="236"/>
        <v>-390.63175833333338</v>
      </c>
      <c r="CK140" s="301"/>
      <c r="CL140" s="301"/>
      <c r="CM140" s="301"/>
      <c r="CN140" s="300">
        <f t="shared" si="237"/>
        <v>118499.69144180455</v>
      </c>
      <c r="CO140" s="332">
        <f t="shared" si="238"/>
        <v>113272.53461680455</v>
      </c>
      <c r="CP140" s="332"/>
      <c r="CQ140" s="332">
        <f>_xlfn.IFNA((VLOOKUP($A140,EY!$A:$AB,28,FALSE)-$CV140),0)</f>
        <v>0</v>
      </c>
      <c r="CR140" s="333">
        <f>_xlfn.IFNA((VLOOKUP($A140,HN!$A:$M,8,FALSE)/12),0)</f>
        <v>0</v>
      </c>
      <c r="CS140" s="333">
        <f>_xlfn.IFNA((VLOOKUP($A140,HN!$A:$M,12,FALSE)/12),0)</f>
        <v>0</v>
      </c>
      <c r="CT140" s="333">
        <f>_xlfn.IFNA((VLOOKUP($A140,HN!$A:$M,9,FALSE)/12),0)</f>
        <v>0</v>
      </c>
      <c r="CU140" s="333">
        <f>_xlfn.IFNA((VLOOKUP($A140,'Post 16'!$A:$AG,33,FALSE)/8),0)</f>
        <v>0</v>
      </c>
      <c r="CV140" s="333">
        <f>_xlfn.IFNA((VLOOKUP($A140,EY!$A:$AB,26,FALSE)*80%),0)</f>
        <v>0</v>
      </c>
      <c r="CW140" s="333">
        <f>_xlfn.IFNA(((VLOOKUP($A140,HN!$A:$M,10,FALSE)-$U140-$AK140)/10),0)</f>
        <v>6022.413583333333</v>
      </c>
      <c r="CX140" s="333">
        <f>_xlfn.IFNA(((VLOOKUP($A140,HN!$A:$M,13,FALSE)-$V140-$AL140)/10),0)</f>
        <v>0</v>
      </c>
      <c r="CY140" s="332">
        <f t="shared" si="239"/>
        <v>-404.625</v>
      </c>
      <c r="CZ140" s="332">
        <f t="shared" si="240"/>
        <v>-390.63175833333338</v>
      </c>
      <c r="DA140" s="333"/>
      <c r="DB140" s="333"/>
      <c r="DC140" s="333"/>
      <c r="DD140" s="332">
        <f t="shared" si="241"/>
        <v>118499.69144180455</v>
      </c>
      <c r="DE140" s="314">
        <f t="shared" si="242"/>
        <v>113272.53461680455</v>
      </c>
      <c r="DF140" s="314"/>
      <c r="DG140" s="314"/>
      <c r="DH140" s="315">
        <f>_xlfn.IFNA((VLOOKUP($A140,HN!$A:$M,8,FALSE)/12),0)</f>
        <v>0</v>
      </c>
      <c r="DI140" s="315">
        <f>_xlfn.IFNA((VLOOKUP($A140,HN!$A:$M,12,FALSE)/12),0)</f>
        <v>0</v>
      </c>
      <c r="DJ140" s="315">
        <f>_xlfn.IFNA((VLOOKUP($A140,HN!$A:$M,9,FALSE)/12),0)</f>
        <v>0</v>
      </c>
      <c r="DK140" s="315">
        <f>_xlfn.IFNA((VLOOKUP($A140,'Post 16'!$A:$AG,33,FALSE)/8),0)</f>
        <v>0</v>
      </c>
      <c r="DL140" s="315"/>
      <c r="DM140" s="315">
        <f>_xlfn.IFNA(((VLOOKUP($A140,HN!$A:$M,10,FALSE)-$U140-$AK140)/10),0)</f>
        <v>6022.413583333333</v>
      </c>
      <c r="DN140" s="315">
        <f>_xlfn.IFNA(((VLOOKUP($A140,HN!$A:$M,13,FALSE)-$V140-$AL140)/10),0)</f>
        <v>0</v>
      </c>
      <c r="DO140" s="314">
        <f t="shared" si="243"/>
        <v>-404.625</v>
      </c>
      <c r="DP140" s="314">
        <f t="shared" si="244"/>
        <v>-390.63175833333338</v>
      </c>
      <c r="DQ140" s="315"/>
      <c r="DR140" s="315"/>
      <c r="DS140" s="315"/>
      <c r="DT140" s="314">
        <f t="shared" si="245"/>
        <v>118499.69144180455</v>
      </c>
      <c r="DU140" s="307">
        <f t="shared" si="246"/>
        <v>113272.53461680455</v>
      </c>
      <c r="DV140" s="307"/>
      <c r="DW140" s="307"/>
      <c r="DX140" s="308">
        <f>_xlfn.IFNA((VLOOKUP($A140,HN!$A:$M,8,FALSE)/12),0)</f>
        <v>0</v>
      </c>
      <c r="DY140" s="308">
        <f>_xlfn.IFNA((VLOOKUP($A140,HN!$A:$M,12,FALSE)/12),0)</f>
        <v>0</v>
      </c>
      <c r="DZ140" s="308">
        <f>_xlfn.IFNA((VLOOKUP($A140,HN!$A:$M,9,FALSE)/12),0)</f>
        <v>0</v>
      </c>
      <c r="EA140" s="308">
        <f>_xlfn.IFNA((VLOOKUP($A140,'Post 16'!$A:$AG,33,FALSE)/8),0)</f>
        <v>0</v>
      </c>
      <c r="EB140" s="308"/>
      <c r="EC140" s="308">
        <f>_xlfn.IFNA(((VLOOKUP($A140,HN!$A:$M,10,FALSE)-$U140-$AK140)/10),0)</f>
        <v>6022.413583333333</v>
      </c>
      <c r="ED140" s="308">
        <f>_xlfn.IFNA(((VLOOKUP($A140,HN!$A:$M,13,FALSE)-$V140-$AL140)/10),0)</f>
        <v>0</v>
      </c>
      <c r="EE140" s="307">
        <f t="shared" si="247"/>
        <v>-404.625</v>
      </c>
      <c r="EF140" s="307">
        <f t="shared" si="248"/>
        <v>-390.63175833333338</v>
      </c>
      <c r="EG140" s="308"/>
      <c r="EH140" s="308"/>
      <c r="EI140" s="308"/>
      <c r="EJ140" s="307">
        <f t="shared" si="249"/>
        <v>118499.69144180455</v>
      </c>
      <c r="EK140" s="320">
        <f t="shared" si="250"/>
        <v>113272.53461680455</v>
      </c>
      <c r="EL140" s="320"/>
      <c r="EM140" s="320"/>
      <c r="EN140" s="321">
        <f>_xlfn.IFNA((VLOOKUP($A140,HN!$A:$M,8,FALSE)/12),0)</f>
        <v>0</v>
      </c>
      <c r="EO140" s="321">
        <f>_xlfn.IFNA((VLOOKUP($A140,HN!$A:$M,12,FALSE)/12),0)</f>
        <v>0</v>
      </c>
      <c r="EP140" s="321">
        <f>_xlfn.IFNA((VLOOKUP($A140,HN!$A:$M,9,FALSE)/12),0)</f>
        <v>0</v>
      </c>
      <c r="EQ140" s="321">
        <f>_xlfn.IFNA((VLOOKUP($A140,'Post 16'!$A:$AG,33,FALSE)/8),0)</f>
        <v>0</v>
      </c>
      <c r="ER140" s="321"/>
      <c r="ES140" s="321">
        <f>_xlfn.IFNA(((VLOOKUP($A140,HN!$A:$M,10,FALSE)-$U140-$AK140)/10),0)</f>
        <v>6022.413583333333</v>
      </c>
      <c r="ET140" s="321">
        <f>_xlfn.IFNA(((VLOOKUP($A140,HN!$A:$M,13,FALSE)-$V140-$AL140)/10),0)</f>
        <v>0</v>
      </c>
      <c r="EU140" s="320">
        <f t="shared" si="251"/>
        <v>-404.625</v>
      </c>
      <c r="EV140" s="320">
        <f t="shared" si="252"/>
        <v>-390.63175833333338</v>
      </c>
      <c r="EW140" s="321"/>
      <c r="EX140" s="321"/>
      <c r="EY140" s="321"/>
      <c r="EZ140" s="320">
        <f t="shared" si="253"/>
        <v>118499.69144180455</v>
      </c>
      <c r="FA140" s="286">
        <f t="shared" si="254"/>
        <v>113272.53461680455</v>
      </c>
      <c r="FB140" s="286"/>
      <c r="FC140" s="286"/>
      <c r="FD140" s="287">
        <f>_xlfn.IFNA((VLOOKUP($A140,HN!$A:$M,8,FALSE)/12),0)</f>
        <v>0</v>
      </c>
      <c r="FE140" s="287">
        <f>_xlfn.IFNA((VLOOKUP($A140,HN!$A:$M,12,FALSE)/12),0)</f>
        <v>0</v>
      </c>
      <c r="FF140" s="287">
        <f>_xlfn.IFNA((VLOOKUP($A140,HN!$A:$M,9,FALSE)/12),0)</f>
        <v>0</v>
      </c>
      <c r="FG140" s="287">
        <f>_xlfn.IFNA((VLOOKUP($A140,'Post 16'!$A:$AG,33,FALSE)/8),0)</f>
        <v>0</v>
      </c>
      <c r="FH140" s="287"/>
      <c r="FI140" s="287">
        <f>_xlfn.IFNA(((VLOOKUP($A140,HN!$A:$M,10,FALSE)-$U140-$AK140)/10),0)</f>
        <v>6022.413583333333</v>
      </c>
      <c r="FJ140" s="287">
        <f>_xlfn.IFNA(((VLOOKUP($A140,HN!$A:$M,13,FALSE)-$V140-$AL140)/10),0)</f>
        <v>0</v>
      </c>
      <c r="FK140" s="286">
        <f t="shared" si="255"/>
        <v>-404.625</v>
      </c>
      <c r="FL140" s="286">
        <f t="shared" si="256"/>
        <v>-390.63175833333338</v>
      </c>
      <c r="FM140" s="287"/>
      <c r="FN140" s="287"/>
      <c r="FO140" s="287"/>
      <c r="FP140" s="286">
        <f t="shared" si="257"/>
        <v>118499.69144180455</v>
      </c>
      <c r="FQ140" s="293">
        <f t="shared" si="258"/>
        <v>113272.53461680455</v>
      </c>
      <c r="FR140" s="293"/>
      <c r="FS140" s="293"/>
      <c r="FT140" s="294">
        <f>_xlfn.IFNA((VLOOKUP($A140,HN!$A:$M,8,FALSE)/12),0)</f>
        <v>0</v>
      </c>
      <c r="FU140" s="294">
        <f>_xlfn.IFNA((VLOOKUP($A140,HN!$A:$M,12,FALSE)/12),0)</f>
        <v>0</v>
      </c>
      <c r="FV140" s="294">
        <f>_xlfn.IFNA((VLOOKUP($A140,HN!$A:$M,9,FALSE)/12),0)</f>
        <v>0</v>
      </c>
      <c r="FW140" s="294">
        <f>_xlfn.IFNA((VLOOKUP($A140,'Post 16'!$A:$AG,33,FALSE)/8),0)</f>
        <v>0</v>
      </c>
      <c r="FX140" s="294"/>
      <c r="FY140" s="294">
        <f>_xlfn.IFNA(((VLOOKUP($A140,HN!$A:$M,10,FALSE)-$U140-$AK140)/10),0)</f>
        <v>6022.413583333333</v>
      </c>
      <c r="FZ140" s="294">
        <f>_xlfn.IFNA(((VLOOKUP($A140,HN!$A:$M,13,FALSE)-$V140-$AL140)/10),0)</f>
        <v>0</v>
      </c>
      <c r="GA140" s="293">
        <f t="shared" si="259"/>
        <v>-404.625</v>
      </c>
      <c r="GB140" s="293">
        <f t="shared" si="260"/>
        <v>-390.63175833333338</v>
      </c>
      <c r="GC140" s="294"/>
      <c r="GD140" s="294"/>
      <c r="GE140" s="294"/>
      <c r="GF140" s="293">
        <f t="shared" si="261"/>
        <v>118499.69144180455</v>
      </c>
      <c r="GG140" s="300">
        <f t="shared" si="262"/>
        <v>113272.53461680455</v>
      </c>
      <c r="GH140" s="300"/>
      <c r="GI140" s="300"/>
      <c r="GJ140" s="301">
        <f>_xlfn.IFNA((VLOOKUP($A140,HN!$A:$M,8,FALSE)/12),0)</f>
        <v>0</v>
      </c>
      <c r="GK140" s="301">
        <f>_xlfn.IFNA((VLOOKUP($A140,HN!$A:$M,12,FALSE)/12),0)</f>
        <v>0</v>
      </c>
      <c r="GL140" s="301">
        <f>_xlfn.IFNA((VLOOKUP($A140,HN!$A:$M,9,FALSE)/12),0)</f>
        <v>0</v>
      </c>
      <c r="GM140" s="301">
        <f>_xlfn.IFNA((VLOOKUP($A140,'Post 16'!$A:$AG,33,FALSE)/8),0)</f>
        <v>0</v>
      </c>
      <c r="GN140" s="301"/>
      <c r="GO140" s="301">
        <f>_xlfn.IFNA(((VLOOKUP($A140,HN!$A:$M,10,FALSE)-$U140-$AK140)/10),0)</f>
        <v>6022.413583333333</v>
      </c>
      <c r="GP140" s="301">
        <f>_xlfn.IFNA(((VLOOKUP($A140,HN!$A:$M,13,FALSE)-$V140-$AL140)/10),0)</f>
        <v>0</v>
      </c>
      <c r="GQ140" s="300">
        <f t="shared" si="263"/>
        <v>-404.625</v>
      </c>
      <c r="GR140" s="300">
        <f t="shared" si="264"/>
        <v>-390.63175833333338</v>
      </c>
      <c r="GS140" s="301"/>
      <c r="GT140" s="301"/>
      <c r="GU140" s="301"/>
      <c r="GV140" s="300">
        <f t="shared" si="265"/>
        <v>118499.69144180455</v>
      </c>
      <c r="GX140" s="146">
        <f t="shared" si="266"/>
        <v>1359270.4154016543</v>
      </c>
      <c r="GY140" s="146">
        <f t="shared" si="266"/>
        <v>0</v>
      </c>
      <c r="GZ140" s="146">
        <f t="shared" si="266"/>
        <v>76839.83</v>
      </c>
      <c r="HA140" s="146">
        <f t="shared" si="266"/>
        <v>-4855.5</v>
      </c>
      <c r="HB140" s="146">
        <f t="shared" si="266"/>
        <v>-4687.5811000000003</v>
      </c>
      <c r="HC140" s="146">
        <f t="shared" si="266"/>
        <v>0</v>
      </c>
      <c r="HE140" s="146">
        <f t="shared" si="267"/>
        <v>339817.60385041364</v>
      </c>
      <c r="HF140" s="146">
        <f t="shared" si="267"/>
        <v>0</v>
      </c>
      <c r="HG140" s="146">
        <f t="shared" si="267"/>
        <v>22638.107750000003</v>
      </c>
      <c r="HH140" s="146">
        <f t="shared" si="267"/>
        <v>-1213.875</v>
      </c>
      <c r="HI140" s="146">
        <f t="shared" si="267"/>
        <v>-1171.8952750000001</v>
      </c>
      <c r="HJ140" s="146">
        <f t="shared" si="267"/>
        <v>0</v>
      </c>
      <c r="HL140" s="146"/>
      <c r="HM140" s="57"/>
    </row>
    <row r="141" spans="1:221">
      <c r="A141" s="185">
        <v>2183</v>
      </c>
      <c r="B141" s="185">
        <v>103261</v>
      </c>
      <c r="C141" s="185" t="s">
        <v>305</v>
      </c>
      <c r="D141" s="2" t="s">
        <v>306</v>
      </c>
      <c r="E141" s="190" t="s">
        <v>39</v>
      </c>
      <c r="F141" s="190" t="s">
        <v>890</v>
      </c>
      <c r="H141" s="271">
        <f>_xlfn.IFNA(VLOOKUP($A141,ISB!$A$4:$BY$441,67,FALSE),0)</f>
        <v>2105004.7248197626</v>
      </c>
      <c r="I141" s="271">
        <f>_xlfn.IFNA(VLOOKUP($A141,ISB!$A$4:$BY$441,72,FALSE),0)</f>
        <v>-7644.2999999999993</v>
      </c>
      <c r="J141" s="271">
        <f>-_xlfn.IFNA(VLOOKUP($A141,ISB!$A$4:$BY$441,76,FALSE),0)</f>
        <v>-37459.695</v>
      </c>
      <c r="K141" s="271">
        <f>_xlfn.IFNA(VLOOKUP($A141,ISB!$A$4:$BY$441,77,FALSE),0)</f>
        <v>2059900.7298197628</v>
      </c>
      <c r="M141" s="279">
        <f t="shared" si="218"/>
        <v>175417.06040164689</v>
      </c>
      <c r="N141" s="279"/>
      <c r="O141" s="279">
        <f>_xlfn.IFNA(VLOOKUP($A141,EY!$A:$H,8,FALSE)+(VLOOKUP($A141,EY!$A:$R,18,FALSE)-$T141),0)</f>
        <v>0</v>
      </c>
      <c r="P141" s="280">
        <f>_xlfn.IFNA((VLOOKUP($A141,HN!$A:$M,8,FALSE)/12),0)</f>
        <v>0</v>
      </c>
      <c r="Q141" s="280">
        <f>_xlfn.IFNA((VLOOKUP($A141,HN!$A:$M,12,FALSE)/12),0)</f>
        <v>13666.666666666666</v>
      </c>
      <c r="R141" s="280">
        <f>_xlfn.IFNA((VLOOKUP($A141,HN!$A:$M,9,FALSE)/12),0)</f>
        <v>0</v>
      </c>
      <c r="S141" s="280">
        <f>_xlfn.IFNA((VLOOKUP($A141,'Post 16'!$A:$AR,22,FALSE)/4),0)</f>
        <v>0</v>
      </c>
      <c r="T141" s="280">
        <f>_xlfn.IFNA((VLOOKUP($A141,EY!$A:$R,16,FALSE)*80%),0)</f>
        <v>0</v>
      </c>
      <c r="U141" s="280">
        <v>0</v>
      </c>
      <c r="V141" s="280">
        <v>27995.069166666664</v>
      </c>
      <c r="W141" s="279">
        <f t="shared" si="219"/>
        <v>-637.02499999999998</v>
      </c>
      <c r="X141" s="279">
        <f t="shared" si="220"/>
        <v>-3121.6412500000001</v>
      </c>
      <c r="Y141" s="280"/>
      <c r="Z141" s="280"/>
      <c r="AA141" s="280"/>
      <c r="AB141" s="279">
        <f t="shared" si="221"/>
        <v>213320.12998498022</v>
      </c>
      <c r="AC141" s="293">
        <f t="shared" si="222"/>
        <v>175417.06040164689</v>
      </c>
      <c r="AD141" s="293"/>
      <c r="AE141" s="293"/>
      <c r="AF141" s="294">
        <f>_xlfn.IFNA((VLOOKUP($A141,HN!$A:$M,8,FALSE)/12),0)</f>
        <v>0</v>
      </c>
      <c r="AG141" s="294">
        <f>_xlfn.IFNA((VLOOKUP($A141,HN!$A:$M,12,FALSE)/12),0)+_xlfn.IFNA(VLOOKUP($A141,HN!$A:$Q,17,FALSE),0)</f>
        <v>13666.666666666666</v>
      </c>
      <c r="AH141" s="294">
        <f>_xlfn.IFNA((VLOOKUP($A141,HN!$A:$M,9,FALSE)/12),0)</f>
        <v>0</v>
      </c>
      <c r="AI141" s="294">
        <f>_xlfn.IFNA((VLOOKUP($A141,'Post 16'!$A:$AR,22,FALSE)/4),0)</f>
        <v>0</v>
      </c>
      <c r="AJ141" s="294"/>
      <c r="AK141" s="294">
        <f>_xlfn.IFNA((VLOOKUP($A141,HN!$A:$M,10,FALSE)/12),0)</f>
        <v>0</v>
      </c>
      <c r="AL141" s="294">
        <f>_xlfn.IFNA((VLOOKUP($A141,HN!$A:$M,13,FALSE)/12),0)</f>
        <v>26568.944166666664</v>
      </c>
      <c r="AM141" s="293">
        <f t="shared" si="223"/>
        <v>-637.02499999999998</v>
      </c>
      <c r="AN141" s="293">
        <f t="shared" si="224"/>
        <v>-3121.6412500000001</v>
      </c>
      <c r="AO141" s="294"/>
      <c r="AP141" s="294"/>
      <c r="AQ141" s="294"/>
      <c r="AR141" s="293">
        <f t="shared" si="225"/>
        <v>211894.00498498022</v>
      </c>
      <c r="AS141" s="286">
        <f t="shared" si="226"/>
        <v>175417.06040164689</v>
      </c>
      <c r="AT141" s="286"/>
      <c r="AU141" s="286">
        <f>_xlfn.IFNA(VLOOKUP(A141,EY!A:AO,40,FALSE),0)</f>
        <v>0</v>
      </c>
      <c r="AV141" s="287">
        <f>_xlfn.IFNA((VLOOKUP($A141,HN!$A:$M,8,FALSE)/12),0)</f>
        <v>0</v>
      </c>
      <c r="AW141" s="287">
        <f>_xlfn.IFNA((VLOOKUP($A141,HN!$A:$M,12,FALSE)/12),0)+_xlfn.IFNA(VLOOKUP($A141,HN!$A$8:$AU$200,19,FALSE),0)</f>
        <v>13666.666666666666</v>
      </c>
      <c r="AX141" s="287">
        <f>_xlfn.IFNA((VLOOKUP($A141,HN!$A:$M,9,FALSE)/12),0)</f>
        <v>0</v>
      </c>
      <c r="AY141" s="287">
        <f>_xlfn.IFNA((VLOOKUP($A141,'Post 16'!$A:$AR,22,FALSE)/4),0)</f>
        <v>0</v>
      </c>
      <c r="AZ141" s="287">
        <f>_xlfn.IFNA(VLOOKUP(A141,EY!A:AO,41,FALSE),0)</f>
        <v>0</v>
      </c>
      <c r="BA141" s="287">
        <f>_xlfn.IFNA(((VLOOKUP($A141,HN!$A:$M,10,FALSE)-$U141-$AK141)/10),0)+_xlfn.IFNA(VLOOKUP($A141,HN!$A:$R,18,FALSE),0)</f>
        <v>0</v>
      </c>
      <c r="BB141" s="287">
        <f>_xlfn.IFNA(((VLOOKUP($A141,HN!$A:$M,13,FALSE)-$V141-$AL141)/10),0)+_xlfn.IFNA(VLOOKUP($A141,HN!$A$8:$AU$200,20,FALSE),0)</f>
        <v>26426.331666666665</v>
      </c>
      <c r="BC141" s="286">
        <f t="shared" si="227"/>
        <v>-637.02499999999998</v>
      </c>
      <c r="BD141" s="286">
        <f t="shared" si="228"/>
        <v>-3121.6412500000001</v>
      </c>
      <c r="BE141" s="287"/>
      <c r="BF141" s="287"/>
      <c r="BG141" s="287"/>
      <c r="BH141" s="286">
        <f t="shared" si="229"/>
        <v>211751.39248498023</v>
      </c>
      <c r="BI141" s="307">
        <f t="shared" si="230"/>
        <v>175417.06040164689</v>
      </c>
      <c r="BJ141" s="307">
        <f>_xlfn.IFNA(VLOOKUP(A141,'LA Deductions'!A:AH,34,FALSE),0)</f>
        <v>0</v>
      </c>
      <c r="BK141" s="307"/>
      <c r="BL141" s="308">
        <f>_xlfn.IFNA((VLOOKUP($A141,HN!$A:$M,8,FALSE)/12),0)</f>
        <v>0</v>
      </c>
      <c r="BM141" s="308">
        <f>_xlfn.IFNA((VLOOKUP($A141,HN!$A:$M,12,FALSE)/12),0)</f>
        <v>13666.666666666666</v>
      </c>
      <c r="BN141" s="308">
        <f>_xlfn.IFNA((VLOOKUP($A141,HN!$A:$M,9,FALSE)/12),0)</f>
        <v>0</v>
      </c>
      <c r="BO141" s="308">
        <f>_xlfn.IFNA((VLOOKUP($A141,'Post 16'!$A:$AR,22,FALSE)/4),0)</f>
        <v>0</v>
      </c>
      <c r="BP141" s="308"/>
      <c r="BQ141" s="308">
        <f>_xlfn.IFNA(((VLOOKUP($A141,HN!$A:$M,10,FALSE)-$U141-$AK141)/10),0)</f>
        <v>0</v>
      </c>
      <c r="BR141" s="308">
        <f>_xlfn.IFNA(((VLOOKUP($A141,HN!$A:$M,13,FALSE)-$V141-$AL141)/10),0)</f>
        <v>26426.331666666665</v>
      </c>
      <c r="BS141" s="307">
        <f t="shared" si="231"/>
        <v>-637.02499999999998</v>
      </c>
      <c r="BT141" s="307">
        <f t="shared" si="232"/>
        <v>-3121.6412500000001</v>
      </c>
      <c r="BU141" s="308"/>
      <c r="BV141" s="308"/>
      <c r="BW141" s="308"/>
      <c r="BX141" s="307">
        <f t="shared" si="233"/>
        <v>211751.39248498023</v>
      </c>
      <c r="BY141" s="300">
        <f t="shared" si="234"/>
        <v>175417.06040164689</v>
      </c>
      <c r="BZ141" s="300"/>
      <c r="CA141" s="300"/>
      <c r="CB141" s="301">
        <f>_xlfn.IFNA((VLOOKUP($A141,HN!$A:$M,8,FALSE)/12),0)</f>
        <v>0</v>
      </c>
      <c r="CC141" s="301">
        <f>_xlfn.IFNA((VLOOKUP($A141,HN!$A:$M,12,FALSE)/12),0)</f>
        <v>13666.666666666666</v>
      </c>
      <c r="CD141" s="301">
        <f>_xlfn.IFNA((VLOOKUP($A141,HN!$A:$M,9,FALSE)/12),0)</f>
        <v>0</v>
      </c>
      <c r="CE141" s="301">
        <f>_xlfn.IFNA((VLOOKUP($A141,'Post 16'!$A:$AG,33,FALSE)/8),0)</f>
        <v>0</v>
      </c>
      <c r="CF141" s="301"/>
      <c r="CG141" s="301">
        <f>_xlfn.IFNA(((VLOOKUP($A141,HN!$A:$M,10,FALSE)-$U141-$AK141)/10),0)</f>
        <v>0</v>
      </c>
      <c r="CH141" s="301">
        <f>_xlfn.IFNA(((VLOOKUP($A141,HN!$A:$M,13,FALSE)-$V141-$AL141)/10),0)</f>
        <v>26426.331666666665</v>
      </c>
      <c r="CI141" s="300">
        <f t="shared" si="235"/>
        <v>-637.02499999999998</v>
      </c>
      <c r="CJ141" s="300">
        <f t="shared" si="236"/>
        <v>-3121.6412500000001</v>
      </c>
      <c r="CK141" s="301"/>
      <c r="CL141" s="301"/>
      <c r="CM141" s="301"/>
      <c r="CN141" s="300">
        <f t="shared" si="237"/>
        <v>211751.39248498023</v>
      </c>
      <c r="CO141" s="332">
        <f t="shared" si="238"/>
        <v>175417.06040164689</v>
      </c>
      <c r="CP141" s="332"/>
      <c r="CQ141" s="332">
        <f>_xlfn.IFNA((VLOOKUP($A141,EY!$A:$AB,28,FALSE)-$CV141),0)</f>
        <v>0</v>
      </c>
      <c r="CR141" s="333">
        <f>_xlfn.IFNA((VLOOKUP($A141,HN!$A:$M,8,FALSE)/12),0)</f>
        <v>0</v>
      </c>
      <c r="CS141" s="333">
        <f>_xlfn.IFNA((VLOOKUP($A141,HN!$A:$M,12,FALSE)/12),0)</f>
        <v>13666.666666666666</v>
      </c>
      <c r="CT141" s="333">
        <f>_xlfn.IFNA((VLOOKUP($A141,HN!$A:$M,9,FALSE)/12),0)</f>
        <v>0</v>
      </c>
      <c r="CU141" s="333">
        <f>_xlfn.IFNA((VLOOKUP($A141,'Post 16'!$A:$AG,33,FALSE)/8),0)</f>
        <v>0</v>
      </c>
      <c r="CV141" s="333">
        <f>_xlfn.IFNA((VLOOKUP($A141,EY!$A:$AB,26,FALSE)*80%),0)</f>
        <v>0</v>
      </c>
      <c r="CW141" s="333">
        <f>_xlfn.IFNA(((VLOOKUP($A141,HN!$A:$M,10,FALSE)-$U141-$AK141)/10),0)</f>
        <v>0</v>
      </c>
      <c r="CX141" s="333">
        <f>_xlfn.IFNA(((VLOOKUP($A141,HN!$A:$M,13,FALSE)-$V141-$AL141)/10),0)</f>
        <v>26426.331666666665</v>
      </c>
      <c r="CY141" s="332">
        <f t="shared" si="239"/>
        <v>-637.02499999999998</v>
      </c>
      <c r="CZ141" s="332">
        <f t="shared" si="240"/>
        <v>-3121.6412500000001</v>
      </c>
      <c r="DA141" s="333"/>
      <c r="DB141" s="333"/>
      <c r="DC141" s="333"/>
      <c r="DD141" s="332">
        <f t="shared" si="241"/>
        <v>211751.39248498023</v>
      </c>
      <c r="DE141" s="314">
        <f t="shared" si="242"/>
        <v>175417.06040164689</v>
      </c>
      <c r="DF141" s="314"/>
      <c r="DG141" s="314"/>
      <c r="DH141" s="315">
        <f>_xlfn.IFNA((VLOOKUP($A141,HN!$A:$M,8,FALSE)/12),0)</f>
        <v>0</v>
      </c>
      <c r="DI141" s="315">
        <f>_xlfn.IFNA((VLOOKUP($A141,HN!$A:$M,12,FALSE)/12),0)</f>
        <v>13666.666666666666</v>
      </c>
      <c r="DJ141" s="315">
        <f>_xlfn.IFNA((VLOOKUP($A141,HN!$A:$M,9,FALSE)/12),0)</f>
        <v>0</v>
      </c>
      <c r="DK141" s="315">
        <f>_xlfn.IFNA((VLOOKUP($A141,'Post 16'!$A:$AG,33,FALSE)/8),0)</f>
        <v>0</v>
      </c>
      <c r="DL141" s="315"/>
      <c r="DM141" s="315">
        <f>_xlfn.IFNA(((VLOOKUP($A141,HN!$A:$M,10,FALSE)-$U141-$AK141)/10),0)</f>
        <v>0</v>
      </c>
      <c r="DN141" s="315">
        <f>_xlfn.IFNA(((VLOOKUP($A141,HN!$A:$M,13,FALSE)-$V141-$AL141)/10),0)</f>
        <v>26426.331666666665</v>
      </c>
      <c r="DO141" s="314">
        <f t="shared" si="243"/>
        <v>-637.02499999999998</v>
      </c>
      <c r="DP141" s="314">
        <f t="shared" si="244"/>
        <v>-3121.6412500000001</v>
      </c>
      <c r="DQ141" s="315"/>
      <c r="DR141" s="315"/>
      <c r="DS141" s="315"/>
      <c r="DT141" s="314">
        <f t="shared" si="245"/>
        <v>211751.39248498023</v>
      </c>
      <c r="DU141" s="307">
        <f t="shared" si="246"/>
        <v>175417.06040164689</v>
      </c>
      <c r="DV141" s="307"/>
      <c r="DW141" s="307"/>
      <c r="DX141" s="308">
        <f>_xlfn.IFNA((VLOOKUP($A141,HN!$A:$M,8,FALSE)/12),0)</f>
        <v>0</v>
      </c>
      <c r="DY141" s="308">
        <f>_xlfn.IFNA((VLOOKUP($A141,HN!$A:$M,12,FALSE)/12),0)</f>
        <v>13666.666666666666</v>
      </c>
      <c r="DZ141" s="308">
        <f>_xlfn.IFNA((VLOOKUP($A141,HN!$A:$M,9,FALSE)/12),0)</f>
        <v>0</v>
      </c>
      <c r="EA141" s="308">
        <f>_xlfn.IFNA((VLOOKUP($A141,'Post 16'!$A:$AG,33,FALSE)/8),0)</f>
        <v>0</v>
      </c>
      <c r="EB141" s="308"/>
      <c r="EC141" s="308">
        <f>_xlfn.IFNA(((VLOOKUP($A141,HN!$A:$M,10,FALSE)-$U141-$AK141)/10),0)</f>
        <v>0</v>
      </c>
      <c r="ED141" s="308">
        <f>_xlfn.IFNA(((VLOOKUP($A141,HN!$A:$M,13,FALSE)-$V141-$AL141)/10),0)</f>
        <v>26426.331666666665</v>
      </c>
      <c r="EE141" s="307">
        <f t="shared" si="247"/>
        <v>-637.02499999999998</v>
      </c>
      <c r="EF141" s="307">
        <f t="shared" si="248"/>
        <v>-3121.6412500000001</v>
      </c>
      <c r="EG141" s="308"/>
      <c r="EH141" s="308"/>
      <c r="EI141" s="308"/>
      <c r="EJ141" s="307">
        <f t="shared" si="249"/>
        <v>211751.39248498023</v>
      </c>
      <c r="EK141" s="320">
        <f t="shared" si="250"/>
        <v>175417.06040164689</v>
      </c>
      <c r="EL141" s="320"/>
      <c r="EM141" s="320"/>
      <c r="EN141" s="321">
        <f>_xlfn.IFNA((VLOOKUP($A141,HN!$A:$M,8,FALSE)/12),0)</f>
        <v>0</v>
      </c>
      <c r="EO141" s="321">
        <f>_xlfn.IFNA((VLOOKUP($A141,HN!$A:$M,12,FALSE)/12),0)</f>
        <v>13666.666666666666</v>
      </c>
      <c r="EP141" s="321">
        <f>_xlfn.IFNA((VLOOKUP($A141,HN!$A:$M,9,FALSE)/12),0)</f>
        <v>0</v>
      </c>
      <c r="EQ141" s="321">
        <f>_xlfn.IFNA((VLOOKUP($A141,'Post 16'!$A:$AG,33,FALSE)/8),0)</f>
        <v>0</v>
      </c>
      <c r="ER141" s="321"/>
      <c r="ES141" s="321">
        <f>_xlfn.IFNA(((VLOOKUP($A141,HN!$A:$M,10,FALSE)-$U141-$AK141)/10),0)</f>
        <v>0</v>
      </c>
      <c r="ET141" s="321">
        <f>_xlfn.IFNA(((VLOOKUP($A141,HN!$A:$M,13,FALSE)-$V141-$AL141)/10),0)</f>
        <v>26426.331666666665</v>
      </c>
      <c r="EU141" s="320">
        <f t="shared" si="251"/>
        <v>-637.02499999999998</v>
      </c>
      <c r="EV141" s="320">
        <f t="shared" si="252"/>
        <v>-3121.6412500000001</v>
      </c>
      <c r="EW141" s="321"/>
      <c r="EX141" s="321"/>
      <c r="EY141" s="321"/>
      <c r="EZ141" s="320">
        <f t="shared" si="253"/>
        <v>211751.39248498023</v>
      </c>
      <c r="FA141" s="286">
        <f t="shared" si="254"/>
        <v>175417.06040164689</v>
      </c>
      <c r="FB141" s="286"/>
      <c r="FC141" s="286"/>
      <c r="FD141" s="287">
        <f>_xlfn.IFNA((VLOOKUP($A141,HN!$A:$M,8,FALSE)/12),0)</f>
        <v>0</v>
      </c>
      <c r="FE141" s="287">
        <f>_xlfn.IFNA((VLOOKUP($A141,HN!$A:$M,12,FALSE)/12),0)</f>
        <v>13666.666666666666</v>
      </c>
      <c r="FF141" s="287">
        <f>_xlfn.IFNA((VLOOKUP($A141,HN!$A:$M,9,FALSE)/12),0)</f>
        <v>0</v>
      </c>
      <c r="FG141" s="287">
        <f>_xlfn.IFNA((VLOOKUP($A141,'Post 16'!$A:$AG,33,FALSE)/8),0)</f>
        <v>0</v>
      </c>
      <c r="FH141" s="287"/>
      <c r="FI141" s="287">
        <f>_xlfn.IFNA(((VLOOKUP($A141,HN!$A:$M,10,FALSE)-$U141-$AK141)/10),0)</f>
        <v>0</v>
      </c>
      <c r="FJ141" s="287">
        <f>_xlfn.IFNA(((VLOOKUP($A141,HN!$A:$M,13,FALSE)-$V141-$AL141)/10),0)</f>
        <v>26426.331666666665</v>
      </c>
      <c r="FK141" s="286">
        <f t="shared" si="255"/>
        <v>-637.02499999999998</v>
      </c>
      <c r="FL141" s="286">
        <f t="shared" si="256"/>
        <v>-3121.6412500000001</v>
      </c>
      <c r="FM141" s="287"/>
      <c r="FN141" s="287"/>
      <c r="FO141" s="287"/>
      <c r="FP141" s="286">
        <f t="shared" si="257"/>
        <v>211751.39248498023</v>
      </c>
      <c r="FQ141" s="293">
        <f t="shared" si="258"/>
        <v>175417.06040164689</v>
      </c>
      <c r="FR141" s="293"/>
      <c r="FS141" s="293"/>
      <c r="FT141" s="294">
        <f>_xlfn.IFNA((VLOOKUP($A141,HN!$A:$M,8,FALSE)/12),0)</f>
        <v>0</v>
      </c>
      <c r="FU141" s="294">
        <f>_xlfn.IFNA((VLOOKUP($A141,HN!$A:$M,12,FALSE)/12),0)</f>
        <v>13666.666666666666</v>
      </c>
      <c r="FV141" s="294">
        <f>_xlfn.IFNA((VLOOKUP($A141,HN!$A:$M,9,FALSE)/12),0)</f>
        <v>0</v>
      </c>
      <c r="FW141" s="294">
        <f>_xlfn.IFNA((VLOOKUP($A141,'Post 16'!$A:$AG,33,FALSE)/8),0)</f>
        <v>0</v>
      </c>
      <c r="FX141" s="294"/>
      <c r="FY141" s="294">
        <f>_xlfn.IFNA(((VLOOKUP($A141,HN!$A:$M,10,FALSE)-$U141-$AK141)/10),0)</f>
        <v>0</v>
      </c>
      <c r="FZ141" s="294">
        <f>_xlfn.IFNA(((VLOOKUP($A141,HN!$A:$M,13,FALSE)-$V141-$AL141)/10),0)</f>
        <v>26426.331666666665</v>
      </c>
      <c r="GA141" s="293">
        <f t="shared" si="259"/>
        <v>-637.02499999999998</v>
      </c>
      <c r="GB141" s="293">
        <f t="shared" si="260"/>
        <v>-3121.6412500000001</v>
      </c>
      <c r="GC141" s="294"/>
      <c r="GD141" s="294"/>
      <c r="GE141" s="294"/>
      <c r="GF141" s="293">
        <f t="shared" si="261"/>
        <v>211751.39248498023</v>
      </c>
      <c r="GG141" s="300">
        <f t="shared" si="262"/>
        <v>175417.06040164689</v>
      </c>
      <c r="GH141" s="300"/>
      <c r="GI141" s="300"/>
      <c r="GJ141" s="301">
        <f>_xlfn.IFNA((VLOOKUP($A141,HN!$A:$M,8,FALSE)/12),0)</f>
        <v>0</v>
      </c>
      <c r="GK141" s="301">
        <f>_xlfn.IFNA((VLOOKUP($A141,HN!$A:$M,12,FALSE)/12),0)</f>
        <v>13666.666666666666</v>
      </c>
      <c r="GL141" s="301">
        <f>_xlfn.IFNA((VLOOKUP($A141,HN!$A:$M,9,FALSE)/12),0)</f>
        <v>0</v>
      </c>
      <c r="GM141" s="301">
        <f>_xlfn.IFNA((VLOOKUP($A141,'Post 16'!$A:$AG,33,FALSE)/8),0)</f>
        <v>0</v>
      </c>
      <c r="GN141" s="301"/>
      <c r="GO141" s="301">
        <f>_xlfn.IFNA(((VLOOKUP($A141,HN!$A:$M,10,FALSE)-$U141-$AK141)/10),0)</f>
        <v>0</v>
      </c>
      <c r="GP141" s="301">
        <f>_xlfn.IFNA(((VLOOKUP($A141,HN!$A:$M,13,FALSE)-$V141-$AL141)/10),0)</f>
        <v>26426.331666666665</v>
      </c>
      <c r="GQ141" s="300">
        <f t="shared" si="263"/>
        <v>-637.02499999999998</v>
      </c>
      <c r="GR141" s="300">
        <f t="shared" si="264"/>
        <v>-3121.6412500000001</v>
      </c>
      <c r="GS141" s="301"/>
      <c r="GT141" s="301"/>
      <c r="GU141" s="301"/>
      <c r="GV141" s="300">
        <f t="shared" si="265"/>
        <v>211751.39248498023</v>
      </c>
      <c r="GX141" s="146">
        <f t="shared" si="266"/>
        <v>2269004.7248197626</v>
      </c>
      <c r="GY141" s="146">
        <f t="shared" si="266"/>
        <v>0</v>
      </c>
      <c r="GZ141" s="146">
        <f t="shared" si="266"/>
        <v>318827.32999999996</v>
      </c>
      <c r="HA141" s="146">
        <f t="shared" si="266"/>
        <v>-7644.2999999999984</v>
      </c>
      <c r="HB141" s="146">
        <f t="shared" si="266"/>
        <v>-37459.695</v>
      </c>
      <c r="HC141" s="146">
        <f t="shared" si="266"/>
        <v>0</v>
      </c>
      <c r="HE141" s="146">
        <f t="shared" si="267"/>
        <v>567251.18120494054</v>
      </c>
      <c r="HF141" s="146">
        <f t="shared" si="267"/>
        <v>0</v>
      </c>
      <c r="HG141" s="146">
        <f t="shared" si="267"/>
        <v>80990.345000000001</v>
      </c>
      <c r="HH141" s="146">
        <f t="shared" si="267"/>
        <v>-1911.0749999999998</v>
      </c>
      <c r="HI141" s="146">
        <f t="shared" si="267"/>
        <v>-9364.9237499999999</v>
      </c>
      <c r="HJ141" s="146">
        <f t="shared" si="267"/>
        <v>0</v>
      </c>
      <c r="HL141" s="146"/>
      <c r="HM141" s="57"/>
    </row>
    <row r="142" spans="1:221">
      <c r="A142" s="185">
        <v>3372</v>
      </c>
      <c r="B142" s="185">
        <v>103460</v>
      </c>
      <c r="C142" s="185" t="s">
        <v>307</v>
      </c>
      <c r="D142" s="2" t="s">
        <v>308</v>
      </c>
      <c r="E142" s="190" t="s">
        <v>39</v>
      </c>
      <c r="F142" s="190" t="s">
        <v>890</v>
      </c>
      <c r="H142" s="271">
        <f>_xlfn.IFNA(VLOOKUP($A142,ISB!$A$4:$BY$441,67,FALSE),0)</f>
        <v>3119045.3814327987</v>
      </c>
      <c r="I142" s="271">
        <f>_xlfn.IFNA(VLOOKUP($A142,ISB!$A$4:$BY$441,72,FALSE),0)</f>
        <v>-12848.4</v>
      </c>
      <c r="J142" s="271">
        <f>-_xlfn.IFNA(VLOOKUP($A142,ISB!$A$4:$BY$441,76,FALSE),0)</f>
        <v>-11007.3873</v>
      </c>
      <c r="K142" s="271">
        <f>_xlfn.IFNA(VLOOKUP($A142,ISB!$A$4:$BY$441,77,FALSE),0)</f>
        <v>3095189.5941327987</v>
      </c>
      <c r="M142" s="279">
        <f t="shared" si="218"/>
        <v>259920.44845273322</v>
      </c>
      <c r="N142" s="279"/>
      <c r="O142" s="279">
        <f>_xlfn.IFNA(VLOOKUP($A142,EY!$A:$H,8,FALSE)+(VLOOKUP($A142,EY!$A:$R,18,FALSE)-$T142),0)</f>
        <v>61979.445894736848</v>
      </c>
      <c r="P142" s="280">
        <f>_xlfn.IFNA((VLOOKUP($A142,HN!$A:$M,8,FALSE)/12),0)</f>
        <v>0</v>
      </c>
      <c r="Q142" s="280">
        <f>_xlfn.IFNA((VLOOKUP($A142,HN!$A:$M,12,FALSE)/12),0)</f>
        <v>0</v>
      </c>
      <c r="R142" s="280">
        <f>_xlfn.IFNA((VLOOKUP($A142,HN!$A:$M,9,FALSE)/12),0)</f>
        <v>0</v>
      </c>
      <c r="S142" s="280">
        <f>_xlfn.IFNA((VLOOKUP($A142,'Post 16'!$A:$AR,22,FALSE)/4),0)</f>
        <v>0</v>
      </c>
      <c r="T142" s="280">
        <f>_xlfn.IFNA((VLOOKUP($A142,EY!$A:$R,16,FALSE)*80%),0)</f>
        <v>0</v>
      </c>
      <c r="U142" s="280">
        <v>21583.854166666668</v>
      </c>
      <c r="V142" s="280">
        <v>0</v>
      </c>
      <c r="W142" s="279">
        <f t="shared" si="219"/>
        <v>-1070.7</v>
      </c>
      <c r="X142" s="279">
        <f t="shared" si="220"/>
        <v>-917.28227500000003</v>
      </c>
      <c r="Y142" s="280"/>
      <c r="Z142" s="280"/>
      <c r="AA142" s="280"/>
      <c r="AB142" s="279">
        <f t="shared" si="221"/>
        <v>341495.76623913675</v>
      </c>
      <c r="AC142" s="293">
        <f t="shared" si="222"/>
        <v>259920.44845273322</v>
      </c>
      <c r="AD142" s="293"/>
      <c r="AE142" s="293"/>
      <c r="AF142" s="294">
        <f>_xlfn.IFNA((VLOOKUP($A142,HN!$A:$M,8,FALSE)/12),0)</f>
        <v>0</v>
      </c>
      <c r="AG142" s="294">
        <f>_xlfn.IFNA((VLOOKUP($A142,HN!$A:$M,12,FALSE)/12),0)+_xlfn.IFNA(VLOOKUP($A142,HN!$A:$Q,17,FALSE),0)</f>
        <v>0</v>
      </c>
      <c r="AH142" s="294">
        <f>_xlfn.IFNA((VLOOKUP($A142,HN!$A:$M,9,FALSE)/12),0)</f>
        <v>0</v>
      </c>
      <c r="AI142" s="294">
        <f>_xlfn.IFNA((VLOOKUP($A142,'Post 16'!$A:$AR,22,FALSE)/4),0)</f>
        <v>0</v>
      </c>
      <c r="AJ142" s="294"/>
      <c r="AK142" s="294">
        <f>_xlfn.IFNA((VLOOKUP($A142,HN!$A:$M,10,FALSE)/12),0)</f>
        <v>11228.833333333334</v>
      </c>
      <c r="AL142" s="294">
        <f>_xlfn.IFNA((VLOOKUP($A142,HN!$A:$M,13,FALSE)/12),0)</f>
        <v>0</v>
      </c>
      <c r="AM142" s="293">
        <f t="shared" si="223"/>
        <v>-1070.7</v>
      </c>
      <c r="AN142" s="293">
        <f t="shared" si="224"/>
        <v>-917.28227500000003</v>
      </c>
      <c r="AO142" s="294"/>
      <c r="AP142" s="294"/>
      <c r="AQ142" s="294"/>
      <c r="AR142" s="293">
        <f t="shared" si="225"/>
        <v>269161.29951106652</v>
      </c>
      <c r="AS142" s="286">
        <f t="shared" si="226"/>
        <v>259920.44845273322</v>
      </c>
      <c r="AT142" s="286"/>
      <c r="AU142" s="286">
        <f>_xlfn.IFNA(VLOOKUP(A142,EY!A:AO,40,FALSE),0)</f>
        <v>3708.7310249307466</v>
      </c>
      <c r="AV142" s="287">
        <f>_xlfn.IFNA((VLOOKUP($A142,HN!$A:$M,8,FALSE)/12),0)</f>
        <v>0</v>
      </c>
      <c r="AW142" s="287">
        <f>_xlfn.IFNA((VLOOKUP($A142,HN!$A:$M,12,FALSE)/12),0)+_xlfn.IFNA(VLOOKUP($A142,HN!$A$8:$AU$200,19,FALSE),0)</f>
        <v>0</v>
      </c>
      <c r="AX142" s="287">
        <f>_xlfn.IFNA((VLOOKUP($A142,HN!$A:$M,9,FALSE)/12),0)</f>
        <v>0</v>
      </c>
      <c r="AY142" s="287">
        <f>_xlfn.IFNA((VLOOKUP($A142,'Post 16'!$A:$AR,22,FALSE)/4),0)</f>
        <v>0</v>
      </c>
      <c r="AZ142" s="287">
        <f>_xlfn.IFNA(VLOOKUP(A142,EY!A:AO,41,FALSE),0)</f>
        <v>0</v>
      </c>
      <c r="BA142" s="287">
        <f>_xlfn.IFNA(((VLOOKUP($A142,HN!$A:$M,10,FALSE)-$U142-$AK142)/10),0)+_xlfn.IFNA(VLOOKUP($A142,HN!$A:$R,18,FALSE),0)</f>
        <v>10193.331249999999</v>
      </c>
      <c r="BB142" s="287">
        <f>_xlfn.IFNA(((VLOOKUP($A142,HN!$A:$M,13,FALSE)-$V142-$AL142)/10),0)+_xlfn.IFNA(VLOOKUP($A142,HN!$A$8:$AU$200,20,FALSE),0)</f>
        <v>0</v>
      </c>
      <c r="BC142" s="286">
        <f t="shared" si="227"/>
        <v>-1070.7</v>
      </c>
      <c r="BD142" s="286">
        <f t="shared" si="228"/>
        <v>-917.28227500000003</v>
      </c>
      <c r="BE142" s="287"/>
      <c r="BF142" s="287"/>
      <c r="BG142" s="287"/>
      <c r="BH142" s="286">
        <f t="shared" si="229"/>
        <v>271834.52845266392</v>
      </c>
      <c r="BI142" s="307">
        <f t="shared" si="230"/>
        <v>259920.44845273322</v>
      </c>
      <c r="BJ142" s="307">
        <f>_xlfn.IFNA(VLOOKUP(A142,'LA Deductions'!A:AH,34,FALSE),0)</f>
        <v>0</v>
      </c>
      <c r="BK142" s="307"/>
      <c r="BL142" s="308">
        <f>_xlfn.IFNA((VLOOKUP($A142,HN!$A:$M,8,FALSE)/12),0)</f>
        <v>0</v>
      </c>
      <c r="BM142" s="308">
        <f>_xlfn.IFNA((VLOOKUP($A142,HN!$A:$M,12,FALSE)/12),0)</f>
        <v>0</v>
      </c>
      <c r="BN142" s="308">
        <f>_xlfn.IFNA((VLOOKUP($A142,HN!$A:$M,9,FALSE)/12),0)</f>
        <v>0</v>
      </c>
      <c r="BO142" s="308">
        <f>_xlfn.IFNA((VLOOKUP($A142,'Post 16'!$A:$AR,22,FALSE)/4),0)</f>
        <v>0</v>
      </c>
      <c r="BP142" s="308"/>
      <c r="BQ142" s="308">
        <f>_xlfn.IFNA(((VLOOKUP($A142,HN!$A:$M,10,FALSE)-$U142-$AK142)/10),0)</f>
        <v>10193.331249999999</v>
      </c>
      <c r="BR142" s="308">
        <f>_xlfn.IFNA(((VLOOKUP($A142,HN!$A:$M,13,FALSE)-$V142-$AL142)/10),0)</f>
        <v>0</v>
      </c>
      <c r="BS142" s="307">
        <f t="shared" si="231"/>
        <v>-1070.7</v>
      </c>
      <c r="BT142" s="307">
        <f t="shared" si="232"/>
        <v>-917.28227500000003</v>
      </c>
      <c r="BU142" s="308"/>
      <c r="BV142" s="308"/>
      <c r="BW142" s="308"/>
      <c r="BX142" s="307">
        <f t="shared" si="233"/>
        <v>268125.7974277332</v>
      </c>
      <c r="BY142" s="300">
        <f t="shared" si="234"/>
        <v>259920.44845273322</v>
      </c>
      <c r="BZ142" s="300"/>
      <c r="CA142" s="300"/>
      <c r="CB142" s="301">
        <f>_xlfn.IFNA((VLOOKUP($A142,HN!$A:$M,8,FALSE)/12),0)</f>
        <v>0</v>
      </c>
      <c r="CC142" s="301">
        <f>_xlfn.IFNA((VLOOKUP($A142,HN!$A:$M,12,FALSE)/12),0)</f>
        <v>0</v>
      </c>
      <c r="CD142" s="301">
        <f>_xlfn.IFNA((VLOOKUP($A142,HN!$A:$M,9,FALSE)/12),0)</f>
        <v>0</v>
      </c>
      <c r="CE142" s="301">
        <f>_xlfn.IFNA((VLOOKUP($A142,'Post 16'!$A:$AG,33,FALSE)/8),0)</f>
        <v>0</v>
      </c>
      <c r="CF142" s="301"/>
      <c r="CG142" s="301">
        <f>_xlfn.IFNA(((VLOOKUP($A142,HN!$A:$M,10,FALSE)-$U142-$AK142)/10),0)</f>
        <v>10193.331249999999</v>
      </c>
      <c r="CH142" s="301">
        <f>_xlfn.IFNA(((VLOOKUP($A142,HN!$A:$M,13,FALSE)-$V142-$AL142)/10),0)</f>
        <v>0</v>
      </c>
      <c r="CI142" s="300">
        <f t="shared" si="235"/>
        <v>-1070.7</v>
      </c>
      <c r="CJ142" s="300">
        <f t="shared" si="236"/>
        <v>-917.28227500000003</v>
      </c>
      <c r="CK142" s="301"/>
      <c r="CL142" s="301"/>
      <c r="CM142" s="301"/>
      <c r="CN142" s="300">
        <f t="shared" si="237"/>
        <v>268125.7974277332</v>
      </c>
      <c r="CO142" s="332">
        <f t="shared" si="238"/>
        <v>259920.44845273322</v>
      </c>
      <c r="CP142" s="332"/>
      <c r="CQ142" s="332">
        <f>_xlfn.IFNA((VLOOKUP($A142,EY!$A:$AB,28,FALSE)-$CV142),0)</f>
        <v>45833.216000000008</v>
      </c>
      <c r="CR142" s="333">
        <f>_xlfn.IFNA((VLOOKUP($A142,HN!$A:$M,8,FALSE)/12),0)</f>
        <v>0</v>
      </c>
      <c r="CS142" s="333">
        <f>_xlfn.IFNA((VLOOKUP($A142,HN!$A:$M,12,FALSE)/12),0)</f>
        <v>0</v>
      </c>
      <c r="CT142" s="333">
        <f>_xlfn.IFNA((VLOOKUP($A142,HN!$A:$M,9,FALSE)/12),0)</f>
        <v>0</v>
      </c>
      <c r="CU142" s="333">
        <f>_xlfn.IFNA((VLOOKUP($A142,'Post 16'!$A:$AG,33,FALSE)/8),0)</f>
        <v>0</v>
      </c>
      <c r="CV142" s="333">
        <f>_xlfn.IFNA((VLOOKUP($A142,EY!$A:$AB,26,FALSE)*80%),0)</f>
        <v>0</v>
      </c>
      <c r="CW142" s="333">
        <f>_xlfn.IFNA(((VLOOKUP($A142,HN!$A:$M,10,FALSE)-$U142-$AK142)/10),0)</f>
        <v>10193.331249999999</v>
      </c>
      <c r="CX142" s="333">
        <f>_xlfn.IFNA(((VLOOKUP($A142,HN!$A:$M,13,FALSE)-$V142-$AL142)/10),0)</f>
        <v>0</v>
      </c>
      <c r="CY142" s="332">
        <f t="shared" si="239"/>
        <v>-1070.7</v>
      </c>
      <c r="CZ142" s="332">
        <f t="shared" si="240"/>
        <v>-917.28227500000003</v>
      </c>
      <c r="DA142" s="333"/>
      <c r="DB142" s="333"/>
      <c r="DC142" s="333"/>
      <c r="DD142" s="332">
        <f t="shared" si="241"/>
        <v>313959.01342773321</v>
      </c>
      <c r="DE142" s="314">
        <f t="shared" si="242"/>
        <v>259920.44845273322</v>
      </c>
      <c r="DF142" s="314"/>
      <c r="DG142" s="314"/>
      <c r="DH142" s="315">
        <f>_xlfn.IFNA((VLOOKUP($A142,HN!$A:$M,8,FALSE)/12),0)</f>
        <v>0</v>
      </c>
      <c r="DI142" s="315">
        <f>_xlfn.IFNA((VLOOKUP($A142,HN!$A:$M,12,FALSE)/12),0)</f>
        <v>0</v>
      </c>
      <c r="DJ142" s="315">
        <f>_xlfn.IFNA((VLOOKUP($A142,HN!$A:$M,9,FALSE)/12),0)</f>
        <v>0</v>
      </c>
      <c r="DK142" s="315">
        <f>_xlfn.IFNA((VLOOKUP($A142,'Post 16'!$A:$AG,33,FALSE)/8),0)</f>
        <v>0</v>
      </c>
      <c r="DL142" s="315"/>
      <c r="DM142" s="315">
        <f>_xlfn.IFNA(((VLOOKUP($A142,HN!$A:$M,10,FALSE)-$U142-$AK142)/10),0)</f>
        <v>10193.331249999999</v>
      </c>
      <c r="DN142" s="315">
        <f>_xlfn.IFNA(((VLOOKUP($A142,HN!$A:$M,13,FALSE)-$V142-$AL142)/10),0)</f>
        <v>0</v>
      </c>
      <c r="DO142" s="314">
        <f t="shared" si="243"/>
        <v>-1070.7</v>
      </c>
      <c r="DP142" s="314">
        <f t="shared" si="244"/>
        <v>-917.28227500000003</v>
      </c>
      <c r="DQ142" s="315"/>
      <c r="DR142" s="315"/>
      <c r="DS142" s="315"/>
      <c r="DT142" s="314">
        <f t="shared" si="245"/>
        <v>268125.7974277332</v>
      </c>
      <c r="DU142" s="307">
        <f t="shared" si="246"/>
        <v>259920.44845273322</v>
      </c>
      <c r="DV142" s="307"/>
      <c r="DW142" s="307"/>
      <c r="DX142" s="308">
        <f>_xlfn.IFNA((VLOOKUP($A142,HN!$A:$M,8,FALSE)/12),0)</f>
        <v>0</v>
      </c>
      <c r="DY142" s="308">
        <f>_xlfn.IFNA((VLOOKUP($A142,HN!$A:$M,12,FALSE)/12),0)</f>
        <v>0</v>
      </c>
      <c r="DZ142" s="308">
        <f>_xlfn.IFNA((VLOOKUP($A142,HN!$A:$M,9,FALSE)/12),0)</f>
        <v>0</v>
      </c>
      <c r="EA142" s="308">
        <f>_xlfn.IFNA((VLOOKUP($A142,'Post 16'!$A:$AG,33,FALSE)/8),0)</f>
        <v>0</v>
      </c>
      <c r="EB142" s="308"/>
      <c r="EC142" s="308">
        <f>_xlfn.IFNA(((VLOOKUP($A142,HN!$A:$M,10,FALSE)-$U142-$AK142)/10),0)</f>
        <v>10193.331249999999</v>
      </c>
      <c r="ED142" s="308">
        <f>_xlfn.IFNA(((VLOOKUP($A142,HN!$A:$M,13,FALSE)-$V142-$AL142)/10),0)</f>
        <v>0</v>
      </c>
      <c r="EE142" s="307">
        <f t="shared" si="247"/>
        <v>-1070.7</v>
      </c>
      <c r="EF142" s="307">
        <f t="shared" si="248"/>
        <v>-917.28227500000003</v>
      </c>
      <c r="EG142" s="308"/>
      <c r="EH142" s="308"/>
      <c r="EI142" s="308"/>
      <c r="EJ142" s="307">
        <f t="shared" si="249"/>
        <v>268125.7974277332</v>
      </c>
      <c r="EK142" s="320">
        <f t="shared" si="250"/>
        <v>259920.44845273322</v>
      </c>
      <c r="EL142" s="320"/>
      <c r="EM142" s="320"/>
      <c r="EN142" s="321">
        <f>_xlfn.IFNA((VLOOKUP($A142,HN!$A:$M,8,FALSE)/12),0)</f>
        <v>0</v>
      </c>
      <c r="EO142" s="321">
        <f>_xlfn.IFNA((VLOOKUP($A142,HN!$A:$M,12,FALSE)/12),0)</f>
        <v>0</v>
      </c>
      <c r="EP142" s="321">
        <f>_xlfn.IFNA((VLOOKUP($A142,HN!$A:$M,9,FALSE)/12),0)</f>
        <v>0</v>
      </c>
      <c r="EQ142" s="321">
        <f>_xlfn.IFNA((VLOOKUP($A142,'Post 16'!$A:$AG,33,FALSE)/8),0)</f>
        <v>0</v>
      </c>
      <c r="ER142" s="321"/>
      <c r="ES142" s="321">
        <f>_xlfn.IFNA(((VLOOKUP($A142,HN!$A:$M,10,FALSE)-$U142-$AK142)/10),0)</f>
        <v>10193.331249999999</v>
      </c>
      <c r="ET142" s="321">
        <f>_xlfn.IFNA(((VLOOKUP($A142,HN!$A:$M,13,FALSE)-$V142-$AL142)/10),0)</f>
        <v>0</v>
      </c>
      <c r="EU142" s="320">
        <f t="shared" si="251"/>
        <v>-1070.7</v>
      </c>
      <c r="EV142" s="320">
        <f t="shared" si="252"/>
        <v>-917.28227500000003</v>
      </c>
      <c r="EW142" s="321"/>
      <c r="EX142" s="321"/>
      <c r="EY142" s="321"/>
      <c r="EZ142" s="320">
        <f t="shared" si="253"/>
        <v>268125.7974277332</v>
      </c>
      <c r="FA142" s="286">
        <f t="shared" si="254"/>
        <v>259920.44845273322</v>
      </c>
      <c r="FB142" s="286"/>
      <c r="FC142" s="286"/>
      <c r="FD142" s="287">
        <f>_xlfn.IFNA((VLOOKUP($A142,HN!$A:$M,8,FALSE)/12),0)</f>
        <v>0</v>
      </c>
      <c r="FE142" s="287">
        <f>_xlfn.IFNA((VLOOKUP($A142,HN!$A:$M,12,FALSE)/12),0)</f>
        <v>0</v>
      </c>
      <c r="FF142" s="287">
        <f>_xlfn.IFNA((VLOOKUP($A142,HN!$A:$M,9,FALSE)/12),0)</f>
        <v>0</v>
      </c>
      <c r="FG142" s="287">
        <f>_xlfn.IFNA((VLOOKUP($A142,'Post 16'!$A:$AG,33,FALSE)/8),0)</f>
        <v>0</v>
      </c>
      <c r="FH142" s="287"/>
      <c r="FI142" s="287">
        <f>_xlfn.IFNA(((VLOOKUP($A142,HN!$A:$M,10,FALSE)-$U142-$AK142)/10),0)</f>
        <v>10193.331249999999</v>
      </c>
      <c r="FJ142" s="287">
        <f>_xlfn.IFNA(((VLOOKUP($A142,HN!$A:$M,13,FALSE)-$V142-$AL142)/10),0)</f>
        <v>0</v>
      </c>
      <c r="FK142" s="286">
        <f t="shared" si="255"/>
        <v>-1070.7</v>
      </c>
      <c r="FL142" s="286">
        <f t="shared" si="256"/>
        <v>-917.28227500000003</v>
      </c>
      <c r="FM142" s="287"/>
      <c r="FN142" s="287"/>
      <c r="FO142" s="287"/>
      <c r="FP142" s="286">
        <f t="shared" si="257"/>
        <v>268125.7974277332</v>
      </c>
      <c r="FQ142" s="293">
        <f t="shared" si="258"/>
        <v>259920.44845273322</v>
      </c>
      <c r="FR142" s="293"/>
      <c r="FS142" s="293"/>
      <c r="FT142" s="294">
        <f>_xlfn.IFNA((VLOOKUP($A142,HN!$A:$M,8,FALSE)/12),0)</f>
        <v>0</v>
      </c>
      <c r="FU142" s="294">
        <f>_xlfn.IFNA((VLOOKUP($A142,HN!$A:$M,12,FALSE)/12),0)</f>
        <v>0</v>
      </c>
      <c r="FV142" s="294">
        <f>_xlfn.IFNA((VLOOKUP($A142,HN!$A:$M,9,FALSE)/12),0)</f>
        <v>0</v>
      </c>
      <c r="FW142" s="294">
        <f>_xlfn.IFNA((VLOOKUP($A142,'Post 16'!$A:$AG,33,FALSE)/8),0)</f>
        <v>0</v>
      </c>
      <c r="FX142" s="294"/>
      <c r="FY142" s="294">
        <f>_xlfn.IFNA(((VLOOKUP($A142,HN!$A:$M,10,FALSE)-$U142-$AK142)/10),0)</f>
        <v>10193.331249999999</v>
      </c>
      <c r="FZ142" s="294">
        <f>_xlfn.IFNA(((VLOOKUP($A142,HN!$A:$M,13,FALSE)-$V142-$AL142)/10),0)</f>
        <v>0</v>
      </c>
      <c r="GA142" s="293">
        <f t="shared" si="259"/>
        <v>-1070.7</v>
      </c>
      <c r="GB142" s="293">
        <f t="shared" si="260"/>
        <v>-917.28227500000003</v>
      </c>
      <c r="GC142" s="294"/>
      <c r="GD142" s="294"/>
      <c r="GE142" s="294"/>
      <c r="GF142" s="293">
        <f t="shared" si="261"/>
        <v>268125.7974277332</v>
      </c>
      <c r="GG142" s="300">
        <f t="shared" si="262"/>
        <v>259920.44845273322</v>
      </c>
      <c r="GH142" s="300"/>
      <c r="GI142" s="300"/>
      <c r="GJ142" s="301">
        <f>_xlfn.IFNA((VLOOKUP($A142,HN!$A:$M,8,FALSE)/12),0)</f>
        <v>0</v>
      </c>
      <c r="GK142" s="301">
        <f>_xlfn.IFNA((VLOOKUP($A142,HN!$A:$M,12,FALSE)/12),0)</f>
        <v>0</v>
      </c>
      <c r="GL142" s="301">
        <f>_xlfn.IFNA((VLOOKUP($A142,HN!$A:$M,9,FALSE)/12),0)</f>
        <v>0</v>
      </c>
      <c r="GM142" s="301">
        <f>_xlfn.IFNA((VLOOKUP($A142,'Post 16'!$A:$AG,33,FALSE)/8),0)</f>
        <v>0</v>
      </c>
      <c r="GN142" s="301"/>
      <c r="GO142" s="301">
        <f>_xlfn.IFNA(((VLOOKUP($A142,HN!$A:$M,10,FALSE)-$U142-$AK142)/10),0)</f>
        <v>10193.331249999999</v>
      </c>
      <c r="GP142" s="301">
        <f>_xlfn.IFNA(((VLOOKUP($A142,HN!$A:$M,13,FALSE)-$V142-$AL142)/10),0)</f>
        <v>0</v>
      </c>
      <c r="GQ142" s="300">
        <f t="shared" si="263"/>
        <v>-1070.7</v>
      </c>
      <c r="GR142" s="300">
        <f t="shared" si="264"/>
        <v>-917.28227500000003</v>
      </c>
      <c r="GS142" s="301"/>
      <c r="GT142" s="301"/>
      <c r="GU142" s="301"/>
      <c r="GV142" s="300">
        <f t="shared" si="265"/>
        <v>268125.7974277332</v>
      </c>
      <c r="GX142" s="146">
        <f t="shared" si="266"/>
        <v>3230566.7743524667</v>
      </c>
      <c r="GY142" s="146">
        <f t="shared" si="266"/>
        <v>0</v>
      </c>
      <c r="GZ142" s="146">
        <f t="shared" si="266"/>
        <v>134746.00000000003</v>
      </c>
      <c r="HA142" s="146">
        <f t="shared" si="266"/>
        <v>-12848.400000000003</v>
      </c>
      <c r="HB142" s="146">
        <f t="shared" si="266"/>
        <v>-11007.387299999997</v>
      </c>
      <c r="HC142" s="146">
        <f t="shared" si="266"/>
        <v>0</v>
      </c>
      <c r="HE142" s="146">
        <f t="shared" si="267"/>
        <v>845449.52227786719</v>
      </c>
      <c r="HF142" s="146">
        <f t="shared" si="267"/>
        <v>0</v>
      </c>
      <c r="HG142" s="146">
        <f t="shared" si="267"/>
        <v>43006.018750000003</v>
      </c>
      <c r="HH142" s="146">
        <f t="shared" si="267"/>
        <v>-3212.1000000000004</v>
      </c>
      <c r="HI142" s="146">
        <f t="shared" si="267"/>
        <v>-2751.8468250000001</v>
      </c>
      <c r="HJ142" s="146">
        <f t="shared" si="267"/>
        <v>0</v>
      </c>
      <c r="HL142" s="146"/>
      <c r="HM142" s="57"/>
    </row>
    <row r="143" spans="1:221">
      <c r="A143" s="185">
        <v>3375</v>
      </c>
      <c r="B143" s="185">
        <v>103462</v>
      </c>
      <c r="C143" s="185" t="s">
        <v>309</v>
      </c>
      <c r="D143" s="2" t="s">
        <v>310</v>
      </c>
      <c r="E143" s="190" t="s">
        <v>39</v>
      </c>
      <c r="F143" s="190" t="s">
        <v>890</v>
      </c>
      <c r="H143" s="271">
        <f>_xlfn.IFNA(VLOOKUP($A143,ISB!$A$4:$BY$441,67,FALSE),0)</f>
        <v>2326155.2951666485</v>
      </c>
      <c r="I143" s="271">
        <f>_xlfn.IFNA(VLOOKUP($A143,ISB!$A$4:$BY$441,72,FALSE),0)</f>
        <v>-10009.799999999999</v>
      </c>
      <c r="J143" s="271">
        <f>-_xlfn.IFNA(VLOOKUP($A143,ISB!$A$4:$BY$441,76,FALSE),0)</f>
        <v>-6973.2663000000002</v>
      </c>
      <c r="K143" s="271">
        <f>_xlfn.IFNA(VLOOKUP($A143,ISB!$A$4:$BY$441,77,FALSE),0)</f>
        <v>2309172.2288666489</v>
      </c>
      <c r="M143" s="279">
        <f t="shared" si="218"/>
        <v>193846.2745972207</v>
      </c>
      <c r="N143" s="279"/>
      <c r="O143" s="279">
        <f>_xlfn.IFNA(VLOOKUP($A143,EY!$A:$H,8,FALSE)+(VLOOKUP($A143,EY!$A:$R,18,FALSE)-$T143),0)</f>
        <v>0</v>
      </c>
      <c r="P143" s="280">
        <f>_xlfn.IFNA((VLOOKUP($A143,HN!$A:$M,8,FALSE)/12),0)</f>
        <v>0</v>
      </c>
      <c r="Q143" s="280">
        <f>_xlfn.IFNA((VLOOKUP($A143,HN!$A:$M,12,FALSE)/12),0)</f>
        <v>0</v>
      </c>
      <c r="R143" s="280">
        <f>_xlfn.IFNA((VLOOKUP($A143,HN!$A:$M,9,FALSE)/12),0)</f>
        <v>0</v>
      </c>
      <c r="S143" s="280">
        <f>_xlfn.IFNA((VLOOKUP($A143,'Post 16'!$A:$AR,22,FALSE)/4),0)</f>
        <v>0</v>
      </c>
      <c r="T143" s="280">
        <f>_xlfn.IFNA((VLOOKUP($A143,EY!$A:$R,16,FALSE)*80%),0)</f>
        <v>0</v>
      </c>
      <c r="U143" s="280">
        <v>19792.083333333332</v>
      </c>
      <c r="V143" s="280">
        <v>0</v>
      </c>
      <c r="W143" s="279">
        <f t="shared" si="219"/>
        <v>-834.15</v>
      </c>
      <c r="X143" s="279">
        <f t="shared" si="220"/>
        <v>-581.10552500000006</v>
      </c>
      <c r="Y143" s="280"/>
      <c r="Z143" s="280"/>
      <c r="AA143" s="280"/>
      <c r="AB143" s="279">
        <f t="shared" si="221"/>
        <v>212223.10240555406</v>
      </c>
      <c r="AC143" s="293">
        <f t="shared" si="222"/>
        <v>193846.2745972207</v>
      </c>
      <c r="AD143" s="293"/>
      <c r="AE143" s="293"/>
      <c r="AF143" s="294">
        <f>_xlfn.IFNA((VLOOKUP($A143,HN!$A:$M,8,FALSE)/12),0)</f>
        <v>0</v>
      </c>
      <c r="AG143" s="294">
        <f>_xlfn.IFNA((VLOOKUP($A143,HN!$A:$M,12,FALSE)/12),0)+_xlfn.IFNA(VLOOKUP($A143,HN!$A:$Q,17,FALSE),0)</f>
        <v>0</v>
      </c>
      <c r="AH143" s="294">
        <f>_xlfn.IFNA((VLOOKUP($A143,HN!$A:$M,9,FALSE)/12),0)</f>
        <v>0</v>
      </c>
      <c r="AI143" s="294">
        <f>_xlfn.IFNA((VLOOKUP($A143,'Post 16'!$A:$AR,22,FALSE)/4),0)</f>
        <v>0</v>
      </c>
      <c r="AJ143" s="294"/>
      <c r="AK143" s="294">
        <f>_xlfn.IFNA((VLOOKUP($A143,HN!$A:$M,10,FALSE)/12),0)</f>
        <v>7962.833333333333</v>
      </c>
      <c r="AL143" s="294">
        <f>_xlfn.IFNA((VLOOKUP($A143,HN!$A:$M,13,FALSE)/12),0)</f>
        <v>0</v>
      </c>
      <c r="AM143" s="293">
        <f t="shared" si="223"/>
        <v>-834.15</v>
      </c>
      <c r="AN143" s="293">
        <f t="shared" si="224"/>
        <v>-581.10552500000006</v>
      </c>
      <c r="AO143" s="294"/>
      <c r="AP143" s="294"/>
      <c r="AQ143" s="294"/>
      <c r="AR143" s="293">
        <f t="shared" si="225"/>
        <v>200393.85240555406</v>
      </c>
      <c r="AS143" s="286">
        <f t="shared" si="226"/>
        <v>193846.2745972207</v>
      </c>
      <c r="AT143" s="286"/>
      <c r="AU143" s="286">
        <f>_xlfn.IFNA(VLOOKUP(A143,EY!A:AO,40,FALSE),0)</f>
        <v>0</v>
      </c>
      <c r="AV143" s="287">
        <f>_xlfn.IFNA((VLOOKUP($A143,HN!$A:$M,8,FALSE)/12),0)</f>
        <v>0</v>
      </c>
      <c r="AW143" s="287">
        <f>_xlfn.IFNA((VLOOKUP($A143,HN!$A:$M,12,FALSE)/12),0)+_xlfn.IFNA(VLOOKUP($A143,HN!$A$8:$AU$200,19,FALSE),0)</f>
        <v>0</v>
      </c>
      <c r="AX143" s="287">
        <f>_xlfn.IFNA((VLOOKUP($A143,HN!$A:$M,9,FALSE)/12),0)</f>
        <v>0</v>
      </c>
      <c r="AY143" s="287">
        <f>_xlfn.IFNA((VLOOKUP($A143,'Post 16'!$A:$AR,22,FALSE)/4),0)</f>
        <v>0</v>
      </c>
      <c r="AZ143" s="287">
        <f>_xlfn.IFNA(VLOOKUP(A143,EY!A:AO,41,FALSE),0)</f>
        <v>0</v>
      </c>
      <c r="BA143" s="287">
        <f>_xlfn.IFNA(((VLOOKUP($A143,HN!$A:$M,10,FALSE)-$U143-$AK143)/10),0)+_xlfn.IFNA(VLOOKUP($A143,HN!$A:$R,18,FALSE),0)</f>
        <v>6779.9083333333347</v>
      </c>
      <c r="BB143" s="287">
        <f>_xlfn.IFNA(((VLOOKUP($A143,HN!$A:$M,13,FALSE)-$V143-$AL143)/10),0)+_xlfn.IFNA(VLOOKUP($A143,HN!$A$8:$AU$200,20,FALSE),0)</f>
        <v>0</v>
      </c>
      <c r="BC143" s="286">
        <f t="shared" si="227"/>
        <v>-834.15</v>
      </c>
      <c r="BD143" s="286">
        <f t="shared" si="228"/>
        <v>-581.10552500000006</v>
      </c>
      <c r="BE143" s="287"/>
      <c r="BF143" s="287"/>
      <c r="BG143" s="287"/>
      <c r="BH143" s="286">
        <f t="shared" si="229"/>
        <v>199210.92740555404</v>
      </c>
      <c r="BI143" s="307">
        <f t="shared" si="230"/>
        <v>193846.2745972207</v>
      </c>
      <c r="BJ143" s="307">
        <f>_xlfn.IFNA(VLOOKUP(A143,'LA Deductions'!A:AH,34,FALSE),0)</f>
        <v>0</v>
      </c>
      <c r="BK143" s="307"/>
      <c r="BL143" s="308">
        <f>_xlfn.IFNA((VLOOKUP($A143,HN!$A:$M,8,FALSE)/12),0)</f>
        <v>0</v>
      </c>
      <c r="BM143" s="308">
        <f>_xlfn.IFNA((VLOOKUP($A143,HN!$A:$M,12,FALSE)/12),0)</f>
        <v>0</v>
      </c>
      <c r="BN143" s="308">
        <f>_xlfn.IFNA((VLOOKUP($A143,HN!$A:$M,9,FALSE)/12),0)</f>
        <v>0</v>
      </c>
      <c r="BO143" s="308">
        <f>_xlfn.IFNA((VLOOKUP($A143,'Post 16'!$A:$AR,22,FALSE)/4),0)</f>
        <v>0</v>
      </c>
      <c r="BP143" s="308"/>
      <c r="BQ143" s="308">
        <f>_xlfn.IFNA(((VLOOKUP($A143,HN!$A:$M,10,FALSE)-$U143-$AK143)/10),0)</f>
        <v>6779.9083333333347</v>
      </c>
      <c r="BR143" s="308">
        <f>_xlfn.IFNA(((VLOOKUP($A143,HN!$A:$M,13,FALSE)-$V143-$AL143)/10),0)</f>
        <v>0</v>
      </c>
      <c r="BS143" s="307">
        <f t="shared" si="231"/>
        <v>-834.15</v>
      </c>
      <c r="BT143" s="307">
        <f t="shared" si="232"/>
        <v>-581.10552500000006</v>
      </c>
      <c r="BU143" s="308"/>
      <c r="BV143" s="308"/>
      <c r="BW143" s="308"/>
      <c r="BX143" s="307">
        <f t="shared" si="233"/>
        <v>199210.92740555404</v>
      </c>
      <c r="BY143" s="300">
        <f t="shared" si="234"/>
        <v>193846.2745972207</v>
      </c>
      <c r="BZ143" s="300"/>
      <c r="CA143" s="300"/>
      <c r="CB143" s="301">
        <f>_xlfn.IFNA((VLOOKUP($A143,HN!$A:$M,8,FALSE)/12),0)</f>
        <v>0</v>
      </c>
      <c r="CC143" s="301">
        <f>_xlfn.IFNA((VLOOKUP($A143,HN!$A:$M,12,FALSE)/12),0)</f>
        <v>0</v>
      </c>
      <c r="CD143" s="301">
        <f>_xlfn.IFNA((VLOOKUP($A143,HN!$A:$M,9,FALSE)/12),0)</f>
        <v>0</v>
      </c>
      <c r="CE143" s="301">
        <f>_xlfn.IFNA((VLOOKUP($A143,'Post 16'!$A:$AG,33,FALSE)/8),0)</f>
        <v>0</v>
      </c>
      <c r="CF143" s="301"/>
      <c r="CG143" s="301">
        <f>_xlfn.IFNA(((VLOOKUP($A143,HN!$A:$M,10,FALSE)-$U143-$AK143)/10),0)</f>
        <v>6779.9083333333347</v>
      </c>
      <c r="CH143" s="301">
        <f>_xlfn.IFNA(((VLOOKUP($A143,HN!$A:$M,13,FALSE)-$V143-$AL143)/10),0)</f>
        <v>0</v>
      </c>
      <c r="CI143" s="300">
        <f t="shared" si="235"/>
        <v>-834.15</v>
      </c>
      <c r="CJ143" s="300">
        <f t="shared" si="236"/>
        <v>-581.10552500000006</v>
      </c>
      <c r="CK143" s="301"/>
      <c r="CL143" s="301"/>
      <c r="CM143" s="301"/>
      <c r="CN143" s="300">
        <f t="shared" si="237"/>
        <v>199210.92740555404</v>
      </c>
      <c r="CO143" s="332">
        <f t="shared" si="238"/>
        <v>193846.2745972207</v>
      </c>
      <c r="CP143" s="332"/>
      <c r="CQ143" s="332">
        <f>_xlfn.IFNA((VLOOKUP($A143,EY!$A:$AB,28,FALSE)-$CV143),0)</f>
        <v>0</v>
      </c>
      <c r="CR143" s="333">
        <f>_xlfn.IFNA((VLOOKUP($A143,HN!$A:$M,8,FALSE)/12),0)</f>
        <v>0</v>
      </c>
      <c r="CS143" s="333">
        <f>_xlfn.IFNA((VLOOKUP($A143,HN!$A:$M,12,FALSE)/12),0)</f>
        <v>0</v>
      </c>
      <c r="CT143" s="333">
        <f>_xlfn.IFNA((VLOOKUP($A143,HN!$A:$M,9,FALSE)/12),0)</f>
        <v>0</v>
      </c>
      <c r="CU143" s="333">
        <f>_xlfn.IFNA((VLOOKUP($A143,'Post 16'!$A:$AG,33,FALSE)/8),0)</f>
        <v>0</v>
      </c>
      <c r="CV143" s="333">
        <f>_xlfn.IFNA((VLOOKUP($A143,EY!$A:$AB,26,FALSE)*80%),0)</f>
        <v>0</v>
      </c>
      <c r="CW143" s="333">
        <f>_xlfn.IFNA(((VLOOKUP($A143,HN!$A:$M,10,FALSE)-$U143-$AK143)/10),0)</f>
        <v>6779.9083333333347</v>
      </c>
      <c r="CX143" s="333">
        <f>_xlfn.IFNA(((VLOOKUP($A143,HN!$A:$M,13,FALSE)-$V143-$AL143)/10),0)</f>
        <v>0</v>
      </c>
      <c r="CY143" s="332">
        <f t="shared" si="239"/>
        <v>-834.15</v>
      </c>
      <c r="CZ143" s="332">
        <f t="shared" si="240"/>
        <v>-581.10552500000006</v>
      </c>
      <c r="DA143" s="333"/>
      <c r="DB143" s="333"/>
      <c r="DC143" s="333"/>
      <c r="DD143" s="332">
        <f t="shared" si="241"/>
        <v>199210.92740555404</v>
      </c>
      <c r="DE143" s="314">
        <f t="shared" si="242"/>
        <v>193846.2745972207</v>
      </c>
      <c r="DF143" s="314"/>
      <c r="DG143" s="314"/>
      <c r="DH143" s="315">
        <f>_xlfn.IFNA((VLOOKUP($A143,HN!$A:$M,8,FALSE)/12),0)</f>
        <v>0</v>
      </c>
      <c r="DI143" s="315">
        <f>_xlfn.IFNA((VLOOKUP($A143,HN!$A:$M,12,FALSE)/12),0)</f>
        <v>0</v>
      </c>
      <c r="DJ143" s="315">
        <f>_xlfn.IFNA((VLOOKUP($A143,HN!$A:$M,9,FALSE)/12),0)</f>
        <v>0</v>
      </c>
      <c r="DK143" s="315">
        <f>_xlfn.IFNA((VLOOKUP($A143,'Post 16'!$A:$AG,33,FALSE)/8),0)</f>
        <v>0</v>
      </c>
      <c r="DL143" s="315"/>
      <c r="DM143" s="315">
        <f>_xlfn.IFNA(((VLOOKUP($A143,HN!$A:$M,10,FALSE)-$U143-$AK143)/10),0)</f>
        <v>6779.9083333333347</v>
      </c>
      <c r="DN143" s="315">
        <f>_xlfn.IFNA(((VLOOKUP($A143,HN!$A:$M,13,FALSE)-$V143-$AL143)/10),0)</f>
        <v>0</v>
      </c>
      <c r="DO143" s="314">
        <f t="shared" si="243"/>
        <v>-834.15</v>
      </c>
      <c r="DP143" s="314">
        <f t="shared" si="244"/>
        <v>-581.10552500000006</v>
      </c>
      <c r="DQ143" s="315"/>
      <c r="DR143" s="315"/>
      <c r="DS143" s="315"/>
      <c r="DT143" s="314">
        <f t="shared" si="245"/>
        <v>199210.92740555404</v>
      </c>
      <c r="DU143" s="307">
        <f t="shared" si="246"/>
        <v>193846.2745972207</v>
      </c>
      <c r="DV143" s="307"/>
      <c r="DW143" s="307"/>
      <c r="DX143" s="308">
        <f>_xlfn.IFNA((VLOOKUP($A143,HN!$A:$M,8,FALSE)/12),0)</f>
        <v>0</v>
      </c>
      <c r="DY143" s="308">
        <f>_xlfn.IFNA((VLOOKUP($A143,HN!$A:$M,12,FALSE)/12),0)</f>
        <v>0</v>
      </c>
      <c r="DZ143" s="308">
        <f>_xlfn.IFNA((VLOOKUP($A143,HN!$A:$M,9,FALSE)/12),0)</f>
        <v>0</v>
      </c>
      <c r="EA143" s="308">
        <f>_xlfn.IFNA((VLOOKUP($A143,'Post 16'!$A:$AG,33,FALSE)/8),0)</f>
        <v>0</v>
      </c>
      <c r="EB143" s="308"/>
      <c r="EC143" s="308">
        <f>_xlfn.IFNA(((VLOOKUP($A143,HN!$A:$M,10,FALSE)-$U143-$AK143)/10),0)</f>
        <v>6779.9083333333347</v>
      </c>
      <c r="ED143" s="308">
        <f>_xlfn.IFNA(((VLOOKUP($A143,HN!$A:$M,13,FALSE)-$V143-$AL143)/10),0)</f>
        <v>0</v>
      </c>
      <c r="EE143" s="307">
        <f t="shared" si="247"/>
        <v>-834.15</v>
      </c>
      <c r="EF143" s="307">
        <f t="shared" si="248"/>
        <v>-581.10552500000006</v>
      </c>
      <c r="EG143" s="308"/>
      <c r="EH143" s="308"/>
      <c r="EI143" s="308"/>
      <c r="EJ143" s="307">
        <f t="shared" si="249"/>
        <v>199210.92740555404</v>
      </c>
      <c r="EK143" s="320">
        <f t="shared" si="250"/>
        <v>193846.2745972207</v>
      </c>
      <c r="EL143" s="320"/>
      <c r="EM143" s="320"/>
      <c r="EN143" s="321">
        <f>_xlfn.IFNA((VLOOKUP($A143,HN!$A:$M,8,FALSE)/12),0)</f>
        <v>0</v>
      </c>
      <c r="EO143" s="321">
        <f>_xlfn.IFNA((VLOOKUP($A143,HN!$A:$M,12,FALSE)/12),0)</f>
        <v>0</v>
      </c>
      <c r="EP143" s="321">
        <f>_xlfn.IFNA((VLOOKUP($A143,HN!$A:$M,9,FALSE)/12),0)</f>
        <v>0</v>
      </c>
      <c r="EQ143" s="321">
        <f>_xlfn.IFNA((VLOOKUP($A143,'Post 16'!$A:$AG,33,FALSE)/8),0)</f>
        <v>0</v>
      </c>
      <c r="ER143" s="321"/>
      <c r="ES143" s="321">
        <f>_xlfn.IFNA(((VLOOKUP($A143,HN!$A:$M,10,FALSE)-$U143-$AK143)/10),0)</f>
        <v>6779.9083333333347</v>
      </c>
      <c r="ET143" s="321">
        <f>_xlfn.IFNA(((VLOOKUP($A143,HN!$A:$M,13,FALSE)-$V143-$AL143)/10),0)</f>
        <v>0</v>
      </c>
      <c r="EU143" s="320">
        <f t="shared" si="251"/>
        <v>-834.15</v>
      </c>
      <c r="EV143" s="320">
        <f t="shared" si="252"/>
        <v>-581.10552500000006</v>
      </c>
      <c r="EW143" s="321"/>
      <c r="EX143" s="321"/>
      <c r="EY143" s="321"/>
      <c r="EZ143" s="320">
        <f t="shared" si="253"/>
        <v>199210.92740555404</v>
      </c>
      <c r="FA143" s="286">
        <f t="shared" si="254"/>
        <v>193846.2745972207</v>
      </c>
      <c r="FB143" s="286"/>
      <c r="FC143" s="286"/>
      <c r="FD143" s="287">
        <f>_xlfn.IFNA((VLOOKUP($A143,HN!$A:$M,8,FALSE)/12),0)</f>
        <v>0</v>
      </c>
      <c r="FE143" s="287">
        <f>_xlfn.IFNA((VLOOKUP($A143,HN!$A:$M,12,FALSE)/12),0)</f>
        <v>0</v>
      </c>
      <c r="FF143" s="287">
        <f>_xlfn.IFNA((VLOOKUP($A143,HN!$A:$M,9,FALSE)/12),0)</f>
        <v>0</v>
      </c>
      <c r="FG143" s="287">
        <f>_xlfn.IFNA((VLOOKUP($A143,'Post 16'!$A:$AG,33,FALSE)/8),0)</f>
        <v>0</v>
      </c>
      <c r="FH143" s="287"/>
      <c r="FI143" s="287">
        <f>_xlfn.IFNA(((VLOOKUP($A143,HN!$A:$M,10,FALSE)-$U143-$AK143)/10),0)</f>
        <v>6779.9083333333347</v>
      </c>
      <c r="FJ143" s="287">
        <f>_xlfn.IFNA(((VLOOKUP($A143,HN!$A:$M,13,FALSE)-$V143-$AL143)/10),0)</f>
        <v>0</v>
      </c>
      <c r="FK143" s="286">
        <f t="shared" si="255"/>
        <v>-834.15</v>
      </c>
      <c r="FL143" s="286">
        <f t="shared" si="256"/>
        <v>-581.10552500000006</v>
      </c>
      <c r="FM143" s="287"/>
      <c r="FN143" s="287"/>
      <c r="FO143" s="287"/>
      <c r="FP143" s="286">
        <f t="shared" si="257"/>
        <v>199210.92740555404</v>
      </c>
      <c r="FQ143" s="293">
        <f t="shared" si="258"/>
        <v>193846.2745972207</v>
      </c>
      <c r="FR143" s="293"/>
      <c r="FS143" s="293"/>
      <c r="FT143" s="294">
        <f>_xlfn.IFNA((VLOOKUP($A143,HN!$A:$M,8,FALSE)/12),0)</f>
        <v>0</v>
      </c>
      <c r="FU143" s="294">
        <f>_xlfn.IFNA((VLOOKUP($A143,HN!$A:$M,12,FALSE)/12),0)</f>
        <v>0</v>
      </c>
      <c r="FV143" s="294">
        <f>_xlfn.IFNA((VLOOKUP($A143,HN!$A:$M,9,FALSE)/12),0)</f>
        <v>0</v>
      </c>
      <c r="FW143" s="294">
        <f>_xlfn.IFNA((VLOOKUP($A143,'Post 16'!$A:$AG,33,FALSE)/8),0)</f>
        <v>0</v>
      </c>
      <c r="FX143" s="294"/>
      <c r="FY143" s="294">
        <f>_xlfn.IFNA(((VLOOKUP($A143,HN!$A:$M,10,FALSE)-$U143-$AK143)/10),0)</f>
        <v>6779.9083333333347</v>
      </c>
      <c r="FZ143" s="294">
        <f>_xlfn.IFNA(((VLOOKUP($A143,HN!$A:$M,13,FALSE)-$V143-$AL143)/10),0)</f>
        <v>0</v>
      </c>
      <c r="GA143" s="293">
        <f t="shared" si="259"/>
        <v>-834.15</v>
      </c>
      <c r="GB143" s="293">
        <f t="shared" si="260"/>
        <v>-581.10552500000006</v>
      </c>
      <c r="GC143" s="294"/>
      <c r="GD143" s="294"/>
      <c r="GE143" s="294"/>
      <c r="GF143" s="293">
        <f t="shared" si="261"/>
        <v>199210.92740555404</v>
      </c>
      <c r="GG143" s="300">
        <f t="shared" si="262"/>
        <v>193846.2745972207</v>
      </c>
      <c r="GH143" s="300"/>
      <c r="GI143" s="300"/>
      <c r="GJ143" s="301">
        <f>_xlfn.IFNA((VLOOKUP($A143,HN!$A:$M,8,FALSE)/12),0)</f>
        <v>0</v>
      </c>
      <c r="GK143" s="301">
        <f>_xlfn.IFNA((VLOOKUP($A143,HN!$A:$M,12,FALSE)/12),0)</f>
        <v>0</v>
      </c>
      <c r="GL143" s="301">
        <f>_xlfn.IFNA((VLOOKUP($A143,HN!$A:$M,9,FALSE)/12),0)</f>
        <v>0</v>
      </c>
      <c r="GM143" s="301">
        <f>_xlfn.IFNA((VLOOKUP($A143,'Post 16'!$A:$AG,33,FALSE)/8),0)</f>
        <v>0</v>
      </c>
      <c r="GN143" s="301"/>
      <c r="GO143" s="301">
        <f>_xlfn.IFNA(((VLOOKUP($A143,HN!$A:$M,10,FALSE)-$U143-$AK143)/10),0)</f>
        <v>6779.9083333333347</v>
      </c>
      <c r="GP143" s="301">
        <f>_xlfn.IFNA(((VLOOKUP($A143,HN!$A:$M,13,FALSE)-$V143-$AL143)/10),0)</f>
        <v>0</v>
      </c>
      <c r="GQ143" s="300">
        <f t="shared" si="263"/>
        <v>-834.15</v>
      </c>
      <c r="GR143" s="300">
        <f t="shared" si="264"/>
        <v>-581.10552500000006</v>
      </c>
      <c r="GS143" s="301"/>
      <c r="GT143" s="301"/>
      <c r="GU143" s="301"/>
      <c r="GV143" s="300">
        <f t="shared" si="265"/>
        <v>199210.92740555404</v>
      </c>
      <c r="GX143" s="146">
        <f t="shared" si="266"/>
        <v>2326155.295166648</v>
      </c>
      <c r="GY143" s="146">
        <f t="shared" si="266"/>
        <v>0</v>
      </c>
      <c r="GZ143" s="146">
        <f t="shared" si="266"/>
        <v>95554.000000000029</v>
      </c>
      <c r="HA143" s="146">
        <f t="shared" si="266"/>
        <v>-10009.799999999997</v>
      </c>
      <c r="HB143" s="146">
        <f t="shared" si="266"/>
        <v>-6973.2663000000002</v>
      </c>
      <c r="HC143" s="146">
        <f t="shared" si="266"/>
        <v>0</v>
      </c>
      <c r="HE143" s="146">
        <f t="shared" si="267"/>
        <v>581538.82379166211</v>
      </c>
      <c r="HF143" s="146">
        <f t="shared" si="267"/>
        <v>0</v>
      </c>
      <c r="HG143" s="146">
        <f t="shared" si="267"/>
        <v>34534.824999999997</v>
      </c>
      <c r="HH143" s="146">
        <f t="shared" si="267"/>
        <v>-2502.4499999999998</v>
      </c>
      <c r="HI143" s="146">
        <f t="shared" si="267"/>
        <v>-1743.3165750000003</v>
      </c>
      <c r="HJ143" s="146">
        <f t="shared" si="267"/>
        <v>0</v>
      </c>
      <c r="HL143" s="146"/>
      <c r="HM143" s="57"/>
    </row>
    <row r="144" spans="1:221">
      <c r="A144" s="185">
        <v>3331</v>
      </c>
      <c r="B144" s="185">
        <v>103433</v>
      </c>
      <c r="C144" s="185" t="s">
        <v>311</v>
      </c>
      <c r="D144" s="2" t="s">
        <v>312</v>
      </c>
      <c r="E144" s="190" t="s">
        <v>39</v>
      </c>
      <c r="F144" s="190" t="s">
        <v>890</v>
      </c>
      <c r="H144" s="271">
        <f>_xlfn.IFNA(VLOOKUP($A144,ISB!$A$4:$BY$441,67,FALSE),0)</f>
        <v>1346261.5005575002</v>
      </c>
      <c r="I144" s="271">
        <f>_xlfn.IFNA(VLOOKUP($A144,ISB!$A$4:$BY$441,72,FALSE),0)</f>
        <v>-5253.9</v>
      </c>
      <c r="J144" s="271">
        <f>-_xlfn.IFNA(VLOOKUP($A144,ISB!$A$4:$BY$441,76,FALSE),0)</f>
        <v>-3686.8615</v>
      </c>
      <c r="K144" s="271">
        <f>_xlfn.IFNA(VLOOKUP($A144,ISB!$A$4:$BY$441,77,FALSE),0)</f>
        <v>1337320.7390575001</v>
      </c>
      <c r="M144" s="279">
        <f t="shared" si="218"/>
        <v>112188.45837979169</v>
      </c>
      <c r="N144" s="279"/>
      <c r="O144" s="279">
        <f>_xlfn.IFNA(VLOOKUP($A144,EY!$A:$H,8,FALSE)+(VLOOKUP($A144,EY!$A:$R,18,FALSE)-$T144),0)</f>
        <v>52650.853894736851</v>
      </c>
      <c r="P144" s="280">
        <f>_xlfn.IFNA((VLOOKUP($A144,HN!$A:$M,8,FALSE)/12),0)</f>
        <v>0</v>
      </c>
      <c r="Q144" s="280">
        <f>_xlfn.IFNA((VLOOKUP($A144,HN!$A:$M,12,FALSE)/12),0)</f>
        <v>0</v>
      </c>
      <c r="R144" s="280">
        <f>_xlfn.IFNA((VLOOKUP($A144,HN!$A:$M,9,FALSE)/12),0)</f>
        <v>0</v>
      </c>
      <c r="S144" s="280">
        <f>_xlfn.IFNA((VLOOKUP($A144,'Post 16'!$A:$AR,22,FALSE)/4),0)</f>
        <v>0</v>
      </c>
      <c r="T144" s="280">
        <f>_xlfn.IFNA((VLOOKUP($A144,EY!$A:$R,16,FALSE)*80%),0)</f>
        <v>0</v>
      </c>
      <c r="U144" s="280">
        <v>5061.541666666667</v>
      </c>
      <c r="V144" s="280">
        <v>0</v>
      </c>
      <c r="W144" s="279">
        <f t="shared" si="219"/>
        <v>-437.82499999999999</v>
      </c>
      <c r="X144" s="279">
        <f t="shared" si="220"/>
        <v>-307.23845833333331</v>
      </c>
      <c r="Y144" s="280"/>
      <c r="Z144" s="280"/>
      <c r="AA144" s="280"/>
      <c r="AB144" s="279">
        <f t="shared" si="221"/>
        <v>169155.79048286186</v>
      </c>
      <c r="AC144" s="293">
        <f t="shared" si="222"/>
        <v>112188.45837979169</v>
      </c>
      <c r="AD144" s="293"/>
      <c r="AE144" s="293"/>
      <c r="AF144" s="294">
        <f>_xlfn.IFNA((VLOOKUP($A144,HN!$A:$M,8,FALSE)/12),0)</f>
        <v>0</v>
      </c>
      <c r="AG144" s="294">
        <f>_xlfn.IFNA((VLOOKUP($A144,HN!$A:$M,12,FALSE)/12),0)+_xlfn.IFNA(VLOOKUP($A144,HN!$A:$Q,17,FALSE),0)</f>
        <v>0</v>
      </c>
      <c r="AH144" s="294">
        <f>_xlfn.IFNA((VLOOKUP($A144,HN!$A:$M,9,FALSE)/12),0)</f>
        <v>0</v>
      </c>
      <c r="AI144" s="294">
        <f>_xlfn.IFNA((VLOOKUP($A144,'Post 16'!$A:$AR,22,FALSE)/4),0)</f>
        <v>0</v>
      </c>
      <c r="AJ144" s="294"/>
      <c r="AK144" s="294">
        <f>_xlfn.IFNA((VLOOKUP($A144,HN!$A:$M,10,FALSE)/12),0)</f>
        <v>5337.4858333333332</v>
      </c>
      <c r="AL144" s="294">
        <f>_xlfn.IFNA((VLOOKUP($A144,HN!$A:$M,13,FALSE)/12),0)</f>
        <v>0</v>
      </c>
      <c r="AM144" s="293">
        <f t="shared" si="223"/>
        <v>-437.82499999999999</v>
      </c>
      <c r="AN144" s="293">
        <f t="shared" si="224"/>
        <v>-307.23845833333331</v>
      </c>
      <c r="AO144" s="294"/>
      <c r="AP144" s="294"/>
      <c r="AQ144" s="294"/>
      <c r="AR144" s="293">
        <f t="shared" si="225"/>
        <v>116780.88075479169</v>
      </c>
      <c r="AS144" s="286">
        <f t="shared" si="226"/>
        <v>112188.45837979169</v>
      </c>
      <c r="AT144" s="286"/>
      <c r="AU144" s="286">
        <f>_xlfn.IFNA(VLOOKUP(A144,EY!A:AO,40,FALSE),0)</f>
        <v>10489.12537396122</v>
      </c>
      <c r="AV144" s="287">
        <f>_xlfn.IFNA((VLOOKUP($A144,HN!$A:$M,8,FALSE)/12),0)</f>
        <v>0</v>
      </c>
      <c r="AW144" s="287">
        <f>_xlfn.IFNA((VLOOKUP($A144,HN!$A:$M,12,FALSE)/12),0)+_xlfn.IFNA(VLOOKUP($A144,HN!$A$8:$AU$200,19,FALSE),0)</f>
        <v>0</v>
      </c>
      <c r="AX144" s="287">
        <f>_xlfn.IFNA((VLOOKUP($A144,HN!$A:$M,9,FALSE)/12),0)</f>
        <v>0</v>
      </c>
      <c r="AY144" s="287">
        <f>_xlfn.IFNA((VLOOKUP($A144,'Post 16'!$A:$AR,22,FALSE)/4),0)</f>
        <v>0</v>
      </c>
      <c r="AZ144" s="287">
        <f>_xlfn.IFNA(VLOOKUP(A144,EY!A:AO,41,FALSE),0)</f>
        <v>0</v>
      </c>
      <c r="BA144" s="287">
        <f>_xlfn.IFNA(((VLOOKUP($A144,HN!$A:$M,10,FALSE)-$U144-$AK144)/10),0)+_xlfn.IFNA(VLOOKUP($A144,HN!$A:$R,18,FALSE),0)</f>
        <v>5365.0802500000009</v>
      </c>
      <c r="BB144" s="287">
        <f>_xlfn.IFNA(((VLOOKUP($A144,HN!$A:$M,13,FALSE)-$V144-$AL144)/10),0)+_xlfn.IFNA(VLOOKUP($A144,HN!$A$8:$AU$200,20,FALSE),0)</f>
        <v>0</v>
      </c>
      <c r="BC144" s="286">
        <f t="shared" si="227"/>
        <v>-437.82499999999999</v>
      </c>
      <c r="BD144" s="286">
        <f t="shared" si="228"/>
        <v>-307.23845833333331</v>
      </c>
      <c r="BE144" s="287"/>
      <c r="BF144" s="287"/>
      <c r="BG144" s="287"/>
      <c r="BH144" s="286">
        <f t="shared" si="229"/>
        <v>127297.60054541957</v>
      </c>
      <c r="BI144" s="307">
        <f t="shared" si="230"/>
        <v>112188.45837979169</v>
      </c>
      <c r="BJ144" s="307">
        <f>_xlfn.IFNA(VLOOKUP(A144,'LA Deductions'!A:AH,34,FALSE),0)</f>
        <v>0</v>
      </c>
      <c r="BK144" s="307"/>
      <c r="BL144" s="308">
        <f>_xlfn.IFNA((VLOOKUP($A144,HN!$A:$M,8,FALSE)/12),0)</f>
        <v>0</v>
      </c>
      <c r="BM144" s="308">
        <f>_xlfn.IFNA((VLOOKUP($A144,HN!$A:$M,12,FALSE)/12),0)</f>
        <v>0</v>
      </c>
      <c r="BN144" s="308">
        <f>_xlfn.IFNA((VLOOKUP($A144,HN!$A:$M,9,FALSE)/12),0)</f>
        <v>0</v>
      </c>
      <c r="BO144" s="308">
        <f>_xlfn.IFNA((VLOOKUP($A144,'Post 16'!$A:$AR,22,FALSE)/4),0)</f>
        <v>0</v>
      </c>
      <c r="BP144" s="308"/>
      <c r="BQ144" s="308">
        <f>_xlfn.IFNA(((VLOOKUP($A144,HN!$A:$M,10,FALSE)-$U144-$AK144)/10),0)</f>
        <v>5365.0802500000009</v>
      </c>
      <c r="BR144" s="308">
        <f>_xlfn.IFNA(((VLOOKUP($A144,HN!$A:$M,13,FALSE)-$V144-$AL144)/10),0)</f>
        <v>0</v>
      </c>
      <c r="BS144" s="307">
        <f t="shared" si="231"/>
        <v>-437.82499999999999</v>
      </c>
      <c r="BT144" s="307">
        <f t="shared" si="232"/>
        <v>-307.23845833333331</v>
      </c>
      <c r="BU144" s="308"/>
      <c r="BV144" s="308"/>
      <c r="BW144" s="308"/>
      <c r="BX144" s="307">
        <f t="shared" si="233"/>
        <v>116808.47517145835</v>
      </c>
      <c r="BY144" s="300">
        <f t="shared" si="234"/>
        <v>112188.45837979169</v>
      </c>
      <c r="BZ144" s="300"/>
      <c r="CA144" s="300"/>
      <c r="CB144" s="301">
        <f>_xlfn.IFNA((VLOOKUP($A144,HN!$A:$M,8,FALSE)/12),0)</f>
        <v>0</v>
      </c>
      <c r="CC144" s="301">
        <f>_xlfn.IFNA((VLOOKUP($A144,HN!$A:$M,12,FALSE)/12),0)</f>
        <v>0</v>
      </c>
      <c r="CD144" s="301">
        <f>_xlfn.IFNA((VLOOKUP($A144,HN!$A:$M,9,FALSE)/12),0)</f>
        <v>0</v>
      </c>
      <c r="CE144" s="301">
        <f>_xlfn.IFNA((VLOOKUP($A144,'Post 16'!$A:$AG,33,FALSE)/8),0)</f>
        <v>0</v>
      </c>
      <c r="CF144" s="301"/>
      <c r="CG144" s="301">
        <f>_xlfn.IFNA(((VLOOKUP($A144,HN!$A:$M,10,FALSE)-$U144-$AK144)/10),0)</f>
        <v>5365.0802500000009</v>
      </c>
      <c r="CH144" s="301">
        <f>_xlfn.IFNA(((VLOOKUP($A144,HN!$A:$M,13,FALSE)-$V144-$AL144)/10),0)</f>
        <v>0</v>
      </c>
      <c r="CI144" s="300">
        <f t="shared" si="235"/>
        <v>-437.82499999999999</v>
      </c>
      <c r="CJ144" s="300">
        <f t="shared" si="236"/>
        <v>-307.23845833333331</v>
      </c>
      <c r="CK144" s="301"/>
      <c r="CL144" s="301"/>
      <c r="CM144" s="301"/>
      <c r="CN144" s="300">
        <f t="shared" si="237"/>
        <v>116808.47517145835</v>
      </c>
      <c r="CO144" s="332">
        <f t="shared" si="238"/>
        <v>112188.45837979169</v>
      </c>
      <c r="CP144" s="332"/>
      <c r="CQ144" s="332">
        <f>_xlfn.IFNA((VLOOKUP($A144,EY!$A:$AB,28,FALSE)-$CV144),0)</f>
        <v>36967.112000000001</v>
      </c>
      <c r="CR144" s="333">
        <f>_xlfn.IFNA((VLOOKUP($A144,HN!$A:$M,8,FALSE)/12),0)</f>
        <v>0</v>
      </c>
      <c r="CS144" s="333">
        <f>_xlfn.IFNA((VLOOKUP($A144,HN!$A:$M,12,FALSE)/12),0)</f>
        <v>0</v>
      </c>
      <c r="CT144" s="333">
        <f>_xlfn.IFNA((VLOOKUP($A144,HN!$A:$M,9,FALSE)/12),0)</f>
        <v>0</v>
      </c>
      <c r="CU144" s="333">
        <f>_xlfn.IFNA((VLOOKUP($A144,'Post 16'!$A:$AG,33,FALSE)/8),0)</f>
        <v>0</v>
      </c>
      <c r="CV144" s="333">
        <f>_xlfn.IFNA((VLOOKUP($A144,EY!$A:$AB,26,FALSE)*80%),0)</f>
        <v>0</v>
      </c>
      <c r="CW144" s="333">
        <f>_xlfn.IFNA(((VLOOKUP($A144,HN!$A:$M,10,FALSE)-$U144-$AK144)/10),0)</f>
        <v>5365.0802500000009</v>
      </c>
      <c r="CX144" s="333">
        <f>_xlfn.IFNA(((VLOOKUP($A144,HN!$A:$M,13,FALSE)-$V144-$AL144)/10),0)</f>
        <v>0</v>
      </c>
      <c r="CY144" s="332">
        <f t="shared" si="239"/>
        <v>-437.82499999999999</v>
      </c>
      <c r="CZ144" s="332">
        <f t="shared" si="240"/>
        <v>-307.23845833333331</v>
      </c>
      <c r="DA144" s="333"/>
      <c r="DB144" s="333"/>
      <c r="DC144" s="333"/>
      <c r="DD144" s="332">
        <f t="shared" si="241"/>
        <v>153775.58717145835</v>
      </c>
      <c r="DE144" s="314">
        <f t="shared" si="242"/>
        <v>112188.45837979169</v>
      </c>
      <c r="DF144" s="314"/>
      <c r="DG144" s="314"/>
      <c r="DH144" s="315">
        <f>_xlfn.IFNA((VLOOKUP($A144,HN!$A:$M,8,FALSE)/12),0)</f>
        <v>0</v>
      </c>
      <c r="DI144" s="315">
        <f>_xlfn.IFNA((VLOOKUP($A144,HN!$A:$M,12,FALSE)/12),0)</f>
        <v>0</v>
      </c>
      <c r="DJ144" s="315">
        <f>_xlfn.IFNA((VLOOKUP($A144,HN!$A:$M,9,FALSE)/12),0)</f>
        <v>0</v>
      </c>
      <c r="DK144" s="315">
        <f>_xlfn.IFNA((VLOOKUP($A144,'Post 16'!$A:$AG,33,FALSE)/8),0)</f>
        <v>0</v>
      </c>
      <c r="DL144" s="315"/>
      <c r="DM144" s="315">
        <f>_xlfn.IFNA(((VLOOKUP($A144,HN!$A:$M,10,FALSE)-$U144-$AK144)/10),0)</f>
        <v>5365.0802500000009</v>
      </c>
      <c r="DN144" s="315">
        <f>_xlfn.IFNA(((VLOOKUP($A144,HN!$A:$M,13,FALSE)-$V144-$AL144)/10),0)</f>
        <v>0</v>
      </c>
      <c r="DO144" s="314">
        <f t="shared" si="243"/>
        <v>-437.82499999999999</v>
      </c>
      <c r="DP144" s="314">
        <f t="shared" si="244"/>
        <v>-307.23845833333331</v>
      </c>
      <c r="DQ144" s="315"/>
      <c r="DR144" s="315"/>
      <c r="DS144" s="315"/>
      <c r="DT144" s="314">
        <f t="shared" si="245"/>
        <v>116808.47517145835</v>
      </c>
      <c r="DU144" s="307">
        <f t="shared" si="246"/>
        <v>112188.45837979169</v>
      </c>
      <c r="DV144" s="307"/>
      <c r="DW144" s="307"/>
      <c r="DX144" s="308">
        <f>_xlfn.IFNA((VLOOKUP($A144,HN!$A:$M,8,FALSE)/12),0)</f>
        <v>0</v>
      </c>
      <c r="DY144" s="308">
        <f>_xlfn.IFNA((VLOOKUP($A144,HN!$A:$M,12,FALSE)/12),0)</f>
        <v>0</v>
      </c>
      <c r="DZ144" s="308">
        <f>_xlfn.IFNA((VLOOKUP($A144,HN!$A:$M,9,FALSE)/12),0)</f>
        <v>0</v>
      </c>
      <c r="EA144" s="308">
        <f>_xlfn.IFNA((VLOOKUP($A144,'Post 16'!$A:$AG,33,FALSE)/8),0)</f>
        <v>0</v>
      </c>
      <c r="EB144" s="308"/>
      <c r="EC144" s="308">
        <f>_xlfn.IFNA(((VLOOKUP($A144,HN!$A:$M,10,FALSE)-$U144-$AK144)/10),0)</f>
        <v>5365.0802500000009</v>
      </c>
      <c r="ED144" s="308">
        <f>_xlfn.IFNA(((VLOOKUP($A144,HN!$A:$M,13,FALSE)-$V144-$AL144)/10),0)</f>
        <v>0</v>
      </c>
      <c r="EE144" s="307">
        <f t="shared" si="247"/>
        <v>-437.82499999999999</v>
      </c>
      <c r="EF144" s="307">
        <f t="shared" si="248"/>
        <v>-307.23845833333331</v>
      </c>
      <c r="EG144" s="308"/>
      <c r="EH144" s="308"/>
      <c r="EI144" s="308"/>
      <c r="EJ144" s="307">
        <f t="shared" si="249"/>
        <v>116808.47517145835</v>
      </c>
      <c r="EK144" s="320">
        <f t="shared" si="250"/>
        <v>112188.45837979169</v>
      </c>
      <c r="EL144" s="320"/>
      <c r="EM144" s="320"/>
      <c r="EN144" s="321">
        <f>_xlfn.IFNA((VLOOKUP($A144,HN!$A:$M,8,FALSE)/12),0)</f>
        <v>0</v>
      </c>
      <c r="EO144" s="321">
        <f>_xlfn.IFNA((VLOOKUP($A144,HN!$A:$M,12,FALSE)/12),0)</f>
        <v>0</v>
      </c>
      <c r="EP144" s="321">
        <f>_xlfn.IFNA((VLOOKUP($A144,HN!$A:$M,9,FALSE)/12),0)</f>
        <v>0</v>
      </c>
      <c r="EQ144" s="321">
        <f>_xlfn.IFNA((VLOOKUP($A144,'Post 16'!$A:$AG,33,FALSE)/8),0)</f>
        <v>0</v>
      </c>
      <c r="ER144" s="321"/>
      <c r="ES144" s="321">
        <f>_xlfn.IFNA(((VLOOKUP($A144,HN!$A:$M,10,FALSE)-$U144-$AK144)/10),0)</f>
        <v>5365.0802500000009</v>
      </c>
      <c r="ET144" s="321">
        <f>_xlfn.IFNA(((VLOOKUP($A144,HN!$A:$M,13,FALSE)-$V144-$AL144)/10),0)</f>
        <v>0</v>
      </c>
      <c r="EU144" s="320">
        <f t="shared" si="251"/>
        <v>-437.82499999999999</v>
      </c>
      <c r="EV144" s="320">
        <f t="shared" si="252"/>
        <v>-307.23845833333331</v>
      </c>
      <c r="EW144" s="321"/>
      <c r="EX144" s="321"/>
      <c r="EY144" s="321"/>
      <c r="EZ144" s="320">
        <f t="shared" si="253"/>
        <v>116808.47517145835</v>
      </c>
      <c r="FA144" s="286">
        <f t="shared" si="254"/>
        <v>112188.45837979169</v>
      </c>
      <c r="FB144" s="286"/>
      <c r="FC144" s="286"/>
      <c r="FD144" s="287">
        <f>_xlfn.IFNA((VLOOKUP($A144,HN!$A:$M,8,FALSE)/12),0)</f>
        <v>0</v>
      </c>
      <c r="FE144" s="287">
        <f>_xlfn.IFNA((VLOOKUP($A144,HN!$A:$M,12,FALSE)/12),0)</f>
        <v>0</v>
      </c>
      <c r="FF144" s="287">
        <f>_xlfn.IFNA((VLOOKUP($A144,HN!$A:$M,9,FALSE)/12),0)</f>
        <v>0</v>
      </c>
      <c r="FG144" s="287">
        <f>_xlfn.IFNA((VLOOKUP($A144,'Post 16'!$A:$AG,33,FALSE)/8),0)</f>
        <v>0</v>
      </c>
      <c r="FH144" s="287"/>
      <c r="FI144" s="287">
        <f>_xlfn.IFNA(((VLOOKUP($A144,HN!$A:$M,10,FALSE)-$U144-$AK144)/10),0)</f>
        <v>5365.0802500000009</v>
      </c>
      <c r="FJ144" s="287">
        <f>_xlfn.IFNA(((VLOOKUP($A144,HN!$A:$M,13,FALSE)-$V144-$AL144)/10),0)</f>
        <v>0</v>
      </c>
      <c r="FK144" s="286">
        <f t="shared" si="255"/>
        <v>-437.82499999999999</v>
      </c>
      <c r="FL144" s="286">
        <f t="shared" si="256"/>
        <v>-307.23845833333331</v>
      </c>
      <c r="FM144" s="287"/>
      <c r="FN144" s="287"/>
      <c r="FO144" s="287"/>
      <c r="FP144" s="286">
        <f t="shared" si="257"/>
        <v>116808.47517145835</v>
      </c>
      <c r="FQ144" s="293">
        <f t="shared" si="258"/>
        <v>112188.45837979169</v>
      </c>
      <c r="FR144" s="293"/>
      <c r="FS144" s="293"/>
      <c r="FT144" s="294">
        <f>_xlfn.IFNA((VLOOKUP($A144,HN!$A:$M,8,FALSE)/12),0)</f>
        <v>0</v>
      </c>
      <c r="FU144" s="294">
        <f>_xlfn.IFNA((VLOOKUP($A144,HN!$A:$M,12,FALSE)/12),0)</f>
        <v>0</v>
      </c>
      <c r="FV144" s="294">
        <f>_xlfn.IFNA((VLOOKUP($A144,HN!$A:$M,9,FALSE)/12),0)</f>
        <v>0</v>
      </c>
      <c r="FW144" s="294">
        <f>_xlfn.IFNA((VLOOKUP($A144,'Post 16'!$A:$AG,33,FALSE)/8),0)</f>
        <v>0</v>
      </c>
      <c r="FX144" s="294"/>
      <c r="FY144" s="294">
        <f>_xlfn.IFNA(((VLOOKUP($A144,HN!$A:$M,10,FALSE)-$U144-$AK144)/10),0)</f>
        <v>5365.0802500000009</v>
      </c>
      <c r="FZ144" s="294">
        <f>_xlfn.IFNA(((VLOOKUP($A144,HN!$A:$M,13,FALSE)-$V144-$AL144)/10),0)</f>
        <v>0</v>
      </c>
      <c r="GA144" s="293">
        <f t="shared" si="259"/>
        <v>-437.82499999999999</v>
      </c>
      <c r="GB144" s="293">
        <f t="shared" si="260"/>
        <v>-307.23845833333331</v>
      </c>
      <c r="GC144" s="294"/>
      <c r="GD144" s="294"/>
      <c r="GE144" s="294"/>
      <c r="GF144" s="293">
        <f t="shared" si="261"/>
        <v>116808.47517145835</v>
      </c>
      <c r="GG144" s="300">
        <f t="shared" si="262"/>
        <v>112188.45837979169</v>
      </c>
      <c r="GH144" s="300"/>
      <c r="GI144" s="300"/>
      <c r="GJ144" s="301">
        <f>_xlfn.IFNA((VLOOKUP($A144,HN!$A:$M,8,FALSE)/12),0)</f>
        <v>0</v>
      </c>
      <c r="GK144" s="301">
        <f>_xlfn.IFNA((VLOOKUP($A144,HN!$A:$M,12,FALSE)/12),0)</f>
        <v>0</v>
      </c>
      <c r="GL144" s="301">
        <f>_xlfn.IFNA((VLOOKUP($A144,HN!$A:$M,9,FALSE)/12),0)</f>
        <v>0</v>
      </c>
      <c r="GM144" s="301">
        <f>_xlfn.IFNA((VLOOKUP($A144,'Post 16'!$A:$AG,33,FALSE)/8),0)</f>
        <v>0</v>
      </c>
      <c r="GN144" s="301"/>
      <c r="GO144" s="301">
        <f>_xlfn.IFNA(((VLOOKUP($A144,HN!$A:$M,10,FALSE)-$U144-$AK144)/10),0)</f>
        <v>5365.0802500000009</v>
      </c>
      <c r="GP144" s="301">
        <f>_xlfn.IFNA(((VLOOKUP($A144,HN!$A:$M,13,FALSE)-$V144-$AL144)/10),0)</f>
        <v>0</v>
      </c>
      <c r="GQ144" s="300">
        <f t="shared" si="263"/>
        <v>-437.82499999999999</v>
      </c>
      <c r="GR144" s="300">
        <f t="shared" si="264"/>
        <v>-307.23845833333331</v>
      </c>
      <c r="GS144" s="301"/>
      <c r="GT144" s="301"/>
      <c r="GU144" s="301"/>
      <c r="GV144" s="300">
        <f t="shared" si="265"/>
        <v>116808.47517145835</v>
      </c>
      <c r="GX144" s="146">
        <f t="shared" si="266"/>
        <v>1446368.5918261979</v>
      </c>
      <c r="GY144" s="146">
        <f t="shared" si="266"/>
        <v>0</v>
      </c>
      <c r="GZ144" s="146">
        <f t="shared" si="266"/>
        <v>64049.829999999994</v>
      </c>
      <c r="HA144" s="146">
        <f t="shared" si="266"/>
        <v>-5253.8999999999987</v>
      </c>
      <c r="HB144" s="146">
        <f t="shared" si="266"/>
        <v>-3686.8614999999995</v>
      </c>
      <c r="HC144" s="146">
        <f t="shared" si="266"/>
        <v>0</v>
      </c>
      <c r="HE144" s="146">
        <f t="shared" si="267"/>
        <v>399705.35440807318</v>
      </c>
      <c r="HF144" s="146">
        <f t="shared" si="267"/>
        <v>0</v>
      </c>
      <c r="HG144" s="146">
        <f t="shared" si="267"/>
        <v>15764.107750000001</v>
      </c>
      <c r="HH144" s="146">
        <f t="shared" si="267"/>
        <v>-1313.4749999999999</v>
      </c>
      <c r="HI144" s="146">
        <f t="shared" si="267"/>
        <v>-921.71537499999999</v>
      </c>
      <c r="HJ144" s="146">
        <f t="shared" si="267"/>
        <v>0</v>
      </c>
      <c r="HL144" s="146"/>
      <c r="HM144" s="57"/>
    </row>
    <row r="145" spans="1:221">
      <c r="A145" s="185">
        <v>3386</v>
      </c>
      <c r="B145" s="185">
        <v>103470</v>
      </c>
      <c r="C145" s="185" t="s">
        <v>313</v>
      </c>
      <c r="D145" s="2" t="s">
        <v>314</v>
      </c>
      <c r="E145" s="190" t="s">
        <v>39</v>
      </c>
      <c r="F145" s="190" t="s">
        <v>890</v>
      </c>
      <c r="H145" s="271">
        <f>_xlfn.IFNA(VLOOKUP($A145,ISB!$A$4:$BY$441,67,FALSE),0)</f>
        <v>1432992.7702564786</v>
      </c>
      <c r="I145" s="271">
        <f>_xlfn.IFNA(VLOOKUP($A145,ISB!$A$4:$BY$441,72,FALSE),0)</f>
        <v>-5129.3999999999996</v>
      </c>
      <c r="J145" s="271">
        <f>-_xlfn.IFNA(VLOOKUP($A145,ISB!$A$4:$BY$441,76,FALSE),0)</f>
        <v>-4292.5601999999999</v>
      </c>
      <c r="K145" s="271">
        <f>_xlfn.IFNA(VLOOKUP($A145,ISB!$A$4:$BY$441,77,FALSE),0)</f>
        <v>1423570.8100564787</v>
      </c>
      <c r="M145" s="279">
        <f t="shared" si="218"/>
        <v>119416.06418803988</v>
      </c>
      <c r="N145" s="279"/>
      <c r="O145" s="279">
        <f>_xlfn.IFNA(VLOOKUP($A145,EY!$A:$H,8,FALSE)+(VLOOKUP($A145,EY!$A:$R,18,FALSE)-$T145),0)</f>
        <v>45212.171789473694</v>
      </c>
      <c r="P145" s="280">
        <f>_xlfn.IFNA((VLOOKUP($A145,HN!$A:$M,8,FALSE)/12),0)</f>
        <v>0</v>
      </c>
      <c r="Q145" s="280">
        <f>_xlfn.IFNA((VLOOKUP($A145,HN!$A:$M,12,FALSE)/12),0)</f>
        <v>0</v>
      </c>
      <c r="R145" s="280">
        <f>_xlfn.IFNA((VLOOKUP($A145,HN!$A:$M,9,FALSE)/12),0)</f>
        <v>0</v>
      </c>
      <c r="S145" s="280">
        <f>_xlfn.IFNA((VLOOKUP($A145,'Post 16'!$A:$AR,22,FALSE)/4),0)</f>
        <v>0</v>
      </c>
      <c r="T145" s="280">
        <f>_xlfn.IFNA((VLOOKUP($A145,EY!$A:$R,16,FALSE)*80%),0)</f>
        <v>0</v>
      </c>
      <c r="U145" s="280">
        <v>9254.1316666666662</v>
      </c>
      <c r="V145" s="280">
        <v>0</v>
      </c>
      <c r="W145" s="279">
        <f t="shared" si="219"/>
        <v>-427.45</v>
      </c>
      <c r="X145" s="279">
        <f t="shared" si="220"/>
        <v>-357.71334999999999</v>
      </c>
      <c r="Y145" s="280"/>
      <c r="Z145" s="280"/>
      <c r="AA145" s="280"/>
      <c r="AB145" s="279">
        <f t="shared" si="221"/>
        <v>173097.20429418021</v>
      </c>
      <c r="AC145" s="293">
        <f t="shared" si="222"/>
        <v>119416.06418803988</v>
      </c>
      <c r="AD145" s="293"/>
      <c r="AE145" s="293"/>
      <c r="AF145" s="294">
        <f>_xlfn.IFNA((VLOOKUP($A145,HN!$A:$M,8,FALSE)/12),0)</f>
        <v>0</v>
      </c>
      <c r="AG145" s="294">
        <f>_xlfn.IFNA((VLOOKUP($A145,HN!$A:$M,12,FALSE)/12),0)+_xlfn.IFNA(VLOOKUP($A145,HN!$A:$Q,17,FALSE),0)</f>
        <v>0</v>
      </c>
      <c r="AH145" s="294">
        <f>_xlfn.IFNA((VLOOKUP($A145,HN!$A:$M,9,FALSE)/12),0)</f>
        <v>0</v>
      </c>
      <c r="AI145" s="294">
        <f>_xlfn.IFNA((VLOOKUP($A145,'Post 16'!$A:$AR,22,FALSE)/4),0)</f>
        <v>0</v>
      </c>
      <c r="AJ145" s="294"/>
      <c r="AK145" s="294">
        <f>_xlfn.IFNA((VLOOKUP($A145,HN!$A:$M,10,FALSE)/12),0)</f>
        <v>7223.4858333333332</v>
      </c>
      <c r="AL145" s="294">
        <f>_xlfn.IFNA((VLOOKUP($A145,HN!$A:$M,13,FALSE)/12),0)</f>
        <v>0</v>
      </c>
      <c r="AM145" s="293">
        <f t="shared" si="223"/>
        <v>-427.45</v>
      </c>
      <c r="AN145" s="293">
        <f t="shared" si="224"/>
        <v>-357.71334999999999</v>
      </c>
      <c r="AO145" s="294"/>
      <c r="AP145" s="294"/>
      <c r="AQ145" s="294"/>
      <c r="AR145" s="293">
        <f t="shared" si="225"/>
        <v>125854.38667137321</v>
      </c>
      <c r="AS145" s="286">
        <f t="shared" si="226"/>
        <v>119416.06418803988</v>
      </c>
      <c r="AT145" s="286"/>
      <c r="AU145" s="286">
        <f>_xlfn.IFNA(VLOOKUP(A145,EY!A:AO,40,FALSE),0)</f>
        <v>1998.6063434903056</v>
      </c>
      <c r="AV145" s="287">
        <f>_xlfn.IFNA((VLOOKUP($A145,HN!$A:$M,8,FALSE)/12),0)</f>
        <v>0</v>
      </c>
      <c r="AW145" s="287">
        <f>_xlfn.IFNA((VLOOKUP($A145,HN!$A:$M,12,FALSE)/12),0)+_xlfn.IFNA(VLOOKUP($A145,HN!$A$8:$AU$200,19,FALSE),0)</f>
        <v>0</v>
      </c>
      <c r="AX145" s="287">
        <f>_xlfn.IFNA((VLOOKUP($A145,HN!$A:$M,9,FALSE)/12),0)</f>
        <v>0</v>
      </c>
      <c r="AY145" s="287">
        <f>_xlfn.IFNA((VLOOKUP($A145,'Post 16'!$A:$AR,22,FALSE)/4),0)</f>
        <v>0</v>
      </c>
      <c r="AZ145" s="287">
        <f>_xlfn.IFNA(VLOOKUP(A145,EY!A:AO,41,FALSE),0)</f>
        <v>0</v>
      </c>
      <c r="BA145" s="287">
        <f>_xlfn.IFNA(((VLOOKUP($A145,HN!$A:$M,10,FALSE)-$U145-$AK145)/10),0)+_xlfn.IFNA(VLOOKUP($A145,HN!$A:$R,18,FALSE),0)</f>
        <v>7020.4212499999994</v>
      </c>
      <c r="BB145" s="287">
        <f>_xlfn.IFNA(((VLOOKUP($A145,HN!$A:$M,13,FALSE)-$V145-$AL145)/10),0)+_xlfn.IFNA(VLOOKUP($A145,HN!$A$8:$AU$200,20,FALSE),0)</f>
        <v>0</v>
      </c>
      <c r="BC145" s="286">
        <f t="shared" si="227"/>
        <v>-427.45</v>
      </c>
      <c r="BD145" s="286">
        <f t="shared" si="228"/>
        <v>-357.71334999999999</v>
      </c>
      <c r="BE145" s="287"/>
      <c r="BF145" s="287"/>
      <c r="BG145" s="287"/>
      <c r="BH145" s="286">
        <f t="shared" si="229"/>
        <v>127649.92843153018</v>
      </c>
      <c r="BI145" s="307">
        <f t="shared" si="230"/>
        <v>119416.06418803988</v>
      </c>
      <c r="BJ145" s="307">
        <f>_xlfn.IFNA(VLOOKUP(A145,'LA Deductions'!A:AH,34,FALSE),0)</f>
        <v>0</v>
      </c>
      <c r="BK145" s="307"/>
      <c r="BL145" s="308">
        <f>_xlfn.IFNA((VLOOKUP($A145,HN!$A:$M,8,FALSE)/12),0)</f>
        <v>0</v>
      </c>
      <c r="BM145" s="308">
        <f>_xlfn.IFNA((VLOOKUP($A145,HN!$A:$M,12,FALSE)/12),0)</f>
        <v>0</v>
      </c>
      <c r="BN145" s="308">
        <f>_xlfn.IFNA((VLOOKUP($A145,HN!$A:$M,9,FALSE)/12),0)</f>
        <v>0</v>
      </c>
      <c r="BO145" s="308">
        <f>_xlfn.IFNA((VLOOKUP($A145,'Post 16'!$A:$AR,22,FALSE)/4),0)</f>
        <v>0</v>
      </c>
      <c r="BP145" s="308"/>
      <c r="BQ145" s="308">
        <f>_xlfn.IFNA(((VLOOKUP($A145,HN!$A:$M,10,FALSE)-$U145-$AK145)/10),0)</f>
        <v>7020.4212499999994</v>
      </c>
      <c r="BR145" s="308">
        <f>_xlfn.IFNA(((VLOOKUP($A145,HN!$A:$M,13,FALSE)-$V145-$AL145)/10),0)</f>
        <v>0</v>
      </c>
      <c r="BS145" s="307">
        <f t="shared" si="231"/>
        <v>-427.45</v>
      </c>
      <c r="BT145" s="307">
        <f t="shared" si="232"/>
        <v>-357.71334999999999</v>
      </c>
      <c r="BU145" s="308"/>
      <c r="BV145" s="308"/>
      <c r="BW145" s="308"/>
      <c r="BX145" s="307">
        <f t="shared" si="233"/>
        <v>125651.32208803987</v>
      </c>
      <c r="BY145" s="300">
        <f t="shared" si="234"/>
        <v>119416.06418803988</v>
      </c>
      <c r="BZ145" s="300"/>
      <c r="CA145" s="300"/>
      <c r="CB145" s="301">
        <f>_xlfn.IFNA((VLOOKUP($A145,HN!$A:$M,8,FALSE)/12),0)</f>
        <v>0</v>
      </c>
      <c r="CC145" s="301">
        <f>_xlfn.IFNA((VLOOKUP($A145,HN!$A:$M,12,FALSE)/12),0)</f>
        <v>0</v>
      </c>
      <c r="CD145" s="301">
        <f>_xlfn.IFNA((VLOOKUP($A145,HN!$A:$M,9,FALSE)/12),0)</f>
        <v>0</v>
      </c>
      <c r="CE145" s="301">
        <f>_xlfn.IFNA((VLOOKUP($A145,'Post 16'!$A:$AG,33,FALSE)/8),0)</f>
        <v>0</v>
      </c>
      <c r="CF145" s="301"/>
      <c r="CG145" s="301">
        <f>_xlfn.IFNA(((VLOOKUP($A145,HN!$A:$M,10,FALSE)-$U145-$AK145)/10),0)</f>
        <v>7020.4212499999994</v>
      </c>
      <c r="CH145" s="301">
        <f>_xlfn.IFNA(((VLOOKUP($A145,HN!$A:$M,13,FALSE)-$V145-$AL145)/10),0)</f>
        <v>0</v>
      </c>
      <c r="CI145" s="300">
        <f t="shared" si="235"/>
        <v>-427.45</v>
      </c>
      <c r="CJ145" s="300">
        <f t="shared" si="236"/>
        <v>-357.71334999999999</v>
      </c>
      <c r="CK145" s="301"/>
      <c r="CL145" s="301"/>
      <c r="CM145" s="301"/>
      <c r="CN145" s="300">
        <f t="shared" si="237"/>
        <v>125651.32208803987</v>
      </c>
      <c r="CO145" s="332">
        <f t="shared" si="238"/>
        <v>119416.06418803988</v>
      </c>
      <c r="CP145" s="332"/>
      <c r="CQ145" s="332">
        <f>_xlfn.IFNA((VLOOKUP($A145,EY!$A:$AB,28,FALSE)-$CV145),0)</f>
        <v>35340.469894736852</v>
      </c>
      <c r="CR145" s="333">
        <f>_xlfn.IFNA((VLOOKUP($A145,HN!$A:$M,8,FALSE)/12),0)</f>
        <v>0</v>
      </c>
      <c r="CS145" s="333">
        <f>_xlfn.IFNA((VLOOKUP($A145,HN!$A:$M,12,FALSE)/12),0)</f>
        <v>0</v>
      </c>
      <c r="CT145" s="333">
        <f>_xlfn.IFNA((VLOOKUP($A145,HN!$A:$M,9,FALSE)/12),0)</f>
        <v>0</v>
      </c>
      <c r="CU145" s="333">
        <f>_xlfn.IFNA((VLOOKUP($A145,'Post 16'!$A:$AG,33,FALSE)/8),0)</f>
        <v>0</v>
      </c>
      <c r="CV145" s="333">
        <f>_xlfn.IFNA((VLOOKUP($A145,EY!$A:$AB,26,FALSE)*80%),0)</f>
        <v>0</v>
      </c>
      <c r="CW145" s="333">
        <f>_xlfn.IFNA(((VLOOKUP($A145,HN!$A:$M,10,FALSE)-$U145-$AK145)/10),0)</f>
        <v>7020.4212499999994</v>
      </c>
      <c r="CX145" s="333">
        <f>_xlfn.IFNA(((VLOOKUP($A145,HN!$A:$M,13,FALSE)-$V145-$AL145)/10),0)</f>
        <v>0</v>
      </c>
      <c r="CY145" s="332">
        <f t="shared" si="239"/>
        <v>-427.45</v>
      </c>
      <c r="CZ145" s="332">
        <f t="shared" si="240"/>
        <v>-357.71334999999999</v>
      </c>
      <c r="DA145" s="333"/>
      <c r="DB145" s="333"/>
      <c r="DC145" s="333"/>
      <c r="DD145" s="332">
        <f t="shared" si="241"/>
        <v>160991.79198277669</v>
      </c>
      <c r="DE145" s="314">
        <f t="shared" si="242"/>
        <v>119416.06418803988</v>
      </c>
      <c r="DF145" s="314"/>
      <c r="DG145" s="314"/>
      <c r="DH145" s="315">
        <f>_xlfn.IFNA((VLOOKUP($A145,HN!$A:$M,8,FALSE)/12),0)</f>
        <v>0</v>
      </c>
      <c r="DI145" s="315">
        <f>_xlfn.IFNA((VLOOKUP($A145,HN!$A:$M,12,FALSE)/12),0)</f>
        <v>0</v>
      </c>
      <c r="DJ145" s="315">
        <f>_xlfn.IFNA((VLOOKUP($A145,HN!$A:$M,9,FALSE)/12),0)</f>
        <v>0</v>
      </c>
      <c r="DK145" s="315">
        <f>_xlfn.IFNA((VLOOKUP($A145,'Post 16'!$A:$AG,33,FALSE)/8),0)</f>
        <v>0</v>
      </c>
      <c r="DL145" s="315"/>
      <c r="DM145" s="315">
        <f>_xlfn.IFNA(((VLOOKUP($A145,HN!$A:$M,10,FALSE)-$U145-$AK145)/10),0)</f>
        <v>7020.4212499999994</v>
      </c>
      <c r="DN145" s="315">
        <f>_xlfn.IFNA(((VLOOKUP($A145,HN!$A:$M,13,FALSE)-$V145-$AL145)/10),0)</f>
        <v>0</v>
      </c>
      <c r="DO145" s="314">
        <f t="shared" si="243"/>
        <v>-427.45</v>
      </c>
      <c r="DP145" s="314">
        <f t="shared" si="244"/>
        <v>-357.71334999999999</v>
      </c>
      <c r="DQ145" s="315"/>
      <c r="DR145" s="315"/>
      <c r="DS145" s="315"/>
      <c r="DT145" s="314">
        <f t="shared" si="245"/>
        <v>125651.32208803987</v>
      </c>
      <c r="DU145" s="307">
        <f t="shared" si="246"/>
        <v>119416.06418803988</v>
      </c>
      <c r="DV145" s="307"/>
      <c r="DW145" s="307"/>
      <c r="DX145" s="308">
        <f>_xlfn.IFNA((VLOOKUP($A145,HN!$A:$M,8,FALSE)/12),0)</f>
        <v>0</v>
      </c>
      <c r="DY145" s="308">
        <f>_xlfn.IFNA((VLOOKUP($A145,HN!$A:$M,12,FALSE)/12),0)</f>
        <v>0</v>
      </c>
      <c r="DZ145" s="308">
        <f>_xlfn.IFNA((VLOOKUP($A145,HN!$A:$M,9,FALSE)/12),0)</f>
        <v>0</v>
      </c>
      <c r="EA145" s="308">
        <f>_xlfn.IFNA((VLOOKUP($A145,'Post 16'!$A:$AG,33,FALSE)/8),0)</f>
        <v>0</v>
      </c>
      <c r="EB145" s="308"/>
      <c r="EC145" s="308">
        <f>_xlfn.IFNA(((VLOOKUP($A145,HN!$A:$M,10,FALSE)-$U145-$AK145)/10),0)</f>
        <v>7020.4212499999994</v>
      </c>
      <c r="ED145" s="308">
        <f>_xlfn.IFNA(((VLOOKUP($A145,HN!$A:$M,13,FALSE)-$V145-$AL145)/10),0)</f>
        <v>0</v>
      </c>
      <c r="EE145" s="307">
        <f t="shared" si="247"/>
        <v>-427.45</v>
      </c>
      <c r="EF145" s="307">
        <f t="shared" si="248"/>
        <v>-357.71334999999999</v>
      </c>
      <c r="EG145" s="308"/>
      <c r="EH145" s="308"/>
      <c r="EI145" s="308"/>
      <c r="EJ145" s="307">
        <f t="shared" si="249"/>
        <v>125651.32208803987</v>
      </c>
      <c r="EK145" s="320">
        <f t="shared" si="250"/>
        <v>119416.06418803988</v>
      </c>
      <c r="EL145" s="320"/>
      <c r="EM145" s="320"/>
      <c r="EN145" s="321">
        <f>_xlfn.IFNA((VLOOKUP($A145,HN!$A:$M,8,FALSE)/12),0)</f>
        <v>0</v>
      </c>
      <c r="EO145" s="321">
        <f>_xlfn.IFNA((VLOOKUP($A145,HN!$A:$M,12,FALSE)/12),0)</f>
        <v>0</v>
      </c>
      <c r="EP145" s="321">
        <f>_xlfn.IFNA((VLOOKUP($A145,HN!$A:$M,9,FALSE)/12),0)</f>
        <v>0</v>
      </c>
      <c r="EQ145" s="321">
        <f>_xlfn.IFNA((VLOOKUP($A145,'Post 16'!$A:$AG,33,FALSE)/8),0)</f>
        <v>0</v>
      </c>
      <c r="ER145" s="321"/>
      <c r="ES145" s="321">
        <f>_xlfn.IFNA(((VLOOKUP($A145,HN!$A:$M,10,FALSE)-$U145-$AK145)/10),0)</f>
        <v>7020.4212499999994</v>
      </c>
      <c r="ET145" s="321">
        <f>_xlfn.IFNA(((VLOOKUP($A145,HN!$A:$M,13,FALSE)-$V145-$AL145)/10),0)</f>
        <v>0</v>
      </c>
      <c r="EU145" s="320">
        <f t="shared" si="251"/>
        <v>-427.45</v>
      </c>
      <c r="EV145" s="320">
        <f t="shared" si="252"/>
        <v>-357.71334999999999</v>
      </c>
      <c r="EW145" s="321"/>
      <c r="EX145" s="321"/>
      <c r="EY145" s="321"/>
      <c r="EZ145" s="320">
        <f t="shared" si="253"/>
        <v>125651.32208803987</v>
      </c>
      <c r="FA145" s="286">
        <f t="shared" si="254"/>
        <v>119416.06418803988</v>
      </c>
      <c r="FB145" s="286"/>
      <c r="FC145" s="286"/>
      <c r="FD145" s="287">
        <f>_xlfn.IFNA((VLOOKUP($A145,HN!$A:$M,8,FALSE)/12),0)</f>
        <v>0</v>
      </c>
      <c r="FE145" s="287">
        <f>_xlfn.IFNA((VLOOKUP($A145,HN!$A:$M,12,FALSE)/12),0)</f>
        <v>0</v>
      </c>
      <c r="FF145" s="287">
        <f>_xlfn.IFNA((VLOOKUP($A145,HN!$A:$M,9,FALSE)/12),0)</f>
        <v>0</v>
      </c>
      <c r="FG145" s="287">
        <f>_xlfn.IFNA((VLOOKUP($A145,'Post 16'!$A:$AG,33,FALSE)/8),0)</f>
        <v>0</v>
      </c>
      <c r="FH145" s="287"/>
      <c r="FI145" s="287">
        <f>_xlfn.IFNA(((VLOOKUP($A145,HN!$A:$M,10,FALSE)-$U145-$AK145)/10),0)</f>
        <v>7020.4212499999994</v>
      </c>
      <c r="FJ145" s="287">
        <f>_xlfn.IFNA(((VLOOKUP($A145,HN!$A:$M,13,FALSE)-$V145-$AL145)/10),0)</f>
        <v>0</v>
      </c>
      <c r="FK145" s="286">
        <f t="shared" si="255"/>
        <v>-427.45</v>
      </c>
      <c r="FL145" s="286">
        <f t="shared" si="256"/>
        <v>-357.71334999999999</v>
      </c>
      <c r="FM145" s="287"/>
      <c r="FN145" s="287"/>
      <c r="FO145" s="287"/>
      <c r="FP145" s="286">
        <f t="shared" si="257"/>
        <v>125651.32208803987</v>
      </c>
      <c r="FQ145" s="293">
        <f t="shared" si="258"/>
        <v>119416.06418803988</v>
      </c>
      <c r="FR145" s="293"/>
      <c r="FS145" s="293"/>
      <c r="FT145" s="294">
        <f>_xlfn.IFNA((VLOOKUP($A145,HN!$A:$M,8,FALSE)/12),0)</f>
        <v>0</v>
      </c>
      <c r="FU145" s="294">
        <f>_xlfn.IFNA((VLOOKUP($A145,HN!$A:$M,12,FALSE)/12),0)</f>
        <v>0</v>
      </c>
      <c r="FV145" s="294">
        <f>_xlfn.IFNA((VLOOKUP($A145,HN!$A:$M,9,FALSE)/12),0)</f>
        <v>0</v>
      </c>
      <c r="FW145" s="294">
        <f>_xlfn.IFNA((VLOOKUP($A145,'Post 16'!$A:$AG,33,FALSE)/8),0)</f>
        <v>0</v>
      </c>
      <c r="FX145" s="294"/>
      <c r="FY145" s="294">
        <f>_xlfn.IFNA(((VLOOKUP($A145,HN!$A:$M,10,FALSE)-$U145-$AK145)/10),0)</f>
        <v>7020.4212499999994</v>
      </c>
      <c r="FZ145" s="294">
        <f>_xlfn.IFNA(((VLOOKUP($A145,HN!$A:$M,13,FALSE)-$V145-$AL145)/10),0)</f>
        <v>0</v>
      </c>
      <c r="GA145" s="293">
        <f t="shared" si="259"/>
        <v>-427.45</v>
      </c>
      <c r="GB145" s="293">
        <f t="shared" si="260"/>
        <v>-357.71334999999999</v>
      </c>
      <c r="GC145" s="294"/>
      <c r="GD145" s="294"/>
      <c r="GE145" s="294"/>
      <c r="GF145" s="293">
        <f t="shared" si="261"/>
        <v>125651.32208803987</v>
      </c>
      <c r="GG145" s="300">
        <f t="shared" si="262"/>
        <v>119416.06418803988</v>
      </c>
      <c r="GH145" s="300"/>
      <c r="GI145" s="300"/>
      <c r="GJ145" s="301">
        <f>_xlfn.IFNA((VLOOKUP($A145,HN!$A:$M,8,FALSE)/12),0)</f>
        <v>0</v>
      </c>
      <c r="GK145" s="301">
        <f>_xlfn.IFNA((VLOOKUP($A145,HN!$A:$M,12,FALSE)/12),0)</f>
        <v>0</v>
      </c>
      <c r="GL145" s="301">
        <f>_xlfn.IFNA((VLOOKUP($A145,HN!$A:$M,9,FALSE)/12),0)</f>
        <v>0</v>
      </c>
      <c r="GM145" s="301">
        <f>_xlfn.IFNA((VLOOKUP($A145,'Post 16'!$A:$AG,33,FALSE)/8),0)</f>
        <v>0</v>
      </c>
      <c r="GN145" s="301"/>
      <c r="GO145" s="301">
        <f>_xlfn.IFNA(((VLOOKUP($A145,HN!$A:$M,10,FALSE)-$U145-$AK145)/10),0)</f>
        <v>7020.4212499999994</v>
      </c>
      <c r="GP145" s="301">
        <f>_xlfn.IFNA(((VLOOKUP($A145,HN!$A:$M,13,FALSE)-$V145-$AL145)/10),0)</f>
        <v>0</v>
      </c>
      <c r="GQ145" s="300">
        <f t="shared" si="263"/>
        <v>-427.45</v>
      </c>
      <c r="GR145" s="300">
        <f t="shared" si="264"/>
        <v>-357.71334999999999</v>
      </c>
      <c r="GS145" s="301"/>
      <c r="GT145" s="301"/>
      <c r="GU145" s="301"/>
      <c r="GV145" s="300">
        <f t="shared" si="265"/>
        <v>125651.32208803987</v>
      </c>
      <c r="GX145" s="146">
        <f t="shared" si="266"/>
        <v>1515544.0182841793</v>
      </c>
      <c r="GY145" s="146">
        <f t="shared" si="266"/>
        <v>0</v>
      </c>
      <c r="GZ145" s="146">
        <f t="shared" si="266"/>
        <v>86681.83</v>
      </c>
      <c r="HA145" s="146">
        <f t="shared" si="266"/>
        <v>-5129.3999999999987</v>
      </c>
      <c r="HB145" s="146">
        <f t="shared" si="266"/>
        <v>-4292.5601999999999</v>
      </c>
      <c r="HC145" s="146">
        <f t="shared" si="266"/>
        <v>0</v>
      </c>
      <c r="HE145" s="146">
        <f t="shared" si="267"/>
        <v>405458.97069708363</v>
      </c>
      <c r="HF145" s="146">
        <f t="shared" si="267"/>
        <v>0</v>
      </c>
      <c r="HG145" s="146">
        <f t="shared" si="267"/>
        <v>23498.03875</v>
      </c>
      <c r="HH145" s="146">
        <f t="shared" si="267"/>
        <v>-1282.3499999999999</v>
      </c>
      <c r="HI145" s="146">
        <f t="shared" si="267"/>
        <v>-1073.14005</v>
      </c>
      <c r="HJ145" s="146">
        <f t="shared" si="267"/>
        <v>0</v>
      </c>
      <c r="HL145" s="146"/>
      <c r="HM145" s="57"/>
    </row>
    <row r="146" spans="1:221">
      <c r="A146" s="185">
        <v>3363</v>
      </c>
      <c r="B146" s="185">
        <v>103455</v>
      </c>
      <c r="C146" s="185" t="s">
        <v>315</v>
      </c>
      <c r="D146" s="2" t="s">
        <v>316</v>
      </c>
      <c r="E146" s="190" t="s">
        <v>39</v>
      </c>
      <c r="F146" s="190" t="s">
        <v>890</v>
      </c>
      <c r="H146" s="271">
        <f>_xlfn.IFNA(VLOOKUP($A146,ISB!$A$4:$BY$441,67,FALSE),0)</f>
        <v>1552520.5721592309</v>
      </c>
      <c r="I146" s="271">
        <f>_xlfn.IFNA(VLOOKUP($A146,ISB!$A$4:$BY$441,72,FALSE),0)</f>
        <v>-6573.5999999999995</v>
      </c>
      <c r="J146" s="271">
        <f>-_xlfn.IFNA(VLOOKUP($A146,ISB!$A$4:$BY$441,76,FALSE),0)</f>
        <v>-9681.8904000000002</v>
      </c>
      <c r="K146" s="271">
        <f>_xlfn.IFNA(VLOOKUP($A146,ISB!$A$4:$BY$441,77,FALSE),0)</f>
        <v>1536265.0817592309</v>
      </c>
      <c r="M146" s="279">
        <f t="shared" si="218"/>
        <v>129376.71434660257</v>
      </c>
      <c r="N146" s="279"/>
      <c r="O146" s="279">
        <f>_xlfn.IFNA(VLOOKUP($A146,EY!$A:$H,8,FALSE)+(VLOOKUP($A146,EY!$A:$R,18,FALSE)-$T146),0)</f>
        <v>25269.816000000006</v>
      </c>
      <c r="P146" s="280">
        <f>_xlfn.IFNA((VLOOKUP($A146,HN!$A:$M,8,FALSE)/12),0)</f>
        <v>0</v>
      </c>
      <c r="Q146" s="280">
        <f>_xlfn.IFNA((VLOOKUP($A146,HN!$A:$M,12,FALSE)/12),0)</f>
        <v>0</v>
      </c>
      <c r="R146" s="280">
        <f>_xlfn.IFNA((VLOOKUP($A146,HN!$A:$M,9,FALSE)/12),0)</f>
        <v>0</v>
      </c>
      <c r="S146" s="280">
        <f>_xlfn.IFNA((VLOOKUP($A146,'Post 16'!$A:$AR,22,FALSE)/4),0)</f>
        <v>0</v>
      </c>
      <c r="T146" s="280">
        <f>_xlfn.IFNA((VLOOKUP($A146,EY!$A:$R,16,FALSE)*80%),0)</f>
        <v>0</v>
      </c>
      <c r="U146" s="280">
        <v>1312.7225000000001</v>
      </c>
      <c r="V146" s="280">
        <v>0</v>
      </c>
      <c r="W146" s="279">
        <f t="shared" si="219"/>
        <v>-547.79999999999995</v>
      </c>
      <c r="X146" s="279">
        <f t="shared" si="220"/>
        <v>-806.82420000000002</v>
      </c>
      <c r="Y146" s="280"/>
      <c r="Z146" s="280"/>
      <c r="AA146" s="280"/>
      <c r="AB146" s="279">
        <f t="shared" si="221"/>
        <v>154604.62864660259</v>
      </c>
      <c r="AC146" s="293">
        <f t="shared" si="222"/>
        <v>129376.71434660257</v>
      </c>
      <c r="AD146" s="293"/>
      <c r="AE146" s="293"/>
      <c r="AF146" s="294">
        <f>_xlfn.IFNA((VLOOKUP($A146,HN!$A:$M,8,FALSE)/12),0)</f>
        <v>0</v>
      </c>
      <c r="AG146" s="294">
        <f>_xlfn.IFNA((VLOOKUP($A146,HN!$A:$M,12,FALSE)/12),0)+_xlfn.IFNA(VLOOKUP($A146,HN!$A:$Q,17,FALSE),0)</f>
        <v>0</v>
      </c>
      <c r="AH146" s="294">
        <f>_xlfn.IFNA((VLOOKUP($A146,HN!$A:$M,9,FALSE)/12),0)</f>
        <v>0</v>
      </c>
      <c r="AI146" s="294">
        <f>_xlfn.IFNA((VLOOKUP($A146,'Post 16'!$A:$AR,22,FALSE)/4),0)</f>
        <v>0</v>
      </c>
      <c r="AJ146" s="294"/>
      <c r="AK146" s="294">
        <f>_xlfn.IFNA((VLOOKUP($A146,HN!$A:$M,10,FALSE)/12),0)</f>
        <v>2720.2083333333335</v>
      </c>
      <c r="AL146" s="294">
        <f>_xlfn.IFNA((VLOOKUP($A146,HN!$A:$M,13,FALSE)/12),0)</f>
        <v>0</v>
      </c>
      <c r="AM146" s="293">
        <f t="shared" si="223"/>
        <v>-547.79999999999995</v>
      </c>
      <c r="AN146" s="293">
        <f t="shared" si="224"/>
        <v>-806.82420000000002</v>
      </c>
      <c r="AO146" s="294"/>
      <c r="AP146" s="294"/>
      <c r="AQ146" s="294"/>
      <c r="AR146" s="293">
        <f t="shared" si="225"/>
        <v>130742.29847993591</v>
      </c>
      <c r="AS146" s="286">
        <f t="shared" si="226"/>
        <v>129376.71434660257</v>
      </c>
      <c r="AT146" s="286"/>
      <c r="AU146" s="286">
        <f>_xlfn.IFNA(VLOOKUP(A146,EY!A:AO,40,FALSE),0)</f>
        <v>9354.6838504155112</v>
      </c>
      <c r="AV146" s="287">
        <f>_xlfn.IFNA((VLOOKUP($A146,HN!$A:$M,8,FALSE)/12),0)</f>
        <v>0</v>
      </c>
      <c r="AW146" s="287">
        <f>_xlfn.IFNA((VLOOKUP($A146,HN!$A:$M,12,FALSE)/12),0)+_xlfn.IFNA(VLOOKUP($A146,HN!$A$8:$AU$200,19,FALSE),0)</f>
        <v>0</v>
      </c>
      <c r="AX146" s="287">
        <f>_xlfn.IFNA((VLOOKUP($A146,HN!$A:$M,9,FALSE)/12),0)</f>
        <v>0</v>
      </c>
      <c r="AY146" s="287">
        <f>_xlfn.IFNA((VLOOKUP($A146,'Post 16'!$A:$AR,22,FALSE)/4),0)</f>
        <v>0</v>
      </c>
      <c r="AZ146" s="287">
        <f>_xlfn.IFNA(VLOOKUP(A146,EY!A:AO,41,FALSE),0)</f>
        <v>0</v>
      </c>
      <c r="BA146" s="287">
        <f>_xlfn.IFNA(((VLOOKUP($A146,HN!$A:$M,10,FALSE)-$U146-$AK146)/10),0)+_xlfn.IFNA(VLOOKUP($A146,HN!$A:$R,18,FALSE),0)</f>
        <v>2860.956916666667</v>
      </c>
      <c r="BB146" s="287">
        <f>_xlfn.IFNA(((VLOOKUP($A146,HN!$A:$M,13,FALSE)-$V146-$AL146)/10),0)+_xlfn.IFNA(VLOOKUP($A146,HN!$A$8:$AU$200,20,FALSE),0)</f>
        <v>0</v>
      </c>
      <c r="BC146" s="286">
        <f t="shared" si="227"/>
        <v>-547.79999999999995</v>
      </c>
      <c r="BD146" s="286">
        <f t="shared" si="228"/>
        <v>-806.82420000000002</v>
      </c>
      <c r="BE146" s="287"/>
      <c r="BF146" s="287"/>
      <c r="BG146" s="287"/>
      <c r="BH146" s="286">
        <f t="shared" si="229"/>
        <v>140237.73091368476</v>
      </c>
      <c r="BI146" s="307">
        <f t="shared" si="230"/>
        <v>129376.71434660257</v>
      </c>
      <c r="BJ146" s="307">
        <f>_xlfn.IFNA(VLOOKUP(A146,'LA Deductions'!A:AH,34,FALSE),0)</f>
        <v>0</v>
      </c>
      <c r="BK146" s="307"/>
      <c r="BL146" s="308">
        <f>_xlfn.IFNA((VLOOKUP($A146,HN!$A:$M,8,FALSE)/12),0)</f>
        <v>0</v>
      </c>
      <c r="BM146" s="308">
        <f>_xlfn.IFNA((VLOOKUP($A146,HN!$A:$M,12,FALSE)/12),0)</f>
        <v>0</v>
      </c>
      <c r="BN146" s="308">
        <f>_xlfn.IFNA((VLOOKUP($A146,HN!$A:$M,9,FALSE)/12),0)</f>
        <v>0</v>
      </c>
      <c r="BO146" s="308">
        <f>_xlfn.IFNA((VLOOKUP($A146,'Post 16'!$A:$AR,22,FALSE)/4),0)</f>
        <v>0</v>
      </c>
      <c r="BP146" s="308"/>
      <c r="BQ146" s="308">
        <f>_xlfn.IFNA(((VLOOKUP($A146,HN!$A:$M,10,FALSE)-$U146-$AK146)/10),0)</f>
        <v>2860.956916666667</v>
      </c>
      <c r="BR146" s="308">
        <f>_xlfn.IFNA(((VLOOKUP($A146,HN!$A:$M,13,FALSE)-$V146-$AL146)/10),0)</f>
        <v>0</v>
      </c>
      <c r="BS146" s="307">
        <f t="shared" si="231"/>
        <v>-547.79999999999995</v>
      </c>
      <c r="BT146" s="307">
        <f t="shared" si="232"/>
        <v>-806.82420000000002</v>
      </c>
      <c r="BU146" s="308"/>
      <c r="BV146" s="308"/>
      <c r="BW146" s="308"/>
      <c r="BX146" s="307">
        <f t="shared" si="233"/>
        <v>130883.04706326924</v>
      </c>
      <c r="BY146" s="300">
        <f t="shared" si="234"/>
        <v>129376.71434660257</v>
      </c>
      <c r="BZ146" s="300"/>
      <c r="CA146" s="300"/>
      <c r="CB146" s="301">
        <f>_xlfn.IFNA((VLOOKUP($A146,HN!$A:$M,8,FALSE)/12),0)</f>
        <v>0</v>
      </c>
      <c r="CC146" s="301">
        <f>_xlfn.IFNA((VLOOKUP($A146,HN!$A:$M,12,FALSE)/12),0)</f>
        <v>0</v>
      </c>
      <c r="CD146" s="301">
        <f>_xlfn.IFNA((VLOOKUP($A146,HN!$A:$M,9,FALSE)/12),0)</f>
        <v>0</v>
      </c>
      <c r="CE146" s="301">
        <f>_xlfn.IFNA((VLOOKUP($A146,'Post 16'!$A:$AG,33,FALSE)/8),0)</f>
        <v>0</v>
      </c>
      <c r="CF146" s="301"/>
      <c r="CG146" s="301">
        <f>_xlfn.IFNA(((VLOOKUP($A146,HN!$A:$M,10,FALSE)-$U146-$AK146)/10),0)</f>
        <v>2860.956916666667</v>
      </c>
      <c r="CH146" s="301">
        <f>_xlfn.IFNA(((VLOOKUP($A146,HN!$A:$M,13,FALSE)-$V146-$AL146)/10),0)</f>
        <v>0</v>
      </c>
      <c r="CI146" s="300">
        <f t="shared" si="235"/>
        <v>-547.79999999999995</v>
      </c>
      <c r="CJ146" s="300">
        <f t="shared" si="236"/>
        <v>-806.82420000000002</v>
      </c>
      <c r="CK146" s="301"/>
      <c r="CL146" s="301"/>
      <c r="CM146" s="301"/>
      <c r="CN146" s="300">
        <f t="shared" si="237"/>
        <v>130883.04706326924</v>
      </c>
      <c r="CO146" s="332">
        <f t="shared" si="238"/>
        <v>129376.71434660257</v>
      </c>
      <c r="CP146" s="332"/>
      <c r="CQ146" s="332">
        <f>_xlfn.IFNA((VLOOKUP($A146,EY!$A:$AB,28,FALSE)-$CV146),0)</f>
        <v>25438.712000000003</v>
      </c>
      <c r="CR146" s="333">
        <f>_xlfn.IFNA((VLOOKUP($A146,HN!$A:$M,8,FALSE)/12),0)</f>
        <v>0</v>
      </c>
      <c r="CS146" s="333">
        <f>_xlfn.IFNA((VLOOKUP($A146,HN!$A:$M,12,FALSE)/12),0)</f>
        <v>0</v>
      </c>
      <c r="CT146" s="333">
        <f>_xlfn.IFNA((VLOOKUP($A146,HN!$A:$M,9,FALSE)/12),0)</f>
        <v>0</v>
      </c>
      <c r="CU146" s="333">
        <f>_xlfn.IFNA((VLOOKUP($A146,'Post 16'!$A:$AG,33,FALSE)/8),0)</f>
        <v>0</v>
      </c>
      <c r="CV146" s="333">
        <f>_xlfn.IFNA((VLOOKUP($A146,EY!$A:$AB,26,FALSE)*80%),0)</f>
        <v>0</v>
      </c>
      <c r="CW146" s="333">
        <f>_xlfn.IFNA(((VLOOKUP($A146,HN!$A:$M,10,FALSE)-$U146-$AK146)/10),0)</f>
        <v>2860.956916666667</v>
      </c>
      <c r="CX146" s="333">
        <f>_xlfn.IFNA(((VLOOKUP($A146,HN!$A:$M,13,FALSE)-$V146-$AL146)/10),0)</f>
        <v>0</v>
      </c>
      <c r="CY146" s="332">
        <f t="shared" si="239"/>
        <v>-547.79999999999995</v>
      </c>
      <c r="CZ146" s="332">
        <f t="shared" si="240"/>
        <v>-806.82420000000002</v>
      </c>
      <c r="DA146" s="333"/>
      <c r="DB146" s="333"/>
      <c r="DC146" s="333"/>
      <c r="DD146" s="332">
        <f t="shared" si="241"/>
        <v>156321.75906326927</v>
      </c>
      <c r="DE146" s="314">
        <f t="shared" si="242"/>
        <v>129376.71434660257</v>
      </c>
      <c r="DF146" s="314"/>
      <c r="DG146" s="314"/>
      <c r="DH146" s="315">
        <f>_xlfn.IFNA((VLOOKUP($A146,HN!$A:$M,8,FALSE)/12),0)</f>
        <v>0</v>
      </c>
      <c r="DI146" s="315">
        <f>_xlfn.IFNA((VLOOKUP($A146,HN!$A:$M,12,FALSE)/12),0)</f>
        <v>0</v>
      </c>
      <c r="DJ146" s="315">
        <f>_xlfn.IFNA((VLOOKUP($A146,HN!$A:$M,9,FALSE)/12),0)</f>
        <v>0</v>
      </c>
      <c r="DK146" s="315">
        <f>_xlfn.IFNA((VLOOKUP($A146,'Post 16'!$A:$AG,33,FALSE)/8),0)</f>
        <v>0</v>
      </c>
      <c r="DL146" s="315"/>
      <c r="DM146" s="315">
        <f>_xlfn.IFNA(((VLOOKUP($A146,HN!$A:$M,10,FALSE)-$U146-$AK146)/10),0)</f>
        <v>2860.956916666667</v>
      </c>
      <c r="DN146" s="315">
        <f>_xlfn.IFNA(((VLOOKUP($A146,HN!$A:$M,13,FALSE)-$V146-$AL146)/10),0)</f>
        <v>0</v>
      </c>
      <c r="DO146" s="314">
        <f t="shared" si="243"/>
        <v>-547.79999999999995</v>
      </c>
      <c r="DP146" s="314">
        <f t="shared" si="244"/>
        <v>-806.82420000000002</v>
      </c>
      <c r="DQ146" s="315"/>
      <c r="DR146" s="315"/>
      <c r="DS146" s="315"/>
      <c r="DT146" s="314">
        <f t="shared" si="245"/>
        <v>130883.04706326924</v>
      </c>
      <c r="DU146" s="307">
        <f t="shared" si="246"/>
        <v>129376.71434660257</v>
      </c>
      <c r="DV146" s="307"/>
      <c r="DW146" s="307"/>
      <c r="DX146" s="308">
        <f>_xlfn.IFNA((VLOOKUP($A146,HN!$A:$M,8,FALSE)/12),0)</f>
        <v>0</v>
      </c>
      <c r="DY146" s="308">
        <f>_xlfn.IFNA((VLOOKUP($A146,HN!$A:$M,12,FALSE)/12),0)</f>
        <v>0</v>
      </c>
      <c r="DZ146" s="308">
        <f>_xlfn.IFNA((VLOOKUP($A146,HN!$A:$M,9,FALSE)/12),0)</f>
        <v>0</v>
      </c>
      <c r="EA146" s="308">
        <f>_xlfn.IFNA((VLOOKUP($A146,'Post 16'!$A:$AG,33,FALSE)/8),0)</f>
        <v>0</v>
      </c>
      <c r="EB146" s="308"/>
      <c r="EC146" s="308">
        <f>_xlfn.IFNA(((VLOOKUP($A146,HN!$A:$M,10,FALSE)-$U146-$AK146)/10),0)</f>
        <v>2860.956916666667</v>
      </c>
      <c r="ED146" s="308">
        <f>_xlfn.IFNA(((VLOOKUP($A146,HN!$A:$M,13,FALSE)-$V146-$AL146)/10),0)</f>
        <v>0</v>
      </c>
      <c r="EE146" s="307">
        <f t="shared" si="247"/>
        <v>-547.79999999999995</v>
      </c>
      <c r="EF146" s="307">
        <f t="shared" si="248"/>
        <v>-806.82420000000002</v>
      </c>
      <c r="EG146" s="308"/>
      <c r="EH146" s="308"/>
      <c r="EI146" s="308"/>
      <c r="EJ146" s="307">
        <f t="shared" si="249"/>
        <v>130883.04706326924</v>
      </c>
      <c r="EK146" s="320">
        <f t="shared" si="250"/>
        <v>129376.71434660257</v>
      </c>
      <c r="EL146" s="320"/>
      <c r="EM146" s="320"/>
      <c r="EN146" s="321">
        <f>_xlfn.IFNA((VLOOKUP($A146,HN!$A:$M,8,FALSE)/12),0)</f>
        <v>0</v>
      </c>
      <c r="EO146" s="321">
        <f>_xlfn.IFNA((VLOOKUP($A146,HN!$A:$M,12,FALSE)/12),0)</f>
        <v>0</v>
      </c>
      <c r="EP146" s="321">
        <f>_xlfn.IFNA((VLOOKUP($A146,HN!$A:$M,9,FALSE)/12),0)</f>
        <v>0</v>
      </c>
      <c r="EQ146" s="321">
        <f>_xlfn.IFNA((VLOOKUP($A146,'Post 16'!$A:$AG,33,FALSE)/8),0)</f>
        <v>0</v>
      </c>
      <c r="ER146" s="321"/>
      <c r="ES146" s="321">
        <f>_xlfn.IFNA(((VLOOKUP($A146,HN!$A:$M,10,FALSE)-$U146-$AK146)/10),0)</f>
        <v>2860.956916666667</v>
      </c>
      <c r="ET146" s="321">
        <f>_xlfn.IFNA(((VLOOKUP($A146,HN!$A:$M,13,FALSE)-$V146-$AL146)/10),0)</f>
        <v>0</v>
      </c>
      <c r="EU146" s="320">
        <f t="shared" si="251"/>
        <v>-547.79999999999995</v>
      </c>
      <c r="EV146" s="320">
        <f t="shared" si="252"/>
        <v>-806.82420000000002</v>
      </c>
      <c r="EW146" s="321"/>
      <c r="EX146" s="321"/>
      <c r="EY146" s="321"/>
      <c r="EZ146" s="320">
        <f t="shared" si="253"/>
        <v>130883.04706326924</v>
      </c>
      <c r="FA146" s="286">
        <f t="shared" si="254"/>
        <v>129376.71434660257</v>
      </c>
      <c r="FB146" s="286"/>
      <c r="FC146" s="286"/>
      <c r="FD146" s="287">
        <f>_xlfn.IFNA((VLOOKUP($A146,HN!$A:$M,8,FALSE)/12),0)</f>
        <v>0</v>
      </c>
      <c r="FE146" s="287">
        <f>_xlfn.IFNA((VLOOKUP($A146,HN!$A:$M,12,FALSE)/12),0)</f>
        <v>0</v>
      </c>
      <c r="FF146" s="287">
        <f>_xlfn.IFNA((VLOOKUP($A146,HN!$A:$M,9,FALSE)/12),0)</f>
        <v>0</v>
      </c>
      <c r="FG146" s="287">
        <f>_xlfn.IFNA((VLOOKUP($A146,'Post 16'!$A:$AG,33,FALSE)/8),0)</f>
        <v>0</v>
      </c>
      <c r="FH146" s="287"/>
      <c r="FI146" s="287">
        <f>_xlfn.IFNA(((VLOOKUP($A146,HN!$A:$M,10,FALSE)-$U146-$AK146)/10),0)</f>
        <v>2860.956916666667</v>
      </c>
      <c r="FJ146" s="287">
        <f>_xlfn.IFNA(((VLOOKUP($A146,HN!$A:$M,13,FALSE)-$V146-$AL146)/10),0)</f>
        <v>0</v>
      </c>
      <c r="FK146" s="286">
        <f t="shared" si="255"/>
        <v>-547.79999999999995</v>
      </c>
      <c r="FL146" s="286">
        <f t="shared" si="256"/>
        <v>-806.82420000000002</v>
      </c>
      <c r="FM146" s="287"/>
      <c r="FN146" s="287"/>
      <c r="FO146" s="287"/>
      <c r="FP146" s="286">
        <f t="shared" si="257"/>
        <v>130883.04706326924</v>
      </c>
      <c r="FQ146" s="293">
        <f t="shared" si="258"/>
        <v>129376.71434660257</v>
      </c>
      <c r="FR146" s="293"/>
      <c r="FS146" s="293"/>
      <c r="FT146" s="294">
        <f>_xlfn.IFNA((VLOOKUP($A146,HN!$A:$M,8,FALSE)/12),0)</f>
        <v>0</v>
      </c>
      <c r="FU146" s="294">
        <f>_xlfn.IFNA((VLOOKUP($A146,HN!$A:$M,12,FALSE)/12),0)</f>
        <v>0</v>
      </c>
      <c r="FV146" s="294">
        <f>_xlfn.IFNA((VLOOKUP($A146,HN!$A:$M,9,FALSE)/12),0)</f>
        <v>0</v>
      </c>
      <c r="FW146" s="294">
        <f>_xlfn.IFNA((VLOOKUP($A146,'Post 16'!$A:$AG,33,FALSE)/8),0)</f>
        <v>0</v>
      </c>
      <c r="FX146" s="294"/>
      <c r="FY146" s="294">
        <f>_xlfn.IFNA(((VLOOKUP($A146,HN!$A:$M,10,FALSE)-$U146-$AK146)/10),0)</f>
        <v>2860.956916666667</v>
      </c>
      <c r="FZ146" s="294">
        <f>_xlfn.IFNA(((VLOOKUP($A146,HN!$A:$M,13,FALSE)-$V146-$AL146)/10),0)</f>
        <v>0</v>
      </c>
      <c r="GA146" s="293">
        <f t="shared" si="259"/>
        <v>-547.79999999999995</v>
      </c>
      <c r="GB146" s="293">
        <f t="shared" si="260"/>
        <v>-806.82420000000002</v>
      </c>
      <c r="GC146" s="294"/>
      <c r="GD146" s="294"/>
      <c r="GE146" s="294"/>
      <c r="GF146" s="293">
        <f t="shared" si="261"/>
        <v>130883.04706326924</v>
      </c>
      <c r="GG146" s="300">
        <f t="shared" si="262"/>
        <v>129376.71434660257</v>
      </c>
      <c r="GH146" s="300"/>
      <c r="GI146" s="300"/>
      <c r="GJ146" s="301">
        <f>_xlfn.IFNA((VLOOKUP($A146,HN!$A:$M,8,FALSE)/12),0)</f>
        <v>0</v>
      </c>
      <c r="GK146" s="301">
        <f>_xlfn.IFNA((VLOOKUP($A146,HN!$A:$M,12,FALSE)/12),0)</f>
        <v>0</v>
      </c>
      <c r="GL146" s="301">
        <f>_xlfn.IFNA((VLOOKUP($A146,HN!$A:$M,9,FALSE)/12),0)</f>
        <v>0</v>
      </c>
      <c r="GM146" s="301">
        <f>_xlfn.IFNA((VLOOKUP($A146,'Post 16'!$A:$AG,33,FALSE)/8),0)</f>
        <v>0</v>
      </c>
      <c r="GN146" s="301"/>
      <c r="GO146" s="301">
        <f>_xlfn.IFNA(((VLOOKUP($A146,HN!$A:$M,10,FALSE)-$U146-$AK146)/10),0)</f>
        <v>2860.956916666667</v>
      </c>
      <c r="GP146" s="301">
        <f>_xlfn.IFNA(((VLOOKUP($A146,HN!$A:$M,13,FALSE)-$V146-$AL146)/10),0)</f>
        <v>0</v>
      </c>
      <c r="GQ146" s="300">
        <f t="shared" si="263"/>
        <v>-547.79999999999995</v>
      </c>
      <c r="GR146" s="300">
        <f t="shared" si="264"/>
        <v>-806.82420000000002</v>
      </c>
      <c r="GS146" s="301"/>
      <c r="GT146" s="301"/>
      <c r="GU146" s="301"/>
      <c r="GV146" s="300">
        <f t="shared" si="265"/>
        <v>130883.04706326924</v>
      </c>
      <c r="GX146" s="146">
        <f t="shared" si="266"/>
        <v>1612583.7840096464</v>
      </c>
      <c r="GY146" s="146">
        <f t="shared" si="266"/>
        <v>0</v>
      </c>
      <c r="GZ146" s="146">
        <f t="shared" si="266"/>
        <v>32642.499999999996</v>
      </c>
      <c r="HA146" s="146">
        <f t="shared" si="266"/>
        <v>-6573.6000000000013</v>
      </c>
      <c r="HB146" s="146">
        <f t="shared" si="266"/>
        <v>-9681.8904000000002</v>
      </c>
      <c r="HC146" s="146">
        <f t="shared" si="266"/>
        <v>0</v>
      </c>
      <c r="HE146" s="146">
        <f t="shared" si="267"/>
        <v>422754.64289022324</v>
      </c>
      <c r="HF146" s="146">
        <f t="shared" si="267"/>
        <v>0</v>
      </c>
      <c r="HG146" s="146">
        <f t="shared" si="267"/>
        <v>6893.8877500000008</v>
      </c>
      <c r="HH146" s="146">
        <f t="shared" si="267"/>
        <v>-1643.3999999999999</v>
      </c>
      <c r="HI146" s="146">
        <f t="shared" si="267"/>
        <v>-2420.4726000000001</v>
      </c>
      <c r="HJ146" s="146">
        <f t="shared" si="267"/>
        <v>0</v>
      </c>
      <c r="HL146" s="146"/>
      <c r="HM146" s="57"/>
    </row>
    <row r="147" spans="1:221">
      <c r="A147" s="185">
        <v>3355</v>
      </c>
      <c r="B147" s="185">
        <v>103447</v>
      </c>
      <c r="C147" s="185" t="s">
        <v>317</v>
      </c>
      <c r="D147" s="2" t="s">
        <v>318</v>
      </c>
      <c r="E147" s="190" t="s">
        <v>39</v>
      </c>
      <c r="F147" s="190" t="s">
        <v>890</v>
      </c>
      <c r="H147" s="271">
        <f>_xlfn.IFNA(VLOOKUP($A147,ISB!$A$4:$BY$441,67,FALSE),0)</f>
        <v>2142641.9591704747</v>
      </c>
      <c r="I147" s="271">
        <f>_xlfn.IFNA(VLOOKUP($A147,ISB!$A$4:$BY$441,72,FALSE),0)</f>
        <v>-9188.1</v>
      </c>
      <c r="J147" s="271">
        <f>-_xlfn.IFNA(VLOOKUP($A147,ISB!$A$4:$BY$441,76,FALSE),0)</f>
        <v>-9105.5874000000003</v>
      </c>
      <c r="K147" s="271">
        <f>_xlfn.IFNA(VLOOKUP($A147,ISB!$A$4:$BY$441,77,FALSE),0)</f>
        <v>2124348.2717704745</v>
      </c>
      <c r="M147" s="279">
        <f t="shared" si="218"/>
        <v>178553.49659753955</v>
      </c>
      <c r="N147" s="279"/>
      <c r="O147" s="279">
        <f>_xlfn.IFNA(VLOOKUP($A147,EY!$A:$H,8,FALSE)+(VLOOKUP($A147,EY!$A:$R,18,FALSE)-$T147),0)</f>
        <v>0</v>
      </c>
      <c r="P147" s="280">
        <f>_xlfn.IFNA((VLOOKUP($A147,HN!$A:$M,8,FALSE)/12),0)</f>
        <v>0</v>
      </c>
      <c r="Q147" s="280">
        <f>_xlfn.IFNA((VLOOKUP($A147,HN!$A:$M,12,FALSE)/12),0)</f>
        <v>0</v>
      </c>
      <c r="R147" s="280">
        <f>_xlfn.IFNA((VLOOKUP($A147,HN!$A:$M,9,FALSE)/12),0)</f>
        <v>0</v>
      </c>
      <c r="S147" s="280">
        <f>_xlfn.IFNA((VLOOKUP($A147,'Post 16'!$A:$AR,22,FALSE)/4),0)</f>
        <v>0</v>
      </c>
      <c r="T147" s="280">
        <f>_xlfn.IFNA((VLOOKUP($A147,EY!$A:$R,16,FALSE)*80%),0)</f>
        <v>0</v>
      </c>
      <c r="U147" s="280">
        <v>17092.409166666668</v>
      </c>
      <c r="V147" s="280">
        <v>0</v>
      </c>
      <c r="W147" s="279">
        <f t="shared" si="219"/>
        <v>-765.67500000000007</v>
      </c>
      <c r="X147" s="279">
        <f t="shared" si="220"/>
        <v>-758.79894999999999</v>
      </c>
      <c r="Y147" s="280"/>
      <c r="Z147" s="280"/>
      <c r="AA147" s="280"/>
      <c r="AB147" s="279">
        <f t="shared" si="221"/>
        <v>194121.43181420624</v>
      </c>
      <c r="AC147" s="293">
        <f t="shared" si="222"/>
        <v>178553.49659753955</v>
      </c>
      <c r="AD147" s="293"/>
      <c r="AE147" s="293"/>
      <c r="AF147" s="294">
        <f>_xlfn.IFNA((VLOOKUP($A147,HN!$A:$M,8,FALSE)/12),0)</f>
        <v>0</v>
      </c>
      <c r="AG147" s="294">
        <f>_xlfn.IFNA((VLOOKUP($A147,HN!$A:$M,12,FALSE)/12),0)+_xlfn.IFNA(VLOOKUP($A147,HN!$A:$Q,17,FALSE),0)</f>
        <v>0</v>
      </c>
      <c r="AH147" s="294">
        <f>_xlfn.IFNA((VLOOKUP($A147,HN!$A:$M,9,FALSE)/12),0)</f>
        <v>0</v>
      </c>
      <c r="AI147" s="294">
        <f>_xlfn.IFNA((VLOOKUP($A147,'Post 16'!$A:$AR,22,FALSE)/4),0)</f>
        <v>0</v>
      </c>
      <c r="AJ147" s="294"/>
      <c r="AK147" s="294">
        <f>_xlfn.IFNA((VLOOKUP($A147,HN!$A:$M,10,FALSE)/12),0)</f>
        <v>4535.4508333333333</v>
      </c>
      <c r="AL147" s="294">
        <f>_xlfn.IFNA((VLOOKUP($A147,HN!$A:$M,13,FALSE)/12),0)</f>
        <v>0</v>
      </c>
      <c r="AM147" s="293">
        <f t="shared" si="223"/>
        <v>-765.67500000000007</v>
      </c>
      <c r="AN147" s="293">
        <f t="shared" si="224"/>
        <v>-758.79894999999999</v>
      </c>
      <c r="AO147" s="294"/>
      <c r="AP147" s="294"/>
      <c r="AQ147" s="294"/>
      <c r="AR147" s="293">
        <f t="shared" si="225"/>
        <v>181564.4734808729</v>
      </c>
      <c r="AS147" s="286">
        <f t="shared" si="226"/>
        <v>178553.49659753955</v>
      </c>
      <c r="AT147" s="286"/>
      <c r="AU147" s="286">
        <f>_xlfn.IFNA(VLOOKUP(A147,EY!A:AO,40,FALSE),0)</f>
        <v>0</v>
      </c>
      <c r="AV147" s="287">
        <f>_xlfn.IFNA((VLOOKUP($A147,HN!$A:$M,8,FALSE)/12),0)</f>
        <v>0</v>
      </c>
      <c r="AW147" s="287">
        <f>_xlfn.IFNA((VLOOKUP($A147,HN!$A:$M,12,FALSE)/12),0)+_xlfn.IFNA(VLOOKUP($A147,HN!$A$8:$AU$200,19,FALSE),0)</f>
        <v>0</v>
      </c>
      <c r="AX147" s="287">
        <f>_xlfn.IFNA((VLOOKUP($A147,HN!$A:$M,9,FALSE)/12),0)</f>
        <v>0</v>
      </c>
      <c r="AY147" s="287">
        <f>_xlfn.IFNA((VLOOKUP($A147,'Post 16'!$A:$AR,22,FALSE)/4),0)</f>
        <v>0</v>
      </c>
      <c r="AZ147" s="287">
        <f>_xlfn.IFNA(VLOOKUP(A147,EY!A:AO,41,FALSE),0)</f>
        <v>0</v>
      </c>
      <c r="BA147" s="287">
        <f>_xlfn.IFNA(((VLOOKUP($A147,HN!$A:$M,10,FALSE)-$U147-$AK147)/10),0)+_xlfn.IFNA(VLOOKUP($A147,HN!$A:$R,18,FALSE),0)</f>
        <v>3279.7550000000001</v>
      </c>
      <c r="BB147" s="287">
        <f>_xlfn.IFNA(((VLOOKUP($A147,HN!$A:$M,13,FALSE)-$V147-$AL147)/10),0)+_xlfn.IFNA(VLOOKUP($A147,HN!$A$8:$AU$200,20,FALSE),0)</f>
        <v>0</v>
      </c>
      <c r="BC147" s="286">
        <f t="shared" si="227"/>
        <v>-765.67500000000007</v>
      </c>
      <c r="BD147" s="286">
        <f t="shared" si="228"/>
        <v>-758.79894999999999</v>
      </c>
      <c r="BE147" s="287"/>
      <c r="BF147" s="287"/>
      <c r="BG147" s="287"/>
      <c r="BH147" s="286">
        <f t="shared" si="229"/>
        <v>180308.77764753957</v>
      </c>
      <c r="BI147" s="307">
        <f t="shared" si="230"/>
        <v>178553.49659753955</v>
      </c>
      <c r="BJ147" s="307">
        <f>_xlfn.IFNA(VLOOKUP(A147,'LA Deductions'!A:AH,34,FALSE),0)</f>
        <v>-4530</v>
      </c>
      <c r="BK147" s="307"/>
      <c r="BL147" s="308">
        <f>_xlfn.IFNA((VLOOKUP($A147,HN!$A:$M,8,FALSE)/12),0)</f>
        <v>0</v>
      </c>
      <c r="BM147" s="308">
        <f>_xlfn.IFNA((VLOOKUP($A147,HN!$A:$M,12,FALSE)/12),0)</f>
        <v>0</v>
      </c>
      <c r="BN147" s="308">
        <f>_xlfn.IFNA((VLOOKUP($A147,HN!$A:$M,9,FALSE)/12),0)</f>
        <v>0</v>
      </c>
      <c r="BO147" s="308">
        <f>_xlfn.IFNA((VLOOKUP($A147,'Post 16'!$A:$AR,22,FALSE)/4),0)</f>
        <v>0</v>
      </c>
      <c r="BP147" s="308"/>
      <c r="BQ147" s="308">
        <f>_xlfn.IFNA(((VLOOKUP($A147,HN!$A:$M,10,FALSE)-$U147-$AK147)/10),0)</f>
        <v>3279.7550000000001</v>
      </c>
      <c r="BR147" s="308">
        <f>_xlfn.IFNA(((VLOOKUP($A147,HN!$A:$M,13,FALSE)-$V147-$AL147)/10),0)</f>
        <v>0</v>
      </c>
      <c r="BS147" s="307">
        <f t="shared" si="231"/>
        <v>-765.67500000000007</v>
      </c>
      <c r="BT147" s="307">
        <f t="shared" si="232"/>
        <v>-758.79894999999999</v>
      </c>
      <c r="BU147" s="308"/>
      <c r="BV147" s="308"/>
      <c r="BW147" s="308"/>
      <c r="BX147" s="307">
        <f t="shared" si="233"/>
        <v>175778.77764753957</v>
      </c>
      <c r="BY147" s="300">
        <f t="shared" si="234"/>
        <v>178553.49659753955</v>
      </c>
      <c r="BZ147" s="300"/>
      <c r="CA147" s="300"/>
      <c r="CB147" s="301">
        <f>_xlfn.IFNA((VLOOKUP($A147,HN!$A:$M,8,FALSE)/12),0)</f>
        <v>0</v>
      </c>
      <c r="CC147" s="301">
        <f>_xlfn.IFNA((VLOOKUP($A147,HN!$A:$M,12,FALSE)/12),0)</f>
        <v>0</v>
      </c>
      <c r="CD147" s="301">
        <f>_xlfn.IFNA((VLOOKUP($A147,HN!$A:$M,9,FALSE)/12),0)</f>
        <v>0</v>
      </c>
      <c r="CE147" s="301">
        <f>_xlfn.IFNA((VLOOKUP($A147,'Post 16'!$A:$AG,33,FALSE)/8),0)</f>
        <v>0</v>
      </c>
      <c r="CF147" s="301"/>
      <c r="CG147" s="301">
        <f>_xlfn.IFNA(((VLOOKUP($A147,HN!$A:$M,10,FALSE)-$U147-$AK147)/10),0)</f>
        <v>3279.7550000000001</v>
      </c>
      <c r="CH147" s="301">
        <f>_xlfn.IFNA(((VLOOKUP($A147,HN!$A:$M,13,FALSE)-$V147-$AL147)/10),0)</f>
        <v>0</v>
      </c>
      <c r="CI147" s="300">
        <f t="shared" si="235"/>
        <v>-765.67500000000007</v>
      </c>
      <c r="CJ147" s="300">
        <f t="shared" si="236"/>
        <v>-758.79894999999999</v>
      </c>
      <c r="CK147" s="301"/>
      <c r="CL147" s="301"/>
      <c r="CM147" s="301"/>
      <c r="CN147" s="300">
        <f t="shared" si="237"/>
        <v>180308.77764753957</v>
      </c>
      <c r="CO147" s="332">
        <f t="shared" si="238"/>
        <v>178553.49659753955</v>
      </c>
      <c r="CP147" s="332"/>
      <c r="CQ147" s="332">
        <f>_xlfn.IFNA((VLOOKUP($A147,EY!$A:$AB,28,FALSE)-$CV147),0)</f>
        <v>0</v>
      </c>
      <c r="CR147" s="333">
        <f>_xlfn.IFNA((VLOOKUP($A147,HN!$A:$M,8,FALSE)/12),0)</f>
        <v>0</v>
      </c>
      <c r="CS147" s="333">
        <f>_xlfn.IFNA((VLOOKUP($A147,HN!$A:$M,12,FALSE)/12),0)</f>
        <v>0</v>
      </c>
      <c r="CT147" s="333">
        <f>_xlfn.IFNA((VLOOKUP($A147,HN!$A:$M,9,FALSE)/12),0)</f>
        <v>0</v>
      </c>
      <c r="CU147" s="333">
        <f>_xlfn.IFNA((VLOOKUP($A147,'Post 16'!$A:$AG,33,FALSE)/8),0)</f>
        <v>0</v>
      </c>
      <c r="CV147" s="333">
        <f>_xlfn.IFNA((VLOOKUP($A147,EY!$A:$AB,26,FALSE)*80%),0)</f>
        <v>0</v>
      </c>
      <c r="CW147" s="333">
        <f>_xlfn.IFNA(((VLOOKUP($A147,HN!$A:$M,10,FALSE)-$U147-$AK147)/10),0)</f>
        <v>3279.7550000000001</v>
      </c>
      <c r="CX147" s="333">
        <f>_xlfn.IFNA(((VLOOKUP($A147,HN!$A:$M,13,FALSE)-$V147-$AL147)/10),0)</f>
        <v>0</v>
      </c>
      <c r="CY147" s="332">
        <f t="shared" si="239"/>
        <v>-765.67500000000007</v>
      </c>
      <c r="CZ147" s="332">
        <f t="shared" si="240"/>
        <v>-758.79894999999999</v>
      </c>
      <c r="DA147" s="333"/>
      <c r="DB147" s="333"/>
      <c r="DC147" s="333"/>
      <c r="DD147" s="332">
        <f t="shared" si="241"/>
        <v>180308.77764753957</v>
      </c>
      <c r="DE147" s="314">
        <f t="shared" si="242"/>
        <v>178553.49659753955</v>
      </c>
      <c r="DF147" s="314"/>
      <c r="DG147" s="314"/>
      <c r="DH147" s="315">
        <f>_xlfn.IFNA((VLOOKUP($A147,HN!$A:$M,8,FALSE)/12),0)</f>
        <v>0</v>
      </c>
      <c r="DI147" s="315">
        <f>_xlfn.IFNA((VLOOKUP($A147,HN!$A:$M,12,FALSE)/12),0)</f>
        <v>0</v>
      </c>
      <c r="DJ147" s="315">
        <f>_xlfn.IFNA((VLOOKUP($A147,HN!$A:$M,9,FALSE)/12),0)</f>
        <v>0</v>
      </c>
      <c r="DK147" s="315">
        <f>_xlfn.IFNA((VLOOKUP($A147,'Post 16'!$A:$AG,33,FALSE)/8),0)</f>
        <v>0</v>
      </c>
      <c r="DL147" s="315"/>
      <c r="DM147" s="315">
        <f>_xlfn.IFNA(((VLOOKUP($A147,HN!$A:$M,10,FALSE)-$U147-$AK147)/10),0)</f>
        <v>3279.7550000000001</v>
      </c>
      <c r="DN147" s="315">
        <f>_xlfn.IFNA(((VLOOKUP($A147,HN!$A:$M,13,FALSE)-$V147-$AL147)/10),0)</f>
        <v>0</v>
      </c>
      <c r="DO147" s="314">
        <f t="shared" si="243"/>
        <v>-765.67500000000007</v>
      </c>
      <c r="DP147" s="314">
        <f t="shared" si="244"/>
        <v>-758.79894999999999</v>
      </c>
      <c r="DQ147" s="315"/>
      <c r="DR147" s="315"/>
      <c r="DS147" s="315"/>
      <c r="DT147" s="314">
        <f t="shared" si="245"/>
        <v>180308.77764753957</v>
      </c>
      <c r="DU147" s="307">
        <f t="shared" si="246"/>
        <v>178553.49659753955</v>
      </c>
      <c r="DV147" s="307"/>
      <c r="DW147" s="307"/>
      <c r="DX147" s="308">
        <f>_xlfn.IFNA((VLOOKUP($A147,HN!$A:$M,8,FALSE)/12),0)</f>
        <v>0</v>
      </c>
      <c r="DY147" s="308">
        <f>_xlfn.IFNA((VLOOKUP($A147,HN!$A:$M,12,FALSE)/12),0)</f>
        <v>0</v>
      </c>
      <c r="DZ147" s="308">
        <f>_xlfn.IFNA((VLOOKUP($A147,HN!$A:$M,9,FALSE)/12),0)</f>
        <v>0</v>
      </c>
      <c r="EA147" s="308">
        <f>_xlfn.IFNA((VLOOKUP($A147,'Post 16'!$A:$AG,33,FALSE)/8),0)</f>
        <v>0</v>
      </c>
      <c r="EB147" s="308"/>
      <c r="EC147" s="308">
        <f>_xlfn.IFNA(((VLOOKUP($A147,HN!$A:$M,10,FALSE)-$U147-$AK147)/10),0)</f>
        <v>3279.7550000000001</v>
      </c>
      <c r="ED147" s="308">
        <f>_xlfn.IFNA(((VLOOKUP($A147,HN!$A:$M,13,FALSE)-$V147-$AL147)/10),0)</f>
        <v>0</v>
      </c>
      <c r="EE147" s="307">
        <f t="shared" si="247"/>
        <v>-765.67500000000007</v>
      </c>
      <c r="EF147" s="307">
        <f t="shared" si="248"/>
        <v>-758.79894999999999</v>
      </c>
      <c r="EG147" s="308"/>
      <c r="EH147" s="308"/>
      <c r="EI147" s="308"/>
      <c r="EJ147" s="307">
        <f t="shared" si="249"/>
        <v>180308.77764753957</v>
      </c>
      <c r="EK147" s="320">
        <f t="shared" si="250"/>
        <v>178553.49659753955</v>
      </c>
      <c r="EL147" s="320"/>
      <c r="EM147" s="320"/>
      <c r="EN147" s="321">
        <f>_xlfn.IFNA((VLOOKUP($A147,HN!$A:$M,8,FALSE)/12),0)</f>
        <v>0</v>
      </c>
      <c r="EO147" s="321">
        <f>_xlfn.IFNA((VLOOKUP($A147,HN!$A:$M,12,FALSE)/12),0)</f>
        <v>0</v>
      </c>
      <c r="EP147" s="321">
        <f>_xlfn.IFNA((VLOOKUP($A147,HN!$A:$M,9,FALSE)/12),0)</f>
        <v>0</v>
      </c>
      <c r="EQ147" s="321">
        <f>_xlfn.IFNA((VLOOKUP($A147,'Post 16'!$A:$AG,33,FALSE)/8),0)</f>
        <v>0</v>
      </c>
      <c r="ER147" s="321"/>
      <c r="ES147" s="321">
        <f>_xlfn.IFNA(((VLOOKUP($A147,HN!$A:$M,10,FALSE)-$U147-$AK147)/10),0)</f>
        <v>3279.7550000000001</v>
      </c>
      <c r="ET147" s="321">
        <f>_xlfn.IFNA(((VLOOKUP($A147,HN!$A:$M,13,FALSE)-$V147-$AL147)/10),0)</f>
        <v>0</v>
      </c>
      <c r="EU147" s="320">
        <f t="shared" si="251"/>
        <v>-765.67500000000007</v>
      </c>
      <c r="EV147" s="320">
        <f t="shared" si="252"/>
        <v>-758.79894999999999</v>
      </c>
      <c r="EW147" s="321"/>
      <c r="EX147" s="321"/>
      <c r="EY147" s="321"/>
      <c r="EZ147" s="320">
        <f t="shared" si="253"/>
        <v>180308.77764753957</v>
      </c>
      <c r="FA147" s="286">
        <f t="shared" si="254"/>
        <v>178553.49659753955</v>
      </c>
      <c r="FB147" s="286"/>
      <c r="FC147" s="286"/>
      <c r="FD147" s="287">
        <f>_xlfn.IFNA((VLOOKUP($A147,HN!$A:$M,8,FALSE)/12),0)</f>
        <v>0</v>
      </c>
      <c r="FE147" s="287">
        <f>_xlfn.IFNA((VLOOKUP($A147,HN!$A:$M,12,FALSE)/12),0)</f>
        <v>0</v>
      </c>
      <c r="FF147" s="287">
        <f>_xlfn.IFNA((VLOOKUP($A147,HN!$A:$M,9,FALSE)/12),0)</f>
        <v>0</v>
      </c>
      <c r="FG147" s="287">
        <f>_xlfn.IFNA((VLOOKUP($A147,'Post 16'!$A:$AG,33,FALSE)/8),0)</f>
        <v>0</v>
      </c>
      <c r="FH147" s="287"/>
      <c r="FI147" s="287">
        <f>_xlfn.IFNA(((VLOOKUP($A147,HN!$A:$M,10,FALSE)-$U147-$AK147)/10),0)</f>
        <v>3279.7550000000001</v>
      </c>
      <c r="FJ147" s="287">
        <f>_xlfn.IFNA(((VLOOKUP($A147,HN!$A:$M,13,FALSE)-$V147-$AL147)/10),0)</f>
        <v>0</v>
      </c>
      <c r="FK147" s="286">
        <f t="shared" si="255"/>
        <v>-765.67500000000007</v>
      </c>
      <c r="FL147" s="286">
        <f t="shared" si="256"/>
        <v>-758.79894999999999</v>
      </c>
      <c r="FM147" s="287"/>
      <c r="FN147" s="287"/>
      <c r="FO147" s="287"/>
      <c r="FP147" s="286">
        <f t="shared" si="257"/>
        <v>180308.77764753957</v>
      </c>
      <c r="FQ147" s="293">
        <f t="shared" si="258"/>
        <v>178553.49659753955</v>
      </c>
      <c r="FR147" s="293"/>
      <c r="FS147" s="293"/>
      <c r="FT147" s="294">
        <f>_xlfn.IFNA((VLOOKUP($A147,HN!$A:$M,8,FALSE)/12),0)</f>
        <v>0</v>
      </c>
      <c r="FU147" s="294">
        <f>_xlfn.IFNA((VLOOKUP($A147,HN!$A:$M,12,FALSE)/12),0)</f>
        <v>0</v>
      </c>
      <c r="FV147" s="294">
        <f>_xlfn.IFNA((VLOOKUP($A147,HN!$A:$M,9,FALSE)/12),0)</f>
        <v>0</v>
      </c>
      <c r="FW147" s="294">
        <f>_xlfn.IFNA((VLOOKUP($A147,'Post 16'!$A:$AG,33,FALSE)/8),0)</f>
        <v>0</v>
      </c>
      <c r="FX147" s="294"/>
      <c r="FY147" s="294">
        <f>_xlfn.IFNA(((VLOOKUP($A147,HN!$A:$M,10,FALSE)-$U147-$AK147)/10),0)</f>
        <v>3279.7550000000001</v>
      </c>
      <c r="FZ147" s="294">
        <f>_xlfn.IFNA(((VLOOKUP($A147,HN!$A:$M,13,FALSE)-$V147-$AL147)/10),0)</f>
        <v>0</v>
      </c>
      <c r="GA147" s="293">
        <f t="shared" si="259"/>
        <v>-765.67500000000007</v>
      </c>
      <c r="GB147" s="293">
        <f t="shared" si="260"/>
        <v>-758.79894999999999</v>
      </c>
      <c r="GC147" s="294"/>
      <c r="GD147" s="294"/>
      <c r="GE147" s="294"/>
      <c r="GF147" s="293">
        <f t="shared" si="261"/>
        <v>180308.77764753957</v>
      </c>
      <c r="GG147" s="300">
        <f t="shared" si="262"/>
        <v>178553.49659753955</v>
      </c>
      <c r="GH147" s="300"/>
      <c r="GI147" s="300"/>
      <c r="GJ147" s="301">
        <f>_xlfn.IFNA((VLOOKUP($A147,HN!$A:$M,8,FALSE)/12),0)</f>
        <v>0</v>
      </c>
      <c r="GK147" s="301">
        <f>_xlfn.IFNA((VLOOKUP($A147,HN!$A:$M,12,FALSE)/12),0)</f>
        <v>0</v>
      </c>
      <c r="GL147" s="301">
        <f>_xlfn.IFNA((VLOOKUP($A147,HN!$A:$M,9,FALSE)/12),0)</f>
        <v>0</v>
      </c>
      <c r="GM147" s="301">
        <f>_xlfn.IFNA((VLOOKUP($A147,'Post 16'!$A:$AG,33,FALSE)/8),0)</f>
        <v>0</v>
      </c>
      <c r="GN147" s="301"/>
      <c r="GO147" s="301">
        <f>_xlfn.IFNA(((VLOOKUP($A147,HN!$A:$M,10,FALSE)-$U147-$AK147)/10),0)</f>
        <v>3279.7550000000001</v>
      </c>
      <c r="GP147" s="301">
        <f>_xlfn.IFNA(((VLOOKUP($A147,HN!$A:$M,13,FALSE)-$V147-$AL147)/10),0)</f>
        <v>0</v>
      </c>
      <c r="GQ147" s="300">
        <f t="shared" si="263"/>
        <v>-765.67500000000007</v>
      </c>
      <c r="GR147" s="300">
        <f t="shared" si="264"/>
        <v>-758.79894999999999</v>
      </c>
      <c r="GS147" s="301"/>
      <c r="GT147" s="301"/>
      <c r="GU147" s="301"/>
      <c r="GV147" s="300">
        <f t="shared" si="265"/>
        <v>180308.77764753957</v>
      </c>
      <c r="GX147" s="146">
        <f t="shared" si="266"/>
        <v>2138111.9591704751</v>
      </c>
      <c r="GY147" s="146">
        <f t="shared" si="266"/>
        <v>0</v>
      </c>
      <c r="GZ147" s="146">
        <f t="shared" si="266"/>
        <v>54425.409999999989</v>
      </c>
      <c r="HA147" s="146">
        <f t="shared" si="266"/>
        <v>-9188.1</v>
      </c>
      <c r="HB147" s="146">
        <f t="shared" si="266"/>
        <v>-9105.5874000000022</v>
      </c>
      <c r="HC147" s="146">
        <f t="shared" si="266"/>
        <v>0</v>
      </c>
      <c r="HE147" s="146">
        <f t="shared" si="267"/>
        <v>535660.48979261867</v>
      </c>
      <c r="HF147" s="146">
        <f t="shared" si="267"/>
        <v>0</v>
      </c>
      <c r="HG147" s="146">
        <f t="shared" si="267"/>
        <v>24907.615000000002</v>
      </c>
      <c r="HH147" s="146">
        <f t="shared" si="267"/>
        <v>-2297.0250000000001</v>
      </c>
      <c r="HI147" s="146">
        <f t="shared" si="267"/>
        <v>-2276.3968500000001</v>
      </c>
      <c r="HJ147" s="146">
        <f t="shared" si="267"/>
        <v>0</v>
      </c>
      <c r="HL147" s="146"/>
      <c r="HM147" s="57"/>
    </row>
    <row r="148" spans="1:221">
      <c r="A148" s="185">
        <v>3367</v>
      </c>
      <c r="B148" s="185">
        <v>103458</v>
      </c>
      <c r="C148" s="185" t="s">
        <v>319</v>
      </c>
      <c r="D148" s="2" t="s">
        <v>320</v>
      </c>
      <c r="E148" s="190" t="s">
        <v>39</v>
      </c>
      <c r="F148" s="190" t="s">
        <v>890</v>
      </c>
      <c r="H148" s="271">
        <f>_xlfn.IFNA(VLOOKUP($A148,ISB!$A$4:$BY$441,67,FALSE),0)</f>
        <v>1332934.9091054916</v>
      </c>
      <c r="I148" s="271">
        <f>_xlfn.IFNA(VLOOKUP($A148,ISB!$A$4:$BY$441,72,FALSE),0)</f>
        <v>-5204.0999999999995</v>
      </c>
      <c r="J148" s="271">
        <f>-_xlfn.IFNA(VLOOKUP($A148,ISB!$A$4:$BY$441,76,FALSE),0)</f>
        <v>-4002.8782000000001</v>
      </c>
      <c r="K148" s="271">
        <f>_xlfn.IFNA(VLOOKUP($A148,ISB!$A$4:$BY$441,77,FALSE),0)</f>
        <v>1323727.9309054916</v>
      </c>
      <c r="M148" s="279">
        <f t="shared" si="218"/>
        <v>111077.9090921243</v>
      </c>
      <c r="N148" s="279"/>
      <c r="O148" s="279">
        <f>_xlfn.IFNA(VLOOKUP($A148,EY!$A:$H,8,FALSE)+(VLOOKUP($A148,EY!$A:$R,18,FALSE)-$T148),0)</f>
        <v>37538.072</v>
      </c>
      <c r="P148" s="280">
        <f>_xlfn.IFNA((VLOOKUP($A148,HN!$A:$M,8,FALSE)/12),0)</f>
        <v>0</v>
      </c>
      <c r="Q148" s="280">
        <f>_xlfn.IFNA((VLOOKUP($A148,HN!$A:$M,12,FALSE)/12),0)</f>
        <v>0</v>
      </c>
      <c r="R148" s="280">
        <f>_xlfn.IFNA((VLOOKUP($A148,HN!$A:$M,9,FALSE)/12),0)</f>
        <v>0</v>
      </c>
      <c r="S148" s="280">
        <f>_xlfn.IFNA((VLOOKUP($A148,'Post 16'!$A:$AR,22,FALSE)/4),0)</f>
        <v>0</v>
      </c>
      <c r="T148" s="280">
        <f>_xlfn.IFNA((VLOOKUP($A148,EY!$A:$R,16,FALSE)*80%),0)</f>
        <v>0</v>
      </c>
      <c r="U148" s="280">
        <v>2782.1875</v>
      </c>
      <c r="V148" s="280">
        <v>0</v>
      </c>
      <c r="W148" s="279">
        <f t="shared" si="219"/>
        <v>-433.67499999999995</v>
      </c>
      <c r="X148" s="279">
        <f t="shared" si="220"/>
        <v>-333.57318333333336</v>
      </c>
      <c r="Y148" s="280"/>
      <c r="Z148" s="280"/>
      <c r="AA148" s="280"/>
      <c r="AB148" s="279">
        <f t="shared" si="221"/>
        <v>150630.92040879099</v>
      </c>
      <c r="AC148" s="293">
        <f t="shared" si="222"/>
        <v>111077.9090921243</v>
      </c>
      <c r="AD148" s="293"/>
      <c r="AE148" s="293"/>
      <c r="AF148" s="294">
        <f>_xlfn.IFNA((VLOOKUP($A148,HN!$A:$M,8,FALSE)/12),0)</f>
        <v>0</v>
      </c>
      <c r="AG148" s="294">
        <f>_xlfn.IFNA((VLOOKUP($A148,HN!$A:$M,12,FALSE)/12),0)+_xlfn.IFNA(VLOOKUP($A148,HN!$A:$Q,17,FALSE),0)</f>
        <v>0</v>
      </c>
      <c r="AH148" s="294">
        <f>_xlfn.IFNA((VLOOKUP($A148,HN!$A:$M,9,FALSE)/12),0)</f>
        <v>0</v>
      </c>
      <c r="AI148" s="294">
        <f>_xlfn.IFNA((VLOOKUP($A148,'Post 16'!$A:$AR,22,FALSE)/4),0)</f>
        <v>0</v>
      </c>
      <c r="AJ148" s="294"/>
      <c r="AK148" s="294">
        <f>_xlfn.IFNA((VLOOKUP($A148,HN!$A:$M,10,FALSE)/12),0)</f>
        <v>1107.5</v>
      </c>
      <c r="AL148" s="294">
        <f>_xlfn.IFNA((VLOOKUP($A148,HN!$A:$M,13,FALSE)/12),0)</f>
        <v>0</v>
      </c>
      <c r="AM148" s="293">
        <f t="shared" si="223"/>
        <v>-433.67499999999995</v>
      </c>
      <c r="AN148" s="293">
        <f t="shared" si="224"/>
        <v>-333.57318333333336</v>
      </c>
      <c r="AO148" s="294"/>
      <c r="AP148" s="294"/>
      <c r="AQ148" s="294"/>
      <c r="AR148" s="293">
        <f t="shared" si="225"/>
        <v>111418.16090879097</v>
      </c>
      <c r="AS148" s="286">
        <f t="shared" si="226"/>
        <v>111077.9090921243</v>
      </c>
      <c r="AT148" s="286"/>
      <c r="AU148" s="286">
        <f>_xlfn.IFNA(VLOOKUP(A148,EY!A:AO,40,FALSE),0)</f>
        <v>5660.9947368420999</v>
      </c>
      <c r="AV148" s="287">
        <f>_xlfn.IFNA((VLOOKUP($A148,HN!$A:$M,8,FALSE)/12),0)</f>
        <v>0</v>
      </c>
      <c r="AW148" s="287">
        <f>_xlfn.IFNA((VLOOKUP($A148,HN!$A:$M,12,FALSE)/12),0)+_xlfn.IFNA(VLOOKUP($A148,HN!$A$8:$AU$200,19,FALSE),0)</f>
        <v>0</v>
      </c>
      <c r="AX148" s="287">
        <f>_xlfn.IFNA((VLOOKUP($A148,HN!$A:$M,9,FALSE)/12),0)</f>
        <v>0</v>
      </c>
      <c r="AY148" s="287">
        <f>_xlfn.IFNA((VLOOKUP($A148,'Post 16'!$A:$AR,22,FALSE)/4),0)</f>
        <v>0</v>
      </c>
      <c r="AZ148" s="287">
        <f>_xlfn.IFNA(VLOOKUP(A148,EY!A:AO,41,FALSE),0)</f>
        <v>0</v>
      </c>
      <c r="BA148" s="287">
        <f>_xlfn.IFNA(((VLOOKUP($A148,HN!$A:$M,10,FALSE)-$U148-$AK148)/10),0)+_xlfn.IFNA(VLOOKUP($A148,HN!$A:$R,18,FALSE),0)</f>
        <v>940.03125</v>
      </c>
      <c r="BB148" s="287">
        <f>_xlfn.IFNA(((VLOOKUP($A148,HN!$A:$M,13,FALSE)-$V148-$AL148)/10),0)+_xlfn.IFNA(VLOOKUP($A148,HN!$A$8:$AU$200,20,FALSE),0)</f>
        <v>0</v>
      </c>
      <c r="BC148" s="286">
        <f t="shared" si="227"/>
        <v>-433.67499999999995</v>
      </c>
      <c r="BD148" s="286">
        <f t="shared" si="228"/>
        <v>-333.57318333333336</v>
      </c>
      <c r="BE148" s="287"/>
      <c r="BF148" s="287"/>
      <c r="BG148" s="287"/>
      <c r="BH148" s="286">
        <f t="shared" si="229"/>
        <v>116911.68689563307</v>
      </c>
      <c r="BI148" s="307">
        <f t="shared" si="230"/>
        <v>111077.9090921243</v>
      </c>
      <c r="BJ148" s="307">
        <f>_xlfn.IFNA(VLOOKUP(A148,'LA Deductions'!A:AH,34,FALSE),0)</f>
        <v>0</v>
      </c>
      <c r="BK148" s="307"/>
      <c r="BL148" s="308">
        <f>_xlfn.IFNA((VLOOKUP($A148,HN!$A:$M,8,FALSE)/12),0)</f>
        <v>0</v>
      </c>
      <c r="BM148" s="308">
        <f>_xlfn.IFNA((VLOOKUP($A148,HN!$A:$M,12,FALSE)/12),0)</f>
        <v>0</v>
      </c>
      <c r="BN148" s="308">
        <f>_xlfn.IFNA((VLOOKUP($A148,HN!$A:$M,9,FALSE)/12),0)</f>
        <v>0</v>
      </c>
      <c r="BO148" s="308">
        <f>_xlfn.IFNA((VLOOKUP($A148,'Post 16'!$A:$AR,22,FALSE)/4),0)</f>
        <v>0</v>
      </c>
      <c r="BP148" s="308"/>
      <c r="BQ148" s="308">
        <f>_xlfn.IFNA(((VLOOKUP($A148,HN!$A:$M,10,FALSE)-$U148-$AK148)/10),0)</f>
        <v>940.03125</v>
      </c>
      <c r="BR148" s="308">
        <f>_xlfn.IFNA(((VLOOKUP($A148,HN!$A:$M,13,FALSE)-$V148-$AL148)/10),0)</f>
        <v>0</v>
      </c>
      <c r="BS148" s="307">
        <f t="shared" si="231"/>
        <v>-433.67499999999995</v>
      </c>
      <c r="BT148" s="307">
        <f t="shared" si="232"/>
        <v>-333.57318333333336</v>
      </c>
      <c r="BU148" s="308"/>
      <c r="BV148" s="308"/>
      <c r="BW148" s="308"/>
      <c r="BX148" s="307">
        <f t="shared" si="233"/>
        <v>111250.69215879097</v>
      </c>
      <c r="BY148" s="300">
        <f t="shared" si="234"/>
        <v>111077.9090921243</v>
      </c>
      <c r="BZ148" s="300"/>
      <c r="CA148" s="300"/>
      <c r="CB148" s="301">
        <f>_xlfn.IFNA((VLOOKUP($A148,HN!$A:$M,8,FALSE)/12),0)</f>
        <v>0</v>
      </c>
      <c r="CC148" s="301">
        <f>_xlfn.IFNA((VLOOKUP($A148,HN!$A:$M,12,FALSE)/12),0)</f>
        <v>0</v>
      </c>
      <c r="CD148" s="301">
        <f>_xlfn.IFNA((VLOOKUP($A148,HN!$A:$M,9,FALSE)/12),0)</f>
        <v>0</v>
      </c>
      <c r="CE148" s="301">
        <f>_xlfn.IFNA((VLOOKUP($A148,'Post 16'!$A:$AG,33,FALSE)/8),0)</f>
        <v>0</v>
      </c>
      <c r="CF148" s="301"/>
      <c r="CG148" s="301">
        <f>_xlfn.IFNA(((VLOOKUP($A148,HN!$A:$M,10,FALSE)-$U148-$AK148)/10),0)</f>
        <v>940.03125</v>
      </c>
      <c r="CH148" s="301">
        <f>_xlfn.IFNA(((VLOOKUP($A148,HN!$A:$M,13,FALSE)-$V148-$AL148)/10),0)</f>
        <v>0</v>
      </c>
      <c r="CI148" s="300">
        <f t="shared" si="235"/>
        <v>-433.67499999999995</v>
      </c>
      <c r="CJ148" s="300">
        <f t="shared" si="236"/>
        <v>-333.57318333333336</v>
      </c>
      <c r="CK148" s="301"/>
      <c r="CL148" s="301"/>
      <c r="CM148" s="301"/>
      <c r="CN148" s="300">
        <f t="shared" si="237"/>
        <v>111250.69215879097</v>
      </c>
      <c r="CO148" s="332">
        <f t="shared" si="238"/>
        <v>111077.9090921243</v>
      </c>
      <c r="CP148" s="332"/>
      <c r="CQ148" s="332">
        <f>_xlfn.IFNA((VLOOKUP($A148,EY!$A:$AB,28,FALSE)-$CV148),0)</f>
        <v>39268.155789473683</v>
      </c>
      <c r="CR148" s="333">
        <f>_xlfn.IFNA((VLOOKUP($A148,HN!$A:$M,8,FALSE)/12),0)</f>
        <v>0</v>
      </c>
      <c r="CS148" s="333">
        <f>_xlfn.IFNA((VLOOKUP($A148,HN!$A:$M,12,FALSE)/12),0)</f>
        <v>0</v>
      </c>
      <c r="CT148" s="333">
        <f>_xlfn.IFNA((VLOOKUP($A148,HN!$A:$M,9,FALSE)/12),0)</f>
        <v>0</v>
      </c>
      <c r="CU148" s="333">
        <f>_xlfn.IFNA((VLOOKUP($A148,'Post 16'!$A:$AG,33,FALSE)/8),0)</f>
        <v>0</v>
      </c>
      <c r="CV148" s="333">
        <f>_xlfn.IFNA((VLOOKUP($A148,EY!$A:$AB,26,FALSE)*80%),0)</f>
        <v>0</v>
      </c>
      <c r="CW148" s="333">
        <f>_xlfn.IFNA(((VLOOKUP($A148,HN!$A:$M,10,FALSE)-$U148-$AK148)/10),0)</f>
        <v>940.03125</v>
      </c>
      <c r="CX148" s="333">
        <f>_xlfn.IFNA(((VLOOKUP($A148,HN!$A:$M,13,FALSE)-$V148-$AL148)/10),0)</f>
        <v>0</v>
      </c>
      <c r="CY148" s="332">
        <f t="shared" si="239"/>
        <v>-433.67499999999995</v>
      </c>
      <c r="CZ148" s="332">
        <f t="shared" si="240"/>
        <v>-333.57318333333336</v>
      </c>
      <c r="DA148" s="333"/>
      <c r="DB148" s="333"/>
      <c r="DC148" s="333"/>
      <c r="DD148" s="332">
        <f t="shared" si="241"/>
        <v>150518.84794826468</v>
      </c>
      <c r="DE148" s="314">
        <f t="shared" si="242"/>
        <v>111077.9090921243</v>
      </c>
      <c r="DF148" s="314"/>
      <c r="DG148" s="314"/>
      <c r="DH148" s="315">
        <f>_xlfn.IFNA((VLOOKUP($A148,HN!$A:$M,8,FALSE)/12),0)</f>
        <v>0</v>
      </c>
      <c r="DI148" s="315">
        <f>_xlfn.IFNA((VLOOKUP($A148,HN!$A:$M,12,FALSE)/12),0)</f>
        <v>0</v>
      </c>
      <c r="DJ148" s="315">
        <f>_xlfn.IFNA((VLOOKUP($A148,HN!$A:$M,9,FALSE)/12),0)</f>
        <v>0</v>
      </c>
      <c r="DK148" s="315">
        <f>_xlfn.IFNA((VLOOKUP($A148,'Post 16'!$A:$AG,33,FALSE)/8),0)</f>
        <v>0</v>
      </c>
      <c r="DL148" s="315"/>
      <c r="DM148" s="315">
        <f>_xlfn.IFNA(((VLOOKUP($A148,HN!$A:$M,10,FALSE)-$U148-$AK148)/10),0)</f>
        <v>940.03125</v>
      </c>
      <c r="DN148" s="315">
        <f>_xlfn.IFNA(((VLOOKUP($A148,HN!$A:$M,13,FALSE)-$V148-$AL148)/10),0)</f>
        <v>0</v>
      </c>
      <c r="DO148" s="314">
        <f t="shared" si="243"/>
        <v>-433.67499999999995</v>
      </c>
      <c r="DP148" s="314">
        <f t="shared" si="244"/>
        <v>-333.57318333333336</v>
      </c>
      <c r="DQ148" s="315"/>
      <c r="DR148" s="315"/>
      <c r="DS148" s="315"/>
      <c r="DT148" s="314">
        <f t="shared" si="245"/>
        <v>111250.69215879097</v>
      </c>
      <c r="DU148" s="307">
        <f t="shared" si="246"/>
        <v>111077.9090921243</v>
      </c>
      <c r="DV148" s="307"/>
      <c r="DW148" s="307"/>
      <c r="DX148" s="308">
        <f>_xlfn.IFNA((VLOOKUP($A148,HN!$A:$M,8,FALSE)/12),0)</f>
        <v>0</v>
      </c>
      <c r="DY148" s="308">
        <f>_xlfn.IFNA((VLOOKUP($A148,HN!$A:$M,12,FALSE)/12),0)</f>
        <v>0</v>
      </c>
      <c r="DZ148" s="308">
        <f>_xlfn.IFNA((VLOOKUP($A148,HN!$A:$M,9,FALSE)/12),0)</f>
        <v>0</v>
      </c>
      <c r="EA148" s="308">
        <f>_xlfn.IFNA((VLOOKUP($A148,'Post 16'!$A:$AG,33,FALSE)/8),0)</f>
        <v>0</v>
      </c>
      <c r="EB148" s="308"/>
      <c r="EC148" s="308">
        <f>_xlfn.IFNA(((VLOOKUP($A148,HN!$A:$M,10,FALSE)-$U148-$AK148)/10),0)</f>
        <v>940.03125</v>
      </c>
      <c r="ED148" s="308">
        <f>_xlfn.IFNA(((VLOOKUP($A148,HN!$A:$M,13,FALSE)-$V148-$AL148)/10),0)</f>
        <v>0</v>
      </c>
      <c r="EE148" s="307">
        <f t="shared" si="247"/>
        <v>-433.67499999999995</v>
      </c>
      <c r="EF148" s="307">
        <f t="shared" si="248"/>
        <v>-333.57318333333336</v>
      </c>
      <c r="EG148" s="308"/>
      <c r="EH148" s="308"/>
      <c r="EI148" s="308"/>
      <c r="EJ148" s="307">
        <f t="shared" si="249"/>
        <v>111250.69215879097</v>
      </c>
      <c r="EK148" s="320">
        <f t="shared" si="250"/>
        <v>111077.9090921243</v>
      </c>
      <c r="EL148" s="320"/>
      <c r="EM148" s="320"/>
      <c r="EN148" s="321">
        <f>_xlfn.IFNA((VLOOKUP($A148,HN!$A:$M,8,FALSE)/12),0)</f>
        <v>0</v>
      </c>
      <c r="EO148" s="321">
        <f>_xlfn.IFNA((VLOOKUP($A148,HN!$A:$M,12,FALSE)/12),0)</f>
        <v>0</v>
      </c>
      <c r="EP148" s="321">
        <f>_xlfn.IFNA((VLOOKUP($A148,HN!$A:$M,9,FALSE)/12),0)</f>
        <v>0</v>
      </c>
      <c r="EQ148" s="321">
        <f>_xlfn.IFNA((VLOOKUP($A148,'Post 16'!$A:$AG,33,FALSE)/8),0)</f>
        <v>0</v>
      </c>
      <c r="ER148" s="321"/>
      <c r="ES148" s="321">
        <f>_xlfn.IFNA(((VLOOKUP($A148,HN!$A:$M,10,FALSE)-$U148-$AK148)/10),0)</f>
        <v>940.03125</v>
      </c>
      <c r="ET148" s="321">
        <f>_xlfn.IFNA(((VLOOKUP($A148,HN!$A:$M,13,FALSE)-$V148-$AL148)/10),0)</f>
        <v>0</v>
      </c>
      <c r="EU148" s="320">
        <f t="shared" si="251"/>
        <v>-433.67499999999995</v>
      </c>
      <c r="EV148" s="320">
        <f t="shared" si="252"/>
        <v>-333.57318333333336</v>
      </c>
      <c r="EW148" s="321"/>
      <c r="EX148" s="321"/>
      <c r="EY148" s="321"/>
      <c r="EZ148" s="320">
        <f t="shared" si="253"/>
        <v>111250.69215879097</v>
      </c>
      <c r="FA148" s="286">
        <f t="shared" si="254"/>
        <v>111077.9090921243</v>
      </c>
      <c r="FB148" s="286"/>
      <c r="FC148" s="286"/>
      <c r="FD148" s="287">
        <f>_xlfn.IFNA((VLOOKUP($A148,HN!$A:$M,8,FALSE)/12),0)</f>
        <v>0</v>
      </c>
      <c r="FE148" s="287">
        <f>_xlfn.IFNA((VLOOKUP($A148,HN!$A:$M,12,FALSE)/12),0)</f>
        <v>0</v>
      </c>
      <c r="FF148" s="287">
        <f>_xlfn.IFNA((VLOOKUP($A148,HN!$A:$M,9,FALSE)/12),0)</f>
        <v>0</v>
      </c>
      <c r="FG148" s="287">
        <f>_xlfn.IFNA((VLOOKUP($A148,'Post 16'!$A:$AG,33,FALSE)/8),0)</f>
        <v>0</v>
      </c>
      <c r="FH148" s="287"/>
      <c r="FI148" s="287">
        <f>_xlfn.IFNA(((VLOOKUP($A148,HN!$A:$M,10,FALSE)-$U148-$AK148)/10),0)</f>
        <v>940.03125</v>
      </c>
      <c r="FJ148" s="287">
        <f>_xlfn.IFNA(((VLOOKUP($A148,HN!$A:$M,13,FALSE)-$V148-$AL148)/10),0)</f>
        <v>0</v>
      </c>
      <c r="FK148" s="286">
        <f t="shared" si="255"/>
        <v>-433.67499999999995</v>
      </c>
      <c r="FL148" s="286">
        <f t="shared" si="256"/>
        <v>-333.57318333333336</v>
      </c>
      <c r="FM148" s="287"/>
      <c r="FN148" s="287"/>
      <c r="FO148" s="287"/>
      <c r="FP148" s="286">
        <f t="shared" si="257"/>
        <v>111250.69215879097</v>
      </c>
      <c r="FQ148" s="293">
        <f t="shared" si="258"/>
        <v>111077.9090921243</v>
      </c>
      <c r="FR148" s="293"/>
      <c r="FS148" s="293"/>
      <c r="FT148" s="294">
        <f>_xlfn.IFNA((VLOOKUP($A148,HN!$A:$M,8,FALSE)/12),0)</f>
        <v>0</v>
      </c>
      <c r="FU148" s="294">
        <f>_xlfn.IFNA((VLOOKUP($A148,HN!$A:$M,12,FALSE)/12),0)</f>
        <v>0</v>
      </c>
      <c r="FV148" s="294">
        <f>_xlfn.IFNA((VLOOKUP($A148,HN!$A:$M,9,FALSE)/12),0)</f>
        <v>0</v>
      </c>
      <c r="FW148" s="294">
        <f>_xlfn.IFNA((VLOOKUP($A148,'Post 16'!$A:$AG,33,FALSE)/8),0)</f>
        <v>0</v>
      </c>
      <c r="FX148" s="294"/>
      <c r="FY148" s="294">
        <f>_xlfn.IFNA(((VLOOKUP($A148,HN!$A:$M,10,FALSE)-$U148-$AK148)/10),0)</f>
        <v>940.03125</v>
      </c>
      <c r="FZ148" s="294">
        <f>_xlfn.IFNA(((VLOOKUP($A148,HN!$A:$M,13,FALSE)-$V148-$AL148)/10),0)</f>
        <v>0</v>
      </c>
      <c r="GA148" s="293">
        <f t="shared" si="259"/>
        <v>-433.67499999999995</v>
      </c>
      <c r="GB148" s="293">
        <f t="shared" si="260"/>
        <v>-333.57318333333336</v>
      </c>
      <c r="GC148" s="294"/>
      <c r="GD148" s="294"/>
      <c r="GE148" s="294"/>
      <c r="GF148" s="293">
        <f t="shared" si="261"/>
        <v>111250.69215879097</v>
      </c>
      <c r="GG148" s="300">
        <f t="shared" si="262"/>
        <v>111077.9090921243</v>
      </c>
      <c r="GH148" s="300"/>
      <c r="GI148" s="300"/>
      <c r="GJ148" s="301">
        <f>_xlfn.IFNA((VLOOKUP($A148,HN!$A:$M,8,FALSE)/12),0)</f>
        <v>0</v>
      </c>
      <c r="GK148" s="301">
        <f>_xlfn.IFNA((VLOOKUP($A148,HN!$A:$M,12,FALSE)/12),0)</f>
        <v>0</v>
      </c>
      <c r="GL148" s="301">
        <f>_xlfn.IFNA((VLOOKUP($A148,HN!$A:$M,9,FALSE)/12),0)</f>
        <v>0</v>
      </c>
      <c r="GM148" s="301">
        <f>_xlfn.IFNA((VLOOKUP($A148,'Post 16'!$A:$AG,33,FALSE)/8),0)</f>
        <v>0</v>
      </c>
      <c r="GN148" s="301"/>
      <c r="GO148" s="301">
        <f>_xlfn.IFNA(((VLOOKUP($A148,HN!$A:$M,10,FALSE)-$U148-$AK148)/10),0)</f>
        <v>940.03125</v>
      </c>
      <c r="GP148" s="301">
        <f>_xlfn.IFNA(((VLOOKUP($A148,HN!$A:$M,13,FALSE)-$V148-$AL148)/10),0)</f>
        <v>0</v>
      </c>
      <c r="GQ148" s="300">
        <f t="shared" si="263"/>
        <v>-433.67499999999995</v>
      </c>
      <c r="GR148" s="300">
        <f t="shared" si="264"/>
        <v>-333.57318333333336</v>
      </c>
      <c r="GS148" s="301"/>
      <c r="GT148" s="301"/>
      <c r="GU148" s="301"/>
      <c r="GV148" s="300">
        <f t="shared" si="265"/>
        <v>111250.69215879097</v>
      </c>
      <c r="GX148" s="146">
        <f t="shared" ref="GX148:HC155" si="268">SUMIFS($M148:$GV148,$M$7:$GV$7,GX$7)</f>
        <v>1415402.1316318074</v>
      </c>
      <c r="GY148" s="146">
        <f t="shared" si="268"/>
        <v>0</v>
      </c>
      <c r="GZ148" s="146">
        <f t="shared" si="268"/>
        <v>13290</v>
      </c>
      <c r="HA148" s="146">
        <f t="shared" si="268"/>
        <v>-5204.1000000000013</v>
      </c>
      <c r="HB148" s="146">
        <f t="shared" si="268"/>
        <v>-4002.8782000000006</v>
      </c>
      <c r="HC148" s="146">
        <f t="shared" si="268"/>
        <v>0</v>
      </c>
      <c r="HE148" s="146">
        <f t="shared" ref="HE148:HJ155" si="269">SUMIFS($M148:$GV148,$M$7:$GV$7,HE$7,$M$4:$GV$4,$HE$6)</f>
        <v>376432.79401321505</v>
      </c>
      <c r="HF148" s="146">
        <f t="shared" si="269"/>
        <v>0</v>
      </c>
      <c r="HG148" s="146">
        <f t="shared" si="269"/>
        <v>4829.71875</v>
      </c>
      <c r="HH148" s="146">
        <f t="shared" si="269"/>
        <v>-1301.0249999999999</v>
      </c>
      <c r="HI148" s="146">
        <f t="shared" si="269"/>
        <v>-1000.71955</v>
      </c>
      <c r="HJ148" s="146">
        <f t="shared" si="269"/>
        <v>0</v>
      </c>
      <c r="HL148" s="146"/>
      <c r="HM148" s="57"/>
    </row>
    <row r="149" spans="1:221">
      <c r="A149" s="185">
        <v>3010</v>
      </c>
      <c r="B149" s="185">
        <v>103401</v>
      </c>
      <c r="C149" s="185" t="s">
        <v>321</v>
      </c>
      <c r="D149" s="2" t="s">
        <v>322</v>
      </c>
      <c r="E149" s="190" t="s">
        <v>39</v>
      </c>
      <c r="F149" s="190" t="s">
        <v>890</v>
      </c>
      <c r="H149" s="271">
        <f>_xlfn.IFNA(VLOOKUP($A149,ISB!$A$4:$BY$441,67,FALSE),0)</f>
        <v>2701913.5577597506</v>
      </c>
      <c r="I149" s="271">
        <f>_xlfn.IFNA(VLOOKUP($A149,ISB!$A$4:$BY$441,72,FALSE),0)</f>
        <v>-10233.9</v>
      </c>
      <c r="J149" s="271">
        <f>-_xlfn.IFNA(VLOOKUP($A149,ISB!$A$4:$BY$441,76,FALSE),0)</f>
        <v>-13946.5326</v>
      </c>
      <c r="K149" s="271">
        <f>_xlfn.IFNA(VLOOKUP($A149,ISB!$A$4:$BY$441,77,FALSE),0)</f>
        <v>2677733.1251597507</v>
      </c>
      <c r="M149" s="279">
        <f t="shared" si="218"/>
        <v>225159.4631466459</v>
      </c>
      <c r="N149" s="279"/>
      <c r="O149" s="279">
        <f>_xlfn.IFNA(VLOOKUP($A149,EY!$A:$H,8,FALSE)+(VLOOKUP($A149,EY!$A:$R,18,FALSE)-$T149),0)</f>
        <v>0</v>
      </c>
      <c r="P149" s="280">
        <f>_xlfn.IFNA((VLOOKUP($A149,HN!$A:$M,8,FALSE)/12),0)</f>
        <v>0</v>
      </c>
      <c r="Q149" s="280">
        <f>_xlfn.IFNA((VLOOKUP($A149,HN!$A:$M,12,FALSE)/12),0)</f>
        <v>0</v>
      </c>
      <c r="R149" s="280">
        <f>_xlfn.IFNA((VLOOKUP($A149,HN!$A:$M,9,FALSE)/12),0)</f>
        <v>0</v>
      </c>
      <c r="S149" s="280">
        <f>_xlfn.IFNA((VLOOKUP($A149,'Post 16'!$A:$AR,22,FALSE)/4),0)</f>
        <v>0</v>
      </c>
      <c r="T149" s="280">
        <f>_xlfn.IFNA((VLOOKUP($A149,EY!$A:$R,16,FALSE)*80%),0)</f>
        <v>0</v>
      </c>
      <c r="U149" s="280">
        <v>13796.569166666668</v>
      </c>
      <c r="V149" s="280">
        <v>0</v>
      </c>
      <c r="W149" s="279">
        <f t="shared" si="219"/>
        <v>-852.82499999999993</v>
      </c>
      <c r="X149" s="279">
        <f t="shared" si="220"/>
        <v>-1162.2110500000001</v>
      </c>
      <c r="Y149" s="280"/>
      <c r="Z149" s="280"/>
      <c r="AA149" s="280"/>
      <c r="AB149" s="279">
        <f t="shared" si="221"/>
        <v>236940.99626331255</v>
      </c>
      <c r="AC149" s="293">
        <f t="shared" si="222"/>
        <v>225159.4631466459</v>
      </c>
      <c r="AD149" s="293"/>
      <c r="AE149" s="293"/>
      <c r="AF149" s="294">
        <f>_xlfn.IFNA((VLOOKUP($A149,HN!$A:$M,8,FALSE)/12),0)</f>
        <v>0</v>
      </c>
      <c r="AG149" s="294">
        <f>_xlfn.IFNA((VLOOKUP($A149,HN!$A:$M,12,FALSE)/12),0)+_xlfn.IFNA(VLOOKUP($A149,HN!$A:$Q,17,FALSE),0)</f>
        <v>0</v>
      </c>
      <c r="AH149" s="294">
        <f>_xlfn.IFNA((VLOOKUP($A149,HN!$A:$M,9,FALSE)/12),0)</f>
        <v>0</v>
      </c>
      <c r="AI149" s="294">
        <f>_xlfn.IFNA((VLOOKUP($A149,'Post 16'!$A:$AR,22,FALSE)/4),0)</f>
        <v>0</v>
      </c>
      <c r="AJ149" s="294"/>
      <c r="AK149" s="294">
        <f>_xlfn.IFNA((VLOOKUP($A149,HN!$A:$M,10,FALSE)/12),0)</f>
        <v>8788.625</v>
      </c>
      <c r="AL149" s="294">
        <f>_xlfn.IFNA((VLOOKUP($A149,HN!$A:$M,13,FALSE)/12),0)</f>
        <v>0</v>
      </c>
      <c r="AM149" s="293">
        <f t="shared" si="223"/>
        <v>-852.82499999999993</v>
      </c>
      <c r="AN149" s="293">
        <f t="shared" si="224"/>
        <v>-1162.2110500000001</v>
      </c>
      <c r="AO149" s="294"/>
      <c r="AP149" s="294"/>
      <c r="AQ149" s="294"/>
      <c r="AR149" s="293">
        <f t="shared" si="225"/>
        <v>231933.05209664587</v>
      </c>
      <c r="AS149" s="286">
        <f t="shared" si="226"/>
        <v>225159.4631466459</v>
      </c>
      <c r="AT149" s="286"/>
      <c r="AU149" s="286">
        <f>_xlfn.IFNA(VLOOKUP(A149,EY!A:AO,40,FALSE),0)</f>
        <v>0</v>
      </c>
      <c r="AV149" s="287">
        <f>_xlfn.IFNA((VLOOKUP($A149,HN!$A:$M,8,FALSE)/12),0)</f>
        <v>0</v>
      </c>
      <c r="AW149" s="287">
        <f>_xlfn.IFNA((VLOOKUP($A149,HN!$A:$M,12,FALSE)/12),0)+_xlfn.IFNA(VLOOKUP($A149,HN!$A$8:$AU$200,19,FALSE),0)</f>
        <v>0</v>
      </c>
      <c r="AX149" s="287">
        <f>_xlfn.IFNA((VLOOKUP($A149,HN!$A:$M,9,FALSE)/12),0)</f>
        <v>0</v>
      </c>
      <c r="AY149" s="287">
        <f>_xlfn.IFNA((VLOOKUP($A149,'Post 16'!$A:$AR,22,FALSE)/4),0)</f>
        <v>0</v>
      </c>
      <c r="AZ149" s="287">
        <f>_xlfn.IFNA(VLOOKUP(A149,EY!A:AO,41,FALSE),0)</f>
        <v>0</v>
      </c>
      <c r="BA149" s="287">
        <f>_xlfn.IFNA(((VLOOKUP($A149,HN!$A:$M,10,FALSE)-$U149-$AK149)/10),0)+_xlfn.IFNA(VLOOKUP($A149,HN!$A:$R,18,FALSE),0)</f>
        <v>8287.8305833333325</v>
      </c>
      <c r="BB149" s="287">
        <f>_xlfn.IFNA(((VLOOKUP($A149,HN!$A:$M,13,FALSE)-$V149-$AL149)/10),0)+_xlfn.IFNA(VLOOKUP($A149,HN!$A$8:$AU$200,20,FALSE),0)</f>
        <v>0</v>
      </c>
      <c r="BC149" s="286">
        <f t="shared" si="227"/>
        <v>-852.82499999999993</v>
      </c>
      <c r="BD149" s="286">
        <f t="shared" si="228"/>
        <v>-1162.2110500000001</v>
      </c>
      <c r="BE149" s="287"/>
      <c r="BF149" s="287"/>
      <c r="BG149" s="287"/>
      <c r="BH149" s="286">
        <f t="shared" si="229"/>
        <v>231432.2576799792</v>
      </c>
      <c r="BI149" s="307">
        <f t="shared" si="230"/>
        <v>225159.4631466459</v>
      </c>
      <c r="BJ149" s="307">
        <f>_xlfn.IFNA(VLOOKUP(A149,'LA Deductions'!A:AH,34,FALSE),0)</f>
        <v>0</v>
      </c>
      <c r="BK149" s="307"/>
      <c r="BL149" s="308">
        <f>_xlfn.IFNA((VLOOKUP($A149,HN!$A:$M,8,FALSE)/12),0)</f>
        <v>0</v>
      </c>
      <c r="BM149" s="308">
        <f>_xlfn.IFNA((VLOOKUP($A149,HN!$A:$M,12,FALSE)/12),0)</f>
        <v>0</v>
      </c>
      <c r="BN149" s="308">
        <f>_xlfn.IFNA((VLOOKUP($A149,HN!$A:$M,9,FALSE)/12),0)</f>
        <v>0</v>
      </c>
      <c r="BO149" s="308">
        <f>_xlfn.IFNA((VLOOKUP($A149,'Post 16'!$A:$AR,22,FALSE)/4),0)</f>
        <v>0</v>
      </c>
      <c r="BP149" s="308"/>
      <c r="BQ149" s="308">
        <f>_xlfn.IFNA(((VLOOKUP($A149,HN!$A:$M,10,FALSE)-$U149-$AK149)/10),0)</f>
        <v>8287.8305833333325</v>
      </c>
      <c r="BR149" s="308">
        <f>_xlfn.IFNA(((VLOOKUP($A149,HN!$A:$M,13,FALSE)-$V149-$AL149)/10),0)</f>
        <v>0</v>
      </c>
      <c r="BS149" s="307">
        <f t="shared" si="231"/>
        <v>-852.82499999999993</v>
      </c>
      <c r="BT149" s="307">
        <f t="shared" si="232"/>
        <v>-1162.2110500000001</v>
      </c>
      <c r="BU149" s="308"/>
      <c r="BV149" s="308"/>
      <c r="BW149" s="308"/>
      <c r="BX149" s="307">
        <f t="shared" si="233"/>
        <v>231432.2576799792</v>
      </c>
      <c r="BY149" s="300">
        <f t="shared" si="234"/>
        <v>225159.4631466459</v>
      </c>
      <c r="BZ149" s="300"/>
      <c r="CA149" s="300"/>
      <c r="CB149" s="301">
        <f>_xlfn.IFNA((VLOOKUP($A149,HN!$A:$M,8,FALSE)/12),0)</f>
        <v>0</v>
      </c>
      <c r="CC149" s="301">
        <f>_xlfn.IFNA((VLOOKUP($A149,HN!$A:$M,12,FALSE)/12),0)</f>
        <v>0</v>
      </c>
      <c r="CD149" s="301">
        <f>_xlfn.IFNA((VLOOKUP($A149,HN!$A:$M,9,FALSE)/12),0)</f>
        <v>0</v>
      </c>
      <c r="CE149" s="301">
        <f>_xlfn.IFNA((VLOOKUP($A149,'Post 16'!$A:$AG,33,FALSE)/8),0)</f>
        <v>0</v>
      </c>
      <c r="CF149" s="301"/>
      <c r="CG149" s="301">
        <f>_xlfn.IFNA(((VLOOKUP($A149,HN!$A:$M,10,FALSE)-$U149-$AK149)/10),0)</f>
        <v>8287.8305833333325</v>
      </c>
      <c r="CH149" s="301">
        <f>_xlfn.IFNA(((VLOOKUP($A149,HN!$A:$M,13,FALSE)-$V149-$AL149)/10),0)</f>
        <v>0</v>
      </c>
      <c r="CI149" s="300">
        <f t="shared" si="235"/>
        <v>-852.82499999999993</v>
      </c>
      <c r="CJ149" s="300">
        <f t="shared" si="236"/>
        <v>-1162.2110500000001</v>
      </c>
      <c r="CK149" s="301"/>
      <c r="CL149" s="301"/>
      <c r="CM149" s="301"/>
      <c r="CN149" s="300">
        <f t="shared" si="237"/>
        <v>231432.2576799792</v>
      </c>
      <c r="CO149" s="332">
        <f t="shared" si="238"/>
        <v>225159.4631466459</v>
      </c>
      <c r="CP149" s="332"/>
      <c r="CQ149" s="332">
        <f>_xlfn.IFNA((VLOOKUP($A149,EY!$A:$AB,28,FALSE)-$CV149),0)</f>
        <v>0</v>
      </c>
      <c r="CR149" s="333">
        <f>_xlfn.IFNA((VLOOKUP($A149,HN!$A:$M,8,FALSE)/12),0)</f>
        <v>0</v>
      </c>
      <c r="CS149" s="333">
        <f>_xlfn.IFNA((VLOOKUP($A149,HN!$A:$M,12,FALSE)/12),0)</f>
        <v>0</v>
      </c>
      <c r="CT149" s="333">
        <f>_xlfn.IFNA((VLOOKUP($A149,HN!$A:$M,9,FALSE)/12),0)</f>
        <v>0</v>
      </c>
      <c r="CU149" s="333">
        <f>_xlfn.IFNA((VLOOKUP($A149,'Post 16'!$A:$AG,33,FALSE)/8),0)</f>
        <v>0</v>
      </c>
      <c r="CV149" s="333">
        <f>_xlfn.IFNA((VLOOKUP($A149,EY!$A:$AB,26,FALSE)*80%),0)</f>
        <v>0</v>
      </c>
      <c r="CW149" s="333">
        <f>_xlfn.IFNA(((VLOOKUP($A149,HN!$A:$M,10,FALSE)-$U149-$AK149)/10),0)</f>
        <v>8287.8305833333325</v>
      </c>
      <c r="CX149" s="333">
        <f>_xlfn.IFNA(((VLOOKUP($A149,HN!$A:$M,13,FALSE)-$V149-$AL149)/10),0)</f>
        <v>0</v>
      </c>
      <c r="CY149" s="332">
        <f t="shared" si="239"/>
        <v>-852.82499999999993</v>
      </c>
      <c r="CZ149" s="332">
        <f t="shared" si="240"/>
        <v>-1162.2110500000001</v>
      </c>
      <c r="DA149" s="333"/>
      <c r="DB149" s="333"/>
      <c r="DC149" s="333"/>
      <c r="DD149" s="332">
        <f t="shared" si="241"/>
        <v>231432.2576799792</v>
      </c>
      <c r="DE149" s="314">
        <f t="shared" si="242"/>
        <v>225159.4631466459</v>
      </c>
      <c r="DF149" s="314"/>
      <c r="DG149" s="314"/>
      <c r="DH149" s="315">
        <f>_xlfn.IFNA((VLOOKUP($A149,HN!$A:$M,8,FALSE)/12),0)</f>
        <v>0</v>
      </c>
      <c r="DI149" s="315">
        <f>_xlfn.IFNA((VLOOKUP($A149,HN!$A:$M,12,FALSE)/12),0)</f>
        <v>0</v>
      </c>
      <c r="DJ149" s="315">
        <f>_xlfn.IFNA((VLOOKUP($A149,HN!$A:$M,9,FALSE)/12),0)</f>
        <v>0</v>
      </c>
      <c r="DK149" s="315">
        <f>_xlfn.IFNA((VLOOKUP($A149,'Post 16'!$A:$AG,33,FALSE)/8),0)</f>
        <v>0</v>
      </c>
      <c r="DL149" s="315"/>
      <c r="DM149" s="315">
        <f>_xlfn.IFNA(((VLOOKUP($A149,HN!$A:$M,10,FALSE)-$U149-$AK149)/10),0)</f>
        <v>8287.8305833333325</v>
      </c>
      <c r="DN149" s="315">
        <f>_xlfn.IFNA(((VLOOKUP($A149,HN!$A:$M,13,FALSE)-$V149-$AL149)/10),0)</f>
        <v>0</v>
      </c>
      <c r="DO149" s="314">
        <f t="shared" si="243"/>
        <v>-852.82499999999993</v>
      </c>
      <c r="DP149" s="314">
        <f t="shared" si="244"/>
        <v>-1162.2110500000001</v>
      </c>
      <c r="DQ149" s="315"/>
      <c r="DR149" s="315"/>
      <c r="DS149" s="315"/>
      <c r="DT149" s="314">
        <f t="shared" si="245"/>
        <v>231432.2576799792</v>
      </c>
      <c r="DU149" s="307">
        <f t="shared" si="246"/>
        <v>225159.4631466459</v>
      </c>
      <c r="DV149" s="307"/>
      <c r="DW149" s="307"/>
      <c r="DX149" s="308">
        <f>_xlfn.IFNA((VLOOKUP($A149,HN!$A:$M,8,FALSE)/12),0)</f>
        <v>0</v>
      </c>
      <c r="DY149" s="308">
        <f>_xlfn.IFNA((VLOOKUP($A149,HN!$A:$M,12,FALSE)/12),0)</f>
        <v>0</v>
      </c>
      <c r="DZ149" s="308">
        <f>_xlfn.IFNA((VLOOKUP($A149,HN!$A:$M,9,FALSE)/12),0)</f>
        <v>0</v>
      </c>
      <c r="EA149" s="308">
        <f>_xlfn.IFNA((VLOOKUP($A149,'Post 16'!$A:$AG,33,FALSE)/8),0)</f>
        <v>0</v>
      </c>
      <c r="EB149" s="308"/>
      <c r="EC149" s="308">
        <f>_xlfn.IFNA(((VLOOKUP($A149,HN!$A:$M,10,FALSE)-$U149-$AK149)/10),0)</f>
        <v>8287.8305833333325</v>
      </c>
      <c r="ED149" s="308">
        <f>_xlfn.IFNA(((VLOOKUP($A149,HN!$A:$M,13,FALSE)-$V149-$AL149)/10),0)</f>
        <v>0</v>
      </c>
      <c r="EE149" s="307">
        <f t="shared" si="247"/>
        <v>-852.82499999999993</v>
      </c>
      <c r="EF149" s="307">
        <f t="shared" si="248"/>
        <v>-1162.2110500000001</v>
      </c>
      <c r="EG149" s="308"/>
      <c r="EH149" s="308"/>
      <c r="EI149" s="308"/>
      <c r="EJ149" s="307">
        <f t="shared" si="249"/>
        <v>231432.2576799792</v>
      </c>
      <c r="EK149" s="320">
        <f t="shared" si="250"/>
        <v>225159.4631466459</v>
      </c>
      <c r="EL149" s="320"/>
      <c r="EM149" s="320"/>
      <c r="EN149" s="321">
        <f>_xlfn.IFNA((VLOOKUP($A149,HN!$A:$M,8,FALSE)/12),0)</f>
        <v>0</v>
      </c>
      <c r="EO149" s="321">
        <f>_xlfn.IFNA((VLOOKUP($A149,HN!$A:$M,12,FALSE)/12),0)</f>
        <v>0</v>
      </c>
      <c r="EP149" s="321">
        <f>_xlfn.IFNA((VLOOKUP($A149,HN!$A:$M,9,FALSE)/12),0)</f>
        <v>0</v>
      </c>
      <c r="EQ149" s="321">
        <f>_xlfn.IFNA((VLOOKUP($A149,'Post 16'!$A:$AG,33,FALSE)/8),0)</f>
        <v>0</v>
      </c>
      <c r="ER149" s="321"/>
      <c r="ES149" s="321">
        <f>_xlfn.IFNA(((VLOOKUP($A149,HN!$A:$M,10,FALSE)-$U149-$AK149)/10),0)</f>
        <v>8287.8305833333325</v>
      </c>
      <c r="ET149" s="321">
        <f>_xlfn.IFNA(((VLOOKUP($A149,HN!$A:$M,13,FALSE)-$V149-$AL149)/10),0)</f>
        <v>0</v>
      </c>
      <c r="EU149" s="320">
        <f t="shared" si="251"/>
        <v>-852.82499999999993</v>
      </c>
      <c r="EV149" s="320">
        <f t="shared" si="252"/>
        <v>-1162.2110500000001</v>
      </c>
      <c r="EW149" s="321"/>
      <c r="EX149" s="321"/>
      <c r="EY149" s="321"/>
      <c r="EZ149" s="320">
        <f t="shared" si="253"/>
        <v>231432.2576799792</v>
      </c>
      <c r="FA149" s="286">
        <f t="shared" si="254"/>
        <v>225159.4631466459</v>
      </c>
      <c r="FB149" s="286"/>
      <c r="FC149" s="286"/>
      <c r="FD149" s="287">
        <f>_xlfn.IFNA((VLOOKUP($A149,HN!$A:$M,8,FALSE)/12),0)</f>
        <v>0</v>
      </c>
      <c r="FE149" s="287">
        <f>_xlfn.IFNA((VLOOKUP($A149,HN!$A:$M,12,FALSE)/12),0)</f>
        <v>0</v>
      </c>
      <c r="FF149" s="287">
        <f>_xlfn.IFNA((VLOOKUP($A149,HN!$A:$M,9,FALSE)/12),0)</f>
        <v>0</v>
      </c>
      <c r="FG149" s="287">
        <f>_xlfn.IFNA((VLOOKUP($A149,'Post 16'!$A:$AG,33,FALSE)/8),0)</f>
        <v>0</v>
      </c>
      <c r="FH149" s="287"/>
      <c r="FI149" s="287">
        <f>_xlfn.IFNA(((VLOOKUP($A149,HN!$A:$M,10,FALSE)-$U149-$AK149)/10),0)</f>
        <v>8287.8305833333325</v>
      </c>
      <c r="FJ149" s="287">
        <f>_xlfn.IFNA(((VLOOKUP($A149,HN!$A:$M,13,FALSE)-$V149-$AL149)/10),0)</f>
        <v>0</v>
      </c>
      <c r="FK149" s="286">
        <f t="shared" si="255"/>
        <v>-852.82499999999993</v>
      </c>
      <c r="FL149" s="286">
        <f t="shared" si="256"/>
        <v>-1162.2110500000001</v>
      </c>
      <c r="FM149" s="287"/>
      <c r="FN149" s="287"/>
      <c r="FO149" s="287"/>
      <c r="FP149" s="286">
        <f t="shared" si="257"/>
        <v>231432.2576799792</v>
      </c>
      <c r="FQ149" s="293">
        <f t="shared" si="258"/>
        <v>225159.4631466459</v>
      </c>
      <c r="FR149" s="293"/>
      <c r="FS149" s="293"/>
      <c r="FT149" s="294">
        <f>_xlfn.IFNA((VLOOKUP($A149,HN!$A:$M,8,FALSE)/12),0)</f>
        <v>0</v>
      </c>
      <c r="FU149" s="294">
        <f>_xlfn.IFNA((VLOOKUP($A149,HN!$A:$M,12,FALSE)/12),0)</f>
        <v>0</v>
      </c>
      <c r="FV149" s="294">
        <f>_xlfn.IFNA((VLOOKUP($A149,HN!$A:$M,9,FALSE)/12),0)</f>
        <v>0</v>
      </c>
      <c r="FW149" s="294">
        <f>_xlfn.IFNA((VLOOKUP($A149,'Post 16'!$A:$AG,33,FALSE)/8),0)</f>
        <v>0</v>
      </c>
      <c r="FX149" s="294"/>
      <c r="FY149" s="294">
        <f>_xlfn.IFNA(((VLOOKUP($A149,HN!$A:$M,10,FALSE)-$U149-$AK149)/10),0)</f>
        <v>8287.8305833333325</v>
      </c>
      <c r="FZ149" s="294">
        <f>_xlfn.IFNA(((VLOOKUP($A149,HN!$A:$M,13,FALSE)-$V149-$AL149)/10),0)</f>
        <v>0</v>
      </c>
      <c r="GA149" s="293">
        <f t="shared" si="259"/>
        <v>-852.82499999999993</v>
      </c>
      <c r="GB149" s="293">
        <f t="shared" si="260"/>
        <v>-1162.2110500000001</v>
      </c>
      <c r="GC149" s="294"/>
      <c r="GD149" s="294"/>
      <c r="GE149" s="294"/>
      <c r="GF149" s="293">
        <f t="shared" si="261"/>
        <v>231432.2576799792</v>
      </c>
      <c r="GG149" s="300">
        <f t="shared" si="262"/>
        <v>225159.4631466459</v>
      </c>
      <c r="GH149" s="300"/>
      <c r="GI149" s="300"/>
      <c r="GJ149" s="301">
        <f>_xlfn.IFNA((VLOOKUP($A149,HN!$A:$M,8,FALSE)/12),0)</f>
        <v>0</v>
      </c>
      <c r="GK149" s="301">
        <f>_xlfn.IFNA((VLOOKUP($A149,HN!$A:$M,12,FALSE)/12),0)</f>
        <v>0</v>
      </c>
      <c r="GL149" s="301">
        <f>_xlfn.IFNA((VLOOKUP($A149,HN!$A:$M,9,FALSE)/12),0)</f>
        <v>0</v>
      </c>
      <c r="GM149" s="301">
        <f>_xlfn.IFNA((VLOOKUP($A149,'Post 16'!$A:$AG,33,FALSE)/8),0)</f>
        <v>0</v>
      </c>
      <c r="GN149" s="301"/>
      <c r="GO149" s="301">
        <f>_xlfn.IFNA(((VLOOKUP($A149,HN!$A:$M,10,FALSE)-$U149-$AK149)/10),0)</f>
        <v>8287.8305833333325</v>
      </c>
      <c r="GP149" s="301">
        <f>_xlfn.IFNA(((VLOOKUP($A149,HN!$A:$M,13,FALSE)-$V149-$AL149)/10),0)</f>
        <v>0</v>
      </c>
      <c r="GQ149" s="300">
        <f t="shared" si="263"/>
        <v>-852.82499999999993</v>
      </c>
      <c r="GR149" s="300">
        <f t="shared" si="264"/>
        <v>-1162.2110500000001</v>
      </c>
      <c r="GS149" s="301"/>
      <c r="GT149" s="301"/>
      <c r="GU149" s="301"/>
      <c r="GV149" s="300">
        <f t="shared" si="265"/>
        <v>231432.2576799792</v>
      </c>
      <c r="GX149" s="146">
        <f t="shared" si="268"/>
        <v>2701913.5577597506</v>
      </c>
      <c r="GY149" s="146">
        <f t="shared" si="268"/>
        <v>0</v>
      </c>
      <c r="GZ149" s="146">
        <f t="shared" si="268"/>
        <v>105463.49999999997</v>
      </c>
      <c r="HA149" s="146">
        <f t="shared" si="268"/>
        <v>-10233.900000000001</v>
      </c>
      <c r="HB149" s="146">
        <f t="shared" si="268"/>
        <v>-13946.5326</v>
      </c>
      <c r="HC149" s="146">
        <f t="shared" si="268"/>
        <v>0</v>
      </c>
      <c r="HE149" s="146">
        <f t="shared" si="269"/>
        <v>675478.38943993766</v>
      </c>
      <c r="HF149" s="146">
        <f t="shared" si="269"/>
        <v>0</v>
      </c>
      <c r="HG149" s="146">
        <f t="shared" si="269"/>
        <v>30873.02475</v>
      </c>
      <c r="HH149" s="146">
        <f t="shared" si="269"/>
        <v>-2558.4749999999999</v>
      </c>
      <c r="HI149" s="146">
        <f t="shared" si="269"/>
        <v>-3486.6331500000006</v>
      </c>
      <c r="HJ149" s="146">
        <f t="shared" si="269"/>
        <v>0</v>
      </c>
      <c r="HL149" s="146"/>
      <c r="HM149" s="57"/>
    </row>
    <row r="150" spans="1:221">
      <c r="A150" s="185">
        <v>4625</v>
      </c>
      <c r="B150" s="185">
        <v>103534</v>
      </c>
      <c r="C150" s="185" t="s">
        <v>323</v>
      </c>
      <c r="D150" s="2" t="s">
        <v>324</v>
      </c>
      <c r="E150" s="190" t="s">
        <v>71</v>
      </c>
      <c r="F150" s="190" t="s">
        <v>890</v>
      </c>
      <c r="H150" s="271">
        <f>_xlfn.IFNA(VLOOKUP($A150,ISB!$A$4:$BY$441,67,FALSE),0)</f>
        <v>5313756.9997654734</v>
      </c>
      <c r="I150" s="271">
        <f>_xlfn.IFNA(VLOOKUP($A150,ISB!$A$4:$BY$441,72,FALSE),0)</f>
        <v>-11602.5</v>
      </c>
      <c r="J150" s="271">
        <f>-_xlfn.IFNA(VLOOKUP($A150,ISB!$A$4:$BY$441,76,FALSE),0)</f>
        <v>-17289.09</v>
      </c>
      <c r="K150" s="271">
        <f>_xlfn.IFNA(VLOOKUP($A150,ISB!$A$4:$BY$441,77,FALSE),0)</f>
        <v>5284865.4097654736</v>
      </c>
      <c r="M150" s="279">
        <f t="shared" si="218"/>
        <v>442813.08331378945</v>
      </c>
      <c r="N150" s="279"/>
      <c r="O150" s="279">
        <f>_xlfn.IFNA(VLOOKUP($A150,EY!$A:$H,8,FALSE)+(VLOOKUP($A150,EY!$A:$R,18,FALSE)-$T150),0)</f>
        <v>0</v>
      </c>
      <c r="P150" s="280">
        <f>_xlfn.IFNA((VLOOKUP($A150,HN!$A:$M,8,FALSE)/12),0)</f>
        <v>0</v>
      </c>
      <c r="Q150" s="280">
        <f>_xlfn.IFNA((VLOOKUP($A150,HN!$A:$M,12,FALSE)/12),0)</f>
        <v>0</v>
      </c>
      <c r="R150" s="280">
        <f>_xlfn.IFNA((VLOOKUP($A150,HN!$A:$M,9,FALSE)/12),0)</f>
        <v>0</v>
      </c>
      <c r="S150" s="280">
        <f>_xlfn.IFNA((VLOOKUP($A150,'Post 16'!$A:$AR,22,FALSE)/4),0)</f>
        <v>0</v>
      </c>
      <c r="T150" s="280">
        <f>_xlfn.IFNA((VLOOKUP($A150,EY!$A:$R,16,FALSE)*80%),0)</f>
        <v>0</v>
      </c>
      <c r="U150" s="280">
        <v>10365.514999999999</v>
      </c>
      <c r="V150" s="280">
        <v>0</v>
      </c>
      <c r="W150" s="279">
        <f t="shared" si="219"/>
        <v>-966.875</v>
      </c>
      <c r="X150" s="279">
        <f t="shared" si="220"/>
        <v>-1440.7574999999999</v>
      </c>
      <c r="Y150" s="280"/>
      <c r="Z150" s="280"/>
      <c r="AA150" s="280"/>
      <c r="AB150" s="279">
        <f t="shared" si="221"/>
        <v>450770.96581378946</v>
      </c>
      <c r="AC150" s="293">
        <f t="shared" si="222"/>
        <v>442813.08331378945</v>
      </c>
      <c r="AD150" s="293"/>
      <c r="AE150" s="293"/>
      <c r="AF150" s="294">
        <f>_xlfn.IFNA((VLOOKUP($A150,HN!$A:$M,8,FALSE)/12),0)</f>
        <v>0</v>
      </c>
      <c r="AG150" s="294">
        <f>_xlfn.IFNA((VLOOKUP($A150,HN!$A:$M,12,FALSE)/12),0)+_xlfn.IFNA(VLOOKUP($A150,HN!$A:$Q,17,FALSE),0)</f>
        <v>0</v>
      </c>
      <c r="AH150" s="294">
        <f>_xlfn.IFNA((VLOOKUP($A150,HN!$A:$M,9,FALSE)/12),0)</f>
        <v>0</v>
      </c>
      <c r="AI150" s="294">
        <f>_xlfn.IFNA((VLOOKUP($A150,'Post 16'!$A:$AR,22,FALSE)/4),0)</f>
        <v>0</v>
      </c>
      <c r="AJ150" s="294"/>
      <c r="AK150" s="294">
        <f>_xlfn.IFNA((VLOOKUP($A150,HN!$A:$M,10,FALSE)/12),0)</f>
        <v>10123.014166666666</v>
      </c>
      <c r="AL150" s="294">
        <f>_xlfn.IFNA((VLOOKUP($A150,HN!$A:$M,13,FALSE)/12),0)</f>
        <v>0</v>
      </c>
      <c r="AM150" s="293">
        <f t="shared" si="223"/>
        <v>-966.875</v>
      </c>
      <c r="AN150" s="293">
        <f t="shared" si="224"/>
        <v>-1440.7574999999999</v>
      </c>
      <c r="AO150" s="294"/>
      <c r="AP150" s="294"/>
      <c r="AQ150" s="294"/>
      <c r="AR150" s="293">
        <f t="shared" si="225"/>
        <v>450528.4649804561</v>
      </c>
      <c r="AS150" s="286">
        <f t="shared" si="226"/>
        <v>442813.08331378945</v>
      </c>
      <c r="AT150" s="286"/>
      <c r="AU150" s="286">
        <f>_xlfn.IFNA(VLOOKUP(A150,EY!A:AO,40,FALSE),0)</f>
        <v>0</v>
      </c>
      <c r="AV150" s="287">
        <f>_xlfn.IFNA((VLOOKUP($A150,HN!$A:$M,8,FALSE)/12),0)</f>
        <v>0</v>
      </c>
      <c r="AW150" s="287">
        <f>_xlfn.IFNA((VLOOKUP($A150,HN!$A:$M,12,FALSE)/12),0)+_xlfn.IFNA(VLOOKUP($A150,HN!$A$8:$AU$200,19,FALSE),0)</f>
        <v>0</v>
      </c>
      <c r="AX150" s="287">
        <f>_xlfn.IFNA((VLOOKUP($A150,HN!$A:$M,9,FALSE)/12),0)</f>
        <v>0</v>
      </c>
      <c r="AY150" s="287">
        <f>_xlfn.IFNA((VLOOKUP($A150,'Post 16'!$A:$AR,22,FALSE)/4),0)</f>
        <v>0</v>
      </c>
      <c r="AZ150" s="287">
        <f>_xlfn.IFNA(VLOOKUP(A150,EY!A:AO,41,FALSE),0)</f>
        <v>0</v>
      </c>
      <c r="BA150" s="287">
        <f>_xlfn.IFNA(((VLOOKUP($A150,HN!$A:$M,10,FALSE)-$U150-$AK150)/10),0)+_xlfn.IFNA(VLOOKUP($A150,HN!$A:$R,18,FALSE),0)</f>
        <v>10098.764083333333</v>
      </c>
      <c r="BB150" s="287">
        <f>_xlfn.IFNA(((VLOOKUP($A150,HN!$A:$M,13,FALSE)-$V150-$AL150)/10),0)+_xlfn.IFNA(VLOOKUP($A150,HN!$A$8:$AU$200,20,FALSE),0)</f>
        <v>0</v>
      </c>
      <c r="BC150" s="286">
        <f t="shared" si="227"/>
        <v>-966.875</v>
      </c>
      <c r="BD150" s="286">
        <f t="shared" si="228"/>
        <v>-1440.7574999999999</v>
      </c>
      <c r="BE150" s="287"/>
      <c r="BF150" s="287"/>
      <c r="BG150" s="287"/>
      <c r="BH150" s="286">
        <f t="shared" si="229"/>
        <v>450504.21489712276</v>
      </c>
      <c r="BI150" s="307">
        <f t="shared" si="230"/>
        <v>442813.08331378945</v>
      </c>
      <c r="BJ150" s="307">
        <f>_xlfn.IFNA(VLOOKUP(A150,'LA Deductions'!A:AH,34,FALSE),0)</f>
        <v>0</v>
      </c>
      <c r="BK150" s="307"/>
      <c r="BL150" s="308">
        <f>_xlfn.IFNA((VLOOKUP($A150,HN!$A:$M,8,FALSE)/12),0)</f>
        <v>0</v>
      </c>
      <c r="BM150" s="308">
        <f>_xlfn.IFNA((VLOOKUP($A150,HN!$A:$M,12,FALSE)/12),0)</f>
        <v>0</v>
      </c>
      <c r="BN150" s="308">
        <f>_xlfn.IFNA((VLOOKUP($A150,HN!$A:$M,9,FALSE)/12),0)</f>
        <v>0</v>
      </c>
      <c r="BO150" s="308">
        <f>_xlfn.IFNA((VLOOKUP($A150,'Post 16'!$A:$AR,22,FALSE)/4),0)</f>
        <v>0</v>
      </c>
      <c r="BP150" s="308"/>
      <c r="BQ150" s="308">
        <f>_xlfn.IFNA(((VLOOKUP($A150,HN!$A:$M,10,FALSE)-$U150-$AK150)/10),0)</f>
        <v>10098.764083333333</v>
      </c>
      <c r="BR150" s="308">
        <f>_xlfn.IFNA(((VLOOKUP($A150,HN!$A:$M,13,FALSE)-$V150-$AL150)/10),0)</f>
        <v>0</v>
      </c>
      <c r="BS150" s="307">
        <f t="shared" si="231"/>
        <v>-966.875</v>
      </c>
      <c r="BT150" s="307">
        <f t="shared" si="232"/>
        <v>-1440.7574999999999</v>
      </c>
      <c r="BU150" s="308"/>
      <c r="BV150" s="308"/>
      <c r="BW150" s="308"/>
      <c r="BX150" s="307">
        <f t="shared" si="233"/>
        <v>450504.21489712276</v>
      </c>
      <c r="BY150" s="300">
        <f t="shared" si="234"/>
        <v>442813.08331378945</v>
      </c>
      <c r="BZ150" s="300"/>
      <c r="CA150" s="300"/>
      <c r="CB150" s="301">
        <f>_xlfn.IFNA((VLOOKUP($A150,HN!$A:$M,8,FALSE)/12),0)</f>
        <v>0</v>
      </c>
      <c r="CC150" s="301">
        <f>_xlfn.IFNA((VLOOKUP($A150,HN!$A:$M,12,FALSE)/12),0)</f>
        <v>0</v>
      </c>
      <c r="CD150" s="301">
        <f>_xlfn.IFNA((VLOOKUP($A150,HN!$A:$M,9,FALSE)/12),0)</f>
        <v>0</v>
      </c>
      <c r="CE150" s="301">
        <f>_xlfn.IFNA((VLOOKUP($A150,'Post 16'!$A:$AG,33,FALSE)/8),0)</f>
        <v>0</v>
      </c>
      <c r="CF150" s="301"/>
      <c r="CG150" s="301">
        <f>_xlfn.IFNA(((VLOOKUP($A150,HN!$A:$M,10,FALSE)-$U150-$AK150)/10),0)</f>
        <v>10098.764083333333</v>
      </c>
      <c r="CH150" s="301">
        <f>_xlfn.IFNA(((VLOOKUP($A150,HN!$A:$M,13,FALSE)-$V150-$AL150)/10),0)</f>
        <v>0</v>
      </c>
      <c r="CI150" s="300">
        <f t="shared" si="235"/>
        <v>-966.875</v>
      </c>
      <c r="CJ150" s="300">
        <f t="shared" si="236"/>
        <v>-1440.7574999999999</v>
      </c>
      <c r="CK150" s="301"/>
      <c r="CL150" s="301"/>
      <c r="CM150" s="301"/>
      <c r="CN150" s="300">
        <f t="shared" si="237"/>
        <v>450504.21489712276</v>
      </c>
      <c r="CO150" s="332">
        <f t="shared" si="238"/>
        <v>442813.08331378945</v>
      </c>
      <c r="CP150" s="332"/>
      <c r="CQ150" s="332">
        <f>_xlfn.IFNA((VLOOKUP($A150,EY!$A:$AB,28,FALSE)-$CV150),0)</f>
        <v>0</v>
      </c>
      <c r="CR150" s="333">
        <f>_xlfn.IFNA((VLOOKUP($A150,HN!$A:$M,8,FALSE)/12),0)</f>
        <v>0</v>
      </c>
      <c r="CS150" s="333">
        <f>_xlfn.IFNA((VLOOKUP($A150,HN!$A:$M,12,FALSE)/12),0)</f>
        <v>0</v>
      </c>
      <c r="CT150" s="333">
        <f>_xlfn.IFNA((VLOOKUP($A150,HN!$A:$M,9,FALSE)/12),0)</f>
        <v>0</v>
      </c>
      <c r="CU150" s="333">
        <f>_xlfn.IFNA((VLOOKUP($A150,'Post 16'!$A:$AG,33,FALSE)/8),0)</f>
        <v>0</v>
      </c>
      <c r="CV150" s="333">
        <f>_xlfn.IFNA((VLOOKUP($A150,EY!$A:$AB,26,FALSE)*80%),0)</f>
        <v>0</v>
      </c>
      <c r="CW150" s="333">
        <f>_xlfn.IFNA(((VLOOKUP($A150,HN!$A:$M,10,FALSE)-$U150-$AK150)/10),0)</f>
        <v>10098.764083333333</v>
      </c>
      <c r="CX150" s="333">
        <f>_xlfn.IFNA(((VLOOKUP($A150,HN!$A:$M,13,FALSE)-$V150-$AL150)/10),0)</f>
        <v>0</v>
      </c>
      <c r="CY150" s="332">
        <f t="shared" si="239"/>
        <v>-966.875</v>
      </c>
      <c r="CZ150" s="332">
        <f t="shared" si="240"/>
        <v>-1440.7574999999999</v>
      </c>
      <c r="DA150" s="333"/>
      <c r="DB150" s="333"/>
      <c r="DC150" s="333"/>
      <c r="DD150" s="332">
        <f t="shared" si="241"/>
        <v>450504.21489712276</v>
      </c>
      <c r="DE150" s="314">
        <f t="shared" si="242"/>
        <v>442813.08331378945</v>
      </c>
      <c r="DF150" s="314"/>
      <c r="DG150" s="314"/>
      <c r="DH150" s="315">
        <f>_xlfn.IFNA((VLOOKUP($A150,HN!$A:$M,8,FALSE)/12),0)</f>
        <v>0</v>
      </c>
      <c r="DI150" s="315">
        <f>_xlfn.IFNA((VLOOKUP($A150,HN!$A:$M,12,FALSE)/12),0)</f>
        <v>0</v>
      </c>
      <c r="DJ150" s="315">
        <f>_xlfn.IFNA((VLOOKUP($A150,HN!$A:$M,9,FALSE)/12),0)</f>
        <v>0</v>
      </c>
      <c r="DK150" s="315">
        <f>_xlfn.IFNA((VLOOKUP($A150,'Post 16'!$A:$AG,33,FALSE)/8),0)</f>
        <v>0</v>
      </c>
      <c r="DL150" s="315"/>
      <c r="DM150" s="315">
        <f>_xlfn.IFNA(((VLOOKUP($A150,HN!$A:$M,10,FALSE)-$U150-$AK150)/10),0)</f>
        <v>10098.764083333333</v>
      </c>
      <c r="DN150" s="315">
        <f>_xlfn.IFNA(((VLOOKUP($A150,HN!$A:$M,13,FALSE)-$V150-$AL150)/10),0)</f>
        <v>0</v>
      </c>
      <c r="DO150" s="314">
        <f t="shared" si="243"/>
        <v>-966.875</v>
      </c>
      <c r="DP150" s="314">
        <f t="shared" si="244"/>
        <v>-1440.7574999999999</v>
      </c>
      <c r="DQ150" s="315"/>
      <c r="DR150" s="315"/>
      <c r="DS150" s="315"/>
      <c r="DT150" s="314">
        <f t="shared" si="245"/>
        <v>450504.21489712276</v>
      </c>
      <c r="DU150" s="307">
        <f t="shared" si="246"/>
        <v>442813.08331378945</v>
      </c>
      <c r="DV150" s="307"/>
      <c r="DW150" s="307"/>
      <c r="DX150" s="308">
        <f>_xlfn.IFNA((VLOOKUP($A150,HN!$A:$M,8,FALSE)/12),0)</f>
        <v>0</v>
      </c>
      <c r="DY150" s="308">
        <f>_xlfn.IFNA((VLOOKUP($A150,HN!$A:$M,12,FALSE)/12),0)</f>
        <v>0</v>
      </c>
      <c r="DZ150" s="308">
        <f>_xlfn.IFNA((VLOOKUP($A150,HN!$A:$M,9,FALSE)/12),0)</f>
        <v>0</v>
      </c>
      <c r="EA150" s="308">
        <f>_xlfn.IFNA((VLOOKUP($A150,'Post 16'!$A:$AG,33,FALSE)/8),0)</f>
        <v>0</v>
      </c>
      <c r="EB150" s="308"/>
      <c r="EC150" s="308">
        <f>_xlfn.IFNA(((VLOOKUP($A150,HN!$A:$M,10,FALSE)-$U150-$AK150)/10),0)</f>
        <v>10098.764083333333</v>
      </c>
      <c r="ED150" s="308">
        <f>_xlfn.IFNA(((VLOOKUP($A150,HN!$A:$M,13,FALSE)-$V150-$AL150)/10),0)</f>
        <v>0</v>
      </c>
      <c r="EE150" s="307">
        <f t="shared" si="247"/>
        <v>-966.875</v>
      </c>
      <c r="EF150" s="307">
        <f t="shared" si="248"/>
        <v>-1440.7574999999999</v>
      </c>
      <c r="EG150" s="308"/>
      <c r="EH150" s="308"/>
      <c r="EI150" s="308"/>
      <c r="EJ150" s="307">
        <f t="shared" si="249"/>
        <v>450504.21489712276</v>
      </c>
      <c r="EK150" s="320">
        <f t="shared" si="250"/>
        <v>442813.08331378945</v>
      </c>
      <c r="EL150" s="320"/>
      <c r="EM150" s="320"/>
      <c r="EN150" s="321">
        <f>_xlfn.IFNA((VLOOKUP($A150,HN!$A:$M,8,FALSE)/12),0)</f>
        <v>0</v>
      </c>
      <c r="EO150" s="321">
        <f>_xlfn.IFNA((VLOOKUP($A150,HN!$A:$M,12,FALSE)/12),0)</f>
        <v>0</v>
      </c>
      <c r="EP150" s="321">
        <f>_xlfn.IFNA((VLOOKUP($A150,HN!$A:$M,9,FALSE)/12),0)</f>
        <v>0</v>
      </c>
      <c r="EQ150" s="321">
        <f>_xlfn.IFNA((VLOOKUP($A150,'Post 16'!$A:$AG,33,FALSE)/8),0)</f>
        <v>0</v>
      </c>
      <c r="ER150" s="321"/>
      <c r="ES150" s="321">
        <f>_xlfn.IFNA(((VLOOKUP($A150,HN!$A:$M,10,FALSE)-$U150-$AK150)/10),0)</f>
        <v>10098.764083333333</v>
      </c>
      <c r="ET150" s="321">
        <f>_xlfn.IFNA(((VLOOKUP($A150,HN!$A:$M,13,FALSE)-$V150-$AL150)/10),0)</f>
        <v>0</v>
      </c>
      <c r="EU150" s="320">
        <f t="shared" si="251"/>
        <v>-966.875</v>
      </c>
      <c r="EV150" s="320">
        <f t="shared" si="252"/>
        <v>-1440.7574999999999</v>
      </c>
      <c r="EW150" s="321"/>
      <c r="EX150" s="321"/>
      <c r="EY150" s="321"/>
      <c r="EZ150" s="320">
        <f t="shared" si="253"/>
        <v>450504.21489712276</v>
      </c>
      <c r="FA150" s="286">
        <f t="shared" si="254"/>
        <v>442813.08331378945</v>
      </c>
      <c r="FB150" s="286"/>
      <c r="FC150" s="286"/>
      <c r="FD150" s="287">
        <f>_xlfn.IFNA((VLOOKUP($A150,HN!$A:$M,8,FALSE)/12),0)</f>
        <v>0</v>
      </c>
      <c r="FE150" s="287">
        <f>_xlfn.IFNA((VLOOKUP($A150,HN!$A:$M,12,FALSE)/12),0)</f>
        <v>0</v>
      </c>
      <c r="FF150" s="287">
        <f>_xlfn.IFNA((VLOOKUP($A150,HN!$A:$M,9,FALSE)/12),0)</f>
        <v>0</v>
      </c>
      <c r="FG150" s="287">
        <f>_xlfn.IFNA((VLOOKUP($A150,'Post 16'!$A:$AG,33,FALSE)/8),0)</f>
        <v>0</v>
      </c>
      <c r="FH150" s="287"/>
      <c r="FI150" s="287">
        <f>_xlfn.IFNA(((VLOOKUP($A150,HN!$A:$M,10,FALSE)-$U150-$AK150)/10),0)</f>
        <v>10098.764083333333</v>
      </c>
      <c r="FJ150" s="287">
        <f>_xlfn.IFNA(((VLOOKUP($A150,HN!$A:$M,13,FALSE)-$V150-$AL150)/10),0)</f>
        <v>0</v>
      </c>
      <c r="FK150" s="286">
        <f t="shared" si="255"/>
        <v>-966.875</v>
      </c>
      <c r="FL150" s="286">
        <f t="shared" si="256"/>
        <v>-1440.7574999999999</v>
      </c>
      <c r="FM150" s="287"/>
      <c r="FN150" s="287"/>
      <c r="FO150" s="287"/>
      <c r="FP150" s="286">
        <f t="shared" si="257"/>
        <v>450504.21489712276</v>
      </c>
      <c r="FQ150" s="293">
        <f t="shared" si="258"/>
        <v>442813.08331378945</v>
      </c>
      <c r="FR150" s="293"/>
      <c r="FS150" s="293"/>
      <c r="FT150" s="294">
        <f>_xlfn.IFNA((VLOOKUP($A150,HN!$A:$M,8,FALSE)/12),0)</f>
        <v>0</v>
      </c>
      <c r="FU150" s="294">
        <f>_xlfn.IFNA((VLOOKUP($A150,HN!$A:$M,12,FALSE)/12),0)</f>
        <v>0</v>
      </c>
      <c r="FV150" s="294">
        <f>_xlfn.IFNA((VLOOKUP($A150,HN!$A:$M,9,FALSE)/12),0)</f>
        <v>0</v>
      </c>
      <c r="FW150" s="294">
        <f>_xlfn.IFNA((VLOOKUP($A150,'Post 16'!$A:$AG,33,FALSE)/8),0)</f>
        <v>0</v>
      </c>
      <c r="FX150" s="294"/>
      <c r="FY150" s="294">
        <f>_xlfn.IFNA(((VLOOKUP($A150,HN!$A:$M,10,FALSE)-$U150-$AK150)/10),0)</f>
        <v>10098.764083333333</v>
      </c>
      <c r="FZ150" s="294">
        <f>_xlfn.IFNA(((VLOOKUP($A150,HN!$A:$M,13,FALSE)-$V150-$AL150)/10),0)</f>
        <v>0</v>
      </c>
      <c r="GA150" s="293">
        <f t="shared" si="259"/>
        <v>-966.875</v>
      </c>
      <c r="GB150" s="293">
        <f t="shared" si="260"/>
        <v>-1440.7574999999999</v>
      </c>
      <c r="GC150" s="294"/>
      <c r="GD150" s="294"/>
      <c r="GE150" s="294"/>
      <c r="GF150" s="293">
        <f t="shared" si="261"/>
        <v>450504.21489712276</v>
      </c>
      <c r="GG150" s="300">
        <f t="shared" si="262"/>
        <v>442813.08331378945</v>
      </c>
      <c r="GH150" s="300"/>
      <c r="GI150" s="300"/>
      <c r="GJ150" s="301">
        <f>_xlfn.IFNA((VLOOKUP($A150,HN!$A:$M,8,FALSE)/12),0)</f>
        <v>0</v>
      </c>
      <c r="GK150" s="301">
        <f>_xlfn.IFNA((VLOOKUP($A150,HN!$A:$M,12,FALSE)/12),0)</f>
        <v>0</v>
      </c>
      <c r="GL150" s="301">
        <f>_xlfn.IFNA((VLOOKUP($A150,HN!$A:$M,9,FALSE)/12),0)</f>
        <v>0</v>
      </c>
      <c r="GM150" s="301">
        <f>_xlfn.IFNA((VLOOKUP($A150,'Post 16'!$A:$AG,33,FALSE)/8),0)</f>
        <v>0</v>
      </c>
      <c r="GN150" s="301"/>
      <c r="GO150" s="301">
        <f>_xlfn.IFNA(((VLOOKUP($A150,HN!$A:$M,10,FALSE)-$U150-$AK150)/10),0)</f>
        <v>10098.764083333333</v>
      </c>
      <c r="GP150" s="301">
        <f>_xlfn.IFNA(((VLOOKUP($A150,HN!$A:$M,13,FALSE)-$V150-$AL150)/10),0)</f>
        <v>0</v>
      </c>
      <c r="GQ150" s="300">
        <f t="shared" si="263"/>
        <v>-966.875</v>
      </c>
      <c r="GR150" s="300">
        <f t="shared" si="264"/>
        <v>-1440.7574999999999</v>
      </c>
      <c r="GS150" s="301"/>
      <c r="GT150" s="301"/>
      <c r="GU150" s="301"/>
      <c r="GV150" s="300">
        <f t="shared" si="265"/>
        <v>450504.21489712276</v>
      </c>
      <c r="GX150" s="146">
        <f t="shared" si="268"/>
        <v>5313756.9997654716</v>
      </c>
      <c r="GY150" s="146">
        <f t="shared" si="268"/>
        <v>0</v>
      </c>
      <c r="GZ150" s="146">
        <f t="shared" si="268"/>
        <v>121476.16999999998</v>
      </c>
      <c r="HA150" s="146">
        <f t="shared" si="268"/>
        <v>-11602.5</v>
      </c>
      <c r="HB150" s="146">
        <f t="shared" si="268"/>
        <v>-17289.09</v>
      </c>
      <c r="HC150" s="146">
        <f t="shared" si="268"/>
        <v>0</v>
      </c>
      <c r="HE150" s="146">
        <f t="shared" si="269"/>
        <v>1328439.2499413684</v>
      </c>
      <c r="HF150" s="146">
        <f t="shared" si="269"/>
        <v>0</v>
      </c>
      <c r="HG150" s="146">
        <f t="shared" si="269"/>
        <v>30587.293250000002</v>
      </c>
      <c r="HH150" s="146">
        <f t="shared" si="269"/>
        <v>-2900.625</v>
      </c>
      <c r="HI150" s="146">
        <f t="shared" si="269"/>
        <v>-4322.2725</v>
      </c>
      <c r="HJ150" s="146">
        <f t="shared" si="269"/>
        <v>0</v>
      </c>
      <c r="HL150" s="146"/>
      <c r="HM150" s="57"/>
    </row>
    <row r="151" spans="1:221">
      <c r="A151" s="185">
        <v>3377</v>
      </c>
      <c r="B151" s="185">
        <v>103463</v>
      </c>
      <c r="C151" s="185" t="s">
        <v>325</v>
      </c>
      <c r="D151" s="2" t="s">
        <v>326</v>
      </c>
      <c r="E151" s="190" t="s">
        <v>39</v>
      </c>
      <c r="F151" s="190" t="s">
        <v>890</v>
      </c>
      <c r="H151" s="271">
        <f>_xlfn.IFNA(VLOOKUP($A151,ISB!$A$4:$BY$441,67,FALSE),0)</f>
        <v>1296731.4241517095</v>
      </c>
      <c r="I151" s="271">
        <f>_xlfn.IFNA(VLOOKUP($A151,ISB!$A$4:$BY$441,72,FALSE),0)</f>
        <v>-4681.2</v>
      </c>
      <c r="J151" s="271">
        <f>-_xlfn.IFNA(VLOOKUP($A151,ISB!$A$4:$BY$441,76,FALSE),0)</f>
        <v>-4292.5601999999999</v>
      </c>
      <c r="K151" s="271">
        <f>_xlfn.IFNA(VLOOKUP($A151,ISB!$A$4:$BY$441,77,FALSE),0)</f>
        <v>1287757.6639517096</v>
      </c>
      <c r="M151" s="279">
        <f t="shared" si="218"/>
        <v>108060.95201264246</v>
      </c>
      <c r="N151" s="279"/>
      <c r="O151" s="279">
        <f>_xlfn.IFNA(VLOOKUP($A151,EY!$A:$H,8,FALSE)+(VLOOKUP($A151,EY!$A:$R,18,FALSE)-$T151),0)</f>
        <v>22414.080000000002</v>
      </c>
      <c r="P151" s="280">
        <f>_xlfn.IFNA((VLOOKUP($A151,HN!$A:$M,8,FALSE)/12),0)</f>
        <v>0</v>
      </c>
      <c r="Q151" s="280">
        <f>_xlfn.IFNA((VLOOKUP($A151,HN!$A:$M,12,FALSE)/12),0)</f>
        <v>0</v>
      </c>
      <c r="R151" s="280">
        <f>_xlfn.IFNA((VLOOKUP($A151,HN!$A:$M,9,FALSE)/12),0)</f>
        <v>0</v>
      </c>
      <c r="S151" s="280">
        <f>_xlfn.IFNA((VLOOKUP($A151,'Post 16'!$A:$AR,22,FALSE)/4),0)</f>
        <v>0</v>
      </c>
      <c r="T151" s="280">
        <f>_xlfn.IFNA((VLOOKUP($A151,EY!$A:$R,16,FALSE)*80%),0)</f>
        <v>0</v>
      </c>
      <c r="U151" s="280">
        <v>4613.4375</v>
      </c>
      <c r="V151" s="280">
        <v>0</v>
      </c>
      <c r="W151" s="279">
        <f t="shared" si="219"/>
        <v>-390.09999999999997</v>
      </c>
      <c r="X151" s="279">
        <f t="shared" si="220"/>
        <v>-357.71334999999999</v>
      </c>
      <c r="Y151" s="280"/>
      <c r="Z151" s="280"/>
      <c r="AA151" s="280"/>
      <c r="AB151" s="279">
        <f t="shared" si="221"/>
        <v>134340.65616264247</v>
      </c>
      <c r="AC151" s="293">
        <f t="shared" si="222"/>
        <v>108060.95201264246</v>
      </c>
      <c r="AD151" s="293"/>
      <c r="AE151" s="293"/>
      <c r="AF151" s="294">
        <f>_xlfn.IFNA((VLOOKUP($A151,HN!$A:$M,8,FALSE)/12),0)</f>
        <v>0</v>
      </c>
      <c r="AG151" s="294">
        <f>_xlfn.IFNA((VLOOKUP($A151,HN!$A:$M,12,FALSE)/12),0)+_xlfn.IFNA(VLOOKUP($A151,HN!$A:$Q,17,FALSE),0)</f>
        <v>0</v>
      </c>
      <c r="AH151" s="294">
        <f>_xlfn.IFNA((VLOOKUP($A151,HN!$A:$M,9,FALSE)/12),0)</f>
        <v>0</v>
      </c>
      <c r="AI151" s="294">
        <f>_xlfn.IFNA((VLOOKUP($A151,'Post 16'!$A:$AR,22,FALSE)/4),0)</f>
        <v>0</v>
      </c>
      <c r="AJ151" s="294"/>
      <c r="AK151" s="294">
        <f>_xlfn.IFNA((VLOOKUP($A151,HN!$A:$M,10,FALSE)/12),0)</f>
        <v>2976.5275000000001</v>
      </c>
      <c r="AL151" s="294">
        <f>_xlfn.IFNA((VLOOKUP($A151,HN!$A:$M,13,FALSE)/12),0)</f>
        <v>0</v>
      </c>
      <c r="AM151" s="293">
        <f t="shared" si="223"/>
        <v>-390.09999999999997</v>
      </c>
      <c r="AN151" s="293">
        <f t="shared" si="224"/>
        <v>-357.71334999999999</v>
      </c>
      <c r="AO151" s="294"/>
      <c r="AP151" s="294"/>
      <c r="AQ151" s="294"/>
      <c r="AR151" s="293">
        <f t="shared" si="225"/>
        <v>110289.66616264245</v>
      </c>
      <c r="AS151" s="286">
        <f t="shared" si="226"/>
        <v>108060.95201264246</v>
      </c>
      <c r="AT151" s="286"/>
      <c r="AU151" s="286">
        <f>_xlfn.IFNA(VLOOKUP(A151,EY!A:AO,40,FALSE),0)</f>
        <v>1193.2857894736826</v>
      </c>
      <c r="AV151" s="287">
        <f>_xlfn.IFNA((VLOOKUP($A151,HN!$A:$M,8,FALSE)/12),0)</f>
        <v>0</v>
      </c>
      <c r="AW151" s="287">
        <f>_xlfn.IFNA((VLOOKUP($A151,HN!$A:$M,12,FALSE)/12),0)+_xlfn.IFNA(VLOOKUP($A151,HN!$A$8:$AU$200,19,FALSE),0)</f>
        <v>0</v>
      </c>
      <c r="AX151" s="287">
        <f>_xlfn.IFNA((VLOOKUP($A151,HN!$A:$M,9,FALSE)/12),0)</f>
        <v>0</v>
      </c>
      <c r="AY151" s="287">
        <f>_xlfn.IFNA((VLOOKUP($A151,'Post 16'!$A:$AR,22,FALSE)/4),0)</f>
        <v>0</v>
      </c>
      <c r="AZ151" s="287">
        <f>_xlfn.IFNA(VLOOKUP(A151,EY!A:AO,41,FALSE),0)</f>
        <v>0</v>
      </c>
      <c r="BA151" s="287">
        <f>_xlfn.IFNA(((VLOOKUP($A151,HN!$A:$M,10,FALSE)-$U151-$AK151)/10),0)+_xlfn.IFNA(VLOOKUP($A151,HN!$A:$R,18,FALSE),0)</f>
        <v>2812.8365000000003</v>
      </c>
      <c r="BB151" s="287">
        <f>_xlfn.IFNA(((VLOOKUP($A151,HN!$A:$M,13,FALSE)-$V151-$AL151)/10),0)+_xlfn.IFNA(VLOOKUP($A151,HN!$A$8:$AU$200,20,FALSE),0)</f>
        <v>0</v>
      </c>
      <c r="BC151" s="286">
        <f t="shared" si="227"/>
        <v>-390.09999999999997</v>
      </c>
      <c r="BD151" s="286">
        <f t="shared" si="228"/>
        <v>-357.71334999999999</v>
      </c>
      <c r="BE151" s="287"/>
      <c r="BF151" s="287"/>
      <c r="BG151" s="287"/>
      <c r="BH151" s="286">
        <f t="shared" si="229"/>
        <v>111319.26095211614</v>
      </c>
      <c r="BI151" s="307">
        <f t="shared" si="230"/>
        <v>108060.95201264246</v>
      </c>
      <c r="BJ151" s="307">
        <f>_xlfn.IFNA(VLOOKUP(A151,'LA Deductions'!A:AH,34,FALSE),0)</f>
        <v>0</v>
      </c>
      <c r="BK151" s="307"/>
      <c r="BL151" s="308">
        <f>_xlfn.IFNA((VLOOKUP($A151,HN!$A:$M,8,FALSE)/12),0)</f>
        <v>0</v>
      </c>
      <c r="BM151" s="308">
        <f>_xlfn.IFNA((VLOOKUP($A151,HN!$A:$M,12,FALSE)/12),0)</f>
        <v>0</v>
      </c>
      <c r="BN151" s="308">
        <f>_xlfn.IFNA((VLOOKUP($A151,HN!$A:$M,9,FALSE)/12),0)</f>
        <v>0</v>
      </c>
      <c r="BO151" s="308">
        <f>_xlfn.IFNA((VLOOKUP($A151,'Post 16'!$A:$AR,22,FALSE)/4),0)</f>
        <v>0</v>
      </c>
      <c r="BP151" s="308"/>
      <c r="BQ151" s="308">
        <f>_xlfn.IFNA(((VLOOKUP($A151,HN!$A:$M,10,FALSE)-$U151-$AK151)/10),0)</f>
        <v>2812.8365000000003</v>
      </c>
      <c r="BR151" s="308">
        <f>_xlfn.IFNA(((VLOOKUP($A151,HN!$A:$M,13,FALSE)-$V151-$AL151)/10),0)</f>
        <v>0</v>
      </c>
      <c r="BS151" s="307">
        <f t="shared" si="231"/>
        <v>-390.09999999999997</v>
      </c>
      <c r="BT151" s="307">
        <f t="shared" si="232"/>
        <v>-357.71334999999999</v>
      </c>
      <c r="BU151" s="308"/>
      <c r="BV151" s="308"/>
      <c r="BW151" s="308"/>
      <c r="BX151" s="307">
        <f t="shared" si="233"/>
        <v>110125.97516264245</v>
      </c>
      <c r="BY151" s="300">
        <f t="shared" si="234"/>
        <v>108060.95201264246</v>
      </c>
      <c r="BZ151" s="300"/>
      <c r="CA151" s="300"/>
      <c r="CB151" s="301">
        <f>_xlfn.IFNA((VLOOKUP($A151,HN!$A:$M,8,FALSE)/12),0)</f>
        <v>0</v>
      </c>
      <c r="CC151" s="301">
        <f>_xlfn.IFNA((VLOOKUP($A151,HN!$A:$M,12,FALSE)/12),0)</f>
        <v>0</v>
      </c>
      <c r="CD151" s="301">
        <f>_xlfn.IFNA((VLOOKUP($A151,HN!$A:$M,9,FALSE)/12),0)</f>
        <v>0</v>
      </c>
      <c r="CE151" s="301">
        <f>_xlfn.IFNA((VLOOKUP($A151,'Post 16'!$A:$AG,33,FALSE)/8),0)</f>
        <v>0</v>
      </c>
      <c r="CF151" s="301"/>
      <c r="CG151" s="301">
        <f>_xlfn.IFNA(((VLOOKUP($A151,HN!$A:$M,10,FALSE)-$U151-$AK151)/10),0)</f>
        <v>2812.8365000000003</v>
      </c>
      <c r="CH151" s="301">
        <f>_xlfn.IFNA(((VLOOKUP($A151,HN!$A:$M,13,FALSE)-$V151-$AL151)/10),0)</f>
        <v>0</v>
      </c>
      <c r="CI151" s="300">
        <f t="shared" si="235"/>
        <v>-390.09999999999997</v>
      </c>
      <c r="CJ151" s="300">
        <f t="shared" si="236"/>
        <v>-357.71334999999999</v>
      </c>
      <c r="CK151" s="301"/>
      <c r="CL151" s="301"/>
      <c r="CM151" s="301"/>
      <c r="CN151" s="300">
        <f t="shared" si="237"/>
        <v>110125.97516264245</v>
      </c>
      <c r="CO151" s="332">
        <f t="shared" si="238"/>
        <v>108060.95201264246</v>
      </c>
      <c r="CP151" s="332"/>
      <c r="CQ151" s="332">
        <f>_xlfn.IFNA((VLOOKUP($A151,EY!$A:$AB,28,FALSE)-$CV151),0)</f>
        <v>2951.5200000000004</v>
      </c>
      <c r="CR151" s="333">
        <f>_xlfn.IFNA((VLOOKUP($A151,HN!$A:$M,8,FALSE)/12),0)</f>
        <v>0</v>
      </c>
      <c r="CS151" s="333">
        <f>_xlfn.IFNA((VLOOKUP($A151,HN!$A:$M,12,FALSE)/12),0)</f>
        <v>0</v>
      </c>
      <c r="CT151" s="333">
        <f>_xlfn.IFNA((VLOOKUP($A151,HN!$A:$M,9,FALSE)/12),0)</f>
        <v>0</v>
      </c>
      <c r="CU151" s="333">
        <f>_xlfn.IFNA((VLOOKUP($A151,'Post 16'!$A:$AG,33,FALSE)/8),0)</f>
        <v>0</v>
      </c>
      <c r="CV151" s="333">
        <f>_xlfn.IFNA((VLOOKUP($A151,EY!$A:$AB,26,FALSE)*80%),0)</f>
        <v>0</v>
      </c>
      <c r="CW151" s="333">
        <f>_xlfn.IFNA(((VLOOKUP($A151,HN!$A:$M,10,FALSE)-$U151-$AK151)/10),0)</f>
        <v>2812.8365000000003</v>
      </c>
      <c r="CX151" s="333">
        <f>_xlfn.IFNA(((VLOOKUP($A151,HN!$A:$M,13,FALSE)-$V151-$AL151)/10),0)</f>
        <v>0</v>
      </c>
      <c r="CY151" s="332">
        <f t="shared" si="239"/>
        <v>-390.09999999999997</v>
      </c>
      <c r="CZ151" s="332">
        <f t="shared" si="240"/>
        <v>-357.71334999999999</v>
      </c>
      <c r="DA151" s="333"/>
      <c r="DB151" s="333"/>
      <c r="DC151" s="333"/>
      <c r="DD151" s="332">
        <f t="shared" si="241"/>
        <v>113077.49516264246</v>
      </c>
      <c r="DE151" s="314">
        <f t="shared" si="242"/>
        <v>108060.95201264246</v>
      </c>
      <c r="DF151" s="314"/>
      <c r="DG151" s="314"/>
      <c r="DH151" s="315">
        <f>_xlfn.IFNA((VLOOKUP($A151,HN!$A:$M,8,FALSE)/12),0)</f>
        <v>0</v>
      </c>
      <c r="DI151" s="315">
        <f>_xlfn.IFNA((VLOOKUP($A151,HN!$A:$M,12,FALSE)/12),0)</f>
        <v>0</v>
      </c>
      <c r="DJ151" s="315">
        <f>_xlfn.IFNA((VLOOKUP($A151,HN!$A:$M,9,FALSE)/12),0)</f>
        <v>0</v>
      </c>
      <c r="DK151" s="315">
        <f>_xlfn.IFNA((VLOOKUP($A151,'Post 16'!$A:$AG,33,FALSE)/8),0)</f>
        <v>0</v>
      </c>
      <c r="DL151" s="315"/>
      <c r="DM151" s="315">
        <f>_xlfn.IFNA(((VLOOKUP($A151,HN!$A:$M,10,FALSE)-$U151-$AK151)/10),0)</f>
        <v>2812.8365000000003</v>
      </c>
      <c r="DN151" s="315">
        <f>_xlfn.IFNA(((VLOOKUP($A151,HN!$A:$M,13,FALSE)-$V151-$AL151)/10),0)</f>
        <v>0</v>
      </c>
      <c r="DO151" s="314">
        <f t="shared" si="243"/>
        <v>-390.09999999999997</v>
      </c>
      <c r="DP151" s="314">
        <f t="shared" si="244"/>
        <v>-357.71334999999999</v>
      </c>
      <c r="DQ151" s="315"/>
      <c r="DR151" s="315"/>
      <c r="DS151" s="315"/>
      <c r="DT151" s="314">
        <f t="shared" si="245"/>
        <v>110125.97516264245</v>
      </c>
      <c r="DU151" s="307">
        <f t="shared" si="246"/>
        <v>108060.95201264246</v>
      </c>
      <c r="DV151" s="307"/>
      <c r="DW151" s="307"/>
      <c r="DX151" s="308">
        <f>_xlfn.IFNA((VLOOKUP($A151,HN!$A:$M,8,FALSE)/12),0)</f>
        <v>0</v>
      </c>
      <c r="DY151" s="308">
        <f>_xlfn.IFNA((VLOOKUP($A151,HN!$A:$M,12,FALSE)/12),0)</f>
        <v>0</v>
      </c>
      <c r="DZ151" s="308">
        <f>_xlfn.IFNA((VLOOKUP($A151,HN!$A:$M,9,FALSE)/12),0)</f>
        <v>0</v>
      </c>
      <c r="EA151" s="308">
        <f>_xlfn.IFNA((VLOOKUP($A151,'Post 16'!$A:$AG,33,FALSE)/8),0)</f>
        <v>0</v>
      </c>
      <c r="EB151" s="308"/>
      <c r="EC151" s="308">
        <f>_xlfn.IFNA(((VLOOKUP($A151,HN!$A:$M,10,FALSE)-$U151-$AK151)/10),0)</f>
        <v>2812.8365000000003</v>
      </c>
      <c r="ED151" s="308">
        <f>_xlfn.IFNA(((VLOOKUP($A151,HN!$A:$M,13,FALSE)-$V151-$AL151)/10),0)</f>
        <v>0</v>
      </c>
      <c r="EE151" s="307">
        <f t="shared" si="247"/>
        <v>-390.09999999999997</v>
      </c>
      <c r="EF151" s="307">
        <f t="shared" si="248"/>
        <v>-357.71334999999999</v>
      </c>
      <c r="EG151" s="308"/>
      <c r="EH151" s="308"/>
      <c r="EI151" s="308"/>
      <c r="EJ151" s="307">
        <f t="shared" si="249"/>
        <v>110125.97516264245</v>
      </c>
      <c r="EK151" s="320">
        <f t="shared" si="250"/>
        <v>108060.95201264246</v>
      </c>
      <c r="EL151" s="320"/>
      <c r="EM151" s="320"/>
      <c r="EN151" s="321">
        <f>_xlfn.IFNA((VLOOKUP($A151,HN!$A:$M,8,FALSE)/12),0)</f>
        <v>0</v>
      </c>
      <c r="EO151" s="321">
        <f>_xlfn.IFNA((VLOOKUP($A151,HN!$A:$M,12,FALSE)/12),0)</f>
        <v>0</v>
      </c>
      <c r="EP151" s="321">
        <f>_xlfn.IFNA((VLOOKUP($A151,HN!$A:$M,9,FALSE)/12),0)</f>
        <v>0</v>
      </c>
      <c r="EQ151" s="321">
        <f>_xlfn.IFNA((VLOOKUP($A151,'Post 16'!$A:$AG,33,FALSE)/8),0)</f>
        <v>0</v>
      </c>
      <c r="ER151" s="321"/>
      <c r="ES151" s="321">
        <f>_xlfn.IFNA(((VLOOKUP($A151,HN!$A:$M,10,FALSE)-$U151-$AK151)/10),0)</f>
        <v>2812.8365000000003</v>
      </c>
      <c r="ET151" s="321">
        <f>_xlfn.IFNA(((VLOOKUP($A151,HN!$A:$M,13,FALSE)-$V151-$AL151)/10),0)</f>
        <v>0</v>
      </c>
      <c r="EU151" s="320">
        <f t="shared" si="251"/>
        <v>-390.09999999999997</v>
      </c>
      <c r="EV151" s="320">
        <f t="shared" si="252"/>
        <v>-357.71334999999999</v>
      </c>
      <c r="EW151" s="321"/>
      <c r="EX151" s="321"/>
      <c r="EY151" s="321"/>
      <c r="EZ151" s="320">
        <f t="shared" si="253"/>
        <v>110125.97516264245</v>
      </c>
      <c r="FA151" s="286">
        <f t="shared" si="254"/>
        <v>108060.95201264246</v>
      </c>
      <c r="FB151" s="286"/>
      <c r="FC151" s="286"/>
      <c r="FD151" s="287">
        <f>_xlfn.IFNA((VLOOKUP($A151,HN!$A:$M,8,FALSE)/12),0)</f>
        <v>0</v>
      </c>
      <c r="FE151" s="287">
        <f>_xlfn.IFNA((VLOOKUP($A151,HN!$A:$M,12,FALSE)/12),0)</f>
        <v>0</v>
      </c>
      <c r="FF151" s="287">
        <f>_xlfn.IFNA((VLOOKUP($A151,HN!$A:$M,9,FALSE)/12),0)</f>
        <v>0</v>
      </c>
      <c r="FG151" s="287">
        <f>_xlfn.IFNA((VLOOKUP($A151,'Post 16'!$A:$AG,33,FALSE)/8),0)</f>
        <v>0</v>
      </c>
      <c r="FH151" s="287"/>
      <c r="FI151" s="287">
        <f>_xlfn.IFNA(((VLOOKUP($A151,HN!$A:$M,10,FALSE)-$U151-$AK151)/10),0)</f>
        <v>2812.8365000000003</v>
      </c>
      <c r="FJ151" s="287">
        <f>_xlfn.IFNA(((VLOOKUP($A151,HN!$A:$M,13,FALSE)-$V151-$AL151)/10),0)</f>
        <v>0</v>
      </c>
      <c r="FK151" s="286">
        <f t="shared" si="255"/>
        <v>-390.09999999999997</v>
      </c>
      <c r="FL151" s="286">
        <f t="shared" si="256"/>
        <v>-357.71334999999999</v>
      </c>
      <c r="FM151" s="287"/>
      <c r="FN151" s="287"/>
      <c r="FO151" s="287"/>
      <c r="FP151" s="286">
        <f t="shared" si="257"/>
        <v>110125.97516264245</v>
      </c>
      <c r="FQ151" s="293">
        <f t="shared" si="258"/>
        <v>108060.95201264246</v>
      </c>
      <c r="FR151" s="293"/>
      <c r="FS151" s="293"/>
      <c r="FT151" s="294">
        <f>_xlfn.IFNA((VLOOKUP($A151,HN!$A:$M,8,FALSE)/12),0)</f>
        <v>0</v>
      </c>
      <c r="FU151" s="294">
        <f>_xlfn.IFNA((VLOOKUP($A151,HN!$A:$M,12,FALSE)/12),0)</f>
        <v>0</v>
      </c>
      <c r="FV151" s="294">
        <f>_xlfn.IFNA((VLOOKUP($A151,HN!$A:$M,9,FALSE)/12),0)</f>
        <v>0</v>
      </c>
      <c r="FW151" s="294">
        <f>_xlfn.IFNA((VLOOKUP($A151,'Post 16'!$A:$AG,33,FALSE)/8),0)</f>
        <v>0</v>
      </c>
      <c r="FX151" s="294"/>
      <c r="FY151" s="294">
        <f>_xlfn.IFNA(((VLOOKUP($A151,HN!$A:$M,10,FALSE)-$U151-$AK151)/10),0)</f>
        <v>2812.8365000000003</v>
      </c>
      <c r="FZ151" s="294">
        <f>_xlfn.IFNA(((VLOOKUP($A151,HN!$A:$M,13,FALSE)-$V151-$AL151)/10),0)</f>
        <v>0</v>
      </c>
      <c r="GA151" s="293">
        <f t="shared" si="259"/>
        <v>-390.09999999999997</v>
      </c>
      <c r="GB151" s="293">
        <f t="shared" si="260"/>
        <v>-357.71334999999999</v>
      </c>
      <c r="GC151" s="294"/>
      <c r="GD151" s="294"/>
      <c r="GE151" s="294"/>
      <c r="GF151" s="293">
        <f t="shared" si="261"/>
        <v>110125.97516264245</v>
      </c>
      <c r="GG151" s="300">
        <f t="shared" si="262"/>
        <v>108060.95201264246</v>
      </c>
      <c r="GH151" s="300"/>
      <c r="GI151" s="300"/>
      <c r="GJ151" s="301">
        <f>_xlfn.IFNA((VLOOKUP($A151,HN!$A:$M,8,FALSE)/12),0)</f>
        <v>0</v>
      </c>
      <c r="GK151" s="301">
        <f>_xlfn.IFNA((VLOOKUP($A151,HN!$A:$M,12,FALSE)/12),0)</f>
        <v>0</v>
      </c>
      <c r="GL151" s="301">
        <f>_xlfn.IFNA((VLOOKUP($A151,HN!$A:$M,9,FALSE)/12),0)</f>
        <v>0</v>
      </c>
      <c r="GM151" s="301">
        <f>_xlfn.IFNA((VLOOKUP($A151,'Post 16'!$A:$AG,33,FALSE)/8),0)</f>
        <v>0</v>
      </c>
      <c r="GN151" s="301"/>
      <c r="GO151" s="301">
        <f>_xlfn.IFNA(((VLOOKUP($A151,HN!$A:$M,10,FALSE)-$U151-$AK151)/10),0)</f>
        <v>2812.8365000000003</v>
      </c>
      <c r="GP151" s="301">
        <f>_xlfn.IFNA(((VLOOKUP($A151,HN!$A:$M,13,FALSE)-$V151-$AL151)/10),0)</f>
        <v>0</v>
      </c>
      <c r="GQ151" s="300">
        <f t="shared" si="263"/>
        <v>-390.09999999999997</v>
      </c>
      <c r="GR151" s="300">
        <f t="shared" si="264"/>
        <v>-357.71334999999999</v>
      </c>
      <c r="GS151" s="301"/>
      <c r="GT151" s="301"/>
      <c r="GU151" s="301"/>
      <c r="GV151" s="300">
        <f t="shared" si="265"/>
        <v>110125.97516264245</v>
      </c>
      <c r="GX151" s="146">
        <f t="shared" si="268"/>
        <v>1323290.3099411835</v>
      </c>
      <c r="GY151" s="146">
        <f t="shared" si="268"/>
        <v>0</v>
      </c>
      <c r="GZ151" s="146">
        <f t="shared" si="268"/>
        <v>35718.330000000009</v>
      </c>
      <c r="HA151" s="146">
        <f t="shared" si="268"/>
        <v>-4681.2</v>
      </c>
      <c r="HB151" s="146">
        <f t="shared" si="268"/>
        <v>-4292.5601999999999</v>
      </c>
      <c r="HC151" s="146">
        <f t="shared" si="268"/>
        <v>0</v>
      </c>
      <c r="HE151" s="146">
        <f t="shared" si="269"/>
        <v>347790.22182740108</v>
      </c>
      <c r="HF151" s="146">
        <f t="shared" si="269"/>
        <v>0</v>
      </c>
      <c r="HG151" s="146">
        <f t="shared" si="269"/>
        <v>10402.801500000001</v>
      </c>
      <c r="HH151" s="146">
        <f t="shared" si="269"/>
        <v>-1170.3</v>
      </c>
      <c r="HI151" s="146">
        <f t="shared" si="269"/>
        <v>-1073.14005</v>
      </c>
      <c r="HJ151" s="146">
        <f t="shared" si="269"/>
        <v>0</v>
      </c>
      <c r="HL151" s="146"/>
      <c r="HM151" s="57"/>
    </row>
    <row r="152" spans="1:221">
      <c r="A152" s="185">
        <v>3361</v>
      </c>
      <c r="B152" s="185">
        <v>103453</v>
      </c>
      <c r="C152" s="185" t="s">
        <v>331</v>
      </c>
      <c r="D152" s="2" t="s">
        <v>332</v>
      </c>
      <c r="E152" s="190" t="s">
        <v>39</v>
      </c>
      <c r="F152" s="190" t="s">
        <v>890</v>
      </c>
      <c r="H152" s="271">
        <f>_xlfn.IFNA(VLOOKUP($A152,ISB!$A$4:$BY$441,67,FALSE),0)</f>
        <v>2081588.9757419813</v>
      </c>
      <c r="I152" s="271">
        <f>_xlfn.IFNA(VLOOKUP($A152,ISB!$A$4:$BY$441,72,FALSE),0)</f>
        <v>-8341.5</v>
      </c>
      <c r="J152" s="271">
        <f>-_xlfn.IFNA(VLOOKUP($A152,ISB!$A$4:$BY$441,76,FALSE),0)</f>
        <v>-8875.0661999999993</v>
      </c>
      <c r="K152" s="271">
        <f>_xlfn.IFNA(VLOOKUP($A152,ISB!$A$4:$BY$441,77,FALSE),0)</f>
        <v>2064372.4095419813</v>
      </c>
      <c r="M152" s="279">
        <f t="shared" si="218"/>
        <v>173465.74797849843</v>
      </c>
      <c r="N152" s="279"/>
      <c r="O152" s="279">
        <f>_xlfn.IFNA(VLOOKUP($A152,EY!$A:$H,8,FALSE)+(VLOOKUP($A152,EY!$A:$R,18,FALSE)-$T152),0)</f>
        <v>27700.400000000001</v>
      </c>
      <c r="P152" s="280">
        <f>_xlfn.IFNA((VLOOKUP($A152,HN!$A:$M,8,FALSE)/12),0)</f>
        <v>0</v>
      </c>
      <c r="Q152" s="280">
        <f>_xlfn.IFNA((VLOOKUP($A152,HN!$A:$M,12,FALSE)/12),0)</f>
        <v>0</v>
      </c>
      <c r="R152" s="280">
        <f>_xlfn.IFNA((VLOOKUP($A152,HN!$A:$M,9,FALSE)/12),0)</f>
        <v>0</v>
      </c>
      <c r="S152" s="280">
        <f>_xlfn.IFNA((VLOOKUP($A152,'Post 16'!$A:$AR,22,FALSE)/4),0)</f>
        <v>0</v>
      </c>
      <c r="T152" s="280">
        <f>_xlfn.IFNA((VLOOKUP($A152,EY!$A:$R,16,FALSE)*80%),0)</f>
        <v>0</v>
      </c>
      <c r="U152" s="280">
        <v>5082.7358333333332</v>
      </c>
      <c r="V152" s="280">
        <v>0</v>
      </c>
      <c r="W152" s="279">
        <f t="shared" si="219"/>
        <v>-695.125</v>
      </c>
      <c r="X152" s="279">
        <f t="shared" si="220"/>
        <v>-739.58884999999998</v>
      </c>
      <c r="Y152" s="280"/>
      <c r="Z152" s="280"/>
      <c r="AA152" s="280"/>
      <c r="AB152" s="279">
        <f t="shared" si="221"/>
        <v>204814.16996183177</v>
      </c>
      <c r="AC152" s="293">
        <f t="shared" si="222"/>
        <v>173465.74797849843</v>
      </c>
      <c r="AD152" s="293"/>
      <c r="AE152" s="293"/>
      <c r="AF152" s="294">
        <f>_xlfn.IFNA((VLOOKUP($A152,HN!$A:$M,8,FALSE)/12),0)</f>
        <v>0</v>
      </c>
      <c r="AG152" s="294">
        <f>_xlfn.IFNA((VLOOKUP($A152,HN!$A:$M,12,FALSE)/12),0)+_xlfn.IFNA(VLOOKUP($A152,HN!$A:$Q,17,FALSE),0)</f>
        <v>0</v>
      </c>
      <c r="AH152" s="294">
        <f>_xlfn.IFNA((VLOOKUP($A152,HN!$A:$M,9,FALSE)/12),0)</f>
        <v>0</v>
      </c>
      <c r="AI152" s="294">
        <f>_xlfn.IFNA((VLOOKUP($A152,'Post 16'!$A:$AR,22,FALSE)/4),0)</f>
        <v>0</v>
      </c>
      <c r="AJ152" s="294"/>
      <c r="AK152" s="294">
        <f>_xlfn.IFNA((VLOOKUP($A152,HN!$A:$M,10,FALSE)/12),0)</f>
        <v>3437.1666666666665</v>
      </c>
      <c r="AL152" s="294">
        <f>_xlfn.IFNA((VLOOKUP($A152,HN!$A:$M,13,FALSE)/12),0)</f>
        <v>0</v>
      </c>
      <c r="AM152" s="293">
        <f t="shared" si="223"/>
        <v>-695.125</v>
      </c>
      <c r="AN152" s="293">
        <f t="shared" si="224"/>
        <v>-739.58884999999998</v>
      </c>
      <c r="AO152" s="294"/>
      <c r="AP152" s="294"/>
      <c r="AQ152" s="294"/>
      <c r="AR152" s="293">
        <f t="shared" si="225"/>
        <v>175468.20079516509</v>
      </c>
      <c r="AS152" s="286">
        <f t="shared" si="226"/>
        <v>173465.74797849843</v>
      </c>
      <c r="AT152" s="286"/>
      <c r="AU152" s="286">
        <f>_xlfn.IFNA(VLOOKUP(A152,EY!A:AO,40,FALSE),0)</f>
        <v>4011.5944875346249</v>
      </c>
      <c r="AV152" s="287">
        <f>_xlfn.IFNA((VLOOKUP($A152,HN!$A:$M,8,FALSE)/12),0)</f>
        <v>0</v>
      </c>
      <c r="AW152" s="287">
        <f>_xlfn.IFNA((VLOOKUP($A152,HN!$A:$M,12,FALSE)/12),0)+_xlfn.IFNA(VLOOKUP($A152,HN!$A$8:$AU$200,19,FALSE),0)</f>
        <v>0</v>
      </c>
      <c r="AX152" s="287">
        <f>_xlfn.IFNA((VLOOKUP($A152,HN!$A:$M,9,FALSE)/12),0)</f>
        <v>0</v>
      </c>
      <c r="AY152" s="287">
        <f>_xlfn.IFNA((VLOOKUP($A152,'Post 16'!$A:$AR,22,FALSE)/4),0)</f>
        <v>0</v>
      </c>
      <c r="AZ152" s="287">
        <f>_xlfn.IFNA(VLOOKUP(A152,EY!A:AO,41,FALSE),0)</f>
        <v>0</v>
      </c>
      <c r="BA152" s="287">
        <f>_xlfn.IFNA(((VLOOKUP($A152,HN!$A:$M,10,FALSE)-$U152-$AK152)/10),0)+_xlfn.IFNA(VLOOKUP($A152,HN!$A:$R,18,FALSE),0)</f>
        <v>3272.6097500000001</v>
      </c>
      <c r="BB152" s="287">
        <f>_xlfn.IFNA(((VLOOKUP($A152,HN!$A:$M,13,FALSE)-$V152-$AL152)/10),0)+_xlfn.IFNA(VLOOKUP($A152,HN!$A$8:$AU$200,20,FALSE),0)</f>
        <v>0</v>
      </c>
      <c r="BC152" s="286">
        <f t="shared" si="227"/>
        <v>-695.125</v>
      </c>
      <c r="BD152" s="286">
        <f t="shared" si="228"/>
        <v>-739.58884999999998</v>
      </c>
      <c r="BE152" s="287"/>
      <c r="BF152" s="287"/>
      <c r="BG152" s="287"/>
      <c r="BH152" s="286">
        <f t="shared" si="229"/>
        <v>179315.23836603307</v>
      </c>
      <c r="BI152" s="307">
        <f t="shared" si="230"/>
        <v>173465.74797849843</v>
      </c>
      <c r="BJ152" s="307">
        <f>_xlfn.IFNA(VLOOKUP(A152,'LA Deductions'!A:AH,34,FALSE),0)</f>
        <v>0</v>
      </c>
      <c r="BK152" s="307"/>
      <c r="BL152" s="308">
        <f>_xlfn.IFNA((VLOOKUP($A152,HN!$A:$M,8,FALSE)/12),0)</f>
        <v>0</v>
      </c>
      <c r="BM152" s="308">
        <f>_xlfn.IFNA((VLOOKUP($A152,HN!$A:$M,12,FALSE)/12),0)</f>
        <v>0</v>
      </c>
      <c r="BN152" s="308">
        <f>_xlfn.IFNA((VLOOKUP($A152,HN!$A:$M,9,FALSE)/12),0)</f>
        <v>0</v>
      </c>
      <c r="BO152" s="308">
        <f>_xlfn.IFNA((VLOOKUP($A152,'Post 16'!$A:$AR,22,FALSE)/4),0)</f>
        <v>0</v>
      </c>
      <c r="BP152" s="308"/>
      <c r="BQ152" s="308">
        <f>_xlfn.IFNA(((VLOOKUP($A152,HN!$A:$M,10,FALSE)-$U152-$AK152)/10),0)</f>
        <v>3272.6097500000001</v>
      </c>
      <c r="BR152" s="308">
        <f>_xlfn.IFNA(((VLOOKUP($A152,HN!$A:$M,13,FALSE)-$V152-$AL152)/10),0)</f>
        <v>0</v>
      </c>
      <c r="BS152" s="307">
        <f t="shared" si="231"/>
        <v>-695.125</v>
      </c>
      <c r="BT152" s="307">
        <f t="shared" si="232"/>
        <v>-739.58884999999998</v>
      </c>
      <c r="BU152" s="308"/>
      <c r="BV152" s="308"/>
      <c r="BW152" s="308"/>
      <c r="BX152" s="307">
        <f t="shared" si="233"/>
        <v>175303.64387849843</v>
      </c>
      <c r="BY152" s="300">
        <f t="shared" si="234"/>
        <v>173465.74797849843</v>
      </c>
      <c r="BZ152" s="300"/>
      <c r="CA152" s="300"/>
      <c r="CB152" s="301">
        <f>_xlfn.IFNA((VLOOKUP($A152,HN!$A:$M,8,FALSE)/12),0)</f>
        <v>0</v>
      </c>
      <c r="CC152" s="301">
        <f>_xlfn.IFNA((VLOOKUP($A152,HN!$A:$M,12,FALSE)/12),0)</f>
        <v>0</v>
      </c>
      <c r="CD152" s="301">
        <f>_xlfn.IFNA((VLOOKUP($A152,HN!$A:$M,9,FALSE)/12),0)</f>
        <v>0</v>
      </c>
      <c r="CE152" s="301">
        <f>_xlfn.IFNA((VLOOKUP($A152,'Post 16'!$A:$AG,33,FALSE)/8),0)</f>
        <v>0</v>
      </c>
      <c r="CF152" s="301"/>
      <c r="CG152" s="301">
        <f>_xlfn.IFNA(((VLOOKUP($A152,HN!$A:$M,10,FALSE)-$U152-$AK152)/10),0)</f>
        <v>3272.6097500000001</v>
      </c>
      <c r="CH152" s="301">
        <f>_xlfn.IFNA(((VLOOKUP($A152,HN!$A:$M,13,FALSE)-$V152-$AL152)/10),0)</f>
        <v>0</v>
      </c>
      <c r="CI152" s="300">
        <f t="shared" si="235"/>
        <v>-695.125</v>
      </c>
      <c r="CJ152" s="300">
        <f t="shared" si="236"/>
        <v>-739.58884999999998</v>
      </c>
      <c r="CK152" s="301"/>
      <c r="CL152" s="301"/>
      <c r="CM152" s="301"/>
      <c r="CN152" s="300">
        <f t="shared" si="237"/>
        <v>175303.64387849843</v>
      </c>
      <c r="CO152" s="332">
        <f t="shared" si="238"/>
        <v>173465.74797849843</v>
      </c>
      <c r="CP152" s="332"/>
      <c r="CQ152" s="332">
        <f>_xlfn.IFNA((VLOOKUP($A152,EY!$A:$AB,28,FALSE)-$CV152),0)</f>
        <v>31245.989894736846</v>
      </c>
      <c r="CR152" s="333">
        <f>_xlfn.IFNA((VLOOKUP($A152,HN!$A:$M,8,FALSE)/12),0)</f>
        <v>0</v>
      </c>
      <c r="CS152" s="333">
        <f>_xlfn.IFNA((VLOOKUP($A152,HN!$A:$M,12,FALSE)/12),0)</f>
        <v>0</v>
      </c>
      <c r="CT152" s="333">
        <f>_xlfn.IFNA((VLOOKUP($A152,HN!$A:$M,9,FALSE)/12),0)</f>
        <v>0</v>
      </c>
      <c r="CU152" s="333">
        <f>_xlfn.IFNA((VLOOKUP($A152,'Post 16'!$A:$AG,33,FALSE)/8),0)</f>
        <v>0</v>
      </c>
      <c r="CV152" s="333">
        <f>_xlfn.IFNA((VLOOKUP($A152,EY!$A:$AB,26,FALSE)*80%),0)</f>
        <v>0</v>
      </c>
      <c r="CW152" s="333">
        <f>_xlfn.IFNA(((VLOOKUP($A152,HN!$A:$M,10,FALSE)-$U152-$AK152)/10),0)</f>
        <v>3272.6097500000001</v>
      </c>
      <c r="CX152" s="333">
        <f>_xlfn.IFNA(((VLOOKUP($A152,HN!$A:$M,13,FALSE)-$V152-$AL152)/10),0)</f>
        <v>0</v>
      </c>
      <c r="CY152" s="332">
        <f t="shared" si="239"/>
        <v>-695.125</v>
      </c>
      <c r="CZ152" s="332">
        <f t="shared" si="240"/>
        <v>-739.58884999999998</v>
      </c>
      <c r="DA152" s="333"/>
      <c r="DB152" s="333"/>
      <c r="DC152" s="333"/>
      <c r="DD152" s="332">
        <f t="shared" si="241"/>
        <v>206549.63377323528</v>
      </c>
      <c r="DE152" s="314">
        <f t="shared" si="242"/>
        <v>173465.74797849843</v>
      </c>
      <c r="DF152" s="314"/>
      <c r="DG152" s="314"/>
      <c r="DH152" s="315">
        <f>_xlfn.IFNA((VLOOKUP($A152,HN!$A:$M,8,FALSE)/12),0)</f>
        <v>0</v>
      </c>
      <c r="DI152" s="315">
        <f>_xlfn.IFNA((VLOOKUP($A152,HN!$A:$M,12,FALSE)/12),0)</f>
        <v>0</v>
      </c>
      <c r="DJ152" s="315">
        <f>_xlfn.IFNA((VLOOKUP($A152,HN!$A:$M,9,FALSE)/12),0)</f>
        <v>0</v>
      </c>
      <c r="DK152" s="315">
        <f>_xlfn.IFNA((VLOOKUP($A152,'Post 16'!$A:$AG,33,FALSE)/8),0)</f>
        <v>0</v>
      </c>
      <c r="DL152" s="315"/>
      <c r="DM152" s="315">
        <f>_xlfn.IFNA(((VLOOKUP($A152,HN!$A:$M,10,FALSE)-$U152-$AK152)/10),0)</f>
        <v>3272.6097500000001</v>
      </c>
      <c r="DN152" s="315">
        <f>_xlfn.IFNA(((VLOOKUP($A152,HN!$A:$M,13,FALSE)-$V152-$AL152)/10),0)</f>
        <v>0</v>
      </c>
      <c r="DO152" s="314">
        <f t="shared" si="243"/>
        <v>-695.125</v>
      </c>
      <c r="DP152" s="314">
        <f t="shared" si="244"/>
        <v>-739.58884999999998</v>
      </c>
      <c r="DQ152" s="315"/>
      <c r="DR152" s="315"/>
      <c r="DS152" s="315"/>
      <c r="DT152" s="314">
        <f t="shared" si="245"/>
        <v>175303.64387849843</v>
      </c>
      <c r="DU152" s="307">
        <f t="shared" si="246"/>
        <v>173465.74797849843</v>
      </c>
      <c r="DV152" s="307"/>
      <c r="DW152" s="307"/>
      <c r="DX152" s="308">
        <f>_xlfn.IFNA((VLOOKUP($A152,HN!$A:$M,8,FALSE)/12),0)</f>
        <v>0</v>
      </c>
      <c r="DY152" s="308">
        <f>_xlfn.IFNA((VLOOKUP($A152,HN!$A:$M,12,FALSE)/12),0)</f>
        <v>0</v>
      </c>
      <c r="DZ152" s="308">
        <f>_xlfn.IFNA((VLOOKUP($A152,HN!$A:$M,9,FALSE)/12),0)</f>
        <v>0</v>
      </c>
      <c r="EA152" s="308">
        <f>_xlfn.IFNA((VLOOKUP($A152,'Post 16'!$A:$AG,33,FALSE)/8),0)</f>
        <v>0</v>
      </c>
      <c r="EB152" s="308"/>
      <c r="EC152" s="308">
        <f>_xlfn.IFNA(((VLOOKUP($A152,HN!$A:$M,10,FALSE)-$U152-$AK152)/10),0)</f>
        <v>3272.6097500000001</v>
      </c>
      <c r="ED152" s="308">
        <f>_xlfn.IFNA(((VLOOKUP($A152,HN!$A:$M,13,FALSE)-$V152-$AL152)/10),0)</f>
        <v>0</v>
      </c>
      <c r="EE152" s="307">
        <f t="shared" si="247"/>
        <v>-695.125</v>
      </c>
      <c r="EF152" s="307">
        <f t="shared" si="248"/>
        <v>-739.58884999999998</v>
      </c>
      <c r="EG152" s="308"/>
      <c r="EH152" s="308"/>
      <c r="EI152" s="308"/>
      <c r="EJ152" s="307">
        <f t="shared" si="249"/>
        <v>175303.64387849843</v>
      </c>
      <c r="EK152" s="320">
        <f t="shared" si="250"/>
        <v>173465.74797849843</v>
      </c>
      <c r="EL152" s="320"/>
      <c r="EM152" s="320"/>
      <c r="EN152" s="321">
        <f>_xlfn.IFNA((VLOOKUP($A152,HN!$A:$M,8,FALSE)/12),0)</f>
        <v>0</v>
      </c>
      <c r="EO152" s="321">
        <f>_xlfn.IFNA((VLOOKUP($A152,HN!$A:$M,12,FALSE)/12),0)</f>
        <v>0</v>
      </c>
      <c r="EP152" s="321">
        <f>_xlfn.IFNA((VLOOKUP($A152,HN!$A:$M,9,FALSE)/12),0)</f>
        <v>0</v>
      </c>
      <c r="EQ152" s="321">
        <f>_xlfn.IFNA((VLOOKUP($A152,'Post 16'!$A:$AG,33,FALSE)/8),0)</f>
        <v>0</v>
      </c>
      <c r="ER152" s="321"/>
      <c r="ES152" s="321">
        <f>_xlfn.IFNA(((VLOOKUP($A152,HN!$A:$M,10,FALSE)-$U152-$AK152)/10),0)</f>
        <v>3272.6097500000001</v>
      </c>
      <c r="ET152" s="321">
        <f>_xlfn.IFNA(((VLOOKUP($A152,HN!$A:$M,13,FALSE)-$V152-$AL152)/10),0)</f>
        <v>0</v>
      </c>
      <c r="EU152" s="320">
        <f t="shared" si="251"/>
        <v>-695.125</v>
      </c>
      <c r="EV152" s="320">
        <f t="shared" si="252"/>
        <v>-739.58884999999998</v>
      </c>
      <c r="EW152" s="321"/>
      <c r="EX152" s="321"/>
      <c r="EY152" s="321"/>
      <c r="EZ152" s="320">
        <f t="shared" si="253"/>
        <v>175303.64387849843</v>
      </c>
      <c r="FA152" s="286">
        <f t="shared" si="254"/>
        <v>173465.74797849843</v>
      </c>
      <c r="FB152" s="286"/>
      <c r="FC152" s="286"/>
      <c r="FD152" s="287">
        <f>_xlfn.IFNA((VLOOKUP($A152,HN!$A:$M,8,FALSE)/12),0)</f>
        <v>0</v>
      </c>
      <c r="FE152" s="287">
        <f>_xlfn.IFNA((VLOOKUP($A152,HN!$A:$M,12,FALSE)/12),0)</f>
        <v>0</v>
      </c>
      <c r="FF152" s="287">
        <f>_xlfn.IFNA((VLOOKUP($A152,HN!$A:$M,9,FALSE)/12),0)</f>
        <v>0</v>
      </c>
      <c r="FG152" s="287">
        <f>_xlfn.IFNA((VLOOKUP($A152,'Post 16'!$A:$AG,33,FALSE)/8),0)</f>
        <v>0</v>
      </c>
      <c r="FH152" s="287"/>
      <c r="FI152" s="287">
        <f>_xlfn.IFNA(((VLOOKUP($A152,HN!$A:$M,10,FALSE)-$U152-$AK152)/10),0)</f>
        <v>3272.6097500000001</v>
      </c>
      <c r="FJ152" s="287">
        <f>_xlfn.IFNA(((VLOOKUP($A152,HN!$A:$M,13,FALSE)-$V152-$AL152)/10),0)</f>
        <v>0</v>
      </c>
      <c r="FK152" s="286">
        <f t="shared" si="255"/>
        <v>-695.125</v>
      </c>
      <c r="FL152" s="286">
        <f t="shared" si="256"/>
        <v>-739.58884999999998</v>
      </c>
      <c r="FM152" s="287"/>
      <c r="FN152" s="287"/>
      <c r="FO152" s="287"/>
      <c r="FP152" s="286">
        <f t="shared" si="257"/>
        <v>175303.64387849843</v>
      </c>
      <c r="FQ152" s="293">
        <f t="shared" si="258"/>
        <v>173465.74797849843</v>
      </c>
      <c r="FR152" s="293"/>
      <c r="FS152" s="293"/>
      <c r="FT152" s="294">
        <f>_xlfn.IFNA((VLOOKUP($A152,HN!$A:$M,8,FALSE)/12),0)</f>
        <v>0</v>
      </c>
      <c r="FU152" s="294">
        <f>_xlfn.IFNA((VLOOKUP($A152,HN!$A:$M,12,FALSE)/12),0)</f>
        <v>0</v>
      </c>
      <c r="FV152" s="294">
        <f>_xlfn.IFNA((VLOOKUP($A152,HN!$A:$M,9,FALSE)/12),0)</f>
        <v>0</v>
      </c>
      <c r="FW152" s="294">
        <f>_xlfn.IFNA((VLOOKUP($A152,'Post 16'!$A:$AG,33,FALSE)/8),0)</f>
        <v>0</v>
      </c>
      <c r="FX152" s="294"/>
      <c r="FY152" s="294">
        <f>_xlfn.IFNA(((VLOOKUP($A152,HN!$A:$M,10,FALSE)-$U152-$AK152)/10),0)</f>
        <v>3272.6097500000001</v>
      </c>
      <c r="FZ152" s="294">
        <f>_xlfn.IFNA(((VLOOKUP($A152,HN!$A:$M,13,FALSE)-$V152-$AL152)/10),0)</f>
        <v>0</v>
      </c>
      <c r="GA152" s="293">
        <f t="shared" si="259"/>
        <v>-695.125</v>
      </c>
      <c r="GB152" s="293">
        <f t="shared" si="260"/>
        <v>-739.58884999999998</v>
      </c>
      <c r="GC152" s="294"/>
      <c r="GD152" s="294"/>
      <c r="GE152" s="294"/>
      <c r="GF152" s="293">
        <f t="shared" si="261"/>
        <v>175303.64387849843</v>
      </c>
      <c r="GG152" s="300">
        <f t="shared" si="262"/>
        <v>173465.74797849843</v>
      </c>
      <c r="GH152" s="300"/>
      <c r="GI152" s="300"/>
      <c r="GJ152" s="301">
        <f>_xlfn.IFNA((VLOOKUP($A152,HN!$A:$M,8,FALSE)/12),0)</f>
        <v>0</v>
      </c>
      <c r="GK152" s="301">
        <f>_xlfn.IFNA((VLOOKUP($A152,HN!$A:$M,12,FALSE)/12),0)</f>
        <v>0</v>
      </c>
      <c r="GL152" s="301">
        <f>_xlfn.IFNA((VLOOKUP($A152,HN!$A:$M,9,FALSE)/12),0)</f>
        <v>0</v>
      </c>
      <c r="GM152" s="301">
        <f>_xlfn.IFNA((VLOOKUP($A152,'Post 16'!$A:$AG,33,FALSE)/8),0)</f>
        <v>0</v>
      </c>
      <c r="GN152" s="301"/>
      <c r="GO152" s="301">
        <f>_xlfn.IFNA(((VLOOKUP($A152,HN!$A:$M,10,FALSE)-$U152-$AK152)/10),0)</f>
        <v>3272.6097500000001</v>
      </c>
      <c r="GP152" s="301">
        <f>_xlfn.IFNA(((VLOOKUP($A152,HN!$A:$M,13,FALSE)-$V152-$AL152)/10),0)</f>
        <v>0</v>
      </c>
      <c r="GQ152" s="300">
        <f t="shared" si="263"/>
        <v>-695.125</v>
      </c>
      <c r="GR152" s="300">
        <f t="shared" si="264"/>
        <v>-739.58884999999998</v>
      </c>
      <c r="GS152" s="301"/>
      <c r="GT152" s="301"/>
      <c r="GU152" s="301"/>
      <c r="GV152" s="300">
        <f t="shared" si="265"/>
        <v>175303.64387849843</v>
      </c>
      <c r="GX152" s="146">
        <f t="shared" si="268"/>
        <v>2144546.9601242528</v>
      </c>
      <c r="GY152" s="146">
        <f t="shared" si="268"/>
        <v>0</v>
      </c>
      <c r="GZ152" s="146">
        <f t="shared" si="268"/>
        <v>41246.000000000007</v>
      </c>
      <c r="HA152" s="146">
        <f t="shared" si="268"/>
        <v>-8341.5</v>
      </c>
      <c r="HB152" s="146">
        <f t="shared" si="268"/>
        <v>-8875.0661999999993</v>
      </c>
      <c r="HC152" s="146">
        <f t="shared" si="268"/>
        <v>0</v>
      </c>
      <c r="HE152" s="146">
        <f t="shared" si="269"/>
        <v>552109.23842302989</v>
      </c>
      <c r="HF152" s="146">
        <f t="shared" si="269"/>
        <v>0</v>
      </c>
      <c r="HG152" s="146">
        <f t="shared" si="269"/>
        <v>11792.51225</v>
      </c>
      <c r="HH152" s="146">
        <f t="shared" si="269"/>
        <v>-2085.375</v>
      </c>
      <c r="HI152" s="146">
        <f t="shared" si="269"/>
        <v>-2218.7665499999998</v>
      </c>
      <c r="HJ152" s="146">
        <f t="shared" si="269"/>
        <v>0</v>
      </c>
      <c r="HL152" s="146"/>
      <c r="HM152" s="57"/>
    </row>
    <row r="153" spans="1:221">
      <c r="A153" s="185">
        <v>3382</v>
      </c>
      <c r="B153" s="185">
        <v>103467</v>
      </c>
      <c r="C153" s="185" t="s">
        <v>333</v>
      </c>
      <c r="D153" s="2" t="s">
        <v>334</v>
      </c>
      <c r="E153" s="190" t="s">
        <v>39</v>
      </c>
      <c r="F153" s="190" t="s">
        <v>890</v>
      </c>
      <c r="H153" s="271">
        <f>_xlfn.IFNA(VLOOKUP($A153,ISB!$A$4:$BY$441,67,FALSE),0)</f>
        <v>1261766.0883454708</v>
      </c>
      <c r="I153" s="271">
        <f>_xlfn.IFNA(VLOOKUP($A153,ISB!$A$4:$BY$441,72,FALSE),0)</f>
        <v>-5029.7999999999993</v>
      </c>
      <c r="J153" s="271">
        <f>-_xlfn.IFNA(VLOOKUP($A153,ISB!$A$4:$BY$441,76,FALSE),0)</f>
        <v>-4187.2213000000002</v>
      </c>
      <c r="K153" s="271">
        <f>_xlfn.IFNA(VLOOKUP($A153,ISB!$A$4:$BY$441,77,FALSE),0)</f>
        <v>1252549.0670454707</v>
      </c>
      <c r="M153" s="279">
        <f t="shared" si="218"/>
        <v>105147.17402878923</v>
      </c>
      <c r="N153" s="279"/>
      <c r="O153" s="279">
        <f>_xlfn.IFNA(VLOOKUP($A153,EY!$A:$H,8,FALSE)+(VLOOKUP($A153,EY!$A:$R,18,FALSE)-$T153),0)</f>
        <v>0</v>
      </c>
      <c r="P153" s="280">
        <f>_xlfn.IFNA((VLOOKUP($A153,HN!$A:$M,8,FALSE)/12),0)</f>
        <v>0</v>
      </c>
      <c r="Q153" s="280">
        <f>_xlfn.IFNA((VLOOKUP($A153,HN!$A:$M,12,FALSE)/12),0)</f>
        <v>0</v>
      </c>
      <c r="R153" s="280">
        <f>_xlfn.IFNA((VLOOKUP($A153,HN!$A:$M,9,FALSE)/12),0)</f>
        <v>0</v>
      </c>
      <c r="S153" s="280">
        <f>_xlfn.IFNA((VLOOKUP($A153,'Post 16'!$A:$AR,22,FALSE)/4),0)</f>
        <v>0</v>
      </c>
      <c r="T153" s="280">
        <f>_xlfn.IFNA((VLOOKUP($A153,EY!$A:$R,16,FALSE)*80%),0)</f>
        <v>0</v>
      </c>
      <c r="U153" s="280">
        <v>8723.0833333333339</v>
      </c>
      <c r="V153" s="280">
        <v>0</v>
      </c>
      <c r="W153" s="279">
        <f t="shared" si="219"/>
        <v>-419.14999999999992</v>
      </c>
      <c r="X153" s="279">
        <f t="shared" si="220"/>
        <v>-348.93510833333335</v>
      </c>
      <c r="Y153" s="280"/>
      <c r="Z153" s="280"/>
      <c r="AA153" s="280"/>
      <c r="AB153" s="279">
        <f t="shared" si="221"/>
        <v>113102.17225378923</v>
      </c>
      <c r="AC153" s="293">
        <f t="shared" si="222"/>
        <v>105147.17402878923</v>
      </c>
      <c r="AD153" s="293"/>
      <c r="AE153" s="293"/>
      <c r="AF153" s="294">
        <f>_xlfn.IFNA((VLOOKUP($A153,HN!$A:$M,8,FALSE)/12),0)</f>
        <v>0</v>
      </c>
      <c r="AG153" s="294">
        <f>_xlfn.IFNA((VLOOKUP($A153,HN!$A:$M,12,FALSE)/12),0)+_xlfn.IFNA(VLOOKUP($A153,HN!$A:$Q,17,FALSE),0)</f>
        <v>0</v>
      </c>
      <c r="AH153" s="294">
        <f>_xlfn.IFNA((VLOOKUP($A153,HN!$A:$M,9,FALSE)/12),0)</f>
        <v>0</v>
      </c>
      <c r="AI153" s="294">
        <f>_xlfn.IFNA((VLOOKUP($A153,'Post 16'!$A:$AR,22,FALSE)/4),0)</f>
        <v>0</v>
      </c>
      <c r="AJ153" s="294"/>
      <c r="AK153" s="294">
        <f>_xlfn.IFNA((VLOOKUP($A153,HN!$A:$M,10,FALSE)/12),0)</f>
        <v>7794.9025000000001</v>
      </c>
      <c r="AL153" s="294">
        <f>_xlfn.IFNA((VLOOKUP($A153,HN!$A:$M,13,FALSE)/12),0)</f>
        <v>0</v>
      </c>
      <c r="AM153" s="293">
        <f t="shared" si="223"/>
        <v>-419.14999999999992</v>
      </c>
      <c r="AN153" s="293">
        <f t="shared" si="224"/>
        <v>-348.93510833333335</v>
      </c>
      <c r="AO153" s="294"/>
      <c r="AP153" s="294"/>
      <c r="AQ153" s="294"/>
      <c r="AR153" s="293">
        <f t="shared" si="225"/>
        <v>112173.9914204559</v>
      </c>
      <c r="AS153" s="286">
        <f t="shared" si="226"/>
        <v>105147.17402878923</v>
      </c>
      <c r="AT153" s="286"/>
      <c r="AU153" s="286">
        <f>_xlfn.IFNA(VLOOKUP(A153,EY!A:AO,40,FALSE),0)</f>
        <v>0</v>
      </c>
      <c r="AV153" s="287">
        <f>_xlfn.IFNA((VLOOKUP($A153,HN!$A:$M,8,FALSE)/12),0)</f>
        <v>0</v>
      </c>
      <c r="AW153" s="287">
        <f>_xlfn.IFNA((VLOOKUP($A153,HN!$A:$M,12,FALSE)/12),0)+_xlfn.IFNA(VLOOKUP($A153,HN!$A$8:$AU$200,19,FALSE),0)</f>
        <v>0</v>
      </c>
      <c r="AX153" s="287">
        <f>_xlfn.IFNA((VLOOKUP($A153,HN!$A:$M,9,FALSE)/12),0)</f>
        <v>0</v>
      </c>
      <c r="AY153" s="287">
        <f>_xlfn.IFNA((VLOOKUP($A153,'Post 16'!$A:$AR,22,FALSE)/4),0)</f>
        <v>0</v>
      </c>
      <c r="AZ153" s="287">
        <f>_xlfn.IFNA(VLOOKUP(A153,EY!A:AO,41,FALSE),0)</f>
        <v>0</v>
      </c>
      <c r="BA153" s="287">
        <f>_xlfn.IFNA(((VLOOKUP($A153,HN!$A:$M,10,FALSE)-$U153-$AK153)/10),0)+_xlfn.IFNA(VLOOKUP($A153,HN!$A:$R,18,FALSE),0)</f>
        <v>7702.0844166666675</v>
      </c>
      <c r="BB153" s="287">
        <f>_xlfn.IFNA(((VLOOKUP($A153,HN!$A:$M,13,FALSE)-$V153-$AL153)/10),0)+_xlfn.IFNA(VLOOKUP($A153,HN!$A$8:$AU$200,20,FALSE),0)</f>
        <v>0</v>
      </c>
      <c r="BC153" s="286">
        <f t="shared" si="227"/>
        <v>-419.14999999999992</v>
      </c>
      <c r="BD153" s="286">
        <f t="shared" si="228"/>
        <v>-348.93510833333335</v>
      </c>
      <c r="BE153" s="287"/>
      <c r="BF153" s="287"/>
      <c r="BG153" s="287"/>
      <c r="BH153" s="286">
        <f t="shared" si="229"/>
        <v>112081.17333712257</v>
      </c>
      <c r="BI153" s="307">
        <f t="shared" si="230"/>
        <v>105147.17402878923</v>
      </c>
      <c r="BJ153" s="307">
        <f>_xlfn.IFNA(VLOOKUP(A153,'LA Deductions'!A:AH,34,FALSE),0)</f>
        <v>0</v>
      </c>
      <c r="BK153" s="307"/>
      <c r="BL153" s="308">
        <f>_xlfn.IFNA((VLOOKUP($A153,HN!$A:$M,8,FALSE)/12),0)</f>
        <v>0</v>
      </c>
      <c r="BM153" s="308">
        <f>_xlfn.IFNA((VLOOKUP($A153,HN!$A:$M,12,FALSE)/12),0)</f>
        <v>0</v>
      </c>
      <c r="BN153" s="308">
        <f>_xlfn.IFNA((VLOOKUP($A153,HN!$A:$M,9,FALSE)/12),0)</f>
        <v>0</v>
      </c>
      <c r="BO153" s="308">
        <f>_xlfn.IFNA((VLOOKUP($A153,'Post 16'!$A:$AR,22,FALSE)/4),0)</f>
        <v>0</v>
      </c>
      <c r="BP153" s="308"/>
      <c r="BQ153" s="308">
        <f>_xlfn.IFNA(((VLOOKUP($A153,HN!$A:$M,10,FALSE)-$U153-$AK153)/10),0)</f>
        <v>7702.0844166666675</v>
      </c>
      <c r="BR153" s="308">
        <f>_xlfn.IFNA(((VLOOKUP($A153,HN!$A:$M,13,FALSE)-$V153-$AL153)/10),0)</f>
        <v>0</v>
      </c>
      <c r="BS153" s="307">
        <f t="shared" si="231"/>
        <v>-419.14999999999992</v>
      </c>
      <c r="BT153" s="307">
        <f t="shared" si="232"/>
        <v>-348.93510833333335</v>
      </c>
      <c r="BU153" s="308"/>
      <c r="BV153" s="308"/>
      <c r="BW153" s="308"/>
      <c r="BX153" s="307">
        <f t="shared" si="233"/>
        <v>112081.17333712257</v>
      </c>
      <c r="BY153" s="300">
        <f t="shared" si="234"/>
        <v>105147.17402878923</v>
      </c>
      <c r="BZ153" s="300"/>
      <c r="CA153" s="300"/>
      <c r="CB153" s="301">
        <f>_xlfn.IFNA((VLOOKUP($A153,HN!$A:$M,8,FALSE)/12),0)</f>
        <v>0</v>
      </c>
      <c r="CC153" s="301">
        <f>_xlfn.IFNA((VLOOKUP($A153,HN!$A:$M,12,FALSE)/12),0)</f>
        <v>0</v>
      </c>
      <c r="CD153" s="301">
        <f>_xlfn.IFNA((VLOOKUP($A153,HN!$A:$M,9,FALSE)/12),0)</f>
        <v>0</v>
      </c>
      <c r="CE153" s="301">
        <f>_xlfn.IFNA((VLOOKUP($A153,'Post 16'!$A:$AG,33,FALSE)/8),0)</f>
        <v>0</v>
      </c>
      <c r="CF153" s="301"/>
      <c r="CG153" s="301">
        <f>_xlfn.IFNA(((VLOOKUP($A153,HN!$A:$M,10,FALSE)-$U153-$AK153)/10),0)</f>
        <v>7702.0844166666675</v>
      </c>
      <c r="CH153" s="301">
        <f>_xlfn.IFNA(((VLOOKUP($A153,HN!$A:$M,13,FALSE)-$V153-$AL153)/10),0)</f>
        <v>0</v>
      </c>
      <c r="CI153" s="300">
        <f t="shared" si="235"/>
        <v>-419.14999999999992</v>
      </c>
      <c r="CJ153" s="300">
        <f t="shared" si="236"/>
        <v>-348.93510833333335</v>
      </c>
      <c r="CK153" s="301"/>
      <c r="CL153" s="301"/>
      <c r="CM153" s="301"/>
      <c r="CN153" s="300">
        <f t="shared" si="237"/>
        <v>112081.17333712257</v>
      </c>
      <c r="CO153" s="332">
        <f t="shared" si="238"/>
        <v>105147.17402878923</v>
      </c>
      <c r="CP153" s="332"/>
      <c r="CQ153" s="332">
        <f>_xlfn.IFNA((VLOOKUP($A153,EY!$A:$AB,28,FALSE)-$CV153),0)</f>
        <v>0</v>
      </c>
      <c r="CR153" s="333">
        <f>_xlfn.IFNA((VLOOKUP($A153,HN!$A:$M,8,FALSE)/12),0)</f>
        <v>0</v>
      </c>
      <c r="CS153" s="333">
        <f>_xlfn.IFNA((VLOOKUP($A153,HN!$A:$M,12,FALSE)/12),0)</f>
        <v>0</v>
      </c>
      <c r="CT153" s="333">
        <f>_xlfn.IFNA((VLOOKUP($A153,HN!$A:$M,9,FALSE)/12),0)</f>
        <v>0</v>
      </c>
      <c r="CU153" s="333">
        <f>_xlfn.IFNA((VLOOKUP($A153,'Post 16'!$A:$AG,33,FALSE)/8),0)</f>
        <v>0</v>
      </c>
      <c r="CV153" s="333">
        <f>_xlfn.IFNA((VLOOKUP($A153,EY!$A:$AB,26,FALSE)*80%),0)</f>
        <v>0</v>
      </c>
      <c r="CW153" s="333">
        <f>_xlfn.IFNA(((VLOOKUP($A153,HN!$A:$M,10,FALSE)-$U153-$AK153)/10),0)</f>
        <v>7702.0844166666675</v>
      </c>
      <c r="CX153" s="333">
        <f>_xlfn.IFNA(((VLOOKUP($A153,HN!$A:$M,13,FALSE)-$V153-$AL153)/10),0)</f>
        <v>0</v>
      </c>
      <c r="CY153" s="332">
        <f t="shared" si="239"/>
        <v>-419.14999999999992</v>
      </c>
      <c r="CZ153" s="332">
        <f t="shared" si="240"/>
        <v>-348.93510833333335</v>
      </c>
      <c r="DA153" s="333"/>
      <c r="DB153" s="333"/>
      <c r="DC153" s="333"/>
      <c r="DD153" s="332">
        <f t="shared" si="241"/>
        <v>112081.17333712257</v>
      </c>
      <c r="DE153" s="314">
        <f t="shared" si="242"/>
        <v>105147.17402878923</v>
      </c>
      <c r="DF153" s="314"/>
      <c r="DG153" s="314"/>
      <c r="DH153" s="315">
        <f>_xlfn.IFNA((VLOOKUP($A153,HN!$A:$M,8,FALSE)/12),0)</f>
        <v>0</v>
      </c>
      <c r="DI153" s="315">
        <f>_xlfn.IFNA((VLOOKUP($A153,HN!$A:$M,12,FALSE)/12),0)</f>
        <v>0</v>
      </c>
      <c r="DJ153" s="315">
        <f>_xlfn.IFNA((VLOOKUP($A153,HN!$A:$M,9,FALSE)/12),0)</f>
        <v>0</v>
      </c>
      <c r="DK153" s="315">
        <f>_xlfn.IFNA((VLOOKUP($A153,'Post 16'!$A:$AG,33,FALSE)/8),0)</f>
        <v>0</v>
      </c>
      <c r="DL153" s="315"/>
      <c r="DM153" s="315">
        <f>_xlfn.IFNA(((VLOOKUP($A153,HN!$A:$M,10,FALSE)-$U153-$AK153)/10),0)</f>
        <v>7702.0844166666675</v>
      </c>
      <c r="DN153" s="315">
        <f>_xlfn.IFNA(((VLOOKUP($A153,HN!$A:$M,13,FALSE)-$V153-$AL153)/10),0)</f>
        <v>0</v>
      </c>
      <c r="DO153" s="314">
        <f t="shared" si="243"/>
        <v>-419.14999999999992</v>
      </c>
      <c r="DP153" s="314">
        <f t="shared" si="244"/>
        <v>-348.93510833333335</v>
      </c>
      <c r="DQ153" s="315"/>
      <c r="DR153" s="315"/>
      <c r="DS153" s="315"/>
      <c r="DT153" s="314">
        <f t="shared" si="245"/>
        <v>112081.17333712257</v>
      </c>
      <c r="DU153" s="307">
        <f t="shared" si="246"/>
        <v>105147.17402878923</v>
      </c>
      <c r="DV153" s="307"/>
      <c r="DW153" s="307"/>
      <c r="DX153" s="308">
        <f>_xlfn.IFNA((VLOOKUP($A153,HN!$A:$M,8,FALSE)/12),0)</f>
        <v>0</v>
      </c>
      <c r="DY153" s="308">
        <f>_xlfn.IFNA((VLOOKUP($A153,HN!$A:$M,12,FALSE)/12),0)</f>
        <v>0</v>
      </c>
      <c r="DZ153" s="308">
        <f>_xlfn.IFNA((VLOOKUP($A153,HN!$A:$M,9,FALSE)/12),0)</f>
        <v>0</v>
      </c>
      <c r="EA153" s="308">
        <f>_xlfn.IFNA((VLOOKUP($A153,'Post 16'!$A:$AG,33,FALSE)/8),0)</f>
        <v>0</v>
      </c>
      <c r="EB153" s="308"/>
      <c r="EC153" s="308">
        <f>_xlfn.IFNA(((VLOOKUP($A153,HN!$A:$M,10,FALSE)-$U153-$AK153)/10),0)</f>
        <v>7702.0844166666675</v>
      </c>
      <c r="ED153" s="308">
        <f>_xlfn.IFNA(((VLOOKUP($A153,HN!$A:$M,13,FALSE)-$V153-$AL153)/10),0)</f>
        <v>0</v>
      </c>
      <c r="EE153" s="307">
        <f t="shared" si="247"/>
        <v>-419.14999999999992</v>
      </c>
      <c r="EF153" s="307">
        <f t="shared" si="248"/>
        <v>-348.93510833333335</v>
      </c>
      <c r="EG153" s="308"/>
      <c r="EH153" s="308"/>
      <c r="EI153" s="308"/>
      <c r="EJ153" s="307">
        <f t="shared" si="249"/>
        <v>112081.17333712257</v>
      </c>
      <c r="EK153" s="320">
        <f t="shared" si="250"/>
        <v>105147.17402878923</v>
      </c>
      <c r="EL153" s="320"/>
      <c r="EM153" s="320"/>
      <c r="EN153" s="321">
        <f>_xlfn.IFNA((VLOOKUP($A153,HN!$A:$M,8,FALSE)/12),0)</f>
        <v>0</v>
      </c>
      <c r="EO153" s="321">
        <f>_xlfn.IFNA((VLOOKUP($A153,HN!$A:$M,12,FALSE)/12),0)</f>
        <v>0</v>
      </c>
      <c r="EP153" s="321">
        <f>_xlfn.IFNA((VLOOKUP($A153,HN!$A:$M,9,FALSE)/12),0)</f>
        <v>0</v>
      </c>
      <c r="EQ153" s="321">
        <f>_xlfn.IFNA((VLOOKUP($A153,'Post 16'!$A:$AG,33,FALSE)/8),0)</f>
        <v>0</v>
      </c>
      <c r="ER153" s="321"/>
      <c r="ES153" s="321">
        <f>_xlfn.IFNA(((VLOOKUP($A153,HN!$A:$M,10,FALSE)-$U153-$AK153)/10),0)</f>
        <v>7702.0844166666675</v>
      </c>
      <c r="ET153" s="321">
        <f>_xlfn.IFNA(((VLOOKUP($A153,HN!$A:$M,13,FALSE)-$V153-$AL153)/10),0)</f>
        <v>0</v>
      </c>
      <c r="EU153" s="320">
        <f t="shared" si="251"/>
        <v>-419.14999999999992</v>
      </c>
      <c r="EV153" s="320">
        <f t="shared" si="252"/>
        <v>-348.93510833333335</v>
      </c>
      <c r="EW153" s="321"/>
      <c r="EX153" s="321"/>
      <c r="EY153" s="321"/>
      <c r="EZ153" s="320">
        <f t="shared" si="253"/>
        <v>112081.17333712257</v>
      </c>
      <c r="FA153" s="286">
        <f t="shared" si="254"/>
        <v>105147.17402878923</v>
      </c>
      <c r="FB153" s="286"/>
      <c r="FC153" s="286"/>
      <c r="FD153" s="287">
        <f>_xlfn.IFNA((VLOOKUP($A153,HN!$A:$M,8,FALSE)/12),0)</f>
        <v>0</v>
      </c>
      <c r="FE153" s="287">
        <f>_xlfn.IFNA((VLOOKUP($A153,HN!$A:$M,12,FALSE)/12),0)</f>
        <v>0</v>
      </c>
      <c r="FF153" s="287">
        <f>_xlfn.IFNA((VLOOKUP($A153,HN!$A:$M,9,FALSE)/12),0)</f>
        <v>0</v>
      </c>
      <c r="FG153" s="287">
        <f>_xlfn.IFNA((VLOOKUP($A153,'Post 16'!$A:$AG,33,FALSE)/8),0)</f>
        <v>0</v>
      </c>
      <c r="FH153" s="287"/>
      <c r="FI153" s="287">
        <f>_xlfn.IFNA(((VLOOKUP($A153,HN!$A:$M,10,FALSE)-$U153-$AK153)/10),0)</f>
        <v>7702.0844166666675</v>
      </c>
      <c r="FJ153" s="287">
        <f>_xlfn.IFNA(((VLOOKUP($A153,HN!$A:$M,13,FALSE)-$V153-$AL153)/10),0)</f>
        <v>0</v>
      </c>
      <c r="FK153" s="286">
        <f t="shared" si="255"/>
        <v>-419.14999999999992</v>
      </c>
      <c r="FL153" s="286">
        <f t="shared" si="256"/>
        <v>-348.93510833333335</v>
      </c>
      <c r="FM153" s="287"/>
      <c r="FN153" s="287"/>
      <c r="FO153" s="287"/>
      <c r="FP153" s="286">
        <f t="shared" si="257"/>
        <v>112081.17333712257</v>
      </c>
      <c r="FQ153" s="293">
        <f t="shared" si="258"/>
        <v>105147.17402878923</v>
      </c>
      <c r="FR153" s="293"/>
      <c r="FS153" s="293"/>
      <c r="FT153" s="294">
        <f>_xlfn.IFNA((VLOOKUP($A153,HN!$A:$M,8,FALSE)/12),0)</f>
        <v>0</v>
      </c>
      <c r="FU153" s="294">
        <f>_xlfn.IFNA((VLOOKUP($A153,HN!$A:$M,12,FALSE)/12),0)</f>
        <v>0</v>
      </c>
      <c r="FV153" s="294">
        <f>_xlfn.IFNA((VLOOKUP($A153,HN!$A:$M,9,FALSE)/12),0)</f>
        <v>0</v>
      </c>
      <c r="FW153" s="294">
        <f>_xlfn.IFNA((VLOOKUP($A153,'Post 16'!$A:$AG,33,FALSE)/8),0)</f>
        <v>0</v>
      </c>
      <c r="FX153" s="294"/>
      <c r="FY153" s="294">
        <f>_xlfn.IFNA(((VLOOKUP($A153,HN!$A:$M,10,FALSE)-$U153-$AK153)/10),0)</f>
        <v>7702.0844166666675</v>
      </c>
      <c r="FZ153" s="294">
        <f>_xlfn.IFNA(((VLOOKUP($A153,HN!$A:$M,13,FALSE)-$V153-$AL153)/10),0)</f>
        <v>0</v>
      </c>
      <c r="GA153" s="293">
        <f t="shared" si="259"/>
        <v>-419.14999999999992</v>
      </c>
      <c r="GB153" s="293">
        <f t="shared" si="260"/>
        <v>-348.93510833333335</v>
      </c>
      <c r="GC153" s="294"/>
      <c r="GD153" s="294"/>
      <c r="GE153" s="294"/>
      <c r="GF153" s="293">
        <f t="shared" si="261"/>
        <v>112081.17333712257</v>
      </c>
      <c r="GG153" s="300">
        <f t="shared" si="262"/>
        <v>105147.17402878923</v>
      </c>
      <c r="GH153" s="300"/>
      <c r="GI153" s="300"/>
      <c r="GJ153" s="301">
        <f>_xlfn.IFNA((VLOOKUP($A153,HN!$A:$M,8,FALSE)/12),0)</f>
        <v>0</v>
      </c>
      <c r="GK153" s="301">
        <f>_xlfn.IFNA((VLOOKUP($A153,HN!$A:$M,12,FALSE)/12),0)</f>
        <v>0</v>
      </c>
      <c r="GL153" s="301">
        <f>_xlfn.IFNA((VLOOKUP($A153,HN!$A:$M,9,FALSE)/12),0)</f>
        <v>0</v>
      </c>
      <c r="GM153" s="301">
        <f>_xlfn.IFNA((VLOOKUP($A153,'Post 16'!$A:$AG,33,FALSE)/8),0)</f>
        <v>0</v>
      </c>
      <c r="GN153" s="301"/>
      <c r="GO153" s="301">
        <f>_xlfn.IFNA(((VLOOKUP($A153,HN!$A:$M,10,FALSE)-$U153-$AK153)/10),0)</f>
        <v>7702.0844166666675</v>
      </c>
      <c r="GP153" s="301">
        <f>_xlfn.IFNA(((VLOOKUP($A153,HN!$A:$M,13,FALSE)-$V153-$AL153)/10),0)</f>
        <v>0</v>
      </c>
      <c r="GQ153" s="300">
        <f t="shared" si="263"/>
        <v>-419.14999999999992</v>
      </c>
      <c r="GR153" s="300">
        <f t="shared" si="264"/>
        <v>-348.93510833333335</v>
      </c>
      <c r="GS153" s="301"/>
      <c r="GT153" s="301"/>
      <c r="GU153" s="301"/>
      <c r="GV153" s="300">
        <f t="shared" si="265"/>
        <v>112081.17333712257</v>
      </c>
      <c r="GX153" s="146">
        <f t="shared" si="268"/>
        <v>1261766.0883454708</v>
      </c>
      <c r="GY153" s="146">
        <f t="shared" si="268"/>
        <v>0</v>
      </c>
      <c r="GZ153" s="146">
        <f t="shared" si="268"/>
        <v>93538.829999999987</v>
      </c>
      <c r="HA153" s="146">
        <f t="shared" si="268"/>
        <v>-5029.7999999999993</v>
      </c>
      <c r="HB153" s="146">
        <f t="shared" si="268"/>
        <v>-4187.2212999999992</v>
      </c>
      <c r="HC153" s="146">
        <f t="shared" si="268"/>
        <v>0</v>
      </c>
      <c r="HE153" s="146">
        <f t="shared" si="269"/>
        <v>315441.52208636771</v>
      </c>
      <c r="HF153" s="146">
        <f t="shared" si="269"/>
        <v>0</v>
      </c>
      <c r="HG153" s="146">
        <f t="shared" si="269"/>
        <v>24220.070250000001</v>
      </c>
      <c r="HH153" s="146">
        <f t="shared" si="269"/>
        <v>-1257.4499999999998</v>
      </c>
      <c r="HI153" s="146">
        <f t="shared" si="269"/>
        <v>-1046.805325</v>
      </c>
      <c r="HJ153" s="146">
        <f t="shared" si="269"/>
        <v>0</v>
      </c>
      <c r="HL153" s="146"/>
      <c r="HM153" s="57"/>
    </row>
    <row r="154" spans="1:221">
      <c r="A154" s="185">
        <v>3344</v>
      </c>
      <c r="B154" s="185">
        <v>103438</v>
      </c>
      <c r="C154" s="185" t="s">
        <v>335</v>
      </c>
      <c r="D154" s="2" t="s">
        <v>336</v>
      </c>
      <c r="E154" s="190" t="s">
        <v>39</v>
      </c>
      <c r="F154" s="190" t="s">
        <v>890</v>
      </c>
      <c r="H154" s="271">
        <f>_xlfn.IFNA(VLOOKUP($A154,ISB!$A$4:$BY$441,67,FALSE),0)</f>
        <v>2273105.1614059191</v>
      </c>
      <c r="I154" s="271">
        <f>_xlfn.IFNA(VLOOKUP($A154,ISB!$A$4:$BY$441,72,FALSE),0)</f>
        <v>-10433.099999999999</v>
      </c>
      <c r="J154" s="271">
        <f>-_xlfn.IFNA(VLOOKUP($A154,ISB!$A$4:$BY$441,76,FALSE),0)</f>
        <v>-10200.563099999999</v>
      </c>
      <c r="K154" s="271">
        <f>_xlfn.IFNA(VLOOKUP($A154,ISB!$A$4:$BY$441,77,FALSE),0)</f>
        <v>2252471.4983059191</v>
      </c>
      <c r="M154" s="279">
        <f t="shared" si="218"/>
        <v>189425.43011715994</v>
      </c>
      <c r="N154" s="279"/>
      <c r="O154" s="279">
        <f>_xlfn.IFNA(VLOOKUP($A154,EY!$A:$H,8,FALSE)+(VLOOKUP($A154,EY!$A:$R,18,FALSE)-$T154),0)</f>
        <v>0</v>
      </c>
      <c r="P154" s="280">
        <f>_xlfn.IFNA((VLOOKUP($A154,HN!$A:$M,8,FALSE)/12),0)</f>
        <v>0</v>
      </c>
      <c r="Q154" s="280">
        <f>_xlfn.IFNA((VLOOKUP($A154,HN!$A:$M,12,FALSE)/12),0)</f>
        <v>0</v>
      </c>
      <c r="R154" s="280">
        <f>_xlfn.IFNA((VLOOKUP($A154,HN!$A:$M,9,FALSE)/12),0)</f>
        <v>0</v>
      </c>
      <c r="S154" s="280">
        <f>_xlfn.IFNA((VLOOKUP($A154,'Post 16'!$A:$AR,22,FALSE)/4),0)</f>
        <v>0</v>
      </c>
      <c r="T154" s="280">
        <f>_xlfn.IFNA((VLOOKUP($A154,EY!$A:$R,16,FALSE)*80%),0)</f>
        <v>0</v>
      </c>
      <c r="U154" s="280">
        <v>11460.333333333334</v>
      </c>
      <c r="V154" s="280">
        <v>0</v>
      </c>
      <c r="W154" s="279">
        <f t="shared" si="219"/>
        <v>-869.42499999999984</v>
      </c>
      <c r="X154" s="279">
        <f t="shared" si="220"/>
        <v>-850.04692499999999</v>
      </c>
      <c r="Y154" s="280"/>
      <c r="Z154" s="280"/>
      <c r="AA154" s="280"/>
      <c r="AB154" s="279">
        <f t="shared" si="221"/>
        <v>199166.29152549329</v>
      </c>
      <c r="AC154" s="293">
        <f t="shared" si="222"/>
        <v>189425.43011715994</v>
      </c>
      <c r="AD154" s="293"/>
      <c r="AE154" s="293"/>
      <c r="AF154" s="294">
        <f>_xlfn.IFNA((VLOOKUP($A154,HN!$A:$M,8,FALSE)/12),0)</f>
        <v>0</v>
      </c>
      <c r="AG154" s="294">
        <f>_xlfn.IFNA((VLOOKUP($A154,HN!$A:$M,12,FALSE)/12),0)+_xlfn.IFNA(VLOOKUP($A154,HN!$A:$Q,17,FALSE),0)</f>
        <v>0</v>
      </c>
      <c r="AH154" s="294">
        <f>_xlfn.IFNA((VLOOKUP($A154,HN!$A:$M,9,FALSE)/12),0)</f>
        <v>0</v>
      </c>
      <c r="AI154" s="294">
        <f>_xlfn.IFNA((VLOOKUP($A154,'Post 16'!$A:$AR,22,FALSE)/4),0)</f>
        <v>0</v>
      </c>
      <c r="AJ154" s="294"/>
      <c r="AK154" s="294">
        <f>_xlfn.IFNA((VLOOKUP($A154,HN!$A:$M,10,FALSE)/12),0)</f>
        <v>8989.0833333333339</v>
      </c>
      <c r="AL154" s="294">
        <f>_xlfn.IFNA((VLOOKUP($A154,HN!$A:$M,13,FALSE)/12),0)</f>
        <v>0</v>
      </c>
      <c r="AM154" s="293">
        <f t="shared" si="223"/>
        <v>-869.42499999999984</v>
      </c>
      <c r="AN154" s="293">
        <f t="shared" si="224"/>
        <v>-850.04692499999999</v>
      </c>
      <c r="AO154" s="294"/>
      <c r="AP154" s="294"/>
      <c r="AQ154" s="294"/>
      <c r="AR154" s="293">
        <f t="shared" si="225"/>
        <v>196695.04152549329</v>
      </c>
      <c r="AS154" s="286">
        <f t="shared" si="226"/>
        <v>189425.43011715994</v>
      </c>
      <c r="AT154" s="286"/>
      <c r="AU154" s="286">
        <f>_xlfn.IFNA(VLOOKUP(A154,EY!A:AO,40,FALSE),0)</f>
        <v>0</v>
      </c>
      <c r="AV154" s="287">
        <f>_xlfn.IFNA((VLOOKUP($A154,HN!$A:$M,8,FALSE)/12),0)</f>
        <v>0</v>
      </c>
      <c r="AW154" s="287">
        <f>_xlfn.IFNA((VLOOKUP($A154,HN!$A:$M,12,FALSE)/12),0)+_xlfn.IFNA(VLOOKUP($A154,HN!$A$8:$AU$200,19,FALSE),0)</f>
        <v>0</v>
      </c>
      <c r="AX154" s="287">
        <f>_xlfn.IFNA((VLOOKUP($A154,HN!$A:$M,9,FALSE)/12),0)</f>
        <v>0</v>
      </c>
      <c r="AY154" s="287">
        <f>_xlfn.IFNA((VLOOKUP($A154,'Post 16'!$A:$AR,22,FALSE)/4),0)</f>
        <v>0</v>
      </c>
      <c r="AZ154" s="287">
        <f>_xlfn.IFNA(VLOOKUP(A154,EY!A:AO,41,FALSE),0)</f>
        <v>0</v>
      </c>
      <c r="BA154" s="287">
        <f>_xlfn.IFNA(((VLOOKUP($A154,HN!$A:$M,10,FALSE)-$U154-$AK154)/10),0)+_xlfn.IFNA(VLOOKUP($A154,HN!$A:$R,18,FALSE),0)</f>
        <v>8741.9583333333339</v>
      </c>
      <c r="BB154" s="287">
        <f>_xlfn.IFNA(((VLOOKUP($A154,HN!$A:$M,13,FALSE)-$V154-$AL154)/10),0)+_xlfn.IFNA(VLOOKUP($A154,HN!$A$8:$AU$200,20,FALSE),0)</f>
        <v>0</v>
      </c>
      <c r="BC154" s="286">
        <f t="shared" si="227"/>
        <v>-869.42499999999984</v>
      </c>
      <c r="BD154" s="286">
        <f t="shared" si="228"/>
        <v>-850.04692499999999</v>
      </c>
      <c r="BE154" s="287"/>
      <c r="BF154" s="287"/>
      <c r="BG154" s="287"/>
      <c r="BH154" s="286">
        <f t="shared" si="229"/>
        <v>196447.91652549329</v>
      </c>
      <c r="BI154" s="307">
        <f t="shared" si="230"/>
        <v>189425.43011715994</v>
      </c>
      <c r="BJ154" s="307">
        <f>_xlfn.IFNA(VLOOKUP(A154,'LA Deductions'!A:AH,34,FALSE),0)</f>
        <v>0</v>
      </c>
      <c r="BK154" s="307"/>
      <c r="BL154" s="308">
        <f>_xlfn.IFNA((VLOOKUP($A154,HN!$A:$M,8,FALSE)/12),0)</f>
        <v>0</v>
      </c>
      <c r="BM154" s="308">
        <f>_xlfn.IFNA((VLOOKUP($A154,HN!$A:$M,12,FALSE)/12),0)</f>
        <v>0</v>
      </c>
      <c r="BN154" s="308">
        <f>_xlfn.IFNA((VLOOKUP($A154,HN!$A:$M,9,FALSE)/12),0)</f>
        <v>0</v>
      </c>
      <c r="BO154" s="308">
        <f>_xlfn.IFNA((VLOOKUP($A154,'Post 16'!$A:$AR,22,FALSE)/4),0)</f>
        <v>0</v>
      </c>
      <c r="BP154" s="308"/>
      <c r="BQ154" s="308">
        <f>_xlfn.IFNA(((VLOOKUP($A154,HN!$A:$M,10,FALSE)-$U154-$AK154)/10),0)</f>
        <v>8741.9583333333339</v>
      </c>
      <c r="BR154" s="308">
        <f>_xlfn.IFNA(((VLOOKUP($A154,HN!$A:$M,13,FALSE)-$V154-$AL154)/10),0)</f>
        <v>0</v>
      </c>
      <c r="BS154" s="307">
        <f t="shared" si="231"/>
        <v>-869.42499999999984</v>
      </c>
      <c r="BT154" s="307">
        <f t="shared" si="232"/>
        <v>-850.04692499999999</v>
      </c>
      <c r="BU154" s="308"/>
      <c r="BV154" s="308"/>
      <c r="BW154" s="308"/>
      <c r="BX154" s="307">
        <f t="shared" si="233"/>
        <v>196447.91652549329</v>
      </c>
      <c r="BY154" s="300">
        <f t="shared" si="234"/>
        <v>189425.43011715994</v>
      </c>
      <c r="BZ154" s="300"/>
      <c r="CA154" s="300"/>
      <c r="CB154" s="301">
        <f>_xlfn.IFNA((VLOOKUP($A154,HN!$A:$M,8,FALSE)/12),0)</f>
        <v>0</v>
      </c>
      <c r="CC154" s="301">
        <f>_xlfn.IFNA((VLOOKUP($A154,HN!$A:$M,12,FALSE)/12),0)</f>
        <v>0</v>
      </c>
      <c r="CD154" s="301">
        <f>_xlfn.IFNA((VLOOKUP($A154,HN!$A:$M,9,FALSE)/12),0)</f>
        <v>0</v>
      </c>
      <c r="CE154" s="301">
        <f>_xlfn.IFNA((VLOOKUP($A154,'Post 16'!$A:$AG,33,FALSE)/8),0)</f>
        <v>0</v>
      </c>
      <c r="CF154" s="301"/>
      <c r="CG154" s="301">
        <f>_xlfn.IFNA(((VLOOKUP($A154,HN!$A:$M,10,FALSE)-$U154-$AK154)/10),0)</f>
        <v>8741.9583333333339</v>
      </c>
      <c r="CH154" s="301">
        <f>_xlfn.IFNA(((VLOOKUP($A154,HN!$A:$M,13,FALSE)-$V154-$AL154)/10),0)</f>
        <v>0</v>
      </c>
      <c r="CI154" s="300">
        <f t="shared" si="235"/>
        <v>-869.42499999999984</v>
      </c>
      <c r="CJ154" s="300">
        <f t="shared" si="236"/>
        <v>-850.04692499999999</v>
      </c>
      <c r="CK154" s="301"/>
      <c r="CL154" s="301"/>
      <c r="CM154" s="301"/>
      <c r="CN154" s="300">
        <f t="shared" si="237"/>
        <v>196447.91652549329</v>
      </c>
      <c r="CO154" s="332">
        <f t="shared" si="238"/>
        <v>189425.43011715994</v>
      </c>
      <c r="CP154" s="332"/>
      <c r="CQ154" s="332">
        <f>_xlfn.IFNA((VLOOKUP($A154,EY!$A:$AB,28,FALSE)-$CV154),0)</f>
        <v>0</v>
      </c>
      <c r="CR154" s="333">
        <f>_xlfn.IFNA((VLOOKUP($A154,HN!$A:$M,8,FALSE)/12),0)</f>
        <v>0</v>
      </c>
      <c r="CS154" s="333">
        <f>_xlfn.IFNA((VLOOKUP($A154,HN!$A:$M,12,FALSE)/12),0)</f>
        <v>0</v>
      </c>
      <c r="CT154" s="333">
        <f>_xlfn.IFNA((VLOOKUP($A154,HN!$A:$M,9,FALSE)/12),0)</f>
        <v>0</v>
      </c>
      <c r="CU154" s="333">
        <f>_xlfn.IFNA((VLOOKUP($A154,'Post 16'!$A:$AG,33,FALSE)/8),0)</f>
        <v>0</v>
      </c>
      <c r="CV154" s="333">
        <f>_xlfn.IFNA((VLOOKUP($A154,EY!$A:$AB,26,FALSE)*80%),0)</f>
        <v>0</v>
      </c>
      <c r="CW154" s="333">
        <f>_xlfn.IFNA(((VLOOKUP($A154,HN!$A:$M,10,FALSE)-$U154-$AK154)/10),0)</f>
        <v>8741.9583333333339</v>
      </c>
      <c r="CX154" s="333">
        <f>_xlfn.IFNA(((VLOOKUP($A154,HN!$A:$M,13,FALSE)-$V154-$AL154)/10),0)</f>
        <v>0</v>
      </c>
      <c r="CY154" s="332">
        <f t="shared" si="239"/>
        <v>-869.42499999999984</v>
      </c>
      <c r="CZ154" s="332">
        <f t="shared" si="240"/>
        <v>-850.04692499999999</v>
      </c>
      <c r="DA154" s="333"/>
      <c r="DB154" s="333"/>
      <c r="DC154" s="333"/>
      <c r="DD154" s="332">
        <f t="shared" si="241"/>
        <v>196447.91652549329</v>
      </c>
      <c r="DE154" s="314">
        <f t="shared" si="242"/>
        <v>189425.43011715994</v>
      </c>
      <c r="DF154" s="314"/>
      <c r="DG154" s="314"/>
      <c r="DH154" s="315">
        <f>_xlfn.IFNA((VLOOKUP($A154,HN!$A:$M,8,FALSE)/12),0)</f>
        <v>0</v>
      </c>
      <c r="DI154" s="315">
        <f>_xlfn.IFNA((VLOOKUP($A154,HN!$A:$M,12,FALSE)/12),0)</f>
        <v>0</v>
      </c>
      <c r="DJ154" s="315">
        <f>_xlfn.IFNA((VLOOKUP($A154,HN!$A:$M,9,FALSE)/12),0)</f>
        <v>0</v>
      </c>
      <c r="DK154" s="315">
        <f>_xlfn.IFNA((VLOOKUP($A154,'Post 16'!$A:$AG,33,FALSE)/8),0)</f>
        <v>0</v>
      </c>
      <c r="DL154" s="315"/>
      <c r="DM154" s="315">
        <f>_xlfn.IFNA(((VLOOKUP($A154,HN!$A:$M,10,FALSE)-$U154-$AK154)/10),0)</f>
        <v>8741.9583333333339</v>
      </c>
      <c r="DN154" s="315">
        <f>_xlfn.IFNA(((VLOOKUP($A154,HN!$A:$M,13,FALSE)-$V154-$AL154)/10),0)</f>
        <v>0</v>
      </c>
      <c r="DO154" s="314">
        <f t="shared" si="243"/>
        <v>-869.42499999999984</v>
      </c>
      <c r="DP154" s="314">
        <f t="shared" si="244"/>
        <v>-850.04692499999999</v>
      </c>
      <c r="DQ154" s="315"/>
      <c r="DR154" s="315"/>
      <c r="DS154" s="315"/>
      <c r="DT154" s="314">
        <f t="shared" si="245"/>
        <v>196447.91652549329</v>
      </c>
      <c r="DU154" s="307">
        <f t="shared" si="246"/>
        <v>189425.43011715994</v>
      </c>
      <c r="DV154" s="307"/>
      <c r="DW154" s="307"/>
      <c r="DX154" s="308">
        <f>_xlfn.IFNA((VLOOKUP($A154,HN!$A:$M,8,FALSE)/12),0)</f>
        <v>0</v>
      </c>
      <c r="DY154" s="308">
        <f>_xlfn.IFNA((VLOOKUP($A154,HN!$A:$M,12,FALSE)/12),0)</f>
        <v>0</v>
      </c>
      <c r="DZ154" s="308">
        <f>_xlfn.IFNA((VLOOKUP($A154,HN!$A:$M,9,FALSE)/12),0)</f>
        <v>0</v>
      </c>
      <c r="EA154" s="308">
        <f>_xlfn.IFNA((VLOOKUP($A154,'Post 16'!$A:$AG,33,FALSE)/8),0)</f>
        <v>0</v>
      </c>
      <c r="EB154" s="308"/>
      <c r="EC154" s="308">
        <f>_xlfn.IFNA(((VLOOKUP($A154,HN!$A:$M,10,FALSE)-$U154-$AK154)/10),0)</f>
        <v>8741.9583333333339</v>
      </c>
      <c r="ED154" s="308">
        <f>_xlfn.IFNA(((VLOOKUP($A154,HN!$A:$M,13,FALSE)-$V154-$AL154)/10),0)</f>
        <v>0</v>
      </c>
      <c r="EE154" s="307">
        <f t="shared" si="247"/>
        <v>-869.42499999999984</v>
      </c>
      <c r="EF154" s="307">
        <f t="shared" si="248"/>
        <v>-850.04692499999999</v>
      </c>
      <c r="EG154" s="308"/>
      <c r="EH154" s="308"/>
      <c r="EI154" s="308"/>
      <c r="EJ154" s="307">
        <f t="shared" si="249"/>
        <v>196447.91652549329</v>
      </c>
      <c r="EK154" s="320">
        <f t="shared" si="250"/>
        <v>189425.43011715994</v>
      </c>
      <c r="EL154" s="320"/>
      <c r="EM154" s="320"/>
      <c r="EN154" s="321">
        <f>_xlfn.IFNA((VLOOKUP($A154,HN!$A:$M,8,FALSE)/12),0)</f>
        <v>0</v>
      </c>
      <c r="EO154" s="321">
        <f>_xlfn.IFNA((VLOOKUP($A154,HN!$A:$M,12,FALSE)/12),0)</f>
        <v>0</v>
      </c>
      <c r="EP154" s="321">
        <f>_xlfn.IFNA((VLOOKUP($A154,HN!$A:$M,9,FALSE)/12),0)</f>
        <v>0</v>
      </c>
      <c r="EQ154" s="321">
        <f>_xlfn.IFNA((VLOOKUP($A154,'Post 16'!$A:$AG,33,FALSE)/8),0)</f>
        <v>0</v>
      </c>
      <c r="ER154" s="321"/>
      <c r="ES154" s="321">
        <f>_xlfn.IFNA(((VLOOKUP($A154,HN!$A:$M,10,FALSE)-$U154-$AK154)/10),0)</f>
        <v>8741.9583333333339</v>
      </c>
      <c r="ET154" s="321">
        <f>_xlfn.IFNA(((VLOOKUP($A154,HN!$A:$M,13,FALSE)-$V154-$AL154)/10),0)</f>
        <v>0</v>
      </c>
      <c r="EU154" s="320">
        <f t="shared" si="251"/>
        <v>-869.42499999999984</v>
      </c>
      <c r="EV154" s="320">
        <f t="shared" si="252"/>
        <v>-850.04692499999999</v>
      </c>
      <c r="EW154" s="321"/>
      <c r="EX154" s="321"/>
      <c r="EY154" s="321"/>
      <c r="EZ154" s="320">
        <f t="shared" si="253"/>
        <v>196447.91652549329</v>
      </c>
      <c r="FA154" s="286">
        <f t="shared" si="254"/>
        <v>189425.43011715994</v>
      </c>
      <c r="FB154" s="286"/>
      <c r="FC154" s="286"/>
      <c r="FD154" s="287">
        <f>_xlfn.IFNA((VLOOKUP($A154,HN!$A:$M,8,FALSE)/12),0)</f>
        <v>0</v>
      </c>
      <c r="FE154" s="287">
        <f>_xlfn.IFNA((VLOOKUP($A154,HN!$A:$M,12,FALSE)/12),0)</f>
        <v>0</v>
      </c>
      <c r="FF154" s="287">
        <f>_xlfn.IFNA((VLOOKUP($A154,HN!$A:$M,9,FALSE)/12),0)</f>
        <v>0</v>
      </c>
      <c r="FG154" s="287">
        <f>_xlfn.IFNA((VLOOKUP($A154,'Post 16'!$A:$AG,33,FALSE)/8),0)</f>
        <v>0</v>
      </c>
      <c r="FH154" s="287"/>
      <c r="FI154" s="287">
        <f>_xlfn.IFNA(((VLOOKUP($A154,HN!$A:$M,10,FALSE)-$U154-$AK154)/10),0)</f>
        <v>8741.9583333333339</v>
      </c>
      <c r="FJ154" s="287">
        <f>_xlfn.IFNA(((VLOOKUP($A154,HN!$A:$M,13,FALSE)-$V154-$AL154)/10),0)</f>
        <v>0</v>
      </c>
      <c r="FK154" s="286">
        <f t="shared" si="255"/>
        <v>-869.42499999999984</v>
      </c>
      <c r="FL154" s="286">
        <f t="shared" si="256"/>
        <v>-850.04692499999999</v>
      </c>
      <c r="FM154" s="287"/>
      <c r="FN154" s="287"/>
      <c r="FO154" s="287"/>
      <c r="FP154" s="286">
        <f t="shared" si="257"/>
        <v>196447.91652549329</v>
      </c>
      <c r="FQ154" s="293">
        <f t="shared" si="258"/>
        <v>189425.43011715994</v>
      </c>
      <c r="FR154" s="293"/>
      <c r="FS154" s="293"/>
      <c r="FT154" s="294">
        <f>_xlfn.IFNA((VLOOKUP($A154,HN!$A:$M,8,FALSE)/12),0)</f>
        <v>0</v>
      </c>
      <c r="FU154" s="294">
        <f>_xlfn.IFNA((VLOOKUP($A154,HN!$A:$M,12,FALSE)/12),0)</f>
        <v>0</v>
      </c>
      <c r="FV154" s="294">
        <f>_xlfn.IFNA((VLOOKUP($A154,HN!$A:$M,9,FALSE)/12),0)</f>
        <v>0</v>
      </c>
      <c r="FW154" s="294">
        <f>_xlfn.IFNA((VLOOKUP($A154,'Post 16'!$A:$AG,33,FALSE)/8),0)</f>
        <v>0</v>
      </c>
      <c r="FX154" s="294"/>
      <c r="FY154" s="294">
        <f>_xlfn.IFNA(((VLOOKUP($A154,HN!$A:$M,10,FALSE)-$U154-$AK154)/10),0)</f>
        <v>8741.9583333333339</v>
      </c>
      <c r="FZ154" s="294">
        <f>_xlfn.IFNA(((VLOOKUP($A154,HN!$A:$M,13,FALSE)-$V154-$AL154)/10),0)</f>
        <v>0</v>
      </c>
      <c r="GA154" s="293">
        <f t="shared" si="259"/>
        <v>-869.42499999999984</v>
      </c>
      <c r="GB154" s="293">
        <f t="shared" si="260"/>
        <v>-850.04692499999999</v>
      </c>
      <c r="GC154" s="294"/>
      <c r="GD154" s="294"/>
      <c r="GE154" s="294"/>
      <c r="GF154" s="293">
        <f t="shared" si="261"/>
        <v>196447.91652549329</v>
      </c>
      <c r="GG154" s="300">
        <f t="shared" si="262"/>
        <v>189425.43011715994</v>
      </c>
      <c r="GH154" s="300"/>
      <c r="GI154" s="300"/>
      <c r="GJ154" s="301">
        <f>_xlfn.IFNA((VLOOKUP($A154,HN!$A:$M,8,FALSE)/12),0)</f>
        <v>0</v>
      </c>
      <c r="GK154" s="301">
        <f>_xlfn.IFNA((VLOOKUP($A154,HN!$A:$M,12,FALSE)/12),0)</f>
        <v>0</v>
      </c>
      <c r="GL154" s="301">
        <f>_xlfn.IFNA((VLOOKUP($A154,HN!$A:$M,9,FALSE)/12),0)</f>
        <v>0</v>
      </c>
      <c r="GM154" s="301">
        <f>_xlfn.IFNA((VLOOKUP($A154,'Post 16'!$A:$AG,33,FALSE)/8),0)</f>
        <v>0</v>
      </c>
      <c r="GN154" s="301"/>
      <c r="GO154" s="301">
        <f>_xlfn.IFNA(((VLOOKUP($A154,HN!$A:$M,10,FALSE)-$U154-$AK154)/10),0)</f>
        <v>8741.9583333333339</v>
      </c>
      <c r="GP154" s="301">
        <f>_xlfn.IFNA(((VLOOKUP($A154,HN!$A:$M,13,FALSE)-$V154-$AL154)/10),0)</f>
        <v>0</v>
      </c>
      <c r="GQ154" s="300">
        <f t="shared" si="263"/>
        <v>-869.42499999999984</v>
      </c>
      <c r="GR154" s="300">
        <f t="shared" si="264"/>
        <v>-850.04692499999999</v>
      </c>
      <c r="GS154" s="301"/>
      <c r="GT154" s="301"/>
      <c r="GU154" s="301"/>
      <c r="GV154" s="300">
        <f t="shared" si="265"/>
        <v>196447.91652549329</v>
      </c>
      <c r="GX154" s="146">
        <f t="shared" si="268"/>
        <v>2273105.1614059187</v>
      </c>
      <c r="GY154" s="146">
        <f t="shared" si="268"/>
        <v>0</v>
      </c>
      <c r="GZ154" s="146">
        <f t="shared" si="268"/>
        <v>107868.99999999999</v>
      </c>
      <c r="HA154" s="146">
        <f t="shared" si="268"/>
        <v>-10433.099999999999</v>
      </c>
      <c r="HB154" s="146">
        <f t="shared" si="268"/>
        <v>-10200.563099999999</v>
      </c>
      <c r="HC154" s="146">
        <f t="shared" si="268"/>
        <v>0</v>
      </c>
      <c r="HE154" s="146">
        <f t="shared" si="269"/>
        <v>568276.29035147978</v>
      </c>
      <c r="HF154" s="146">
        <f t="shared" si="269"/>
        <v>0</v>
      </c>
      <c r="HG154" s="146">
        <f t="shared" si="269"/>
        <v>29191.375</v>
      </c>
      <c r="HH154" s="146">
        <f t="shared" si="269"/>
        <v>-2608.2749999999996</v>
      </c>
      <c r="HI154" s="146">
        <f t="shared" si="269"/>
        <v>-2550.1407749999998</v>
      </c>
      <c r="HJ154" s="146">
        <f t="shared" si="269"/>
        <v>0</v>
      </c>
      <c r="HL154" s="146"/>
      <c r="HM154" s="57"/>
    </row>
    <row r="155" spans="1:221">
      <c r="A155" s="185">
        <v>3025</v>
      </c>
      <c r="B155" s="185">
        <v>103410</v>
      </c>
      <c r="C155" s="185" t="s">
        <v>337</v>
      </c>
      <c r="D155" s="2" t="s">
        <v>338</v>
      </c>
      <c r="E155" s="190" t="s">
        <v>39</v>
      </c>
      <c r="F155" s="190" t="s">
        <v>890</v>
      </c>
      <c r="H155" s="271">
        <f>_xlfn.IFNA(VLOOKUP($A155,ISB!$A$4:$BY$441,67,FALSE),0)</f>
        <v>2329753.7438211483</v>
      </c>
      <c r="I155" s="271">
        <f>_xlfn.IFNA(VLOOKUP($A155,ISB!$A$4:$BY$441,72,FALSE),0)</f>
        <v>-10209</v>
      </c>
      <c r="J155" s="271">
        <f>-_xlfn.IFNA(VLOOKUP($A155,ISB!$A$4:$BY$441,76,FALSE),0)</f>
        <v>-8529.2844000000005</v>
      </c>
      <c r="K155" s="271">
        <f>_xlfn.IFNA(VLOOKUP($A155,ISB!$A$4:$BY$441,77,FALSE),0)</f>
        <v>2311015.4594211485</v>
      </c>
      <c r="M155" s="279">
        <f t="shared" si="218"/>
        <v>194146.14531842901</v>
      </c>
      <c r="N155" s="279"/>
      <c r="O155" s="279">
        <f>_xlfn.IFNA(VLOOKUP($A155,EY!$A:$H,8,FALSE)+(VLOOKUP($A155,EY!$A:$R,18,FALSE)-$T155),0)</f>
        <v>0</v>
      </c>
      <c r="P155" s="280">
        <f>_xlfn.IFNA((VLOOKUP($A155,HN!$A:$M,8,FALSE)/12),0)</f>
        <v>0</v>
      </c>
      <c r="Q155" s="280">
        <f>_xlfn.IFNA((VLOOKUP($A155,HN!$A:$M,12,FALSE)/12),0)</f>
        <v>0</v>
      </c>
      <c r="R155" s="280">
        <f>_xlfn.IFNA((VLOOKUP($A155,HN!$A:$M,9,FALSE)/12),0)</f>
        <v>0</v>
      </c>
      <c r="S155" s="280">
        <f>_xlfn.IFNA((VLOOKUP($A155,'Post 16'!$A:$AR,22,FALSE)/4),0)</f>
        <v>0</v>
      </c>
      <c r="T155" s="280">
        <f>_xlfn.IFNA((VLOOKUP($A155,EY!$A:$R,16,FALSE)*80%),0)</f>
        <v>0</v>
      </c>
      <c r="U155" s="280">
        <v>18681.194166666664</v>
      </c>
      <c r="V155" s="280">
        <v>0</v>
      </c>
      <c r="W155" s="279">
        <f t="shared" si="219"/>
        <v>-850.75</v>
      </c>
      <c r="X155" s="279">
        <f t="shared" si="220"/>
        <v>-710.77370000000008</v>
      </c>
      <c r="Y155" s="280"/>
      <c r="Z155" s="280"/>
      <c r="AA155" s="280"/>
      <c r="AB155" s="279">
        <f t="shared" si="221"/>
        <v>211265.81578509568</v>
      </c>
      <c r="AC155" s="293">
        <f t="shared" si="222"/>
        <v>194146.14531842901</v>
      </c>
      <c r="AD155" s="293"/>
      <c r="AE155" s="293"/>
      <c r="AF155" s="294">
        <f>_xlfn.IFNA((VLOOKUP($A155,HN!$A:$M,8,FALSE)/12),0)</f>
        <v>0</v>
      </c>
      <c r="AG155" s="294">
        <f>_xlfn.IFNA((VLOOKUP($A155,HN!$A:$M,12,FALSE)/12),0)+_xlfn.IFNA(VLOOKUP($A155,HN!$A:$Q,17,FALSE),0)</f>
        <v>0</v>
      </c>
      <c r="AH155" s="294">
        <f>_xlfn.IFNA((VLOOKUP($A155,HN!$A:$M,9,FALSE)/12),0)</f>
        <v>0</v>
      </c>
      <c r="AI155" s="294">
        <f>_xlfn.IFNA((VLOOKUP($A155,'Post 16'!$A:$AR,22,FALSE)/4),0)</f>
        <v>0</v>
      </c>
      <c r="AJ155" s="294"/>
      <c r="AK155" s="294">
        <f>_xlfn.IFNA((VLOOKUP($A155,HN!$A:$M,10,FALSE)/12),0)</f>
        <v>11827.221666666666</v>
      </c>
      <c r="AL155" s="294">
        <f>_xlfn.IFNA((VLOOKUP($A155,HN!$A:$M,13,FALSE)/12),0)</f>
        <v>0</v>
      </c>
      <c r="AM155" s="293">
        <f t="shared" si="223"/>
        <v>-850.75</v>
      </c>
      <c r="AN155" s="293">
        <f t="shared" si="224"/>
        <v>-710.77370000000008</v>
      </c>
      <c r="AO155" s="294"/>
      <c r="AP155" s="294"/>
      <c r="AQ155" s="294"/>
      <c r="AR155" s="293">
        <f t="shared" si="225"/>
        <v>204411.8432850957</v>
      </c>
      <c r="AS155" s="286">
        <f t="shared" si="226"/>
        <v>194146.14531842901</v>
      </c>
      <c r="AT155" s="286"/>
      <c r="AU155" s="286">
        <f>_xlfn.IFNA(VLOOKUP(A155,EY!A:AO,40,FALSE),0)</f>
        <v>0</v>
      </c>
      <c r="AV155" s="287">
        <f>_xlfn.IFNA((VLOOKUP($A155,HN!$A:$M,8,FALSE)/12),0)</f>
        <v>0</v>
      </c>
      <c r="AW155" s="287">
        <f>_xlfn.IFNA((VLOOKUP($A155,HN!$A:$M,12,FALSE)/12),0)+_xlfn.IFNA(VLOOKUP($A155,HN!$A$8:$AU$200,19,FALSE),0)</f>
        <v>0</v>
      </c>
      <c r="AX155" s="287">
        <f>_xlfn.IFNA((VLOOKUP($A155,HN!$A:$M,9,FALSE)/12),0)</f>
        <v>0</v>
      </c>
      <c r="AY155" s="287">
        <f>_xlfn.IFNA((VLOOKUP($A155,'Post 16'!$A:$AR,22,FALSE)/4),0)</f>
        <v>0</v>
      </c>
      <c r="AZ155" s="287">
        <f>_xlfn.IFNA(VLOOKUP(A155,EY!A:AO,41,FALSE),0)</f>
        <v>0</v>
      </c>
      <c r="BA155" s="287">
        <f>_xlfn.IFNA(((VLOOKUP($A155,HN!$A:$M,10,FALSE)-$U155-$AK155)/10),0)+_xlfn.IFNA(VLOOKUP($A155,HN!$A:$R,18,FALSE),0)</f>
        <v>11141.824416666666</v>
      </c>
      <c r="BB155" s="287">
        <f>_xlfn.IFNA(((VLOOKUP($A155,HN!$A:$M,13,FALSE)-$V155-$AL155)/10),0)+_xlfn.IFNA(VLOOKUP($A155,HN!$A$8:$AU$200,20,FALSE),0)</f>
        <v>0</v>
      </c>
      <c r="BC155" s="286">
        <f t="shared" si="227"/>
        <v>-850.75</v>
      </c>
      <c r="BD155" s="286">
        <f t="shared" si="228"/>
        <v>-710.77370000000008</v>
      </c>
      <c r="BE155" s="287"/>
      <c r="BF155" s="287"/>
      <c r="BG155" s="287"/>
      <c r="BH155" s="286">
        <f t="shared" si="229"/>
        <v>203726.44603509569</v>
      </c>
      <c r="BI155" s="307">
        <f t="shared" si="230"/>
        <v>194146.14531842901</v>
      </c>
      <c r="BJ155" s="307">
        <f>_xlfn.IFNA(VLOOKUP(A155,'LA Deductions'!A:AH,34,FALSE),0)</f>
        <v>0</v>
      </c>
      <c r="BK155" s="307"/>
      <c r="BL155" s="308">
        <f>_xlfn.IFNA((VLOOKUP($A155,HN!$A:$M,8,FALSE)/12),0)</f>
        <v>0</v>
      </c>
      <c r="BM155" s="308">
        <f>_xlfn.IFNA((VLOOKUP($A155,HN!$A:$M,12,FALSE)/12),0)</f>
        <v>0</v>
      </c>
      <c r="BN155" s="308">
        <f>_xlfn.IFNA((VLOOKUP($A155,HN!$A:$M,9,FALSE)/12),0)</f>
        <v>0</v>
      </c>
      <c r="BO155" s="308">
        <f>_xlfn.IFNA((VLOOKUP($A155,'Post 16'!$A:$AR,22,FALSE)/4),0)</f>
        <v>0</v>
      </c>
      <c r="BP155" s="308"/>
      <c r="BQ155" s="308">
        <f>_xlfn.IFNA(((VLOOKUP($A155,HN!$A:$M,10,FALSE)-$U155-$AK155)/10),0)</f>
        <v>11141.824416666666</v>
      </c>
      <c r="BR155" s="308">
        <f>_xlfn.IFNA(((VLOOKUP($A155,HN!$A:$M,13,FALSE)-$V155-$AL155)/10),0)</f>
        <v>0</v>
      </c>
      <c r="BS155" s="307">
        <f t="shared" si="231"/>
        <v>-850.75</v>
      </c>
      <c r="BT155" s="307">
        <f t="shared" si="232"/>
        <v>-710.77370000000008</v>
      </c>
      <c r="BU155" s="308"/>
      <c r="BV155" s="308"/>
      <c r="BW155" s="308"/>
      <c r="BX155" s="307">
        <f t="shared" si="233"/>
        <v>203726.44603509569</v>
      </c>
      <c r="BY155" s="300">
        <f t="shared" si="234"/>
        <v>194146.14531842901</v>
      </c>
      <c r="BZ155" s="300"/>
      <c r="CA155" s="300"/>
      <c r="CB155" s="301">
        <f>_xlfn.IFNA((VLOOKUP($A155,HN!$A:$M,8,FALSE)/12),0)</f>
        <v>0</v>
      </c>
      <c r="CC155" s="301">
        <f>_xlfn.IFNA((VLOOKUP($A155,HN!$A:$M,12,FALSE)/12),0)</f>
        <v>0</v>
      </c>
      <c r="CD155" s="301">
        <f>_xlfn.IFNA((VLOOKUP($A155,HN!$A:$M,9,FALSE)/12),0)</f>
        <v>0</v>
      </c>
      <c r="CE155" s="301">
        <f>_xlfn.IFNA((VLOOKUP($A155,'Post 16'!$A:$AG,33,FALSE)/8),0)</f>
        <v>0</v>
      </c>
      <c r="CF155" s="301"/>
      <c r="CG155" s="301">
        <f>_xlfn.IFNA(((VLOOKUP($A155,HN!$A:$M,10,FALSE)-$U155-$AK155)/10),0)</f>
        <v>11141.824416666666</v>
      </c>
      <c r="CH155" s="301">
        <f>_xlfn.IFNA(((VLOOKUP($A155,HN!$A:$M,13,FALSE)-$V155-$AL155)/10),0)</f>
        <v>0</v>
      </c>
      <c r="CI155" s="300">
        <f t="shared" si="235"/>
        <v>-850.75</v>
      </c>
      <c r="CJ155" s="300">
        <f t="shared" si="236"/>
        <v>-710.77370000000008</v>
      </c>
      <c r="CK155" s="301"/>
      <c r="CL155" s="301"/>
      <c r="CM155" s="301"/>
      <c r="CN155" s="300">
        <f t="shared" si="237"/>
        <v>203726.44603509569</v>
      </c>
      <c r="CO155" s="332">
        <f t="shared" si="238"/>
        <v>194146.14531842901</v>
      </c>
      <c r="CP155" s="332"/>
      <c r="CQ155" s="332">
        <f>_xlfn.IFNA((VLOOKUP($A155,EY!$A:$AB,28,FALSE)-$CV155),0)</f>
        <v>0</v>
      </c>
      <c r="CR155" s="333">
        <f>_xlfn.IFNA((VLOOKUP($A155,HN!$A:$M,8,FALSE)/12),0)</f>
        <v>0</v>
      </c>
      <c r="CS155" s="333">
        <f>_xlfn.IFNA((VLOOKUP($A155,HN!$A:$M,12,FALSE)/12),0)</f>
        <v>0</v>
      </c>
      <c r="CT155" s="333">
        <f>_xlfn.IFNA((VLOOKUP($A155,HN!$A:$M,9,FALSE)/12),0)</f>
        <v>0</v>
      </c>
      <c r="CU155" s="333">
        <f>_xlfn.IFNA((VLOOKUP($A155,'Post 16'!$A:$AG,33,FALSE)/8),0)</f>
        <v>0</v>
      </c>
      <c r="CV155" s="333">
        <f>_xlfn.IFNA((VLOOKUP($A155,EY!$A:$AB,26,FALSE)*80%),0)</f>
        <v>0</v>
      </c>
      <c r="CW155" s="333">
        <f>_xlfn.IFNA(((VLOOKUP($A155,HN!$A:$M,10,FALSE)-$U155-$AK155)/10),0)</f>
        <v>11141.824416666666</v>
      </c>
      <c r="CX155" s="333">
        <f>_xlfn.IFNA(((VLOOKUP($A155,HN!$A:$M,13,FALSE)-$V155-$AL155)/10),0)</f>
        <v>0</v>
      </c>
      <c r="CY155" s="332">
        <f t="shared" si="239"/>
        <v>-850.75</v>
      </c>
      <c r="CZ155" s="332">
        <f t="shared" si="240"/>
        <v>-710.77370000000008</v>
      </c>
      <c r="DA155" s="333"/>
      <c r="DB155" s="333"/>
      <c r="DC155" s="333"/>
      <c r="DD155" s="332">
        <f t="shared" si="241"/>
        <v>203726.44603509569</v>
      </c>
      <c r="DE155" s="314">
        <f t="shared" si="242"/>
        <v>194146.14531842901</v>
      </c>
      <c r="DF155" s="314"/>
      <c r="DG155" s="314"/>
      <c r="DH155" s="315">
        <f>_xlfn.IFNA((VLOOKUP($A155,HN!$A:$M,8,FALSE)/12),0)</f>
        <v>0</v>
      </c>
      <c r="DI155" s="315">
        <f>_xlfn.IFNA((VLOOKUP($A155,HN!$A:$M,12,FALSE)/12),0)</f>
        <v>0</v>
      </c>
      <c r="DJ155" s="315">
        <f>_xlfn.IFNA((VLOOKUP($A155,HN!$A:$M,9,FALSE)/12),0)</f>
        <v>0</v>
      </c>
      <c r="DK155" s="315">
        <f>_xlfn.IFNA((VLOOKUP($A155,'Post 16'!$A:$AG,33,FALSE)/8),0)</f>
        <v>0</v>
      </c>
      <c r="DL155" s="315"/>
      <c r="DM155" s="315">
        <f>_xlfn.IFNA(((VLOOKUP($A155,HN!$A:$M,10,FALSE)-$U155-$AK155)/10),0)</f>
        <v>11141.824416666666</v>
      </c>
      <c r="DN155" s="315">
        <f>_xlfn.IFNA(((VLOOKUP($A155,HN!$A:$M,13,FALSE)-$V155-$AL155)/10),0)</f>
        <v>0</v>
      </c>
      <c r="DO155" s="314">
        <f t="shared" si="243"/>
        <v>-850.75</v>
      </c>
      <c r="DP155" s="314">
        <f t="shared" si="244"/>
        <v>-710.77370000000008</v>
      </c>
      <c r="DQ155" s="315"/>
      <c r="DR155" s="315"/>
      <c r="DS155" s="315"/>
      <c r="DT155" s="314">
        <f t="shared" si="245"/>
        <v>203726.44603509569</v>
      </c>
      <c r="DU155" s="307">
        <f t="shared" si="246"/>
        <v>194146.14531842901</v>
      </c>
      <c r="DV155" s="307"/>
      <c r="DW155" s="307"/>
      <c r="DX155" s="308">
        <f>_xlfn.IFNA((VLOOKUP($A155,HN!$A:$M,8,FALSE)/12),0)</f>
        <v>0</v>
      </c>
      <c r="DY155" s="308">
        <f>_xlfn.IFNA((VLOOKUP($A155,HN!$A:$M,12,FALSE)/12),0)</f>
        <v>0</v>
      </c>
      <c r="DZ155" s="308">
        <f>_xlfn.IFNA((VLOOKUP($A155,HN!$A:$M,9,FALSE)/12),0)</f>
        <v>0</v>
      </c>
      <c r="EA155" s="308">
        <f>_xlfn.IFNA((VLOOKUP($A155,'Post 16'!$A:$AG,33,FALSE)/8),0)</f>
        <v>0</v>
      </c>
      <c r="EB155" s="308"/>
      <c r="EC155" s="308">
        <f>_xlfn.IFNA(((VLOOKUP($A155,HN!$A:$M,10,FALSE)-$U155-$AK155)/10),0)</f>
        <v>11141.824416666666</v>
      </c>
      <c r="ED155" s="308">
        <f>_xlfn.IFNA(((VLOOKUP($A155,HN!$A:$M,13,FALSE)-$V155-$AL155)/10),0)</f>
        <v>0</v>
      </c>
      <c r="EE155" s="307">
        <f t="shared" si="247"/>
        <v>-850.75</v>
      </c>
      <c r="EF155" s="307">
        <f t="shared" si="248"/>
        <v>-710.77370000000008</v>
      </c>
      <c r="EG155" s="308"/>
      <c r="EH155" s="308"/>
      <c r="EI155" s="308"/>
      <c r="EJ155" s="307">
        <f t="shared" si="249"/>
        <v>203726.44603509569</v>
      </c>
      <c r="EK155" s="320">
        <f t="shared" si="250"/>
        <v>194146.14531842901</v>
      </c>
      <c r="EL155" s="320"/>
      <c r="EM155" s="320"/>
      <c r="EN155" s="321">
        <f>_xlfn.IFNA((VLOOKUP($A155,HN!$A:$M,8,FALSE)/12),0)</f>
        <v>0</v>
      </c>
      <c r="EO155" s="321">
        <f>_xlfn.IFNA((VLOOKUP($A155,HN!$A:$M,12,FALSE)/12),0)</f>
        <v>0</v>
      </c>
      <c r="EP155" s="321">
        <f>_xlfn.IFNA((VLOOKUP($A155,HN!$A:$M,9,FALSE)/12),0)</f>
        <v>0</v>
      </c>
      <c r="EQ155" s="321">
        <f>_xlfn.IFNA((VLOOKUP($A155,'Post 16'!$A:$AG,33,FALSE)/8),0)</f>
        <v>0</v>
      </c>
      <c r="ER155" s="321"/>
      <c r="ES155" s="321">
        <f>_xlfn.IFNA(((VLOOKUP($A155,HN!$A:$M,10,FALSE)-$U155-$AK155)/10),0)</f>
        <v>11141.824416666666</v>
      </c>
      <c r="ET155" s="321">
        <f>_xlfn.IFNA(((VLOOKUP($A155,HN!$A:$M,13,FALSE)-$V155-$AL155)/10),0)</f>
        <v>0</v>
      </c>
      <c r="EU155" s="320">
        <f t="shared" si="251"/>
        <v>-850.75</v>
      </c>
      <c r="EV155" s="320">
        <f t="shared" si="252"/>
        <v>-710.77370000000008</v>
      </c>
      <c r="EW155" s="321"/>
      <c r="EX155" s="321"/>
      <c r="EY155" s="321"/>
      <c r="EZ155" s="320">
        <f t="shared" si="253"/>
        <v>203726.44603509569</v>
      </c>
      <c r="FA155" s="286">
        <f t="shared" si="254"/>
        <v>194146.14531842901</v>
      </c>
      <c r="FB155" s="286"/>
      <c r="FC155" s="286"/>
      <c r="FD155" s="287">
        <f>_xlfn.IFNA((VLOOKUP($A155,HN!$A:$M,8,FALSE)/12),0)</f>
        <v>0</v>
      </c>
      <c r="FE155" s="287">
        <f>_xlfn.IFNA((VLOOKUP($A155,HN!$A:$M,12,FALSE)/12),0)</f>
        <v>0</v>
      </c>
      <c r="FF155" s="287">
        <f>_xlfn.IFNA((VLOOKUP($A155,HN!$A:$M,9,FALSE)/12),0)</f>
        <v>0</v>
      </c>
      <c r="FG155" s="287">
        <f>_xlfn.IFNA((VLOOKUP($A155,'Post 16'!$A:$AG,33,FALSE)/8),0)</f>
        <v>0</v>
      </c>
      <c r="FH155" s="287"/>
      <c r="FI155" s="287">
        <f>_xlfn.IFNA(((VLOOKUP($A155,HN!$A:$M,10,FALSE)-$U155-$AK155)/10),0)</f>
        <v>11141.824416666666</v>
      </c>
      <c r="FJ155" s="287">
        <f>_xlfn.IFNA(((VLOOKUP($A155,HN!$A:$M,13,FALSE)-$V155-$AL155)/10),0)</f>
        <v>0</v>
      </c>
      <c r="FK155" s="286">
        <f t="shared" si="255"/>
        <v>-850.75</v>
      </c>
      <c r="FL155" s="286">
        <f t="shared" si="256"/>
        <v>-710.77370000000008</v>
      </c>
      <c r="FM155" s="287"/>
      <c r="FN155" s="287"/>
      <c r="FO155" s="287"/>
      <c r="FP155" s="286">
        <f t="shared" si="257"/>
        <v>203726.44603509569</v>
      </c>
      <c r="FQ155" s="293">
        <f t="shared" si="258"/>
        <v>194146.14531842901</v>
      </c>
      <c r="FR155" s="293"/>
      <c r="FS155" s="293"/>
      <c r="FT155" s="294">
        <f>_xlfn.IFNA((VLOOKUP($A155,HN!$A:$M,8,FALSE)/12),0)</f>
        <v>0</v>
      </c>
      <c r="FU155" s="294">
        <f>_xlfn.IFNA((VLOOKUP($A155,HN!$A:$M,12,FALSE)/12),0)</f>
        <v>0</v>
      </c>
      <c r="FV155" s="294">
        <f>_xlfn.IFNA((VLOOKUP($A155,HN!$A:$M,9,FALSE)/12),0)</f>
        <v>0</v>
      </c>
      <c r="FW155" s="294">
        <f>_xlfn.IFNA((VLOOKUP($A155,'Post 16'!$A:$AG,33,FALSE)/8),0)</f>
        <v>0</v>
      </c>
      <c r="FX155" s="294"/>
      <c r="FY155" s="294">
        <f>_xlfn.IFNA(((VLOOKUP($A155,HN!$A:$M,10,FALSE)-$U155-$AK155)/10),0)</f>
        <v>11141.824416666666</v>
      </c>
      <c r="FZ155" s="294">
        <f>_xlfn.IFNA(((VLOOKUP($A155,HN!$A:$M,13,FALSE)-$V155-$AL155)/10),0)</f>
        <v>0</v>
      </c>
      <c r="GA155" s="293">
        <f t="shared" si="259"/>
        <v>-850.75</v>
      </c>
      <c r="GB155" s="293">
        <f t="shared" si="260"/>
        <v>-710.77370000000008</v>
      </c>
      <c r="GC155" s="294"/>
      <c r="GD155" s="294"/>
      <c r="GE155" s="294"/>
      <c r="GF155" s="293">
        <f t="shared" si="261"/>
        <v>203726.44603509569</v>
      </c>
      <c r="GG155" s="300">
        <f t="shared" si="262"/>
        <v>194146.14531842901</v>
      </c>
      <c r="GH155" s="300"/>
      <c r="GI155" s="300"/>
      <c r="GJ155" s="301">
        <f>_xlfn.IFNA((VLOOKUP($A155,HN!$A:$M,8,FALSE)/12),0)</f>
        <v>0</v>
      </c>
      <c r="GK155" s="301">
        <f>_xlfn.IFNA((VLOOKUP($A155,HN!$A:$M,12,FALSE)/12),0)</f>
        <v>0</v>
      </c>
      <c r="GL155" s="301">
        <f>_xlfn.IFNA((VLOOKUP($A155,HN!$A:$M,9,FALSE)/12),0)</f>
        <v>0</v>
      </c>
      <c r="GM155" s="301">
        <f>_xlfn.IFNA((VLOOKUP($A155,'Post 16'!$A:$AG,33,FALSE)/8),0)</f>
        <v>0</v>
      </c>
      <c r="GN155" s="301"/>
      <c r="GO155" s="301">
        <f>_xlfn.IFNA(((VLOOKUP($A155,HN!$A:$M,10,FALSE)-$U155-$AK155)/10),0)</f>
        <v>11141.824416666666</v>
      </c>
      <c r="GP155" s="301">
        <f>_xlfn.IFNA(((VLOOKUP($A155,HN!$A:$M,13,FALSE)-$V155-$AL155)/10),0)</f>
        <v>0</v>
      </c>
      <c r="GQ155" s="300">
        <f t="shared" si="263"/>
        <v>-850.75</v>
      </c>
      <c r="GR155" s="300">
        <f t="shared" si="264"/>
        <v>-710.77370000000008</v>
      </c>
      <c r="GS155" s="301"/>
      <c r="GT155" s="301"/>
      <c r="GU155" s="301"/>
      <c r="GV155" s="300">
        <f t="shared" si="265"/>
        <v>203726.44603509569</v>
      </c>
      <c r="GX155" s="146">
        <f t="shared" si="268"/>
        <v>2329753.7438211483</v>
      </c>
      <c r="GY155" s="146">
        <f t="shared" si="268"/>
        <v>0</v>
      </c>
      <c r="GZ155" s="146">
        <f t="shared" si="268"/>
        <v>141926.66000000003</v>
      </c>
      <c r="HA155" s="146">
        <f t="shared" si="268"/>
        <v>-10209</v>
      </c>
      <c r="HB155" s="146">
        <f t="shared" si="268"/>
        <v>-8529.2843999999986</v>
      </c>
      <c r="HC155" s="146">
        <f t="shared" si="268"/>
        <v>0</v>
      </c>
      <c r="HE155" s="146">
        <f t="shared" si="269"/>
        <v>582438.43595528707</v>
      </c>
      <c r="HF155" s="146">
        <f t="shared" si="269"/>
        <v>0</v>
      </c>
      <c r="HG155" s="146">
        <f t="shared" si="269"/>
        <v>41650.240250000003</v>
      </c>
      <c r="HH155" s="146">
        <f t="shared" si="269"/>
        <v>-2552.25</v>
      </c>
      <c r="HI155" s="146">
        <f t="shared" si="269"/>
        <v>-2132.3211000000001</v>
      </c>
      <c r="HJ155" s="146">
        <f t="shared" si="269"/>
        <v>0</v>
      </c>
      <c r="HL155" s="146"/>
      <c r="HM155" s="57"/>
    </row>
    <row r="156" spans="1:221">
      <c r="A156" s="185">
        <v>3016</v>
      </c>
      <c r="B156" s="185">
        <v>103404</v>
      </c>
      <c r="C156" s="185" t="s">
        <v>339</v>
      </c>
      <c r="D156" s="2" t="s">
        <v>340</v>
      </c>
      <c r="E156" s="190" t="s">
        <v>39</v>
      </c>
      <c r="F156" s="190" t="s">
        <v>890</v>
      </c>
      <c r="H156" s="271">
        <f>_xlfn.IFNA(VLOOKUP($A156,ISB!$A$4:$BY$441,67,FALSE),0)</f>
        <v>1403412.4352875294</v>
      </c>
      <c r="I156" s="271">
        <f>_xlfn.IFNA(VLOOKUP($A156,ISB!$A$4:$BY$441,72,FALSE),0)</f>
        <v>-4780.7999999999993</v>
      </c>
      <c r="J156" s="271">
        <f>-_xlfn.IFNA(VLOOKUP($A156,ISB!$A$4:$BY$441,76,FALSE),0)</f>
        <v>-16590.876799999998</v>
      </c>
      <c r="K156" s="271">
        <f>_xlfn.IFNA(VLOOKUP($A156,ISB!$A$4:$BY$441,77,FALSE),0)</f>
        <v>1382040.7584875294</v>
      </c>
      <c r="M156" s="279">
        <f t="shared" si="218"/>
        <v>116951.03627396078</v>
      </c>
      <c r="N156" s="279"/>
      <c r="O156" s="279">
        <f>_xlfn.IFNA(VLOOKUP($A156,EY!$A:$H,8,FALSE)+(VLOOKUP($A156,EY!$A:$R,18,FALSE)-$T156),0)</f>
        <v>0</v>
      </c>
      <c r="P156" s="280">
        <f>_xlfn.IFNA((VLOOKUP($A156,HN!$A:$M,8,FALSE)/12),0)</f>
        <v>0</v>
      </c>
      <c r="Q156" s="280">
        <f>_xlfn.IFNA((VLOOKUP($A156,HN!$A:$M,12,FALSE)/12),0)</f>
        <v>0</v>
      </c>
      <c r="R156" s="280">
        <f>_xlfn.IFNA((VLOOKUP($A156,HN!$A:$M,9,FALSE)/12),0)</f>
        <v>0</v>
      </c>
      <c r="S156" s="280">
        <f>_xlfn.IFNA((VLOOKUP($A156,'Post 16'!$A:$AR,22,FALSE)/4),0)</f>
        <v>0</v>
      </c>
      <c r="T156" s="280">
        <f>_xlfn.IFNA((VLOOKUP($A156,EY!$A:$R,16,FALSE)*80%),0)</f>
        <v>0</v>
      </c>
      <c r="U156" s="280">
        <v>22709.319166666668</v>
      </c>
      <c r="V156" s="280">
        <v>0</v>
      </c>
      <c r="W156" s="279">
        <f t="shared" si="219"/>
        <v>-398.39999999999992</v>
      </c>
      <c r="X156" s="279">
        <f t="shared" si="220"/>
        <v>-1382.5730666666666</v>
      </c>
      <c r="Y156" s="280"/>
      <c r="Z156" s="280"/>
      <c r="AA156" s="280"/>
      <c r="AB156" s="279">
        <f t="shared" si="221"/>
        <v>137879.38237396078</v>
      </c>
      <c r="AC156" s="293">
        <f t="shared" si="222"/>
        <v>116951.03627396078</v>
      </c>
      <c r="AD156" s="293"/>
      <c r="AE156" s="293"/>
      <c r="AF156" s="294">
        <f>_xlfn.IFNA((VLOOKUP($A156,HN!$A:$M,8,FALSE)/12),0)</f>
        <v>0</v>
      </c>
      <c r="AG156" s="294">
        <f>_xlfn.IFNA((VLOOKUP($A156,HN!$A:$M,12,FALSE)/12),0)+_xlfn.IFNA(VLOOKUP($A156,HN!$A:$Q,17,FALSE),0)</f>
        <v>0</v>
      </c>
      <c r="AH156" s="294">
        <f>_xlfn.IFNA((VLOOKUP($A156,HN!$A:$M,9,FALSE)/12),0)</f>
        <v>0</v>
      </c>
      <c r="AI156" s="294">
        <f>_xlfn.IFNA((VLOOKUP($A156,'Post 16'!$A:$AR,22,FALSE)/4),0)</f>
        <v>0</v>
      </c>
      <c r="AJ156" s="294"/>
      <c r="AK156" s="294">
        <f>_xlfn.IFNA((VLOOKUP($A156,HN!$A:$M,10,FALSE)/12),0)</f>
        <v>10209.416666666666</v>
      </c>
      <c r="AL156" s="294">
        <f>_xlfn.IFNA((VLOOKUP($A156,HN!$A:$M,13,FALSE)/12),0)</f>
        <v>0</v>
      </c>
      <c r="AM156" s="293">
        <f t="shared" si="223"/>
        <v>-398.39999999999992</v>
      </c>
      <c r="AN156" s="293">
        <f t="shared" si="224"/>
        <v>-1382.5730666666666</v>
      </c>
      <c r="AO156" s="294"/>
      <c r="AP156" s="294"/>
      <c r="AQ156" s="294"/>
      <c r="AR156" s="293">
        <f t="shared" si="225"/>
        <v>125379.47987396079</v>
      </c>
      <c r="AS156" s="286">
        <f t="shared" si="226"/>
        <v>116951.03627396078</v>
      </c>
      <c r="AT156" s="286"/>
      <c r="AU156" s="286">
        <f>_xlfn.IFNA(VLOOKUP(A156,EY!A:AO,40,FALSE),0)</f>
        <v>0</v>
      </c>
      <c r="AV156" s="287">
        <f>_xlfn.IFNA((VLOOKUP($A156,HN!$A:$M,8,FALSE)/12),0)</f>
        <v>0</v>
      </c>
      <c r="AW156" s="287">
        <f>_xlfn.IFNA((VLOOKUP($A156,HN!$A:$M,12,FALSE)/12),0)+_xlfn.IFNA(VLOOKUP($A156,HN!$A$8:$AU$200,19,FALSE),0)</f>
        <v>0</v>
      </c>
      <c r="AX156" s="287">
        <f>_xlfn.IFNA((VLOOKUP($A156,HN!$A:$M,9,FALSE)/12),0)</f>
        <v>0</v>
      </c>
      <c r="AY156" s="287">
        <f>_xlfn.IFNA((VLOOKUP($A156,'Post 16'!$A:$AR,22,FALSE)/4),0)</f>
        <v>0</v>
      </c>
      <c r="AZ156" s="287">
        <f>_xlfn.IFNA(VLOOKUP(A156,EY!A:AO,41,FALSE),0)</f>
        <v>0</v>
      </c>
      <c r="BA156" s="287">
        <f>_xlfn.IFNA(((VLOOKUP($A156,HN!$A:$M,10,FALSE)-$U156-$AK156)/10),0)+_xlfn.IFNA(VLOOKUP($A156,HN!$A:$R,18,FALSE),0)</f>
        <v>8959.4264166666653</v>
      </c>
      <c r="BB156" s="287">
        <f>_xlfn.IFNA(((VLOOKUP($A156,HN!$A:$M,13,FALSE)-$V156-$AL156)/10),0)+_xlfn.IFNA(VLOOKUP($A156,HN!$A$8:$AU$200,20,FALSE),0)</f>
        <v>0</v>
      </c>
      <c r="BC156" s="286">
        <f t="shared" si="227"/>
        <v>-398.39999999999992</v>
      </c>
      <c r="BD156" s="286">
        <f t="shared" si="228"/>
        <v>-1382.5730666666666</v>
      </c>
      <c r="BE156" s="287"/>
      <c r="BF156" s="287"/>
      <c r="BG156" s="287"/>
      <c r="BH156" s="286">
        <f t="shared" si="229"/>
        <v>124129.48962396079</v>
      </c>
      <c r="BI156" s="307">
        <f t="shared" si="230"/>
        <v>116951.03627396078</v>
      </c>
      <c r="BJ156" s="307">
        <f>_xlfn.IFNA(VLOOKUP(A156,'LA Deductions'!A:AH,34,FALSE),0)</f>
        <v>0</v>
      </c>
      <c r="BK156" s="307"/>
      <c r="BL156" s="308">
        <f>_xlfn.IFNA((VLOOKUP($A156,HN!$A:$M,8,FALSE)/12),0)</f>
        <v>0</v>
      </c>
      <c r="BM156" s="308">
        <f>_xlfn.IFNA((VLOOKUP($A156,HN!$A:$M,12,FALSE)/12),0)</f>
        <v>0</v>
      </c>
      <c r="BN156" s="308">
        <f>_xlfn.IFNA((VLOOKUP($A156,HN!$A:$M,9,FALSE)/12),0)</f>
        <v>0</v>
      </c>
      <c r="BO156" s="308">
        <f>_xlfn.IFNA((VLOOKUP($A156,'Post 16'!$A:$AR,22,FALSE)/4),0)</f>
        <v>0</v>
      </c>
      <c r="BP156" s="308"/>
      <c r="BQ156" s="308">
        <f>_xlfn.IFNA(((VLOOKUP($A156,HN!$A:$M,10,FALSE)-$U156-$AK156)/10),0)</f>
        <v>8959.4264166666653</v>
      </c>
      <c r="BR156" s="308">
        <f>_xlfn.IFNA(((VLOOKUP($A156,HN!$A:$M,13,FALSE)-$V156-$AL156)/10),0)</f>
        <v>0</v>
      </c>
      <c r="BS156" s="307">
        <f t="shared" si="231"/>
        <v>-398.39999999999992</v>
      </c>
      <c r="BT156" s="307">
        <f t="shared" si="232"/>
        <v>-1382.5730666666666</v>
      </c>
      <c r="BU156" s="308"/>
      <c r="BV156" s="308"/>
      <c r="BW156" s="308"/>
      <c r="BX156" s="307">
        <f t="shared" si="233"/>
        <v>124129.48962396079</v>
      </c>
      <c r="BY156" s="300">
        <f t="shared" si="234"/>
        <v>116951.03627396078</v>
      </c>
      <c r="BZ156" s="300"/>
      <c r="CA156" s="300"/>
      <c r="CB156" s="301">
        <f>_xlfn.IFNA((VLOOKUP($A156,HN!$A:$M,8,FALSE)/12),0)</f>
        <v>0</v>
      </c>
      <c r="CC156" s="301">
        <f>_xlfn.IFNA((VLOOKUP($A156,HN!$A:$M,12,FALSE)/12),0)</f>
        <v>0</v>
      </c>
      <c r="CD156" s="301">
        <f>_xlfn.IFNA((VLOOKUP($A156,HN!$A:$M,9,FALSE)/12),0)</f>
        <v>0</v>
      </c>
      <c r="CE156" s="301">
        <f>_xlfn.IFNA((VLOOKUP($A156,'Post 16'!$A:$AG,33,FALSE)/8),0)</f>
        <v>0</v>
      </c>
      <c r="CF156" s="301"/>
      <c r="CG156" s="301">
        <f>_xlfn.IFNA(((VLOOKUP($A156,HN!$A:$M,10,FALSE)-$U156-$AK156)/10),0)</f>
        <v>8959.4264166666653</v>
      </c>
      <c r="CH156" s="301">
        <f>_xlfn.IFNA(((VLOOKUP($A156,HN!$A:$M,13,FALSE)-$V156-$AL156)/10),0)</f>
        <v>0</v>
      </c>
      <c r="CI156" s="300">
        <f t="shared" si="235"/>
        <v>-398.39999999999992</v>
      </c>
      <c r="CJ156" s="300">
        <f t="shared" si="236"/>
        <v>-1382.5730666666666</v>
      </c>
      <c r="CK156" s="301"/>
      <c r="CL156" s="301"/>
      <c r="CM156" s="301"/>
      <c r="CN156" s="300">
        <f t="shared" si="237"/>
        <v>124129.48962396079</v>
      </c>
      <c r="CO156" s="332">
        <f t="shared" si="238"/>
        <v>116951.03627396078</v>
      </c>
      <c r="CP156" s="332"/>
      <c r="CQ156" s="332">
        <f>_xlfn.IFNA((VLOOKUP($A156,EY!$A:$AB,28,FALSE)-$CV156),0)</f>
        <v>0</v>
      </c>
      <c r="CR156" s="333">
        <f>_xlfn.IFNA((VLOOKUP($A156,HN!$A:$M,8,FALSE)/12),0)</f>
        <v>0</v>
      </c>
      <c r="CS156" s="333">
        <f>_xlfn.IFNA((VLOOKUP($A156,HN!$A:$M,12,FALSE)/12),0)</f>
        <v>0</v>
      </c>
      <c r="CT156" s="333">
        <f>_xlfn.IFNA((VLOOKUP($A156,HN!$A:$M,9,FALSE)/12),0)</f>
        <v>0</v>
      </c>
      <c r="CU156" s="333">
        <f>_xlfn.IFNA((VLOOKUP($A156,'Post 16'!$A:$AG,33,FALSE)/8),0)</f>
        <v>0</v>
      </c>
      <c r="CV156" s="333">
        <f>_xlfn.IFNA((VLOOKUP($A156,EY!$A:$AB,26,FALSE)*80%),0)</f>
        <v>0</v>
      </c>
      <c r="CW156" s="333">
        <f>_xlfn.IFNA(((VLOOKUP($A156,HN!$A:$M,10,FALSE)-$U156-$AK156)/10),0)</f>
        <v>8959.4264166666653</v>
      </c>
      <c r="CX156" s="333">
        <f>_xlfn.IFNA(((VLOOKUP($A156,HN!$A:$M,13,FALSE)-$V156-$AL156)/10),0)</f>
        <v>0</v>
      </c>
      <c r="CY156" s="332">
        <f t="shared" si="239"/>
        <v>-398.39999999999992</v>
      </c>
      <c r="CZ156" s="332">
        <f t="shared" si="240"/>
        <v>-1382.5730666666666</v>
      </c>
      <c r="DA156" s="333"/>
      <c r="DB156" s="333"/>
      <c r="DC156" s="333"/>
      <c r="DD156" s="332">
        <f t="shared" si="241"/>
        <v>124129.48962396079</v>
      </c>
      <c r="DE156" s="314">
        <f t="shared" si="242"/>
        <v>116951.03627396078</v>
      </c>
      <c r="DF156" s="314"/>
      <c r="DG156" s="314"/>
      <c r="DH156" s="315">
        <f>_xlfn.IFNA((VLOOKUP($A156,HN!$A:$M,8,FALSE)/12),0)</f>
        <v>0</v>
      </c>
      <c r="DI156" s="315">
        <f>_xlfn.IFNA((VLOOKUP($A156,HN!$A:$M,12,FALSE)/12),0)</f>
        <v>0</v>
      </c>
      <c r="DJ156" s="315">
        <f>_xlfn.IFNA((VLOOKUP($A156,HN!$A:$M,9,FALSE)/12),0)</f>
        <v>0</v>
      </c>
      <c r="DK156" s="315">
        <f>_xlfn.IFNA((VLOOKUP($A156,'Post 16'!$A:$AG,33,FALSE)/8),0)</f>
        <v>0</v>
      </c>
      <c r="DL156" s="315"/>
      <c r="DM156" s="315">
        <f>_xlfn.IFNA(((VLOOKUP($A156,HN!$A:$M,10,FALSE)-$U156-$AK156)/10),0)</f>
        <v>8959.4264166666653</v>
      </c>
      <c r="DN156" s="315">
        <f>_xlfn.IFNA(((VLOOKUP($A156,HN!$A:$M,13,FALSE)-$V156-$AL156)/10),0)</f>
        <v>0</v>
      </c>
      <c r="DO156" s="314">
        <f t="shared" si="243"/>
        <v>-398.39999999999992</v>
      </c>
      <c r="DP156" s="314">
        <f t="shared" si="244"/>
        <v>-1382.5730666666666</v>
      </c>
      <c r="DQ156" s="315"/>
      <c r="DR156" s="315"/>
      <c r="DS156" s="315"/>
      <c r="DT156" s="314">
        <f t="shared" si="245"/>
        <v>124129.48962396079</v>
      </c>
      <c r="DU156" s="307">
        <f t="shared" si="246"/>
        <v>116951.03627396078</v>
      </c>
      <c r="DV156" s="307"/>
      <c r="DW156" s="307"/>
      <c r="DX156" s="308">
        <f>_xlfn.IFNA((VLOOKUP($A156,HN!$A:$M,8,FALSE)/12),0)</f>
        <v>0</v>
      </c>
      <c r="DY156" s="308">
        <f>_xlfn.IFNA((VLOOKUP($A156,HN!$A:$M,12,FALSE)/12),0)</f>
        <v>0</v>
      </c>
      <c r="DZ156" s="308">
        <f>_xlfn.IFNA((VLOOKUP($A156,HN!$A:$M,9,FALSE)/12),0)</f>
        <v>0</v>
      </c>
      <c r="EA156" s="308">
        <f>_xlfn.IFNA((VLOOKUP($A156,'Post 16'!$A:$AG,33,FALSE)/8),0)</f>
        <v>0</v>
      </c>
      <c r="EB156" s="308"/>
      <c r="EC156" s="308">
        <f>_xlfn.IFNA(((VLOOKUP($A156,HN!$A:$M,10,FALSE)-$U156-$AK156)/10),0)</f>
        <v>8959.4264166666653</v>
      </c>
      <c r="ED156" s="308">
        <f>_xlfn.IFNA(((VLOOKUP($A156,HN!$A:$M,13,FALSE)-$V156-$AL156)/10),0)</f>
        <v>0</v>
      </c>
      <c r="EE156" s="307">
        <f t="shared" si="247"/>
        <v>-398.39999999999992</v>
      </c>
      <c r="EF156" s="307">
        <f t="shared" si="248"/>
        <v>-1382.5730666666666</v>
      </c>
      <c r="EG156" s="308"/>
      <c r="EH156" s="308"/>
      <c r="EI156" s="308"/>
      <c r="EJ156" s="307">
        <f t="shared" si="249"/>
        <v>124129.48962396079</v>
      </c>
      <c r="EK156" s="320">
        <f t="shared" si="250"/>
        <v>116951.03627396078</v>
      </c>
      <c r="EL156" s="320"/>
      <c r="EM156" s="320"/>
      <c r="EN156" s="321">
        <f>_xlfn.IFNA((VLOOKUP($A156,HN!$A:$M,8,FALSE)/12),0)</f>
        <v>0</v>
      </c>
      <c r="EO156" s="321">
        <f>_xlfn.IFNA((VLOOKUP($A156,HN!$A:$M,12,FALSE)/12),0)</f>
        <v>0</v>
      </c>
      <c r="EP156" s="321">
        <f>_xlfn.IFNA((VLOOKUP($A156,HN!$A:$M,9,FALSE)/12),0)</f>
        <v>0</v>
      </c>
      <c r="EQ156" s="321">
        <f>_xlfn.IFNA((VLOOKUP($A156,'Post 16'!$A:$AG,33,FALSE)/8),0)</f>
        <v>0</v>
      </c>
      <c r="ER156" s="321"/>
      <c r="ES156" s="321">
        <f>_xlfn.IFNA(((VLOOKUP($A156,HN!$A:$M,10,FALSE)-$U156-$AK156)/10),0)</f>
        <v>8959.4264166666653</v>
      </c>
      <c r="ET156" s="321">
        <f>_xlfn.IFNA(((VLOOKUP($A156,HN!$A:$M,13,FALSE)-$V156-$AL156)/10),0)</f>
        <v>0</v>
      </c>
      <c r="EU156" s="320">
        <f t="shared" si="251"/>
        <v>-398.39999999999992</v>
      </c>
      <c r="EV156" s="320">
        <f t="shared" si="252"/>
        <v>-1382.5730666666666</v>
      </c>
      <c r="EW156" s="321"/>
      <c r="EX156" s="321"/>
      <c r="EY156" s="321"/>
      <c r="EZ156" s="320">
        <f t="shared" si="253"/>
        <v>124129.48962396079</v>
      </c>
      <c r="FA156" s="286">
        <f t="shared" si="254"/>
        <v>116951.03627396078</v>
      </c>
      <c r="FB156" s="286"/>
      <c r="FC156" s="286"/>
      <c r="FD156" s="287">
        <f>_xlfn.IFNA((VLOOKUP($A156,HN!$A:$M,8,FALSE)/12),0)</f>
        <v>0</v>
      </c>
      <c r="FE156" s="287">
        <f>_xlfn.IFNA((VLOOKUP($A156,HN!$A:$M,12,FALSE)/12),0)</f>
        <v>0</v>
      </c>
      <c r="FF156" s="287">
        <f>_xlfn.IFNA((VLOOKUP($A156,HN!$A:$M,9,FALSE)/12),0)</f>
        <v>0</v>
      </c>
      <c r="FG156" s="287">
        <f>_xlfn.IFNA((VLOOKUP($A156,'Post 16'!$A:$AG,33,FALSE)/8),0)</f>
        <v>0</v>
      </c>
      <c r="FH156" s="287"/>
      <c r="FI156" s="287">
        <f>_xlfn.IFNA(((VLOOKUP($A156,HN!$A:$M,10,FALSE)-$U156-$AK156)/10),0)</f>
        <v>8959.4264166666653</v>
      </c>
      <c r="FJ156" s="287">
        <f>_xlfn.IFNA(((VLOOKUP($A156,HN!$A:$M,13,FALSE)-$V156-$AL156)/10),0)</f>
        <v>0</v>
      </c>
      <c r="FK156" s="286">
        <f t="shared" si="255"/>
        <v>-398.39999999999992</v>
      </c>
      <c r="FL156" s="286">
        <f t="shared" si="256"/>
        <v>-1382.5730666666666</v>
      </c>
      <c r="FM156" s="287"/>
      <c r="FN156" s="287"/>
      <c r="FO156" s="287"/>
      <c r="FP156" s="286">
        <f t="shared" si="257"/>
        <v>124129.48962396079</v>
      </c>
      <c r="FQ156" s="293">
        <f t="shared" si="258"/>
        <v>116951.03627396078</v>
      </c>
      <c r="FR156" s="293"/>
      <c r="FS156" s="293"/>
      <c r="FT156" s="294">
        <f>_xlfn.IFNA((VLOOKUP($A156,HN!$A:$M,8,FALSE)/12),0)</f>
        <v>0</v>
      </c>
      <c r="FU156" s="294">
        <f>_xlfn.IFNA((VLOOKUP($A156,HN!$A:$M,12,FALSE)/12),0)</f>
        <v>0</v>
      </c>
      <c r="FV156" s="294">
        <f>_xlfn.IFNA((VLOOKUP($A156,HN!$A:$M,9,FALSE)/12),0)</f>
        <v>0</v>
      </c>
      <c r="FW156" s="294">
        <f>_xlfn.IFNA((VLOOKUP($A156,'Post 16'!$A:$AG,33,FALSE)/8),0)</f>
        <v>0</v>
      </c>
      <c r="FX156" s="294"/>
      <c r="FY156" s="294">
        <f>_xlfn.IFNA(((VLOOKUP($A156,HN!$A:$M,10,FALSE)-$U156-$AK156)/10),0)</f>
        <v>8959.4264166666653</v>
      </c>
      <c r="FZ156" s="294">
        <f>_xlfn.IFNA(((VLOOKUP($A156,HN!$A:$M,13,FALSE)-$V156-$AL156)/10),0)</f>
        <v>0</v>
      </c>
      <c r="GA156" s="293">
        <f t="shared" si="259"/>
        <v>-398.39999999999992</v>
      </c>
      <c r="GB156" s="293">
        <f t="shared" si="260"/>
        <v>-1382.5730666666666</v>
      </c>
      <c r="GC156" s="294"/>
      <c r="GD156" s="294"/>
      <c r="GE156" s="294"/>
      <c r="GF156" s="293">
        <f t="shared" si="261"/>
        <v>124129.48962396079</v>
      </c>
      <c r="GG156" s="300">
        <f t="shared" si="262"/>
        <v>116951.03627396078</v>
      </c>
      <c r="GH156" s="300"/>
      <c r="GI156" s="300"/>
      <c r="GJ156" s="301">
        <f>_xlfn.IFNA((VLOOKUP($A156,HN!$A:$M,8,FALSE)/12),0)</f>
        <v>0</v>
      </c>
      <c r="GK156" s="301">
        <f>_xlfn.IFNA((VLOOKUP($A156,HN!$A:$M,12,FALSE)/12),0)</f>
        <v>0</v>
      </c>
      <c r="GL156" s="301">
        <f>_xlfn.IFNA((VLOOKUP($A156,HN!$A:$M,9,FALSE)/12),0)</f>
        <v>0</v>
      </c>
      <c r="GM156" s="301">
        <f>_xlfn.IFNA((VLOOKUP($A156,'Post 16'!$A:$AG,33,FALSE)/8),0)</f>
        <v>0</v>
      </c>
      <c r="GN156" s="301"/>
      <c r="GO156" s="301">
        <f>_xlfn.IFNA(((VLOOKUP($A156,HN!$A:$M,10,FALSE)-$U156-$AK156)/10),0)</f>
        <v>8959.4264166666653</v>
      </c>
      <c r="GP156" s="301">
        <f>_xlfn.IFNA(((VLOOKUP($A156,HN!$A:$M,13,FALSE)-$V156-$AL156)/10),0)</f>
        <v>0</v>
      </c>
      <c r="GQ156" s="300">
        <f t="shared" si="263"/>
        <v>-398.39999999999992</v>
      </c>
      <c r="GR156" s="300">
        <f t="shared" si="264"/>
        <v>-1382.5730666666666</v>
      </c>
      <c r="GS156" s="301"/>
      <c r="GT156" s="301"/>
      <c r="GU156" s="301"/>
      <c r="GV156" s="300">
        <f t="shared" si="265"/>
        <v>124129.48962396079</v>
      </c>
      <c r="GX156" s="146">
        <f t="shared" ref="GX156:HC165" si="270">SUMIFS($M156:$GV156,$M$7:$GV$7,GX$7)</f>
        <v>1403412.4352875289</v>
      </c>
      <c r="GY156" s="146">
        <f t="shared" si="270"/>
        <v>0</v>
      </c>
      <c r="GZ156" s="146">
        <f t="shared" si="270"/>
        <v>122513.00000000001</v>
      </c>
      <c r="HA156" s="146">
        <f t="shared" si="270"/>
        <v>-4780.7999999999993</v>
      </c>
      <c r="HB156" s="146">
        <f t="shared" si="270"/>
        <v>-16590.876799999995</v>
      </c>
      <c r="HC156" s="146">
        <f t="shared" si="270"/>
        <v>0</v>
      </c>
      <c r="HE156" s="146">
        <f t="shared" ref="HE156:HJ165" si="271">SUMIFS($M156:$GV156,$M$7:$GV$7,HE$7,$M$4:$GV$4,$HE$6)</f>
        <v>350853.10882188234</v>
      </c>
      <c r="HF156" s="146">
        <f t="shared" si="271"/>
        <v>0</v>
      </c>
      <c r="HG156" s="146">
        <f t="shared" si="271"/>
        <v>41878.162249999994</v>
      </c>
      <c r="HH156" s="146">
        <f t="shared" si="271"/>
        <v>-1195.1999999999998</v>
      </c>
      <c r="HI156" s="146">
        <f t="shared" si="271"/>
        <v>-4147.7191999999995</v>
      </c>
      <c r="HJ156" s="146">
        <f t="shared" si="271"/>
        <v>0</v>
      </c>
      <c r="HL156" s="146"/>
      <c r="HM156" s="57"/>
    </row>
    <row r="157" spans="1:221">
      <c r="A157" s="185">
        <v>3346</v>
      </c>
      <c r="B157" s="185">
        <v>103439</v>
      </c>
      <c r="C157" s="185" t="s">
        <v>341</v>
      </c>
      <c r="D157" s="2" t="s">
        <v>342</v>
      </c>
      <c r="E157" s="190" t="s">
        <v>39</v>
      </c>
      <c r="F157" s="190" t="s">
        <v>890</v>
      </c>
      <c r="H157" s="271">
        <f>_xlfn.IFNA(VLOOKUP($A157,ISB!$A$4:$BY$441,67,FALSE),0)</f>
        <v>2096999.4749970166</v>
      </c>
      <c r="I157" s="271">
        <f>_xlfn.IFNA(VLOOKUP($A157,ISB!$A$4:$BY$441,72,FALSE),0)</f>
        <v>-7470</v>
      </c>
      <c r="J157" s="271">
        <f>-_xlfn.IFNA(VLOOKUP($A157,ISB!$A$4:$BY$441,76,FALSE),0)</f>
        <v>-3660.5268000000001</v>
      </c>
      <c r="K157" s="271">
        <f>_xlfn.IFNA(VLOOKUP($A157,ISB!$A$4:$BY$441,77,FALSE),0)</f>
        <v>2085868.9481970165</v>
      </c>
      <c r="M157" s="279">
        <f t="shared" si="218"/>
        <v>174749.95624975138</v>
      </c>
      <c r="N157" s="279"/>
      <c r="O157" s="279">
        <f>_xlfn.IFNA(VLOOKUP($A157,EY!$A:$H,8,FALSE)+(VLOOKUP($A157,EY!$A:$R,18,FALSE)-$T157),0)</f>
        <v>30387.240000000005</v>
      </c>
      <c r="P157" s="280">
        <f>_xlfn.IFNA((VLOOKUP($A157,HN!$A:$M,8,FALSE)/12),0)</f>
        <v>0</v>
      </c>
      <c r="Q157" s="280">
        <f>_xlfn.IFNA((VLOOKUP($A157,HN!$A:$M,12,FALSE)/12),0)</f>
        <v>0</v>
      </c>
      <c r="R157" s="280">
        <f>_xlfn.IFNA((VLOOKUP($A157,HN!$A:$M,9,FALSE)/12),0)</f>
        <v>0</v>
      </c>
      <c r="S157" s="280">
        <f>_xlfn.IFNA((VLOOKUP($A157,'Post 16'!$A:$AR,22,FALSE)/4),0)</f>
        <v>0</v>
      </c>
      <c r="T157" s="280">
        <f>_xlfn.IFNA((VLOOKUP($A157,EY!$A:$R,16,FALSE)*80%),0)</f>
        <v>0</v>
      </c>
      <c r="U157" s="280">
        <v>10086.625</v>
      </c>
      <c r="V157" s="280">
        <v>0</v>
      </c>
      <c r="W157" s="279">
        <f t="shared" si="219"/>
        <v>-622.5</v>
      </c>
      <c r="X157" s="279">
        <f t="shared" si="220"/>
        <v>-305.04390000000001</v>
      </c>
      <c r="Y157" s="280"/>
      <c r="Z157" s="280"/>
      <c r="AA157" s="280"/>
      <c r="AB157" s="279">
        <f t="shared" si="221"/>
        <v>214296.27734975138</v>
      </c>
      <c r="AC157" s="293">
        <f t="shared" si="222"/>
        <v>174749.95624975138</v>
      </c>
      <c r="AD157" s="293"/>
      <c r="AE157" s="293"/>
      <c r="AF157" s="294">
        <f>_xlfn.IFNA((VLOOKUP($A157,HN!$A:$M,8,FALSE)/12),0)</f>
        <v>0</v>
      </c>
      <c r="AG157" s="294">
        <f>_xlfn.IFNA((VLOOKUP($A157,HN!$A:$M,12,FALSE)/12),0)+_xlfn.IFNA(VLOOKUP($A157,HN!$A:$Q,17,FALSE),0)</f>
        <v>0</v>
      </c>
      <c r="AH157" s="294">
        <f>_xlfn.IFNA((VLOOKUP($A157,HN!$A:$M,9,FALSE)/12),0)</f>
        <v>0</v>
      </c>
      <c r="AI157" s="294">
        <f>_xlfn.IFNA((VLOOKUP($A157,'Post 16'!$A:$AR,22,FALSE)/4),0)</f>
        <v>0</v>
      </c>
      <c r="AJ157" s="294"/>
      <c r="AK157" s="294">
        <f>_xlfn.IFNA((VLOOKUP($A157,HN!$A:$M,10,FALSE)/12),0)</f>
        <v>7981.6316666666671</v>
      </c>
      <c r="AL157" s="294">
        <f>_xlfn.IFNA((VLOOKUP($A157,HN!$A:$M,13,FALSE)/12),0)</f>
        <v>0</v>
      </c>
      <c r="AM157" s="293">
        <f t="shared" si="223"/>
        <v>-622.5</v>
      </c>
      <c r="AN157" s="293">
        <f t="shared" si="224"/>
        <v>-305.04390000000001</v>
      </c>
      <c r="AO157" s="294"/>
      <c r="AP157" s="294"/>
      <c r="AQ157" s="294"/>
      <c r="AR157" s="293">
        <f t="shared" si="225"/>
        <v>181804.04401641805</v>
      </c>
      <c r="AS157" s="286">
        <f t="shared" si="226"/>
        <v>174749.95624975138</v>
      </c>
      <c r="AT157" s="286"/>
      <c r="AU157" s="286">
        <f>_xlfn.IFNA(VLOOKUP(A157,EY!A:AO,40,FALSE),0)</f>
        <v>-10466.324404432129</v>
      </c>
      <c r="AV157" s="287">
        <f>_xlfn.IFNA((VLOOKUP($A157,HN!$A:$M,8,FALSE)/12),0)</f>
        <v>0</v>
      </c>
      <c r="AW157" s="287">
        <f>_xlfn.IFNA((VLOOKUP($A157,HN!$A:$M,12,FALSE)/12),0)+_xlfn.IFNA(VLOOKUP($A157,HN!$A$8:$AU$200,19,FALSE),0)</f>
        <v>0</v>
      </c>
      <c r="AX157" s="287">
        <f>_xlfn.IFNA((VLOOKUP($A157,HN!$A:$M,9,FALSE)/12),0)</f>
        <v>0</v>
      </c>
      <c r="AY157" s="287">
        <f>_xlfn.IFNA((VLOOKUP($A157,'Post 16'!$A:$AR,22,FALSE)/4),0)</f>
        <v>0</v>
      </c>
      <c r="AZ157" s="287">
        <f>_xlfn.IFNA(VLOOKUP(A157,EY!A:AO,41,FALSE),0)</f>
        <v>0</v>
      </c>
      <c r="BA157" s="287">
        <f>_xlfn.IFNA(((VLOOKUP($A157,HN!$A:$M,10,FALSE)-$U157-$AK157)/10),0)+_xlfn.IFNA(VLOOKUP($A157,HN!$A:$R,18,FALSE),0)</f>
        <v>7771.132333333333</v>
      </c>
      <c r="BB157" s="287">
        <f>_xlfn.IFNA(((VLOOKUP($A157,HN!$A:$M,13,FALSE)-$V157-$AL157)/10),0)+_xlfn.IFNA(VLOOKUP($A157,HN!$A$8:$AU$200,20,FALSE),0)</f>
        <v>0</v>
      </c>
      <c r="BC157" s="286">
        <f t="shared" si="227"/>
        <v>-622.5</v>
      </c>
      <c r="BD157" s="286">
        <f t="shared" si="228"/>
        <v>-305.04390000000001</v>
      </c>
      <c r="BE157" s="287"/>
      <c r="BF157" s="287"/>
      <c r="BG157" s="287"/>
      <c r="BH157" s="286">
        <f t="shared" si="229"/>
        <v>171127.22027865262</v>
      </c>
      <c r="BI157" s="307">
        <f t="shared" si="230"/>
        <v>174749.95624975138</v>
      </c>
      <c r="BJ157" s="307">
        <f>_xlfn.IFNA(VLOOKUP(A157,'LA Deductions'!A:AH,34,FALSE),0)</f>
        <v>0</v>
      </c>
      <c r="BK157" s="307"/>
      <c r="BL157" s="308">
        <f>_xlfn.IFNA((VLOOKUP($A157,HN!$A:$M,8,FALSE)/12),0)</f>
        <v>0</v>
      </c>
      <c r="BM157" s="308">
        <f>_xlfn.IFNA((VLOOKUP($A157,HN!$A:$M,12,FALSE)/12),0)</f>
        <v>0</v>
      </c>
      <c r="BN157" s="308">
        <f>_xlfn.IFNA((VLOOKUP($A157,HN!$A:$M,9,FALSE)/12),0)</f>
        <v>0</v>
      </c>
      <c r="BO157" s="308">
        <f>_xlfn.IFNA((VLOOKUP($A157,'Post 16'!$A:$AR,22,FALSE)/4),0)</f>
        <v>0</v>
      </c>
      <c r="BP157" s="308"/>
      <c r="BQ157" s="308">
        <f>_xlfn.IFNA(((VLOOKUP($A157,HN!$A:$M,10,FALSE)-$U157-$AK157)/10),0)</f>
        <v>7771.132333333333</v>
      </c>
      <c r="BR157" s="308">
        <f>_xlfn.IFNA(((VLOOKUP($A157,HN!$A:$M,13,FALSE)-$V157-$AL157)/10),0)</f>
        <v>0</v>
      </c>
      <c r="BS157" s="307">
        <f t="shared" si="231"/>
        <v>-622.5</v>
      </c>
      <c r="BT157" s="307">
        <f t="shared" si="232"/>
        <v>-305.04390000000001</v>
      </c>
      <c r="BU157" s="308"/>
      <c r="BV157" s="308"/>
      <c r="BW157" s="308"/>
      <c r="BX157" s="307">
        <f t="shared" si="233"/>
        <v>181593.54468308474</v>
      </c>
      <c r="BY157" s="300">
        <f t="shared" si="234"/>
        <v>174749.95624975138</v>
      </c>
      <c r="BZ157" s="300"/>
      <c r="CA157" s="300"/>
      <c r="CB157" s="301">
        <f>_xlfn.IFNA((VLOOKUP($A157,HN!$A:$M,8,FALSE)/12),0)</f>
        <v>0</v>
      </c>
      <c r="CC157" s="301">
        <f>_xlfn.IFNA((VLOOKUP($A157,HN!$A:$M,12,FALSE)/12),0)</f>
        <v>0</v>
      </c>
      <c r="CD157" s="301">
        <f>_xlfn.IFNA((VLOOKUP($A157,HN!$A:$M,9,FALSE)/12),0)</f>
        <v>0</v>
      </c>
      <c r="CE157" s="301">
        <f>_xlfn.IFNA((VLOOKUP($A157,'Post 16'!$A:$AG,33,FALSE)/8),0)</f>
        <v>0</v>
      </c>
      <c r="CF157" s="301"/>
      <c r="CG157" s="301">
        <f>_xlfn.IFNA(((VLOOKUP($A157,HN!$A:$M,10,FALSE)-$U157-$AK157)/10),0)</f>
        <v>7771.132333333333</v>
      </c>
      <c r="CH157" s="301">
        <f>_xlfn.IFNA(((VLOOKUP($A157,HN!$A:$M,13,FALSE)-$V157-$AL157)/10),0)</f>
        <v>0</v>
      </c>
      <c r="CI157" s="300">
        <f t="shared" si="235"/>
        <v>-622.5</v>
      </c>
      <c r="CJ157" s="300">
        <f t="shared" si="236"/>
        <v>-305.04390000000001</v>
      </c>
      <c r="CK157" s="301"/>
      <c r="CL157" s="301"/>
      <c r="CM157" s="301"/>
      <c r="CN157" s="300">
        <f t="shared" si="237"/>
        <v>181593.54468308474</v>
      </c>
      <c r="CO157" s="332">
        <f t="shared" si="238"/>
        <v>174749.95624975138</v>
      </c>
      <c r="CP157" s="332"/>
      <c r="CQ157" s="332">
        <f>_xlfn.IFNA((VLOOKUP($A157,EY!$A:$AB,28,FALSE)-$CV157),0)</f>
        <v>10396.36</v>
      </c>
      <c r="CR157" s="333">
        <f>_xlfn.IFNA((VLOOKUP($A157,HN!$A:$M,8,FALSE)/12),0)</f>
        <v>0</v>
      </c>
      <c r="CS157" s="333">
        <f>_xlfn.IFNA((VLOOKUP($A157,HN!$A:$M,12,FALSE)/12),0)</f>
        <v>0</v>
      </c>
      <c r="CT157" s="333">
        <f>_xlfn.IFNA((VLOOKUP($A157,HN!$A:$M,9,FALSE)/12),0)</f>
        <v>0</v>
      </c>
      <c r="CU157" s="333">
        <f>_xlfn.IFNA((VLOOKUP($A157,'Post 16'!$A:$AG,33,FALSE)/8),0)</f>
        <v>0</v>
      </c>
      <c r="CV157" s="333">
        <f>_xlfn.IFNA((VLOOKUP($A157,EY!$A:$AB,26,FALSE)*80%),0)</f>
        <v>0</v>
      </c>
      <c r="CW157" s="333">
        <f>_xlfn.IFNA(((VLOOKUP($A157,HN!$A:$M,10,FALSE)-$U157-$AK157)/10),0)</f>
        <v>7771.132333333333</v>
      </c>
      <c r="CX157" s="333">
        <f>_xlfn.IFNA(((VLOOKUP($A157,HN!$A:$M,13,FALSE)-$V157-$AL157)/10),0)</f>
        <v>0</v>
      </c>
      <c r="CY157" s="332">
        <f t="shared" si="239"/>
        <v>-622.5</v>
      </c>
      <c r="CZ157" s="332">
        <f t="shared" si="240"/>
        <v>-305.04390000000001</v>
      </c>
      <c r="DA157" s="333"/>
      <c r="DB157" s="333"/>
      <c r="DC157" s="333"/>
      <c r="DD157" s="332">
        <f t="shared" si="241"/>
        <v>191989.90468308472</v>
      </c>
      <c r="DE157" s="314">
        <f t="shared" si="242"/>
        <v>174749.95624975138</v>
      </c>
      <c r="DF157" s="314"/>
      <c r="DG157" s="314"/>
      <c r="DH157" s="315">
        <f>_xlfn.IFNA((VLOOKUP($A157,HN!$A:$M,8,FALSE)/12),0)</f>
        <v>0</v>
      </c>
      <c r="DI157" s="315">
        <f>_xlfn.IFNA((VLOOKUP($A157,HN!$A:$M,12,FALSE)/12),0)</f>
        <v>0</v>
      </c>
      <c r="DJ157" s="315">
        <f>_xlfn.IFNA((VLOOKUP($A157,HN!$A:$M,9,FALSE)/12),0)</f>
        <v>0</v>
      </c>
      <c r="DK157" s="315">
        <f>_xlfn.IFNA((VLOOKUP($A157,'Post 16'!$A:$AG,33,FALSE)/8),0)</f>
        <v>0</v>
      </c>
      <c r="DL157" s="315"/>
      <c r="DM157" s="315">
        <f>_xlfn.IFNA(((VLOOKUP($A157,HN!$A:$M,10,FALSE)-$U157-$AK157)/10),0)</f>
        <v>7771.132333333333</v>
      </c>
      <c r="DN157" s="315">
        <f>_xlfn.IFNA(((VLOOKUP($A157,HN!$A:$M,13,FALSE)-$V157-$AL157)/10),0)</f>
        <v>0</v>
      </c>
      <c r="DO157" s="314">
        <f t="shared" si="243"/>
        <v>-622.5</v>
      </c>
      <c r="DP157" s="314">
        <f t="shared" si="244"/>
        <v>-305.04390000000001</v>
      </c>
      <c r="DQ157" s="315"/>
      <c r="DR157" s="315"/>
      <c r="DS157" s="315"/>
      <c r="DT157" s="314">
        <f t="shared" si="245"/>
        <v>181593.54468308474</v>
      </c>
      <c r="DU157" s="307">
        <f t="shared" si="246"/>
        <v>174749.95624975138</v>
      </c>
      <c r="DV157" s="307"/>
      <c r="DW157" s="307"/>
      <c r="DX157" s="308">
        <f>_xlfn.IFNA((VLOOKUP($A157,HN!$A:$M,8,FALSE)/12),0)</f>
        <v>0</v>
      </c>
      <c r="DY157" s="308">
        <f>_xlfn.IFNA((VLOOKUP($A157,HN!$A:$M,12,FALSE)/12),0)</f>
        <v>0</v>
      </c>
      <c r="DZ157" s="308">
        <f>_xlfn.IFNA((VLOOKUP($A157,HN!$A:$M,9,FALSE)/12),0)</f>
        <v>0</v>
      </c>
      <c r="EA157" s="308">
        <f>_xlfn.IFNA((VLOOKUP($A157,'Post 16'!$A:$AG,33,FALSE)/8),0)</f>
        <v>0</v>
      </c>
      <c r="EB157" s="308"/>
      <c r="EC157" s="308">
        <f>_xlfn.IFNA(((VLOOKUP($A157,HN!$A:$M,10,FALSE)-$U157-$AK157)/10),0)</f>
        <v>7771.132333333333</v>
      </c>
      <c r="ED157" s="308">
        <f>_xlfn.IFNA(((VLOOKUP($A157,HN!$A:$M,13,FALSE)-$V157-$AL157)/10),0)</f>
        <v>0</v>
      </c>
      <c r="EE157" s="307">
        <f t="shared" si="247"/>
        <v>-622.5</v>
      </c>
      <c r="EF157" s="307">
        <f t="shared" si="248"/>
        <v>-305.04390000000001</v>
      </c>
      <c r="EG157" s="308"/>
      <c r="EH157" s="308"/>
      <c r="EI157" s="308"/>
      <c r="EJ157" s="307">
        <f t="shared" si="249"/>
        <v>181593.54468308474</v>
      </c>
      <c r="EK157" s="320">
        <f t="shared" si="250"/>
        <v>174749.95624975138</v>
      </c>
      <c r="EL157" s="320"/>
      <c r="EM157" s="320"/>
      <c r="EN157" s="321">
        <f>_xlfn.IFNA((VLOOKUP($A157,HN!$A:$M,8,FALSE)/12),0)</f>
        <v>0</v>
      </c>
      <c r="EO157" s="321">
        <f>_xlfn.IFNA((VLOOKUP($A157,HN!$A:$M,12,FALSE)/12),0)</f>
        <v>0</v>
      </c>
      <c r="EP157" s="321">
        <f>_xlfn.IFNA((VLOOKUP($A157,HN!$A:$M,9,FALSE)/12),0)</f>
        <v>0</v>
      </c>
      <c r="EQ157" s="321">
        <f>_xlfn.IFNA((VLOOKUP($A157,'Post 16'!$A:$AG,33,FALSE)/8),0)</f>
        <v>0</v>
      </c>
      <c r="ER157" s="321"/>
      <c r="ES157" s="321">
        <f>_xlfn.IFNA(((VLOOKUP($A157,HN!$A:$M,10,FALSE)-$U157-$AK157)/10),0)</f>
        <v>7771.132333333333</v>
      </c>
      <c r="ET157" s="321">
        <f>_xlfn.IFNA(((VLOOKUP($A157,HN!$A:$M,13,FALSE)-$V157-$AL157)/10),0)</f>
        <v>0</v>
      </c>
      <c r="EU157" s="320">
        <f t="shared" si="251"/>
        <v>-622.5</v>
      </c>
      <c r="EV157" s="320">
        <f t="shared" si="252"/>
        <v>-305.04390000000001</v>
      </c>
      <c r="EW157" s="321"/>
      <c r="EX157" s="321"/>
      <c r="EY157" s="321"/>
      <c r="EZ157" s="320">
        <f t="shared" si="253"/>
        <v>181593.54468308474</v>
      </c>
      <c r="FA157" s="286">
        <f t="shared" si="254"/>
        <v>174749.95624975138</v>
      </c>
      <c r="FB157" s="286"/>
      <c r="FC157" s="286"/>
      <c r="FD157" s="287">
        <f>_xlfn.IFNA((VLOOKUP($A157,HN!$A:$M,8,FALSE)/12),0)</f>
        <v>0</v>
      </c>
      <c r="FE157" s="287">
        <f>_xlfn.IFNA((VLOOKUP($A157,HN!$A:$M,12,FALSE)/12),0)</f>
        <v>0</v>
      </c>
      <c r="FF157" s="287">
        <f>_xlfn.IFNA((VLOOKUP($A157,HN!$A:$M,9,FALSE)/12),0)</f>
        <v>0</v>
      </c>
      <c r="FG157" s="287">
        <f>_xlfn.IFNA((VLOOKUP($A157,'Post 16'!$A:$AG,33,FALSE)/8),0)</f>
        <v>0</v>
      </c>
      <c r="FH157" s="287"/>
      <c r="FI157" s="287">
        <f>_xlfn.IFNA(((VLOOKUP($A157,HN!$A:$M,10,FALSE)-$U157-$AK157)/10),0)</f>
        <v>7771.132333333333</v>
      </c>
      <c r="FJ157" s="287">
        <f>_xlfn.IFNA(((VLOOKUP($A157,HN!$A:$M,13,FALSE)-$V157-$AL157)/10),0)</f>
        <v>0</v>
      </c>
      <c r="FK157" s="286">
        <f t="shared" si="255"/>
        <v>-622.5</v>
      </c>
      <c r="FL157" s="286">
        <f t="shared" si="256"/>
        <v>-305.04390000000001</v>
      </c>
      <c r="FM157" s="287"/>
      <c r="FN157" s="287"/>
      <c r="FO157" s="287"/>
      <c r="FP157" s="286">
        <f t="shared" si="257"/>
        <v>181593.54468308474</v>
      </c>
      <c r="FQ157" s="293">
        <f t="shared" si="258"/>
        <v>174749.95624975138</v>
      </c>
      <c r="FR157" s="293"/>
      <c r="FS157" s="293"/>
      <c r="FT157" s="294">
        <f>_xlfn.IFNA((VLOOKUP($A157,HN!$A:$M,8,FALSE)/12),0)</f>
        <v>0</v>
      </c>
      <c r="FU157" s="294">
        <f>_xlfn.IFNA((VLOOKUP($A157,HN!$A:$M,12,FALSE)/12),0)</f>
        <v>0</v>
      </c>
      <c r="FV157" s="294">
        <f>_xlfn.IFNA((VLOOKUP($A157,HN!$A:$M,9,FALSE)/12),0)</f>
        <v>0</v>
      </c>
      <c r="FW157" s="294">
        <f>_xlfn.IFNA((VLOOKUP($A157,'Post 16'!$A:$AG,33,FALSE)/8),0)</f>
        <v>0</v>
      </c>
      <c r="FX157" s="294"/>
      <c r="FY157" s="294">
        <f>_xlfn.IFNA(((VLOOKUP($A157,HN!$A:$M,10,FALSE)-$U157-$AK157)/10),0)</f>
        <v>7771.132333333333</v>
      </c>
      <c r="FZ157" s="294">
        <f>_xlfn.IFNA(((VLOOKUP($A157,HN!$A:$M,13,FALSE)-$V157-$AL157)/10),0)</f>
        <v>0</v>
      </c>
      <c r="GA157" s="293">
        <f t="shared" si="259"/>
        <v>-622.5</v>
      </c>
      <c r="GB157" s="293">
        <f t="shared" si="260"/>
        <v>-305.04390000000001</v>
      </c>
      <c r="GC157" s="294"/>
      <c r="GD157" s="294"/>
      <c r="GE157" s="294"/>
      <c r="GF157" s="293">
        <f t="shared" si="261"/>
        <v>181593.54468308474</v>
      </c>
      <c r="GG157" s="300">
        <f t="shared" si="262"/>
        <v>174749.95624975138</v>
      </c>
      <c r="GH157" s="300"/>
      <c r="GI157" s="300"/>
      <c r="GJ157" s="301">
        <f>_xlfn.IFNA((VLOOKUP($A157,HN!$A:$M,8,FALSE)/12),0)</f>
        <v>0</v>
      </c>
      <c r="GK157" s="301">
        <f>_xlfn.IFNA((VLOOKUP($A157,HN!$A:$M,12,FALSE)/12),0)</f>
        <v>0</v>
      </c>
      <c r="GL157" s="301">
        <f>_xlfn.IFNA((VLOOKUP($A157,HN!$A:$M,9,FALSE)/12),0)</f>
        <v>0</v>
      </c>
      <c r="GM157" s="301">
        <f>_xlfn.IFNA((VLOOKUP($A157,'Post 16'!$A:$AG,33,FALSE)/8),0)</f>
        <v>0</v>
      </c>
      <c r="GN157" s="301"/>
      <c r="GO157" s="301">
        <f>_xlfn.IFNA(((VLOOKUP($A157,HN!$A:$M,10,FALSE)-$U157-$AK157)/10),0)</f>
        <v>7771.132333333333</v>
      </c>
      <c r="GP157" s="301">
        <f>_xlfn.IFNA(((VLOOKUP($A157,HN!$A:$M,13,FALSE)-$V157-$AL157)/10),0)</f>
        <v>0</v>
      </c>
      <c r="GQ157" s="300">
        <f t="shared" si="263"/>
        <v>-622.5</v>
      </c>
      <c r="GR157" s="300">
        <f t="shared" si="264"/>
        <v>-305.04390000000001</v>
      </c>
      <c r="GS157" s="301"/>
      <c r="GT157" s="301"/>
      <c r="GU157" s="301"/>
      <c r="GV157" s="300">
        <f t="shared" si="265"/>
        <v>181593.54468308474</v>
      </c>
      <c r="GX157" s="146">
        <f t="shared" si="270"/>
        <v>2127316.7505925847</v>
      </c>
      <c r="GY157" s="146">
        <f t="shared" si="270"/>
        <v>0</v>
      </c>
      <c r="GZ157" s="146">
        <f t="shared" si="270"/>
        <v>95779.579999999987</v>
      </c>
      <c r="HA157" s="146">
        <f t="shared" si="270"/>
        <v>-7470</v>
      </c>
      <c r="HB157" s="146">
        <f t="shared" si="270"/>
        <v>-3660.526800000001</v>
      </c>
      <c r="HC157" s="146">
        <f t="shared" si="270"/>
        <v>0</v>
      </c>
      <c r="HE157" s="146">
        <f t="shared" si="271"/>
        <v>544170.78434482205</v>
      </c>
      <c r="HF157" s="146">
        <f t="shared" si="271"/>
        <v>0</v>
      </c>
      <c r="HG157" s="146">
        <f t="shared" si="271"/>
        <v>25839.389000000003</v>
      </c>
      <c r="HH157" s="146">
        <f t="shared" si="271"/>
        <v>-1867.5</v>
      </c>
      <c r="HI157" s="146">
        <f t="shared" si="271"/>
        <v>-915.13170000000002</v>
      </c>
      <c r="HJ157" s="146">
        <f t="shared" si="271"/>
        <v>0</v>
      </c>
      <c r="HL157" s="146"/>
      <c r="HM157" s="57"/>
    </row>
    <row r="158" spans="1:221">
      <c r="A158" s="185">
        <v>4606</v>
      </c>
      <c r="B158" s="185">
        <v>103531</v>
      </c>
      <c r="C158" s="185" t="s">
        <v>343</v>
      </c>
      <c r="D158" s="2" t="s">
        <v>344</v>
      </c>
      <c r="E158" s="190" t="s">
        <v>71</v>
      </c>
      <c r="F158" s="190" t="s">
        <v>890</v>
      </c>
      <c r="H158" s="271">
        <f>_xlfn.IFNA(VLOOKUP($A158,ISB!$A$4:$BY$441,67,FALSE),0)</f>
        <v>6399665.9076079214</v>
      </c>
      <c r="I158" s="271">
        <f>_xlfn.IFNA(VLOOKUP($A158,ISB!$A$4:$BY$441,72,FALSE),0)</f>
        <v>-16399.5</v>
      </c>
      <c r="J158" s="271">
        <f>-_xlfn.IFNA(VLOOKUP($A158,ISB!$A$4:$BY$441,76,FALSE),0)</f>
        <v>-31984.816500000001</v>
      </c>
      <c r="K158" s="271">
        <f>_xlfn.IFNA(VLOOKUP($A158,ISB!$A$4:$BY$441,77,FALSE),0)</f>
        <v>6351281.5911079217</v>
      </c>
      <c r="M158" s="279">
        <f t="shared" si="218"/>
        <v>533305.49230066012</v>
      </c>
      <c r="N158" s="279"/>
      <c r="O158" s="279">
        <f>_xlfn.IFNA(VLOOKUP($A158,EY!$A:$H,8,FALSE)+(VLOOKUP($A158,EY!$A:$R,18,FALSE)-$T158),0)</f>
        <v>0</v>
      </c>
      <c r="P158" s="280">
        <f>_xlfn.IFNA((VLOOKUP($A158,HN!$A:$M,8,FALSE)/12),0)</f>
        <v>0</v>
      </c>
      <c r="Q158" s="280">
        <f>_xlfn.IFNA((VLOOKUP($A158,HN!$A:$M,12,FALSE)/12),0)</f>
        <v>0</v>
      </c>
      <c r="R158" s="280">
        <f>_xlfn.IFNA((VLOOKUP($A158,HN!$A:$M,9,FALSE)/12),0)</f>
        <v>0</v>
      </c>
      <c r="S158" s="280">
        <f>_xlfn.IFNA((VLOOKUP($A158,'Post 16'!$A:$AR,22,FALSE)/4),0)</f>
        <v>106607.83333333333</v>
      </c>
      <c r="T158" s="280">
        <f>_xlfn.IFNA((VLOOKUP($A158,EY!$A:$R,16,FALSE)*80%),0)</f>
        <v>0</v>
      </c>
      <c r="U158" s="280">
        <v>8629.1941666666662</v>
      </c>
      <c r="V158" s="280">
        <v>0</v>
      </c>
      <c r="W158" s="279">
        <f t="shared" si="219"/>
        <v>-1366.625</v>
      </c>
      <c r="X158" s="279">
        <f t="shared" si="220"/>
        <v>-2665.4013749999999</v>
      </c>
      <c r="Y158" s="280"/>
      <c r="Z158" s="280"/>
      <c r="AA158" s="280"/>
      <c r="AB158" s="279">
        <f t="shared" si="221"/>
        <v>644510.49342566018</v>
      </c>
      <c r="AC158" s="293">
        <f t="shared" si="222"/>
        <v>533305.49230066012</v>
      </c>
      <c r="AD158" s="293"/>
      <c r="AE158" s="293"/>
      <c r="AF158" s="294">
        <f>_xlfn.IFNA((VLOOKUP($A158,HN!$A:$M,8,FALSE)/12),0)</f>
        <v>0</v>
      </c>
      <c r="AG158" s="294">
        <f>_xlfn.IFNA((VLOOKUP($A158,HN!$A:$M,12,FALSE)/12),0)+_xlfn.IFNA(VLOOKUP($A158,HN!$A:$Q,17,FALSE),0)</f>
        <v>0</v>
      </c>
      <c r="AH158" s="294">
        <f>_xlfn.IFNA((VLOOKUP($A158,HN!$A:$M,9,FALSE)/12),0)</f>
        <v>0</v>
      </c>
      <c r="AI158" s="294">
        <f>_xlfn.IFNA((VLOOKUP($A158,'Post 16'!$A:$AR,22,FALSE)/4),0)</f>
        <v>106607.83333333333</v>
      </c>
      <c r="AJ158" s="294"/>
      <c r="AK158" s="294">
        <f>_xlfn.IFNA((VLOOKUP($A158,HN!$A:$M,10,FALSE)/12),0)</f>
        <v>7900.2775000000001</v>
      </c>
      <c r="AL158" s="294">
        <f>_xlfn.IFNA((VLOOKUP($A158,HN!$A:$M,13,FALSE)/12),0)</f>
        <v>0</v>
      </c>
      <c r="AM158" s="293">
        <f t="shared" si="223"/>
        <v>-1366.625</v>
      </c>
      <c r="AN158" s="293">
        <f t="shared" si="224"/>
        <v>-2665.4013749999999</v>
      </c>
      <c r="AO158" s="294"/>
      <c r="AP158" s="294"/>
      <c r="AQ158" s="294"/>
      <c r="AR158" s="293">
        <f t="shared" si="225"/>
        <v>643781.57675899344</v>
      </c>
      <c r="AS158" s="286">
        <f t="shared" si="226"/>
        <v>533305.49230066012</v>
      </c>
      <c r="AT158" s="286"/>
      <c r="AU158" s="286">
        <f>_xlfn.IFNA(VLOOKUP(A158,EY!A:AO,40,FALSE),0)</f>
        <v>0</v>
      </c>
      <c r="AV158" s="287">
        <f>_xlfn.IFNA((VLOOKUP($A158,HN!$A:$M,8,FALSE)/12),0)</f>
        <v>0</v>
      </c>
      <c r="AW158" s="287">
        <f>_xlfn.IFNA((VLOOKUP($A158,HN!$A:$M,12,FALSE)/12),0)+_xlfn.IFNA(VLOOKUP($A158,HN!$A$8:$AU$200,19,FALSE),0)</f>
        <v>0</v>
      </c>
      <c r="AX158" s="287">
        <f>_xlfn.IFNA((VLOOKUP($A158,HN!$A:$M,9,FALSE)/12),0)</f>
        <v>0</v>
      </c>
      <c r="AY158" s="287">
        <f>_xlfn.IFNA((VLOOKUP($A158,'Post 16'!$A:$AR,22,FALSE)/4),0)</f>
        <v>106607.83333333333</v>
      </c>
      <c r="AZ158" s="287">
        <f>_xlfn.IFNA(VLOOKUP(A158,EY!A:AO,41,FALSE),0)</f>
        <v>0</v>
      </c>
      <c r="BA158" s="287">
        <f>_xlfn.IFNA(((VLOOKUP($A158,HN!$A:$M,10,FALSE)-$U158-$AK158)/10),0)+_xlfn.IFNA(VLOOKUP($A158,HN!$A:$R,18,FALSE),0)</f>
        <v>7827.3858333333337</v>
      </c>
      <c r="BB158" s="287">
        <f>_xlfn.IFNA(((VLOOKUP($A158,HN!$A:$M,13,FALSE)-$V158-$AL158)/10),0)+_xlfn.IFNA(VLOOKUP($A158,HN!$A$8:$AU$200,20,FALSE),0)</f>
        <v>0</v>
      </c>
      <c r="BC158" s="286">
        <f t="shared" si="227"/>
        <v>-1366.625</v>
      </c>
      <c r="BD158" s="286">
        <f t="shared" si="228"/>
        <v>-2665.4013749999999</v>
      </c>
      <c r="BE158" s="287"/>
      <c r="BF158" s="287"/>
      <c r="BG158" s="287"/>
      <c r="BH158" s="286">
        <f t="shared" si="229"/>
        <v>643708.68509232684</v>
      </c>
      <c r="BI158" s="307">
        <f t="shared" si="230"/>
        <v>533305.49230066012</v>
      </c>
      <c r="BJ158" s="307">
        <f>_xlfn.IFNA(VLOOKUP(A158,'LA Deductions'!A:AH,34,FALSE),0)</f>
        <v>0</v>
      </c>
      <c r="BK158" s="307"/>
      <c r="BL158" s="308">
        <f>_xlfn.IFNA((VLOOKUP($A158,HN!$A:$M,8,FALSE)/12),0)</f>
        <v>0</v>
      </c>
      <c r="BM158" s="308">
        <f>_xlfn.IFNA((VLOOKUP($A158,HN!$A:$M,12,FALSE)/12),0)</f>
        <v>0</v>
      </c>
      <c r="BN158" s="308">
        <f>_xlfn.IFNA((VLOOKUP($A158,HN!$A:$M,9,FALSE)/12),0)</f>
        <v>0</v>
      </c>
      <c r="BO158" s="308">
        <f>_xlfn.IFNA((VLOOKUP($A158,'Post 16'!$A:$AR,22,FALSE)/4),0)</f>
        <v>106607.83333333333</v>
      </c>
      <c r="BP158" s="308"/>
      <c r="BQ158" s="308">
        <f>_xlfn.IFNA(((VLOOKUP($A158,HN!$A:$M,10,FALSE)-$U158-$AK158)/10),0)</f>
        <v>7827.3858333333337</v>
      </c>
      <c r="BR158" s="308">
        <f>_xlfn.IFNA(((VLOOKUP($A158,HN!$A:$M,13,FALSE)-$V158-$AL158)/10),0)</f>
        <v>0</v>
      </c>
      <c r="BS158" s="307">
        <f t="shared" si="231"/>
        <v>-1366.625</v>
      </c>
      <c r="BT158" s="307">
        <f t="shared" si="232"/>
        <v>-2665.4013749999999</v>
      </c>
      <c r="BU158" s="308"/>
      <c r="BV158" s="308"/>
      <c r="BW158" s="308"/>
      <c r="BX158" s="307">
        <f t="shared" si="233"/>
        <v>643708.68509232684</v>
      </c>
      <c r="BY158" s="300">
        <f t="shared" si="234"/>
        <v>533305.49230066012</v>
      </c>
      <c r="BZ158" s="300"/>
      <c r="CA158" s="300"/>
      <c r="CB158" s="301">
        <f>_xlfn.IFNA((VLOOKUP($A158,HN!$A:$M,8,FALSE)/12),0)</f>
        <v>0</v>
      </c>
      <c r="CC158" s="301">
        <f>_xlfn.IFNA((VLOOKUP($A158,HN!$A:$M,12,FALSE)/12),0)</f>
        <v>0</v>
      </c>
      <c r="CD158" s="301">
        <f>_xlfn.IFNA((VLOOKUP($A158,HN!$A:$M,9,FALSE)/12),0)</f>
        <v>0</v>
      </c>
      <c r="CE158" s="301">
        <f>_xlfn.IFNA((VLOOKUP($A158,'Post 16'!$A:$AG,33,FALSE)/8),0)</f>
        <v>101361</v>
      </c>
      <c r="CF158" s="301"/>
      <c r="CG158" s="301">
        <f>_xlfn.IFNA(((VLOOKUP($A158,HN!$A:$M,10,FALSE)-$U158-$AK158)/10),0)</f>
        <v>7827.3858333333337</v>
      </c>
      <c r="CH158" s="301">
        <f>_xlfn.IFNA(((VLOOKUP($A158,HN!$A:$M,13,FALSE)-$V158-$AL158)/10),0)</f>
        <v>0</v>
      </c>
      <c r="CI158" s="300">
        <f t="shared" si="235"/>
        <v>-1366.625</v>
      </c>
      <c r="CJ158" s="300">
        <f t="shared" si="236"/>
        <v>-2665.4013749999999</v>
      </c>
      <c r="CK158" s="301"/>
      <c r="CL158" s="301"/>
      <c r="CM158" s="301"/>
      <c r="CN158" s="300">
        <f t="shared" si="237"/>
        <v>638461.85175899346</v>
      </c>
      <c r="CO158" s="332">
        <f t="shared" si="238"/>
        <v>533305.49230066012</v>
      </c>
      <c r="CP158" s="332"/>
      <c r="CQ158" s="332">
        <f>_xlfn.IFNA((VLOOKUP($A158,EY!$A:$AB,28,FALSE)-$CV158),0)</f>
        <v>0</v>
      </c>
      <c r="CR158" s="333">
        <f>_xlfn.IFNA((VLOOKUP($A158,HN!$A:$M,8,FALSE)/12),0)</f>
        <v>0</v>
      </c>
      <c r="CS158" s="333">
        <f>_xlfn.IFNA((VLOOKUP($A158,HN!$A:$M,12,FALSE)/12),0)</f>
        <v>0</v>
      </c>
      <c r="CT158" s="333">
        <f>_xlfn.IFNA((VLOOKUP($A158,HN!$A:$M,9,FALSE)/12),0)</f>
        <v>0</v>
      </c>
      <c r="CU158" s="333">
        <f>_xlfn.IFNA((VLOOKUP($A158,'Post 16'!$A:$AG,33,FALSE)/8),0)</f>
        <v>101361</v>
      </c>
      <c r="CV158" s="333">
        <f>_xlfn.IFNA((VLOOKUP($A158,EY!$A:$AB,26,FALSE)*80%),0)</f>
        <v>0</v>
      </c>
      <c r="CW158" s="333">
        <f>_xlfn.IFNA(((VLOOKUP($A158,HN!$A:$M,10,FALSE)-$U158-$AK158)/10),0)</f>
        <v>7827.3858333333337</v>
      </c>
      <c r="CX158" s="333">
        <f>_xlfn.IFNA(((VLOOKUP($A158,HN!$A:$M,13,FALSE)-$V158-$AL158)/10),0)</f>
        <v>0</v>
      </c>
      <c r="CY158" s="332">
        <f t="shared" si="239"/>
        <v>-1366.625</v>
      </c>
      <c r="CZ158" s="332">
        <f t="shared" si="240"/>
        <v>-2665.4013749999999</v>
      </c>
      <c r="DA158" s="333"/>
      <c r="DB158" s="333"/>
      <c r="DC158" s="333"/>
      <c r="DD158" s="332">
        <f t="shared" si="241"/>
        <v>638461.85175899346</v>
      </c>
      <c r="DE158" s="314">
        <f t="shared" si="242"/>
        <v>533305.49230066012</v>
      </c>
      <c r="DF158" s="314"/>
      <c r="DG158" s="314"/>
      <c r="DH158" s="315">
        <f>_xlfn.IFNA((VLOOKUP($A158,HN!$A:$M,8,FALSE)/12),0)</f>
        <v>0</v>
      </c>
      <c r="DI158" s="315">
        <f>_xlfn.IFNA((VLOOKUP($A158,HN!$A:$M,12,FALSE)/12),0)</f>
        <v>0</v>
      </c>
      <c r="DJ158" s="315">
        <f>_xlfn.IFNA((VLOOKUP($A158,HN!$A:$M,9,FALSE)/12),0)</f>
        <v>0</v>
      </c>
      <c r="DK158" s="315">
        <f>_xlfn.IFNA((VLOOKUP($A158,'Post 16'!$A:$AG,33,FALSE)/8),0)</f>
        <v>101361</v>
      </c>
      <c r="DL158" s="315"/>
      <c r="DM158" s="315">
        <f>_xlfn.IFNA(((VLOOKUP($A158,HN!$A:$M,10,FALSE)-$U158-$AK158)/10),0)</f>
        <v>7827.3858333333337</v>
      </c>
      <c r="DN158" s="315">
        <f>_xlfn.IFNA(((VLOOKUP($A158,HN!$A:$M,13,FALSE)-$V158-$AL158)/10),0)</f>
        <v>0</v>
      </c>
      <c r="DO158" s="314">
        <f t="shared" si="243"/>
        <v>-1366.625</v>
      </c>
      <c r="DP158" s="314">
        <f t="shared" si="244"/>
        <v>-2665.4013749999999</v>
      </c>
      <c r="DQ158" s="315"/>
      <c r="DR158" s="315"/>
      <c r="DS158" s="315"/>
      <c r="DT158" s="314">
        <f t="shared" si="245"/>
        <v>638461.85175899346</v>
      </c>
      <c r="DU158" s="307">
        <f t="shared" si="246"/>
        <v>533305.49230066012</v>
      </c>
      <c r="DV158" s="307"/>
      <c r="DW158" s="307"/>
      <c r="DX158" s="308">
        <f>_xlfn.IFNA((VLOOKUP($A158,HN!$A:$M,8,FALSE)/12),0)</f>
        <v>0</v>
      </c>
      <c r="DY158" s="308">
        <f>_xlfn.IFNA((VLOOKUP($A158,HN!$A:$M,12,FALSE)/12),0)</f>
        <v>0</v>
      </c>
      <c r="DZ158" s="308">
        <f>_xlfn.IFNA((VLOOKUP($A158,HN!$A:$M,9,FALSE)/12),0)</f>
        <v>0</v>
      </c>
      <c r="EA158" s="308">
        <f>_xlfn.IFNA((VLOOKUP($A158,'Post 16'!$A:$AG,33,FALSE)/8),0)</f>
        <v>101361</v>
      </c>
      <c r="EB158" s="308"/>
      <c r="EC158" s="308">
        <f>_xlfn.IFNA(((VLOOKUP($A158,HN!$A:$M,10,FALSE)-$U158-$AK158)/10),0)</f>
        <v>7827.3858333333337</v>
      </c>
      <c r="ED158" s="308">
        <f>_xlfn.IFNA(((VLOOKUP($A158,HN!$A:$M,13,FALSE)-$V158-$AL158)/10),0)</f>
        <v>0</v>
      </c>
      <c r="EE158" s="307">
        <f t="shared" si="247"/>
        <v>-1366.625</v>
      </c>
      <c r="EF158" s="307">
        <f t="shared" si="248"/>
        <v>-2665.4013749999999</v>
      </c>
      <c r="EG158" s="308"/>
      <c r="EH158" s="308"/>
      <c r="EI158" s="308"/>
      <c r="EJ158" s="307">
        <f t="shared" si="249"/>
        <v>638461.85175899346</v>
      </c>
      <c r="EK158" s="320">
        <f t="shared" si="250"/>
        <v>533305.49230066012</v>
      </c>
      <c r="EL158" s="320"/>
      <c r="EM158" s="320"/>
      <c r="EN158" s="321">
        <f>_xlfn.IFNA((VLOOKUP($A158,HN!$A:$M,8,FALSE)/12),0)</f>
        <v>0</v>
      </c>
      <c r="EO158" s="321">
        <f>_xlfn.IFNA((VLOOKUP($A158,HN!$A:$M,12,FALSE)/12),0)</f>
        <v>0</v>
      </c>
      <c r="EP158" s="321">
        <f>_xlfn.IFNA((VLOOKUP($A158,HN!$A:$M,9,FALSE)/12),0)</f>
        <v>0</v>
      </c>
      <c r="EQ158" s="321">
        <f>_xlfn.IFNA((VLOOKUP($A158,'Post 16'!$A:$AG,33,FALSE)/8),0)</f>
        <v>101361</v>
      </c>
      <c r="ER158" s="321"/>
      <c r="ES158" s="321">
        <f>_xlfn.IFNA(((VLOOKUP($A158,HN!$A:$M,10,FALSE)-$U158-$AK158)/10),0)</f>
        <v>7827.3858333333337</v>
      </c>
      <c r="ET158" s="321">
        <f>_xlfn.IFNA(((VLOOKUP($A158,HN!$A:$M,13,FALSE)-$V158-$AL158)/10),0)</f>
        <v>0</v>
      </c>
      <c r="EU158" s="320">
        <f t="shared" si="251"/>
        <v>-1366.625</v>
      </c>
      <c r="EV158" s="320">
        <f t="shared" si="252"/>
        <v>-2665.4013749999999</v>
      </c>
      <c r="EW158" s="321"/>
      <c r="EX158" s="321"/>
      <c r="EY158" s="321"/>
      <c r="EZ158" s="320">
        <f t="shared" si="253"/>
        <v>638461.85175899346</v>
      </c>
      <c r="FA158" s="286">
        <f t="shared" si="254"/>
        <v>533305.49230066012</v>
      </c>
      <c r="FB158" s="286"/>
      <c r="FC158" s="286"/>
      <c r="FD158" s="287">
        <f>_xlfn.IFNA((VLOOKUP($A158,HN!$A:$M,8,FALSE)/12),0)</f>
        <v>0</v>
      </c>
      <c r="FE158" s="287">
        <f>_xlfn.IFNA((VLOOKUP($A158,HN!$A:$M,12,FALSE)/12),0)</f>
        <v>0</v>
      </c>
      <c r="FF158" s="287">
        <f>_xlfn.IFNA((VLOOKUP($A158,HN!$A:$M,9,FALSE)/12),0)</f>
        <v>0</v>
      </c>
      <c r="FG158" s="287">
        <f>_xlfn.IFNA((VLOOKUP($A158,'Post 16'!$A:$AG,33,FALSE)/8),0)</f>
        <v>101361</v>
      </c>
      <c r="FH158" s="287"/>
      <c r="FI158" s="287">
        <f>_xlfn.IFNA(((VLOOKUP($A158,HN!$A:$M,10,FALSE)-$U158-$AK158)/10),0)</f>
        <v>7827.3858333333337</v>
      </c>
      <c r="FJ158" s="287">
        <f>_xlfn.IFNA(((VLOOKUP($A158,HN!$A:$M,13,FALSE)-$V158-$AL158)/10),0)</f>
        <v>0</v>
      </c>
      <c r="FK158" s="286">
        <f t="shared" si="255"/>
        <v>-1366.625</v>
      </c>
      <c r="FL158" s="286">
        <f t="shared" si="256"/>
        <v>-2665.4013749999999</v>
      </c>
      <c r="FM158" s="287"/>
      <c r="FN158" s="287"/>
      <c r="FO158" s="287"/>
      <c r="FP158" s="286">
        <f t="shared" si="257"/>
        <v>638461.85175899346</v>
      </c>
      <c r="FQ158" s="293">
        <f t="shared" si="258"/>
        <v>533305.49230066012</v>
      </c>
      <c r="FR158" s="293"/>
      <c r="FS158" s="293"/>
      <c r="FT158" s="294">
        <f>_xlfn.IFNA((VLOOKUP($A158,HN!$A:$M,8,FALSE)/12),0)</f>
        <v>0</v>
      </c>
      <c r="FU158" s="294">
        <f>_xlfn.IFNA((VLOOKUP($A158,HN!$A:$M,12,FALSE)/12),0)</f>
        <v>0</v>
      </c>
      <c r="FV158" s="294">
        <f>_xlfn.IFNA((VLOOKUP($A158,HN!$A:$M,9,FALSE)/12),0)</f>
        <v>0</v>
      </c>
      <c r="FW158" s="294">
        <f>_xlfn.IFNA((VLOOKUP($A158,'Post 16'!$A:$AG,33,FALSE)/8),0)</f>
        <v>101361</v>
      </c>
      <c r="FX158" s="294"/>
      <c r="FY158" s="294">
        <f>_xlfn.IFNA(((VLOOKUP($A158,HN!$A:$M,10,FALSE)-$U158-$AK158)/10),0)</f>
        <v>7827.3858333333337</v>
      </c>
      <c r="FZ158" s="294">
        <f>_xlfn.IFNA(((VLOOKUP($A158,HN!$A:$M,13,FALSE)-$V158-$AL158)/10),0)</f>
        <v>0</v>
      </c>
      <c r="GA158" s="293">
        <f t="shared" si="259"/>
        <v>-1366.625</v>
      </c>
      <c r="GB158" s="293">
        <f t="shared" si="260"/>
        <v>-2665.4013749999999</v>
      </c>
      <c r="GC158" s="294"/>
      <c r="GD158" s="294"/>
      <c r="GE158" s="294"/>
      <c r="GF158" s="293">
        <f t="shared" si="261"/>
        <v>638461.85175899346</v>
      </c>
      <c r="GG158" s="300">
        <f t="shared" si="262"/>
        <v>533305.49230066012</v>
      </c>
      <c r="GH158" s="300"/>
      <c r="GI158" s="300"/>
      <c r="GJ158" s="301">
        <f>_xlfn.IFNA((VLOOKUP($A158,HN!$A:$M,8,FALSE)/12),0)</f>
        <v>0</v>
      </c>
      <c r="GK158" s="301">
        <f>_xlfn.IFNA((VLOOKUP($A158,HN!$A:$M,12,FALSE)/12),0)</f>
        <v>0</v>
      </c>
      <c r="GL158" s="301">
        <f>_xlfn.IFNA((VLOOKUP($A158,HN!$A:$M,9,FALSE)/12),0)</f>
        <v>0</v>
      </c>
      <c r="GM158" s="301">
        <f>_xlfn.IFNA((VLOOKUP($A158,'Post 16'!$A:$AG,33,FALSE)/8),0)</f>
        <v>101361</v>
      </c>
      <c r="GN158" s="301"/>
      <c r="GO158" s="301">
        <f>_xlfn.IFNA(((VLOOKUP($A158,HN!$A:$M,10,FALSE)-$U158-$AK158)/10),0)</f>
        <v>7827.3858333333337</v>
      </c>
      <c r="GP158" s="301">
        <f>_xlfn.IFNA(((VLOOKUP($A158,HN!$A:$M,13,FALSE)-$V158-$AL158)/10),0)</f>
        <v>0</v>
      </c>
      <c r="GQ158" s="300">
        <f t="shared" si="263"/>
        <v>-1366.625</v>
      </c>
      <c r="GR158" s="300">
        <f t="shared" si="264"/>
        <v>-2665.4013749999999</v>
      </c>
      <c r="GS158" s="301"/>
      <c r="GT158" s="301"/>
      <c r="GU158" s="301"/>
      <c r="GV158" s="300">
        <f t="shared" si="265"/>
        <v>638461.85175899346</v>
      </c>
      <c r="GX158" s="146">
        <f t="shared" si="270"/>
        <v>6399665.9076079233</v>
      </c>
      <c r="GY158" s="146">
        <f t="shared" si="270"/>
        <v>1237319.3333333333</v>
      </c>
      <c r="GZ158" s="146">
        <f t="shared" si="270"/>
        <v>94803.33</v>
      </c>
      <c r="HA158" s="146">
        <f t="shared" si="270"/>
        <v>-16399.5</v>
      </c>
      <c r="HB158" s="146">
        <f t="shared" si="270"/>
        <v>-31984.816500000004</v>
      </c>
      <c r="HC158" s="146">
        <f t="shared" si="270"/>
        <v>0</v>
      </c>
      <c r="HE158" s="146">
        <f t="shared" si="271"/>
        <v>1599916.4769019803</v>
      </c>
      <c r="HF158" s="146">
        <f t="shared" si="271"/>
        <v>319823.5</v>
      </c>
      <c r="HG158" s="146">
        <f t="shared" si="271"/>
        <v>24356.857499999998</v>
      </c>
      <c r="HH158" s="146">
        <f t="shared" si="271"/>
        <v>-4099.875</v>
      </c>
      <c r="HI158" s="146">
        <f t="shared" si="271"/>
        <v>-7996.2041250000002</v>
      </c>
      <c r="HJ158" s="146">
        <f t="shared" si="271"/>
        <v>0</v>
      </c>
      <c r="HL158" s="146"/>
      <c r="HM158" s="57"/>
    </row>
    <row r="159" spans="1:221">
      <c r="A159" s="185">
        <v>3428</v>
      </c>
      <c r="B159" s="185">
        <v>134476</v>
      </c>
      <c r="C159" s="185" t="s">
        <v>345</v>
      </c>
      <c r="D159" s="2" t="s">
        <v>346</v>
      </c>
      <c r="E159" s="190" t="s">
        <v>39</v>
      </c>
      <c r="F159" s="190" t="s">
        <v>890</v>
      </c>
      <c r="H159" s="271">
        <f>_xlfn.IFNA(VLOOKUP($A159,ISB!$A$4:$BY$441,67,FALSE),0)</f>
        <v>2265063.747860204</v>
      </c>
      <c r="I159" s="271">
        <f>_xlfn.IFNA(VLOOKUP($A159,ISB!$A$4:$BY$441,72,FALSE),0)</f>
        <v>-10209</v>
      </c>
      <c r="J159" s="271">
        <f>-_xlfn.IFNA(VLOOKUP($A159,ISB!$A$4:$BY$441,76,FALSE),0)</f>
        <v>-21462.800899999998</v>
      </c>
      <c r="K159" s="271">
        <f>_xlfn.IFNA(VLOOKUP($A159,ISB!$A$4:$BY$441,77,FALSE),0)</f>
        <v>2233391.9469602038</v>
      </c>
      <c r="M159" s="279">
        <f t="shared" si="218"/>
        <v>188755.31232168365</v>
      </c>
      <c r="N159" s="279"/>
      <c r="O159" s="279">
        <f>_xlfn.IFNA(VLOOKUP($A159,EY!$A:$H,8,FALSE)+(VLOOKUP($A159,EY!$A:$R,18,FALSE)-$T159),0)</f>
        <v>41919.345684210537</v>
      </c>
      <c r="P159" s="280">
        <f>_xlfn.IFNA((VLOOKUP($A159,HN!$A:$M,8,FALSE)/12),0)</f>
        <v>0</v>
      </c>
      <c r="Q159" s="280">
        <f>_xlfn.IFNA((VLOOKUP($A159,HN!$A:$M,12,FALSE)/12),0)</f>
        <v>0</v>
      </c>
      <c r="R159" s="280">
        <f>_xlfn.IFNA((VLOOKUP($A159,HN!$A:$M,9,FALSE)/12),0)</f>
        <v>0</v>
      </c>
      <c r="S159" s="280">
        <f>_xlfn.IFNA((VLOOKUP($A159,'Post 16'!$A:$AR,22,FALSE)/4),0)</f>
        <v>0</v>
      </c>
      <c r="T159" s="280">
        <f>_xlfn.IFNA((VLOOKUP($A159,EY!$A:$R,16,FALSE)*80%),0)</f>
        <v>0</v>
      </c>
      <c r="U159" s="280">
        <v>17095.653333333332</v>
      </c>
      <c r="V159" s="280">
        <v>0</v>
      </c>
      <c r="W159" s="279">
        <f t="shared" si="219"/>
        <v>-850.75</v>
      </c>
      <c r="X159" s="279">
        <f t="shared" si="220"/>
        <v>-1788.5667416666665</v>
      </c>
      <c r="Y159" s="280"/>
      <c r="Z159" s="280"/>
      <c r="AA159" s="280"/>
      <c r="AB159" s="279">
        <f t="shared" si="221"/>
        <v>245130.99459756084</v>
      </c>
      <c r="AC159" s="293">
        <f t="shared" si="222"/>
        <v>188755.31232168365</v>
      </c>
      <c r="AD159" s="293"/>
      <c r="AE159" s="293"/>
      <c r="AF159" s="294">
        <f>_xlfn.IFNA((VLOOKUP($A159,HN!$A:$M,8,FALSE)/12),0)</f>
        <v>0</v>
      </c>
      <c r="AG159" s="294">
        <f>_xlfn.IFNA((VLOOKUP($A159,HN!$A:$M,12,FALSE)/12),0)+_xlfn.IFNA(VLOOKUP($A159,HN!$A:$Q,17,FALSE),0)</f>
        <v>0</v>
      </c>
      <c r="AH159" s="294">
        <f>_xlfn.IFNA((VLOOKUP($A159,HN!$A:$M,9,FALSE)/12),0)</f>
        <v>0</v>
      </c>
      <c r="AI159" s="294">
        <f>_xlfn.IFNA((VLOOKUP($A159,'Post 16'!$A:$AR,22,FALSE)/4),0)</f>
        <v>0</v>
      </c>
      <c r="AJ159" s="294"/>
      <c r="AK159" s="294">
        <f>_xlfn.IFNA((VLOOKUP($A159,HN!$A:$M,10,FALSE)/12),0)</f>
        <v>10533.653333333334</v>
      </c>
      <c r="AL159" s="294">
        <f>_xlfn.IFNA((VLOOKUP($A159,HN!$A:$M,13,FALSE)/12),0)</f>
        <v>0</v>
      </c>
      <c r="AM159" s="293">
        <f t="shared" si="223"/>
        <v>-850.75</v>
      </c>
      <c r="AN159" s="293">
        <f t="shared" si="224"/>
        <v>-1788.5667416666665</v>
      </c>
      <c r="AO159" s="294"/>
      <c r="AP159" s="294"/>
      <c r="AQ159" s="294"/>
      <c r="AR159" s="293">
        <f t="shared" si="225"/>
        <v>196649.64891335031</v>
      </c>
      <c r="AS159" s="286">
        <f t="shared" si="226"/>
        <v>188755.31232168365</v>
      </c>
      <c r="AT159" s="286"/>
      <c r="AU159" s="286">
        <f>_xlfn.IFNA(VLOOKUP(A159,EY!A:AO,40,FALSE),0)</f>
        <v>-3614.5173961218875</v>
      </c>
      <c r="AV159" s="287">
        <f>_xlfn.IFNA((VLOOKUP($A159,HN!$A:$M,8,FALSE)/12),0)</f>
        <v>0</v>
      </c>
      <c r="AW159" s="287">
        <f>_xlfn.IFNA((VLOOKUP($A159,HN!$A:$M,12,FALSE)/12),0)+_xlfn.IFNA(VLOOKUP($A159,HN!$A$8:$AU$200,19,FALSE),0)</f>
        <v>0</v>
      </c>
      <c r="AX159" s="287">
        <f>_xlfn.IFNA((VLOOKUP($A159,HN!$A:$M,9,FALSE)/12),0)</f>
        <v>0</v>
      </c>
      <c r="AY159" s="287">
        <f>_xlfn.IFNA((VLOOKUP($A159,'Post 16'!$A:$AR,22,FALSE)/4),0)</f>
        <v>0</v>
      </c>
      <c r="AZ159" s="287">
        <f>_xlfn.IFNA(VLOOKUP(A159,EY!A:AO,41,FALSE),0)</f>
        <v>0</v>
      </c>
      <c r="BA159" s="287">
        <f>_xlfn.IFNA(((VLOOKUP($A159,HN!$A:$M,10,FALSE)-$U159-$AK159)/10),0)+_xlfn.IFNA(VLOOKUP($A159,HN!$A:$R,18,FALSE),0)</f>
        <v>9877.4533333333329</v>
      </c>
      <c r="BB159" s="287">
        <f>_xlfn.IFNA(((VLOOKUP($A159,HN!$A:$M,13,FALSE)-$V159-$AL159)/10),0)+_xlfn.IFNA(VLOOKUP($A159,HN!$A$8:$AU$200,20,FALSE),0)</f>
        <v>0</v>
      </c>
      <c r="BC159" s="286">
        <f t="shared" si="227"/>
        <v>-850.75</v>
      </c>
      <c r="BD159" s="286">
        <f t="shared" si="228"/>
        <v>-1788.5667416666665</v>
      </c>
      <c r="BE159" s="287"/>
      <c r="BF159" s="287"/>
      <c r="BG159" s="287"/>
      <c r="BH159" s="286">
        <f t="shared" si="229"/>
        <v>192378.93151722843</v>
      </c>
      <c r="BI159" s="307">
        <f t="shared" si="230"/>
        <v>188755.31232168365</v>
      </c>
      <c r="BJ159" s="307">
        <f>_xlfn.IFNA(VLOOKUP(A159,'LA Deductions'!A:AH,34,FALSE),0)</f>
        <v>0</v>
      </c>
      <c r="BK159" s="307"/>
      <c r="BL159" s="308">
        <f>_xlfn.IFNA((VLOOKUP($A159,HN!$A:$M,8,FALSE)/12),0)</f>
        <v>0</v>
      </c>
      <c r="BM159" s="308">
        <f>_xlfn.IFNA((VLOOKUP($A159,HN!$A:$M,12,FALSE)/12),0)</f>
        <v>0</v>
      </c>
      <c r="BN159" s="308">
        <f>_xlfn.IFNA((VLOOKUP($A159,HN!$A:$M,9,FALSE)/12),0)</f>
        <v>0</v>
      </c>
      <c r="BO159" s="308">
        <f>_xlfn.IFNA((VLOOKUP($A159,'Post 16'!$A:$AR,22,FALSE)/4),0)</f>
        <v>0</v>
      </c>
      <c r="BP159" s="308"/>
      <c r="BQ159" s="308">
        <f>_xlfn.IFNA(((VLOOKUP($A159,HN!$A:$M,10,FALSE)-$U159-$AK159)/10),0)</f>
        <v>9877.4533333333329</v>
      </c>
      <c r="BR159" s="308">
        <f>_xlfn.IFNA(((VLOOKUP($A159,HN!$A:$M,13,FALSE)-$V159-$AL159)/10),0)</f>
        <v>0</v>
      </c>
      <c r="BS159" s="307">
        <f t="shared" si="231"/>
        <v>-850.75</v>
      </c>
      <c r="BT159" s="307">
        <f t="shared" si="232"/>
        <v>-1788.5667416666665</v>
      </c>
      <c r="BU159" s="308"/>
      <c r="BV159" s="308"/>
      <c r="BW159" s="308"/>
      <c r="BX159" s="307">
        <f t="shared" si="233"/>
        <v>195993.44891335032</v>
      </c>
      <c r="BY159" s="300">
        <f t="shared" si="234"/>
        <v>188755.31232168365</v>
      </c>
      <c r="BZ159" s="300"/>
      <c r="CA159" s="300"/>
      <c r="CB159" s="301">
        <f>_xlfn.IFNA((VLOOKUP($A159,HN!$A:$M,8,FALSE)/12),0)</f>
        <v>0</v>
      </c>
      <c r="CC159" s="301">
        <f>_xlfn.IFNA((VLOOKUP($A159,HN!$A:$M,12,FALSE)/12),0)</f>
        <v>0</v>
      </c>
      <c r="CD159" s="301">
        <f>_xlfn.IFNA((VLOOKUP($A159,HN!$A:$M,9,FALSE)/12),0)</f>
        <v>0</v>
      </c>
      <c r="CE159" s="301">
        <f>_xlfn.IFNA((VLOOKUP($A159,'Post 16'!$A:$AG,33,FALSE)/8),0)</f>
        <v>0</v>
      </c>
      <c r="CF159" s="301"/>
      <c r="CG159" s="301">
        <f>_xlfn.IFNA(((VLOOKUP($A159,HN!$A:$M,10,FALSE)-$U159-$AK159)/10),0)</f>
        <v>9877.4533333333329</v>
      </c>
      <c r="CH159" s="301">
        <f>_xlfn.IFNA(((VLOOKUP($A159,HN!$A:$M,13,FALSE)-$V159-$AL159)/10),0)</f>
        <v>0</v>
      </c>
      <c r="CI159" s="300">
        <f t="shared" si="235"/>
        <v>-850.75</v>
      </c>
      <c r="CJ159" s="300">
        <f t="shared" si="236"/>
        <v>-1788.5667416666665</v>
      </c>
      <c r="CK159" s="301"/>
      <c r="CL159" s="301"/>
      <c r="CM159" s="301"/>
      <c r="CN159" s="300">
        <f t="shared" si="237"/>
        <v>195993.44891335032</v>
      </c>
      <c r="CO159" s="332">
        <f t="shared" si="238"/>
        <v>188755.31232168365</v>
      </c>
      <c r="CP159" s="332"/>
      <c r="CQ159" s="332">
        <f>_xlfn.IFNA((VLOOKUP($A159,EY!$A:$AB,28,FALSE)-$CV159),0)</f>
        <v>28876.016000000003</v>
      </c>
      <c r="CR159" s="333">
        <f>_xlfn.IFNA((VLOOKUP($A159,HN!$A:$M,8,FALSE)/12),0)</f>
        <v>0</v>
      </c>
      <c r="CS159" s="333">
        <f>_xlfn.IFNA((VLOOKUP($A159,HN!$A:$M,12,FALSE)/12),0)</f>
        <v>0</v>
      </c>
      <c r="CT159" s="333">
        <f>_xlfn.IFNA((VLOOKUP($A159,HN!$A:$M,9,FALSE)/12),0)</f>
        <v>0</v>
      </c>
      <c r="CU159" s="333">
        <f>_xlfn.IFNA((VLOOKUP($A159,'Post 16'!$A:$AG,33,FALSE)/8),0)</f>
        <v>0</v>
      </c>
      <c r="CV159" s="333">
        <f>_xlfn.IFNA((VLOOKUP($A159,EY!$A:$AB,26,FALSE)*80%),0)</f>
        <v>0</v>
      </c>
      <c r="CW159" s="333">
        <f>_xlfn.IFNA(((VLOOKUP($A159,HN!$A:$M,10,FALSE)-$U159-$AK159)/10),0)</f>
        <v>9877.4533333333329</v>
      </c>
      <c r="CX159" s="333">
        <f>_xlfn.IFNA(((VLOOKUP($A159,HN!$A:$M,13,FALSE)-$V159-$AL159)/10),0)</f>
        <v>0</v>
      </c>
      <c r="CY159" s="332">
        <f t="shared" si="239"/>
        <v>-850.75</v>
      </c>
      <c r="CZ159" s="332">
        <f t="shared" si="240"/>
        <v>-1788.5667416666665</v>
      </c>
      <c r="DA159" s="333"/>
      <c r="DB159" s="333"/>
      <c r="DC159" s="333"/>
      <c r="DD159" s="332">
        <f t="shared" si="241"/>
        <v>224869.46491335033</v>
      </c>
      <c r="DE159" s="314">
        <f t="shared" si="242"/>
        <v>188755.31232168365</v>
      </c>
      <c r="DF159" s="314"/>
      <c r="DG159" s="314"/>
      <c r="DH159" s="315">
        <f>_xlfn.IFNA((VLOOKUP($A159,HN!$A:$M,8,FALSE)/12),0)</f>
        <v>0</v>
      </c>
      <c r="DI159" s="315">
        <f>_xlfn.IFNA((VLOOKUP($A159,HN!$A:$M,12,FALSE)/12),0)</f>
        <v>0</v>
      </c>
      <c r="DJ159" s="315">
        <f>_xlfn.IFNA((VLOOKUP($A159,HN!$A:$M,9,FALSE)/12),0)</f>
        <v>0</v>
      </c>
      <c r="DK159" s="315">
        <f>_xlfn.IFNA((VLOOKUP($A159,'Post 16'!$A:$AG,33,FALSE)/8),0)</f>
        <v>0</v>
      </c>
      <c r="DL159" s="315"/>
      <c r="DM159" s="315">
        <f>_xlfn.IFNA(((VLOOKUP($A159,HN!$A:$M,10,FALSE)-$U159-$AK159)/10),0)</f>
        <v>9877.4533333333329</v>
      </c>
      <c r="DN159" s="315">
        <f>_xlfn.IFNA(((VLOOKUP($A159,HN!$A:$M,13,FALSE)-$V159-$AL159)/10),0)</f>
        <v>0</v>
      </c>
      <c r="DO159" s="314">
        <f t="shared" si="243"/>
        <v>-850.75</v>
      </c>
      <c r="DP159" s="314">
        <f t="shared" si="244"/>
        <v>-1788.5667416666665</v>
      </c>
      <c r="DQ159" s="315"/>
      <c r="DR159" s="315"/>
      <c r="DS159" s="315"/>
      <c r="DT159" s="314">
        <f t="shared" si="245"/>
        <v>195993.44891335032</v>
      </c>
      <c r="DU159" s="307">
        <f t="shared" si="246"/>
        <v>188755.31232168365</v>
      </c>
      <c r="DV159" s="307"/>
      <c r="DW159" s="307"/>
      <c r="DX159" s="308">
        <f>_xlfn.IFNA((VLOOKUP($A159,HN!$A:$M,8,FALSE)/12),0)</f>
        <v>0</v>
      </c>
      <c r="DY159" s="308">
        <f>_xlfn.IFNA((VLOOKUP($A159,HN!$A:$M,12,FALSE)/12),0)</f>
        <v>0</v>
      </c>
      <c r="DZ159" s="308">
        <f>_xlfn.IFNA((VLOOKUP($A159,HN!$A:$M,9,FALSE)/12),0)</f>
        <v>0</v>
      </c>
      <c r="EA159" s="308">
        <f>_xlfn.IFNA((VLOOKUP($A159,'Post 16'!$A:$AG,33,FALSE)/8),0)</f>
        <v>0</v>
      </c>
      <c r="EB159" s="308"/>
      <c r="EC159" s="308">
        <f>_xlfn.IFNA(((VLOOKUP($A159,HN!$A:$M,10,FALSE)-$U159-$AK159)/10),0)</f>
        <v>9877.4533333333329</v>
      </c>
      <c r="ED159" s="308">
        <f>_xlfn.IFNA(((VLOOKUP($A159,HN!$A:$M,13,FALSE)-$V159-$AL159)/10),0)</f>
        <v>0</v>
      </c>
      <c r="EE159" s="307">
        <f t="shared" si="247"/>
        <v>-850.75</v>
      </c>
      <c r="EF159" s="307">
        <f t="shared" si="248"/>
        <v>-1788.5667416666665</v>
      </c>
      <c r="EG159" s="308"/>
      <c r="EH159" s="308"/>
      <c r="EI159" s="308"/>
      <c r="EJ159" s="307">
        <f t="shared" si="249"/>
        <v>195993.44891335032</v>
      </c>
      <c r="EK159" s="320">
        <f t="shared" si="250"/>
        <v>188755.31232168365</v>
      </c>
      <c r="EL159" s="320"/>
      <c r="EM159" s="320"/>
      <c r="EN159" s="321">
        <f>_xlfn.IFNA((VLOOKUP($A159,HN!$A:$M,8,FALSE)/12),0)</f>
        <v>0</v>
      </c>
      <c r="EO159" s="321">
        <f>_xlfn.IFNA((VLOOKUP($A159,HN!$A:$M,12,FALSE)/12),0)</f>
        <v>0</v>
      </c>
      <c r="EP159" s="321">
        <f>_xlfn.IFNA((VLOOKUP($A159,HN!$A:$M,9,FALSE)/12),0)</f>
        <v>0</v>
      </c>
      <c r="EQ159" s="321">
        <f>_xlfn.IFNA((VLOOKUP($A159,'Post 16'!$A:$AG,33,FALSE)/8),0)</f>
        <v>0</v>
      </c>
      <c r="ER159" s="321"/>
      <c r="ES159" s="321">
        <f>_xlfn.IFNA(((VLOOKUP($A159,HN!$A:$M,10,FALSE)-$U159-$AK159)/10),0)</f>
        <v>9877.4533333333329</v>
      </c>
      <c r="ET159" s="321">
        <f>_xlfn.IFNA(((VLOOKUP($A159,HN!$A:$M,13,FALSE)-$V159-$AL159)/10),0)</f>
        <v>0</v>
      </c>
      <c r="EU159" s="320">
        <f t="shared" si="251"/>
        <v>-850.75</v>
      </c>
      <c r="EV159" s="320">
        <f t="shared" si="252"/>
        <v>-1788.5667416666665</v>
      </c>
      <c r="EW159" s="321"/>
      <c r="EX159" s="321"/>
      <c r="EY159" s="321"/>
      <c r="EZ159" s="320">
        <f t="shared" si="253"/>
        <v>195993.44891335032</v>
      </c>
      <c r="FA159" s="286">
        <f t="shared" si="254"/>
        <v>188755.31232168365</v>
      </c>
      <c r="FB159" s="286"/>
      <c r="FC159" s="286"/>
      <c r="FD159" s="287">
        <f>_xlfn.IFNA((VLOOKUP($A159,HN!$A:$M,8,FALSE)/12),0)</f>
        <v>0</v>
      </c>
      <c r="FE159" s="287">
        <f>_xlfn.IFNA((VLOOKUP($A159,HN!$A:$M,12,FALSE)/12),0)</f>
        <v>0</v>
      </c>
      <c r="FF159" s="287">
        <f>_xlfn.IFNA((VLOOKUP($A159,HN!$A:$M,9,FALSE)/12),0)</f>
        <v>0</v>
      </c>
      <c r="FG159" s="287">
        <f>_xlfn.IFNA((VLOOKUP($A159,'Post 16'!$A:$AG,33,FALSE)/8),0)</f>
        <v>0</v>
      </c>
      <c r="FH159" s="287"/>
      <c r="FI159" s="287">
        <f>_xlfn.IFNA(((VLOOKUP($A159,HN!$A:$M,10,FALSE)-$U159-$AK159)/10),0)</f>
        <v>9877.4533333333329</v>
      </c>
      <c r="FJ159" s="287">
        <f>_xlfn.IFNA(((VLOOKUP($A159,HN!$A:$M,13,FALSE)-$V159-$AL159)/10),0)</f>
        <v>0</v>
      </c>
      <c r="FK159" s="286">
        <f t="shared" si="255"/>
        <v>-850.75</v>
      </c>
      <c r="FL159" s="286">
        <f t="shared" si="256"/>
        <v>-1788.5667416666665</v>
      </c>
      <c r="FM159" s="287"/>
      <c r="FN159" s="287"/>
      <c r="FO159" s="287"/>
      <c r="FP159" s="286">
        <f t="shared" si="257"/>
        <v>195993.44891335032</v>
      </c>
      <c r="FQ159" s="293">
        <f t="shared" si="258"/>
        <v>188755.31232168365</v>
      </c>
      <c r="FR159" s="293"/>
      <c r="FS159" s="293"/>
      <c r="FT159" s="294">
        <f>_xlfn.IFNA((VLOOKUP($A159,HN!$A:$M,8,FALSE)/12),0)</f>
        <v>0</v>
      </c>
      <c r="FU159" s="294">
        <f>_xlfn.IFNA((VLOOKUP($A159,HN!$A:$M,12,FALSE)/12),0)</f>
        <v>0</v>
      </c>
      <c r="FV159" s="294">
        <f>_xlfn.IFNA((VLOOKUP($A159,HN!$A:$M,9,FALSE)/12),0)</f>
        <v>0</v>
      </c>
      <c r="FW159" s="294">
        <f>_xlfn.IFNA((VLOOKUP($A159,'Post 16'!$A:$AG,33,FALSE)/8),0)</f>
        <v>0</v>
      </c>
      <c r="FX159" s="294"/>
      <c r="FY159" s="294">
        <f>_xlfn.IFNA(((VLOOKUP($A159,HN!$A:$M,10,FALSE)-$U159-$AK159)/10),0)</f>
        <v>9877.4533333333329</v>
      </c>
      <c r="FZ159" s="294">
        <f>_xlfn.IFNA(((VLOOKUP($A159,HN!$A:$M,13,FALSE)-$V159-$AL159)/10),0)</f>
        <v>0</v>
      </c>
      <c r="GA159" s="293">
        <f t="shared" si="259"/>
        <v>-850.75</v>
      </c>
      <c r="GB159" s="293">
        <f t="shared" si="260"/>
        <v>-1788.5667416666665</v>
      </c>
      <c r="GC159" s="294"/>
      <c r="GD159" s="294"/>
      <c r="GE159" s="294"/>
      <c r="GF159" s="293">
        <f t="shared" si="261"/>
        <v>195993.44891335032</v>
      </c>
      <c r="GG159" s="300">
        <f t="shared" si="262"/>
        <v>188755.31232168365</v>
      </c>
      <c r="GH159" s="300"/>
      <c r="GI159" s="300"/>
      <c r="GJ159" s="301">
        <f>_xlfn.IFNA((VLOOKUP($A159,HN!$A:$M,8,FALSE)/12),0)</f>
        <v>0</v>
      </c>
      <c r="GK159" s="301">
        <f>_xlfn.IFNA((VLOOKUP($A159,HN!$A:$M,12,FALSE)/12),0)</f>
        <v>0</v>
      </c>
      <c r="GL159" s="301">
        <f>_xlfn.IFNA((VLOOKUP($A159,HN!$A:$M,9,FALSE)/12),0)</f>
        <v>0</v>
      </c>
      <c r="GM159" s="301">
        <f>_xlfn.IFNA((VLOOKUP($A159,'Post 16'!$A:$AG,33,FALSE)/8),0)</f>
        <v>0</v>
      </c>
      <c r="GN159" s="301"/>
      <c r="GO159" s="301">
        <f>_xlfn.IFNA(((VLOOKUP($A159,HN!$A:$M,10,FALSE)-$U159-$AK159)/10),0)</f>
        <v>9877.4533333333329</v>
      </c>
      <c r="GP159" s="301">
        <f>_xlfn.IFNA(((VLOOKUP($A159,HN!$A:$M,13,FALSE)-$V159-$AL159)/10),0)</f>
        <v>0</v>
      </c>
      <c r="GQ159" s="300">
        <f t="shared" si="263"/>
        <v>-850.75</v>
      </c>
      <c r="GR159" s="300">
        <f t="shared" si="264"/>
        <v>-1788.5667416666665</v>
      </c>
      <c r="GS159" s="301"/>
      <c r="GT159" s="301"/>
      <c r="GU159" s="301"/>
      <c r="GV159" s="300">
        <f t="shared" si="265"/>
        <v>195993.44891335032</v>
      </c>
      <c r="GX159" s="146">
        <f t="shared" si="270"/>
        <v>2332244.5921482928</v>
      </c>
      <c r="GY159" s="146">
        <f t="shared" si="270"/>
        <v>0</v>
      </c>
      <c r="GZ159" s="146">
        <f t="shared" si="270"/>
        <v>126403.84000000003</v>
      </c>
      <c r="HA159" s="146">
        <f t="shared" si="270"/>
        <v>-10209</v>
      </c>
      <c r="HB159" s="146">
        <f t="shared" si="270"/>
        <v>-21462.800899999991</v>
      </c>
      <c r="HC159" s="146">
        <f t="shared" si="270"/>
        <v>0</v>
      </c>
      <c r="HE159" s="146">
        <f t="shared" si="271"/>
        <v>604570.76525313966</v>
      </c>
      <c r="HF159" s="146">
        <f t="shared" si="271"/>
        <v>0</v>
      </c>
      <c r="HG159" s="146">
        <f t="shared" si="271"/>
        <v>37506.759999999995</v>
      </c>
      <c r="HH159" s="146">
        <f t="shared" si="271"/>
        <v>-2552.25</v>
      </c>
      <c r="HI159" s="146">
        <f t="shared" si="271"/>
        <v>-5365.7002249999996</v>
      </c>
      <c r="HJ159" s="146">
        <f t="shared" si="271"/>
        <v>0</v>
      </c>
      <c r="HL159" s="146"/>
      <c r="HM159" s="57"/>
    </row>
    <row r="160" spans="1:221">
      <c r="A160" s="185">
        <v>3019</v>
      </c>
      <c r="B160" s="185">
        <v>103406</v>
      </c>
      <c r="C160" s="185" t="s">
        <v>347</v>
      </c>
      <c r="D160" s="2" t="s">
        <v>348</v>
      </c>
      <c r="E160" s="190" t="s">
        <v>39</v>
      </c>
      <c r="F160" s="190" t="s">
        <v>890</v>
      </c>
      <c r="H160" s="271">
        <f>_xlfn.IFNA(VLOOKUP($A160,ISB!$A$4:$BY$441,67,FALSE),0)</f>
        <v>2663580.0660173921</v>
      </c>
      <c r="I160" s="271">
        <f>_xlfn.IFNA(VLOOKUP($A160,ISB!$A$4:$BY$441,72,FALSE),0)</f>
        <v>-10059.599999999999</v>
      </c>
      <c r="J160" s="271">
        <f>-_xlfn.IFNA(VLOOKUP($A160,ISB!$A$4:$BY$441,76,FALSE),0)</f>
        <v>-8356.3935000000001</v>
      </c>
      <c r="K160" s="271">
        <f>_xlfn.IFNA(VLOOKUP($A160,ISB!$A$4:$BY$441,77,FALSE),0)</f>
        <v>2645164.0725173922</v>
      </c>
      <c r="M160" s="279">
        <f t="shared" si="218"/>
        <v>221965.00550144934</v>
      </c>
      <c r="N160" s="279"/>
      <c r="O160" s="279">
        <f>_xlfn.IFNA(VLOOKUP($A160,EY!$A:$H,8,FALSE)+(VLOOKUP($A160,EY!$A:$R,18,FALSE)-$T160),0)</f>
        <v>0</v>
      </c>
      <c r="P160" s="280">
        <f>_xlfn.IFNA((VLOOKUP($A160,HN!$A:$M,8,FALSE)/12),0)</f>
        <v>0</v>
      </c>
      <c r="Q160" s="280">
        <f>_xlfn.IFNA((VLOOKUP($A160,HN!$A:$M,12,FALSE)/12),0)</f>
        <v>0</v>
      </c>
      <c r="R160" s="280">
        <f>_xlfn.IFNA((VLOOKUP($A160,HN!$A:$M,9,FALSE)/12),0)</f>
        <v>0</v>
      </c>
      <c r="S160" s="280">
        <f>_xlfn.IFNA((VLOOKUP($A160,'Post 16'!$A:$AR,22,FALSE)/4),0)</f>
        <v>0</v>
      </c>
      <c r="T160" s="280">
        <f>_xlfn.IFNA((VLOOKUP($A160,EY!$A:$R,16,FALSE)*80%),0)</f>
        <v>0</v>
      </c>
      <c r="U160" s="280">
        <v>24467.083333333332</v>
      </c>
      <c r="V160" s="280">
        <v>0</v>
      </c>
      <c r="W160" s="279">
        <f t="shared" si="219"/>
        <v>-838.29999999999984</v>
      </c>
      <c r="X160" s="279">
        <f t="shared" si="220"/>
        <v>-696.36612500000001</v>
      </c>
      <c r="Y160" s="280"/>
      <c r="Z160" s="280"/>
      <c r="AA160" s="280"/>
      <c r="AB160" s="279">
        <f t="shared" si="221"/>
        <v>244897.4227097827</v>
      </c>
      <c r="AC160" s="293">
        <f t="shared" si="222"/>
        <v>221965.00550144934</v>
      </c>
      <c r="AD160" s="293"/>
      <c r="AE160" s="293"/>
      <c r="AF160" s="294">
        <f>_xlfn.IFNA((VLOOKUP($A160,HN!$A:$M,8,FALSE)/12),0)</f>
        <v>0</v>
      </c>
      <c r="AG160" s="294">
        <f>_xlfn.IFNA((VLOOKUP($A160,HN!$A:$M,12,FALSE)/12),0)+_xlfn.IFNA(VLOOKUP($A160,HN!$A:$Q,17,FALSE),0)</f>
        <v>0</v>
      </c>
      <c r="AH160" s="294">
        <f>_xlfn.IFNA((VLOOKUP($A160,HN!$A:$M,9,FALSE)/12),0)</f>
        <v>0</v>
      </c>
      <c r="AI160" s="294">
        <f>_xlfn.IFNA((VLOOKUP($A160,'Post 16'!$A:$AR,22,FALSE)/4),0)</f>
        <v>0</v>
      </c>
      <c r="AJ160" s="294"/>
      <c r="AK160" s="294">
        <f>_xlfn.IFNA((VLOOKUP($A160,HN!$A:$M,10,FALSE)/12),0)</f>
        <v>15270.666666666666</v>
      </c>
      <c r="AL160" s="294">
        <f>_xlfn.IFNA((VLOOKUP($A160,HN!$A:$M,13,FALSE)/12),0)</f>
        <v>0</v>
      </c>
      <c r="AM160" s="293">
        <f t="shared" si="223"/>
        <v>-838.29999999999984</v>
      </c>
      <c r="AN160" s="293">
        <f t="shared" si="224"/>
        <v>-696.36612500000001</v>
      </c>
      <c r="AO160" s="294"/>
      <c r="AP160" s="294"/>
      <c r="AQ160" s="294"/>
      <c r="AR160" s="293">
        <f t="shared" si="225"/>
        <v>235701.00604311601</v>
      </c>
      <c r="AS160" s="286">
        <f t="shared" si="226"/>
        <v>221965.00550144934</v>
      </c>
      <c r="AT160" s="286"/>
      <c r="AU160" s="286">
        <f>_xlfn.IFNA(VLOOKUP(A160,EY!A:AO,40,FALSE),0)</f>
        <v>0</v>
      </c>
      <c r="AV160" s="287">
        <f>_xlfn.IFNA((VLOOKUP($A160,HN!$A:$M,8,FALSE)/12),0)</f>
        <v>0</v>
      </c>
      <c r="AW160" s="287">
        <f>_xlfn.IFNA((VLOOKUP($A160,HN!$A:$M,12,FALSE)/12),0)+_xlfn.IFNA(VLOOKUP($A160,HN!$A$8:$AU$200,19,FALSE),0)</f>
        <v>0</v>
      </c>
      <c r="AX160" s="287">
        <f>_xlfn.IFNA((VLOOKUP($A160,HN!$A:$M,9,FALSE)/12),0)</f>
        <v>0</v>
      </c>
      <c r="AY160" s="287">
        <f>_xlfn.IFNA((VLOOKUP($A160,'Post 16'!$A:$AR,22,FALSE)/4),0)</f>
        <v>0</v>
      </c>
      <c r="AZ160" s="287">
        <f>_xlfn.IFNA(VLOOKUP(A160,EY!A:AO,41,FALSE),0)</f>
        <v>0</v>
      </c>
      <c r="BA160" s="287">
        <f>_xlfn.IFNA(((VLOOKUP($A160,HN!$A:$M,10,FALSE)-$U160-$AK160)/10),0)+_xlfn.IFNA(VLOOKUP($A160,HN!$A:$R,18,FALSE),0)</f>
        <v>14351.025</v>
      </c>
      <c r="BB160" s="287">
        <f>_xlfn.IFNA(((VLOOKUP($A160,HN!$A:$M,13,FALSE)-$V160-$AL160)/10),0)+_xlfn.IFNA(VLOOKUP($A160,HN!$A$8:$AU$200,20,FALSE),0)</f>
        <v>0</v>
      </c>
      <c r="BC160" s="286">
        <f t="shared" si="227"/>
        <v>-838.29999999999984</v>
      </c>
      <c r="BD160" s="286">
        <f t="shared" si="228"/>
        <v>-696.36612500000001</v>
      </c>
      <c r="BE160" s="287"/>
      <c r="BF160" s="287"/>
      <c r="BG160" s="287"/>
      <c r="BH160" s="286">
        <f t="shared" si="229"/>
        <v>234781.36437644935</v>
      </c>
      <c r="BI160" s="307">
        <f t="shared" si="230"/>
        <v>221965.00550144934</v>
      </c>
      <c r="BJ160" s="307">
        <f>_xlfn.IFNA(VLOOKUP(A160,'LA Deductions'!A:AH,34,FALSE),0)</f>
        <v>0</v>
      </c>
      <c r="BK160" s="307"/>
      <c r="BL160" s="308">
        <f>_xlfn.IFNA((VLOOKUP($A160,HN!$A:$M,8,FALSE)/12),0)</f>
        <v>0</v>
      </c>
      <c r="BM160" s="308">
        <f>_xlfn.IFNA((VLOOKUP($A160,HN!$A:$M,12,FALSE)/12),0)</f>
        <v>0</v>
      </c>
      <c r="BN160" s="308">
        <f>_xlfn.IFNA((VLOOKUP($A160,HN!$A:$M,9,FALSE)/12),0)</f>
        <v>0</v>
      </c>
      <c r="BO160" s="308">
        <f>_xlfn.IFNA((VLOOKUP($A160,'Post 16'!$A:$AR,22,FALSE)/4),0)</f>
        <v>0</v>
      </c>
      <c r="BP160" s="308"/>
      <c r="BQ160" s="308">
        <f>_xlfn.IFNA(((VLOOKUP($A160,HN!$A:$M,10,FALSE)-$U160-$AK160)/10),0)</f>
        <v>14351.025</v>
      </c>
      <c r="BR160" s="308">
        <f>_xlfn.IFNA(((VLOOKUP($A160,HN!$A:$M,13,FALSE)-$V160-$AL160)/10),0)</f>
        <v>0</v>
      </c>
      <c r="BS160" s="307">
        <f t="shared" si="231"/>
        <v>-838.29999999999984</v>
      </c>
      <c r="BT160" s="307">
        <f t="shared" si="232"/>
        <v>-696.36612500000001</v>
      </c>
      <c r="BU160" s="308"/>
      <c r="BV160" s="308"/>
      <c r="BW160" s="308"/>
      <c r="BX160" s="307">
        <f t="shared" si="233"/>
        <v>234781.36437644935</v>
      </c>
      <c r="BY160" s="300">
        <f t="shared" si="234"/>
        <v>221965.00550144934</v>
      </c>
      <c r="BZ160" s="300"/>
      <c r="CA160" s="300"/>
      <c r="CB160" s="301">
        <f>_xlfn.IFNA((VLOOKUP($A160,HN!$A:$M,8,FALSE)/12),0)</f>
        <v>0</v>
      </c>
      <c r="CC160" s="301">
        <f>_xlfn.IFNA((VLOOKUP($A160,HN!$A:$M,12,FALSE)/12),0)</f>
        <v>0</v>
      </c>
      <c r="CD160" s="301">
        <f>_xlfn.IFNA((VLOOKUP($A160,HN!$A:$M,9,FALSE)/12),0)</f>
        <v>0</v>
      </c>
      <c r="CE160" s="301">
        <f>_xlfn.IFNA((VLOOKUP($A160,'Post 16'!$A:$AG,33,FALSE)/8),0)</f>
        <v>0</v>
      </c>
      <c r="CF160" s="301"/>
      <c r="CG160" s="301">
        <f>_xlfn.IFNA(((VLOOKUP($A160,HN!$A:$M,10,FALSE)-$U160-$AK160)/10),0)</f>
        <v>14351.025</v>
      </c>
      <c r="CH160" s="301">
        <f>_xlfn.IFNA(((VLOOKUP($A160,HN!$A:$M,13,FALSE)-$V160-$AL160)/10),0)</f>
        <v>0</v>
      </c>
      <c r="CI160" s="300">
        <f t="shared" si="235"/>
        <v>-838.29999999999984</v>
      </c>
      <c r="CJ160" s="300">
        <f t="shared" si="236"/>
        <v>-696.36612500000001</v>
      </c>
      <c r="CK160" s="301"/>
      <c r="CL160" s="301"/>
      <c r="CM160" s="301"/>
      <c r="CN160" s="300">
        <f t="shared" si="237"/>
        <v>234781.36437644935</v>
      </c>
      <c r="CO160" s="332">
        <f t="shared" si="238"/>
        <v>221965.00550144934</v>
      </c>
      <c r="CP160" s="332"/>
      <c r="CQ160" s="332">
        <f>_xlfn.IFNA((VLOOKUP($A160,EY!$A:$AB,28,FALSE)-$CV160),0)</f>
        <v>0</v>
      </c>
      <c r="CR160" s="333">
        <f>_xlfn.IFNA((VLOOKUP($A160,HN!$A:$M,8,FALSE)/12),0)</f>
        <v>0</v>
      </c>
      <c r="CS160" s="333">
        <f>_xlfn.IFNA((VLOOKUP($A160,HN!$A:$M,12,FALSE)/12),0)</f>
        <v>0</v>
      </c>
      <c r="CT160" s="333">
        <f>_xlfn.IFNA((VLOOKUP($A160,HN!$A:$M,9,FALSE)/12),0)</f>
        <v>0</v>
      </c>
      <c r="CU160" s="333">
        <f>_xlfn.IFNA((VLOOKUP($A160,'Post 16'!$A:$AG,33,FALSE)/8),0)</f>
        <v>0</v>
      </c>
      <c r="CV160" s="333">
        <f>_xlfn.IFNA((VLOOKUP($A160,EY!$A:$AB,26,FALSE)*80%),0)</f>
        <v>0</v>
      </c>
      <c r="CW160" s="333">
        <f>_xlfn.IFNA(((VLOOKUP($A160,HN!$A:$M,10,FALSE)-$U160-$AK160)/10),0)</f>
        <v>14351.025</v>
      </c>
      <c r="CX160" s="333">
        <f>_xlfn.IFNA(((VLOOKUP($A160,HN!$A:$M,13,FALSE)-$V160-$AL160)/10),0)</f>
        <v>0</v>
      </c>
      <c r="CY160" s="332">
        <f t="shared" si="239"/>
        <v>-838.29999999999984</v>
      </c>
      <c r="CZ160" s="332">
        <f t="shared" si="240"/>
        <v>-696.36612500000001</v>
      </c>
      <c r="DA160" s="333"/>
      <c r="DB160" s="333"/>
      <c r="DC160" s="333"/>
      <c r="DD160" s="332">
        <f t="shared" si="241"/>
        <v>234781.36437644935</v>
      </c>
      <c r="DE160" s="314">
        <f t="shared" si="242"/>
        <v>221965.00550144934</v>
      </c>
      <c r="DF160" s="314"/>
      <c r="DG160" s="314"/>
      <c r="DH160" s="315">
        <f>_xlfn.IFNA((VLOOKUP($A160,HN!$A:$M,8,FALSE)/12),0)</f>
        <v>0</v>
      </c>
      <c r="DI160" s="315">
        <f>_xlfn.IFNA((VLOOKUP($A160,HN!$A:$M,12,FALSE)/12),0)</f>
        <v>0</v>
      </c>
      <c r="DJ160" s="315">
        <f>_xlfn.IFNA((VLOOKUP($A160,HN!$A:$M,9,FALSE)/12),0)</f>
        <v>0</v>
      </c>
      <c r="DK160" s="315">
        <f>_xlfn.IFNA((VLOOKUP($A160,'Post 16'!$A:$AG,33,FALSE)/8),0)</f>
        <v>0</v>
      </c>
      <c r="DL160" s="315"/>
      <c r="DM160" s="315">
        <f>_xlfn.IFNA(((VLOOKUP($A160,HN!$A:$M,10,FALSE)-$U160-$AK160)/10),0)</f>
        <v>14351.025</v>
      </c>
      <c r="DN160" s="315">
        <f>_xlfn.IFNA(((VLOOKUP($A160,HN!$A:$M,13,FALSE)-$V160-$AL160)/10),0)</f>
        <v>0</v>
      </c>
      <c r="DO160" s="314">
        <f t="shared" si="243"/>
        <v>-838.29999999999984</v>
      </c>
      <c r="DP160" s="314">
        <f t="shared" si="244"/>
        <v>-696.36612500000001</v>
      </c>
      <c r="DQ160" s="315"/>
      <c r="DR160" s="315"/>
      <c r="DS160" s="315"/>
      <c r="DT160" s="314">
        <f t="shared" si="245"/>
        <v>234781.36437644935</v>
      </c>
      <c r="DU160" s="307">
        <f t="shared" si="246"/>
        <v>221965.00550144934</v>
      </c>
      <c r="DV160" s="307"/>
      <c r="DW160" s="307"/>
      <c r="DX160" s="308">
        <f>_xlfn.IFNA((VLOOKUP($A160,HN!$A:$M,8,FALSE)/12),0)</f>
        <v>0</v>
      </c>
      <c r="DY160" s="308">
        <f>_xlfn.IFNA((VLOOKUP($A160,HN!$A:$M,12,FALSE)/12),0)</f>
        <v>0</v>
      </c>
      <c r="DZ160" s="308">
        <f>_xlfn.IFNA((VLOOKUP($A160,HN!$A:$M,9,FALSE)/12),0)</f>
        <v>0</v>
      </c>
      <c r="EA160" s="308">
        <f>_xlfn.IFNA((VLOOKUP($A160,'Post 16'!$A:$AG,33,FALSE)/8),0)</f>
        <v>0</v>
      </c>
      <c r="EB160" s="308"/>
      <c r="EC160" s="308">
        <f>_xlfn.IFNA(((VLOOKUP($A160,HN!$A:$M,10,FALSE)-$U160-$AK160)/10),0)</f>
        <v>14351.025</v>
      </c>
      <c r="ED160" s="308">
        <f>_xlfn.IFNA(((VLOOKUP($A160,HN!$A:$M,13,FALSE)-$V160-$AL160)/10),0)</f>
        <v>0</v>
      </c>
      <c r="EE160" s="307">
        <f t="shared" si="247"/>
        <v>-838.29999999999984</v>
      </c>
      <c r="EF160" s="307">
        <f t="shared" si="248"/>
        <v>-696.36612500000001</v>
      </c>
      <c r="EG160" s="308"/>
      <c r="EH160" s="308"/>
      <c r="EI160" s="308"/>
      <c r="EJ160" s="307">
        <f t="shared" si="249"/>
        <v>234781.36437644935</v>
      </c>
      <c r="EK160" s="320">
        <f t="shared" si="250"/>
        <v>221965.00550144934</v>
      </c>
      <c r="EL160" s="320"/>
      <c r="EM160" s="320"/>
      <c r="EN160" s="321">
        <f>_xlfn.IFNA((VLOOKUP($A160,HN!$A:$M,8,FALSE)/12),0)</f>
        <v>0</v>
      </c>
      <c r="EO160" s="321">
        <f>_xlfn.IFNA((VLOOKUP($A160,HN!$A:$M,12,FALSE)/12),0)</f>
        <v>0</v>
      </c>
      <c r="EP160" s="321">
        <f>_xlfn.IFNA((VLOOKUP($A160,HN!$A:$M,9,FALSE)/12),0)</f>
        <v>0</v>
      </c>
      <c r="EQ160" s="321">
        <f>_xlfn.IFNA((VLOOKUP($A160,'Post 16'!$A:$AG,33,FALSE)/8),0)</f>
        <v>0</v>
      </c>
      <c r="ER160" s="321"/>
      <c r="ES160" s="321">
        <f>_xlfn.IFNA(((VLOOKUP($A160,HN!$A:$M,10,FALSE)-$U160-$AK160)/10),0)</f>
        <v>14351.025</v>
      </c>
      <c r="ET160" s="321">
        <f>_xlfn.IFNA(((VLOOKUP($A160,HN!$A:$M,13,FALSE)-$V160-$AL160)/10),0)</f>
        <v>0</v>
      </c>
      <c r="EU160" s="320">
        <f t="shared" si="251"/>
        <v>-838.29999999999984</v>
      </c>
      <c r="EV160" s="320">
        <f t="shared" si="252"/>
        <v>-696.36612500000001</v>
      </c>
      <c r="EW160" s="321"/>
      <c r="EX160" s="321"/>
      <c r="EY160" s="321"/>
      <c r="EZ160" s="320">
        <f t="shared" si="253"/>
        <v>234781.36437644935</v>
      </c>
      <c r="FA160" s="286">
        <f t="shared" si="254"/>
        <v>221965.00550144934</v>
      </c>
      <c r="FB160" s="286"/>
      <c r="FC160" s="286"/>
      <c r="FD160" s="287">
        <f>_xlfn.IFNA((VLOOKUP($A160,HN!$A:$M,8,FALSE)/12),0)</f>
        <v>0</v>
      </c>
      <c r="FE160" s="287">
        <f>_xlfn.IFNA((VLOOKUP($A160,HN!$A:$M,12,FALSE)/12),0)</f>
        <v>0</v>
      </c>
      <c r="FF160" s="287">
        <f>_xlfn.IFNA((VLOOKUP($A160,HN!$A:$M,9,FALSE)/12),0)</f>
        <v>0</v>
      </c>
      <c r="FG160" s="287">
        <f>_xlfn.IFNA((VLOOKUP($A160,'Post 16'!$A:$AG,33,FALSE)/8),0)</f>
        <v>0</v>
      </c>
      <c r="FH160" s="287"/>
      <c r="FI160" s="287">
        <f>_xlfn.IFNA(((VLOOKUP($A160,HN!$A:$M,10,FALSE)-$U160-$AK160)/10),0)</f>
        <v>14351.025</v>
      </c>
      <c r="FJ160" s="287">
        <f>_xlfn.IFNA(((VLOOKUP($A160,HN!$A:$M,13,FALSE)-$V160-$AL160)/10),0)</f>
        <v>0</v>
      </c>
      <c r="FK160" s="286">
        <f t="shared" si="255"/>
        <v>-838.29999999999984</v>
      </c>
      <c r="FL160" s="286">
        <f t="shared" si="256"/>
        <v>-696.36612500000001</v>
      </c>
      <c r="FM160" s="287"/>
      <c r="FN160" s="287"/>
      <c r="FO160" s="287"/>
      <c r="FP160" s="286">
        <f t="shared" si="257"/>
        <v>234781.36437644935</v>
      </c>
      <c r="FQ160" s="293">
        <f t="shared" si="258"/>
        <v>221965.00550144934</v>
      </c>
      <c r="FR160" s="293"/>
      <c r="FS160" s="293"/>
      <c r="FT160" s="294">
        <f>_xlfn.IFNA((VLOOKUP($A160,HN!$A:$M,8,FALSE)/12),0)</f>
        <v>0</v>
      </c>
      <c r="FU160" s="294">
        <f>_xlfn.IFNA((VLOOKUP($A160,HN!$A:$M,12,FALSE)/12),0)</f>
        <v>0</v>
      </c>
      <c r="FV160" s="294">
        <f>_xlfn.IFNA((VLOOKUP($A160,HN!$A:$M,9,FALSE)/12),0)</f>
        <v>0</v>
      </c>
      <c r="FW160" s="294">
        <f>_xlfn.IFNA((VLOOKUP($A160,'Post 16'!$A:$AG,33,FALSE)/8),0)</f>
        <v>0</v>
      </c>
      <c r="FX160" s="294"/>
      <c r="FY160" s="294">
        <f>_xlfn.IFNA(((VLOOKUP($A160,HN!$A:$M,10,FALSE)-$U160-$AK160)/10),0)</f>
        <v>14351.025</v>
      </c>
      <c r="FZ160" s="294">
        <f>_xlfn.IFNA(((VLOOKUP($A160,HN!$A:$M,13,FALSE)-$V160-$AL160)/10),0)</f>
        <v>0</v>
      </c>
      <c r="GA160" s="293">
        <f t="shared" si="259"/>
        <v>-838.29999999999984</v>
      </c>
      <c r="GB160" s="293">
        <f t="shared" si="260"/>
        <v>-696.36612500000001</v>
      </c>
      <c r="GC160" s="294"/>
      <c r="GD160" s="294"/>
      <c r="GE160" s="294"/>
      <c r="GF160" s="293">
        <f t="shared" si="261"/>
        <v>234781.36437644935</v>
      </c>
      <c r="GG160" s="300">
        <f t="shared" si="262"/>
        <v>221965.00550144934</v>
      </c>
      <c r="GH160" s="300"/>
      <c r="GI160" s="300"/>
      <c r="GJ160" s="301">
        <f>_xlfn.IFNA((VLOOKUP($A160,HN!$A:$M,8,FALSE)/12),0)</f>
        <v>0</v>
      </c>
      <c r="GK160" s="301">
        <f>_xlfn.IFNA((VLOOKUP($A160,HN!$A:$M,12,FALSE)/12),0)</f>
        <v>0</v>
      </c>
      <c r="GL160" s="301">
        <f>_xlfn.IFNA((VLOOKUP($A160,HN!$A:$M,9,FALSE)/12),0)</f>
        <v>0</v>
      </c>
      <c r="GM160" s="301">
        <f>_xlfn.IFNA((VLOOKUP($A160,'Post 16'!$A:$AG,33,FALSE)/8),0)</f>
        <v>0</v>
      </c>
      <c r="GN160" s="301"/>
      <c r="GO160" s="301">
        <f>_xlfn.IFNA(((VLOOKUP($A160,HN!$A:$M,10,FALSE)-$U160-$AK160)/10),0)</f>
        <v>14351.025</v>
      </c>
      <c r="GP160" s="301">
        <f>_xlfn.IFNA(((VLOOKUP($A160,HN!$A:$M,13,FALSE)-$V160-$AL160)/10),0)</f>
        <v>0</v>
      </c>
      <c r="GQ160" s="300">
        <f t="shared" si="263"/>
        <v>-838.29999999999984</v>
      </c>
      <c r="GR160" s="300">
        <f t="shared" si="264"/>
        <v>-696.36612500000001</v>
      </c>
      <c r="GS160" s="301"/>
      <c r="GT160" s="301"/>
      <c r="GU160" s="301"/>
      <c r="GV160" s="300">
        <f t="shared" si="265"/>
        <v>234781.36437644935</v>
      </c>
      <c r="GX160" s="146">
        <f t="shared" si="270"/>
        <v>2663580.0660173921</v>
      </c>
      <c r="GY160" s="146">
        <f t="shared" si="270"/>
        <v>0</v>
      </c>
      <c r="GZ160" s="146">
        <f t="shared" si="270"/>
        <v>183247.99999999997</v>
      </c>
      <c r="HA160" s="146">
        <f t="shared" si="270"/>
        <v>-10059.599999999999</v>
      </c>
      <c r="HB160" s="146">
        <f t="shared" si="270"/>
        <v>-8356.3935000000019</v>
      </c>
      <c r="HC160" s="146">
        <f t="shared" si="270"/>
        <v>0</v>
      </c>
      <c r="HE160" s="146">
        <f t="shared" si="271"/>
        <v>665895.01650434802</v>
      </c>
      <c r="HF160" s="146">
        <f t="shared" si="271"/>
        <v>0</v>
      </c>
      <c r="HG160" s="146">
        <f t="shared" si="271"/>
        <v>54088.775000000001</v>
      </c>
      <c r="HH160" s="146">
        <f t="shared" si="271"/>
        <v>-2514.8999999999996</v>
      </c>
      <c r="HI160" s="146">
        <f t="shared" si="271"/>
        <v>-2089.098375</v>
      </c>
      <c r="HJ160" s="146">
        <f t="shared" si="271"/>
        <v>0</v>
      </c>
      <c r="HL160" s="146"/>
      <c r="HM160" s="57"/>
    </row>
    <row r="161" spans="1:221">
      <c r="A161" s="185">
        <v>1009</v>
      </c>
      <c r="B161" s="185">
        <v>103124</v>
      </c>
      <c r="C161" s="185" t="s">
        <v>349</v>
      </c>
      <c r="D161" s="2" t="s">
        <v>350</v>
      </c>
      <c r="E161" s="190" t="s">
        <v>36</v>
      </c>
      <c r="F161" s="190" t="s">
        <v>890</v>
      </c>
      <c r="H161" s="271">
        <f>_xlfn.IFNA(VLOOKUP($A161,ISB!$A$4:$BY$441,67,FALSE),0)</f>
        <v>0</v>
      </c>
      <c r="I161" s="271">
        <f>_xlfn.IFNA(VLOOKUP($A161,ISB!$A$4:$BY$441,72,FALSE),0)</f>
        <v>0</v>
      </c>
      <c r="J161" s="271">
        <f>-_xlfn.IFNA(VLOOKUP($A161,ISB!$A$4:$BY$441,76,FALSE),0)</f>
        <v>0</v>
      </c>
      <c r="K161" s="271">
        <f>_xlfn.IFNA(VLOOKUP($A161,ISB!$A$4:$BY$441,77,FALSE),0)</f>
        <v>0</v>
      </c>
      <c r="M161" s="279">
        <f t="shared" si="218"/>
        <v>0</v>
      </c>
      <c r="N161" s="279"/>
      <c r="O161" s="279">
        <f>_xlfn.IFNA(VLOOKUP($A161,EY!$A:$H,8,FALSE)+(VLOOKUP($A161,EY!$A:$R,18,FALSE)-$T161),0)</f>
        <v>385198.7084253091</v>
      </c>
      <c r="P161" s="280">
        <f>_xlfn.IFNA((VLOOKUP($A161,HN!$A:$M,8,FALSE)/12),0)</f>
        <v>0</v>
      </c>
      <c r="Q161" s="280">
        <f>_xlfn.IFNA((VLOOKUP($A161,HN!$A:$M,12,FALSE)/12),0)</f>
        <v>0</v>
      </c>
      <c r="R161" s="280">
        <f>_xlfn.IFNA((VLOOKUP($A161,HN!$A:$M,9,FALSE)/12),0)</f>
        <v>0</v>
      </c>
      <c r="S161" s="280">
        <f>_xlfn.IFNA((VLOOKUP($A161,'Post 16'!$A:$AR,22,FALSE)/4),0)</f>
        <v>0</v>
      </c>
      <c r="T161" s="280">
        <f>_xlfn.IFNA((VLOOKUP($A161,EY!$A:$R,16,FALSE)*80%),0)</f>
        <v>5460</v>
      </c>
      <c r="U161" s="280">
        <v>1607.5</v>
      </c>
      <c r="V161" s="280">
        <v>0</v>
      </c>
      <c r="W161" s="279">
        <f t="shared" si="219"/>
        <v>0</v>
      </c>
      <c r="X161" s="279">
        <f t="shared" si="220"/>
        <v>0</v>
      </c>
      <c r="Y161" s="280"/>
      <c r="Z161" s="280"/>
      <c r="AA161" s="280"/>
      <c r="AB161" s="279">
        <f t="shared" si="221"/>
        <v>392266.2084253091</v>
      </c>
      <c r="AC161" s="293">
        <f t="shared" si="222"/>
        <v>0</v>
      </c>
      <c r="AD161" s="293"/>
      <c r="AE161" s="293"/>
      <c r="AF161" s="294">
        <f>_xlfn.IFNA((VLOOKUP($A161,HN!$A:$M,8,FALSE)/12),0)</f>
        <v>0</v>
      </c>
      <c r="AG161" s="294">
        <f>_xlfn.IFNA((VLOOKUP($A161,HN!$A:$M,12,FALSE)/12),0)+_xlfn.IFNA(VLOOKUP($A161,HN!$A:$Q,17,FALSE),0)</f>
        <v>0</v>
      </c>
      <c r="AH161" s="294">
        <f>_xlfn.IFNA((VLOOKUP($A161,HN!$A:$M,9,FALSE)/12),0)</f>
        <v>0</v>
      </c>
      <c r="AI161" s="294">
        <f>_xlfn.IFNA((VLOOKUP($A161,'Post 16'!$A:$AR,22,FALSE)/4),0)</f>
        <v>0</v>
      </c>
      <c r="AJ161" s="294"/>
      <c r="AK161" s="294">
        <f>_xlfn.IFNA((VLOOKUP($A161,HN!$A:$M,10,FALSE)/12),0)</f>
        <v>479.6875</v>
      </c>
      <c r="AL161" s="294">
        <f>_xlfn.IFNA((VLOOKUP($A161,HN!$A:$M,13,FALSE)/12),0)</f>
        <v>0</v>
      </c>
      <c r="AM161" s="293">
        <f t="shared" si="223"/>
        <v>0</v>
      </c>
      <c r="AN161" s="293">
        <f t="shared" si="224"/>
        <v>0</v>
      </c>
      <c r="AO161" s="294"/>
      <c r="AP161" s="294"/>
      <c r="AQ161" s="294"/>
      <c r="AR161" s="293">
        <f t="shared" si="225"/>
        <v>479.6875</v>
      </c>
      <c r="AS161" s="286">
        <f t="shared" si="226"/>
        <v>0</v>
      </c>
      <c r="AT161" s="286"/>
      <c r="AU161" s="286">
        <f>_xlfn.IFNA(VLOOKUP(A161,EY!A:AO,40,FALSE),0)</f>
        <v>-5321.282742382271</v>
      </c>
      <c r="AV161" s="287">
        <f>_xlfn.IFNA((VLOOKUP($A161,HN!$A:$M,8,FALSE)/12),0)</f>
        <v>0</v>
      </c>
      <c r="AW161" s="287">
        <f>_xlfn.IFNA((VLOOKUP($A161,HN!$A:$M,12,FALSE)/12),0)+_xlfn.IFNA(VLOOKUP($A161,HN!$A$8:$AU$200,19,FALSE),0)</f>
        <v>0</v>
      </c>
      <c r="AX161" s="287">
        <f>_xlfn.IFNA((VLOOKUP($A161,HN!$A:$M,9,FALSE)/12),0)</f>
        <v>0</v>
      </c>
      <c r="AY161" s="287">
        <f>_xlfn.IFNA((VLOOKUP($A161,'Post 16'!$A:$AR,22,FALSE)/4),0)</f>
        <v>0</v>
      </c>
      <c r="AZ161" s="287">
        <f>_xlfn.IFNA(VLOOKUP(A161,EY!A:AO,41,FALSE),0)</f>
        <v>2814</v>
      </c>
      <c r="BA161" s="287">
        <f>_xlfn.IFNA(((VLOOKUP($A161,HN!$A:$M,10,FALSE)-$U161-$AK161)/10),0)+_xlfn.IFNA(VLOOKUP($A161,HN!$A:$R,18,FALSE),0)</f>
        <v>366.90625</v>
      </c>
      <c r="BB161" s="287">
        <f>_xlfn.IFNA(((VLOOKUP($A161,HN!$A:$M,13,FALSE)-$V161-$AL161)/10),0)+_xlfn.IFNA(VLOOKUP($A161,HN!$A$8:$AU$200,20,FALSE),0)</f>
        <v>0</v>
      </c>
      <c r="BC161" s="286">
        <f t="shared" si="227"/>
        <v>0</v>
      </c>
      <c r="BD161" s="286">
        <f t="shared" si="228"/>
        <v>0</v>
      </c>
      <c r="BE161" s="287"/>
      <c r="BF161" s="287"/>
      <c r="BG161" s="287"/>
      <c r="BH161" s="286">
        <f t="shared" si="229"/>
        <v>-2140.376492382271</v>
      </c>
      <c r="BI161" s="307">
        <f t="shared" si="230"/>
        <v>0</v>
      </c>
      <c r="BJ161" s="307">
        <f>_xlfn.IFNA(VLOOKUP(A161,'LA Deductions'!A:AH,34,FALSE),0)</f>
        <v>0</v>
      </c>
      <c r="BK161" s="307"/>
      <c r="BL161" s="308">
        <f>_xlfn.IFNA((VLOOKUP($A161,HN!$A:$M,8,FALSE)/12),0)</f>
        <v>0</v>
      </c>
      <c r="BM161" s="308">
        <f>_xlfn.IFNA((VLOOKUP($A161,HN!$A:$M,12,FALSE)/12),0)</f>
        <v>0</v>
      </c>
      <c r="BN161" s="308">
        <f>_xlfn.IFNA((VLOOKUP($A161,HN!$A:$M,9,FALSE)/12),0)</f>
        <v>0</v>
      </c>
      <c r="BO161" s="308">
        <f>_xlfn.IFNA((VLOOKUP($A161,'Post 16'!$A:$AR,22,FALSE)/4),0)</f>
        <v>0</v>
      </c>
      <c r="BP161" s="308"/>
      <c r="BQ161" s="308">
        <f>_xlfn.IFNA(((VLOOKUP($A161,HN!$A:$M,10,FALSE)-$U161-$AK161)/10),0)</f>
        <v>366.90625</v>
      </c>
      <c r="BR161" s="308">
        <f>_xlfn.IFNA(((VLOOKUP($A161,HN!$A:$M,13,FALSE)-$V161-$AL161)/10),0)</f>
        <v>0</v>
      </c>
      <c r="BS161" s="307">
        <f t="shared" si="231"/>
        <v>0</v>
      </c>
      <c r="BT161" s="307">
        <f t="shared" si="232"/>
        <v>0</v>
      </c>
      <c r="BU161" s="308"/>
      <c r="BV161" s="308"/>
      <c r="BW161" s="308"/>
      <c r="BX161" s="307">
        <f t="shared" si="233"/>
        <v>366.90625</v>
      </c>
      <c r="BY161" s="300">
        <f t="shared" si="234"/>
        <v>0</v>
      </c>
      <c r="BZ161" s="300"/>
      <c r="CA161" s="300"/>
      <c r="CB161" s="301">
        <f>_xlfn.IFNA((VLOOKUP($A161,HN!$A:$M,8,FALSE)/12),0)</f>
        <v>0</v>
      </c>
      <c r="CC161" s="301">
        <f>_xlfn.IFNA((VLOOKUP($A161,HN!$A:$M,12,FALSE)/12),0)</f>
        <v>0</v>
      </c>
      <c r="CD161" s="301">
        <f>_xlfn.IFNA((VLOOKUP($A161,HN!$A:$M,9,FALSE)/12),0)</f>
        <v>0</v>
      </c>
      <c r="CE161" s="301">
        <f>_xlfn.IFNA((VLOOKUP($A161,'Post 16'!$A:$AG,33,FALSE)/8),0)</f>
        <v>0</v>
      </c>
      <c r="CF161" s="301"/>
      <c r="CG161" s="301">
        <f>_xlfn.IFNA(((VLOOKUP($A161,HN!$A:$M,10,FALSE)-$U161-$AK161)/10),0)</f>
        <v>366.90625</v>
      </c>
      <c r="CH161" s="301">
        <f>_xlfn.IFNA(((VLOOKUP($A161,HN!$A:$M,13,FALSE)-$V161-$AL161)/10),0)</f>
        <v>0</v>
      </c>
      <c r="CI161" s="300">
        <f t="shared" si="235"/>
        <v>0</v>
      </c>
      <c r="CJ161" s="300">
        <f t="shared" si="236"/>
        <v>0</v>
      </c>
      <c r="CK161" s="301"/>
      <c r="CL161" s="301"/>
      <c r="CM161" s="301"/>
      <c r="CN161" s="300">
        <f t="shared" si="237"/>
        <v>366.90625</v>
      </c>
      <c r="CO161" s="332">
        <f t="shared" si="238"/>
        <v>0</v>
      </c>
      <c r="CP161" s="332"/>
      <c r="CQ161" s="332">
        <f>_xlfn.IFNA((VLOOKUP($A161,EY!$A:$AB,28,FALSE)-$CV161),0)</f>
        <v>115174.38568421053</v>
      </c>
      <c r="CR161" s="333">
        <f>_xlfn.IFNA((VLOOKUP($A161,HN!$A:$M,8,FALSE)/12),0)</f>
        <v>0</v>
      </c>
      <c r="CS161" s="333">
        <f>_xlfn.IFNA((VLOOKUP($A161,HN!$A:$M,12,FALSE)/12),0)</f>
        <v>0</v>
      </c>
      <c r="CT161" s="333">
        <f>_xlfn.IFNA((VLOOKUP($A161,HN!$A:$M,9,FALSE)/12),0)</f>
        <v>0</v>
      </c>
      <c r="CU161" s="333">
        <f>_xlfn.IFNA((VLOOKUP($A161,'Post 16'!$A:$AG,33,FALSE)/8),0)</f>
        <v>0</v>
      </c>
      <c r="CV161" s="333">
        <f>_xlfn.IFNA((VLOOKUP($A161,EY!$A:$AB,26,FALSE)*80%),0)</f>
        <v>2340</v>
      </c>
      <c r="CW161" s="333">
        <f>_xlfn.IFNA(((VLOOKUP($A161,HN!$A:$M,10,FALSE)-$U161-$AK161)/10),0)</f>
        <v>366.90625</v>
      </c>
      <c r="CX161" s="333">
        <f>_xlfn.IFNA(((VLOOKUP($A161,HN!$A:$M,13,FALSE)-$V161-$AL161)/10),0)</f>
        <v>0</v>
      </c>
      <c r="CY161" s="332">
        <f t="shared" si="239"/>
        <v>0</v>
      </c>
      <c r="CZ161" s="332">
        <f t="shared" si="240"/>
        <v>0</v>
      </c>
      <c r="DA161" s="333"/>
      <c r="DB161" s="333"/>
      <c r="DC161" s="333"/>
      <c r="DD161" s="332">
        <f t="shared" si="241"/>
        <v>117881.29193421053</v>
      </c>
      <c r="DE161" s="314">
        <f t="shared" si="242"/>
        <v>0</v>
      </c>
      <c r="DF161" s="314"/>
      <c r="DG161" s="314"/>
      <c r="DH161" s="315">
        <f>_xlfn.IFNA((VLOOKUP($A161,HN!$A:$M,8,FALSE)/12),0)</f>
        <v>0</v>
      </c>
      <c r="DI161" s="315">
        <f>_xlfn.IFNA((VLOOKUP($A161,HN!$A:$M,12,FALSE)/12),0)</f>
        <v>0</v>
      </c>
      <c r="DJ161" s="315">
        <f>_xlfn.IFNA((VLOOKUP($A161,HN!$A:$M,9,FALSE)/12),0)</f>
        <v>0</v>
      </c>
      <c r="DK161" s="315">
        <f>_xlfn.IFNA((VLOOKUP($A161,'Post 16'!$A:$AG,33,FALSE)/8),0)</f>
        <v>0</v>
      </c>
      <c r="DL161" s="315"/>
      <c r="DM161" s="315">
        <f>_xlfn.IFNA(((VLOOKUP($A161,HN!$A:$M,10,FALSE)-$U161-$AK161)/10),0)</f>
        <v>366.90625</v>
      </c>
      <c r="DN161" s="315">
        <f>_xlfn.IFNA(((VLOOKUP($A161,HN!$A:$M,13,FALSE)-$V161-$AL161)/10),0)</f>
        <v>0</v>
      </c>
      <c r="DO161" s="314">
        <f t="shared" si="243"/>
        <v>0</v>
      </c>
      <c r="DP161" s="314">
        <f t="shared" si="244"/>
        <v>0</v>
      </c>
      <c r="DQ161" s="315"/>
      <c r="DR161" s="315"/>
      <c r="DS161" s="315"/>
      <c r="DT161" s="314">
        <f t="shared" si="245"/>
        <v>366.90625</v>
      </c>
      <c r="DU161" s="307">
        <f t="shared" si="246"/>
        <v>0</v>
      </c>
      <c r="DV161" s="307"/>
      <c r="DW161" s="307"/>
      <c r="DX161" s="308">
        <f>_xlfn.IFNA((VLOOKUP($A161,HN!$A:$M,8,FALSE)/12),0)</f>
        <v>0</v>
      </c>
      <c r="DY161" s="308">
        <f>_xlfn.IFNA((VLOOKUP($A161,HN!$A:$M,12,FALSE)/12),0)</f>
        <v>0</v>
      </c>
      <c r="DZ161" s="308">
        <f>_xlfn.IFNA((VLOOKUP($A161,HN!$A:$M,9,FALSE)/12),0)</f>
        <v>0</v>
      </c>
      <c r="EA161" s="308">
        <f>_xlfn.IFNA((VLOOKUP($A161,'Post 16'!$A:$AG,33,FALSE)/8),0)</f>
        <v>0</v>
      </c>
      <c r="EB161" s="308"/>
      <c r="EC161" s="308">
        <f>_xlfn.IFNA(((VLOOKUP($A161,HN!$A:$M,10,FALSE)-$U161-$AK161)/10),0)</f>
        <v>366.90625</v>
      </c>
      <c r="ED161" s="308">
        <f>_xlfn.IFNA(((VLOOKUP($A161,HN!$A:$M,13,FALSE)-$V161-$AL161)/10),0)</f>
        <v>0</v>
      </c>
      <c r="EE161" s="307">
        <f t="shared" si="247"/>
        <v>0</v>
      </c>
      <c r="EF161" s="307">
        <f t="shared" si="248"/>
        <v>0</v>
      </c>
      <c r="EG161" s="308"/>
      <c r="EH161" s="308"/>
      <c r="EI161" s="308"/>
      <c r="EJ161" s="307">
        <f t="shared" si="249"/>
        <v>366.90625</v>
      </c>
      <c r="EK161" s="320">
        <f t="shared" si="250"/>
        <v>0</v>
      </c>
      <c r="EL161" s="320"/>
      <c r="EM161" s="320"/>
      <c r="EN161" s="321">
        <f>_xlfn.IFNA((VLOOKUP($A161,HN!$A:$M,8,FALSE)/12),0)</f>
        <v>0</v>
      </c>
      <c r="EO161" s="321">
        <f>_xlfn.IFNA((VLOOKUP($A161,HN!$A:$M,12,FALSE)/12),0)</f>
        <v>0</v>
      </c>
      <c r="EP161" s="321">
        <f>_xlfn.IFNA((VLOOKUP($A161,HN!$A:$M,9,FALSE)/12),0)</f>
        <v>0</v>
      </c>
      <c r="EQ161" s="321">
        <f>_xlfn.IFNA((VLOOKUP($A161,'Post 16'!$A:$AG,33,FALSE)/8),0)</f>
        <v>0</v>
      </c>
      <c r="ER161" s="321"/>
      <c r="ES161" s="321">
        <f>_xlfn.IFNA(((VLOOKUP($A161,HN!$A:$M,10,FALSE)-$U161-$AK161)/10),0)</f>
        <v>366.90625</v>
      </c>
      <c r="ET161" s="321">
        <f>_xlfn.IFNA(((VLOOKUP($A161,HN!$A:$M,13,FALSE)-$V161-$AL161)/10),0)</f>
        <v>0</v>
      </c>
      <c r="EU161" s="320">
        <f t="shared" si="251"/>
        <v>0</v>
      </c>
      <c r="EV161" s="320">
        <f t="shared" si="252"/>
        <v>0</v>
      </c>
      <c r="EW161" s="321"/>
      <c r="EX161" s="321"/>
      <c r="EY161" s="321"/>
      <c r="EZ161" s="320">
        <f t="shared" si="253"/>
        <v>366.90625</v>
      </c>
      <c r="FA161" s="286">
        <f t="shared" si="254"/>
        <v>0</v>
      </c>
      <c r="FB161" s="286"/>
      <c r="FC161" s="286"/>
      <c r="FD161" s="287">
        <f>_xlfn.IFNA((VLOOKUP($A161,HN!$A:$M,8,FALSE)/12),0)</f>
        <v>0</v>
      </c>
      <c r="FE161" s="287">
        <f>_xlfn.IFNA((VLOOKUP($A161,HN!$A:$M,12,FALSE)/12),0)</f>
        <v>0</v>
      </c>
      <c r="FF161" s="287">
        <f>_xlfn.IFNA((VLOOKUP($A161,HN!$A:$M,9,FALSE)/12),0)</f>
        <v>0</v>
      </c>
      <c r="FG161" s="287">
        <f>_xlfn.IFNA((VLOOKUP($A161,'Post 16'!$A:$AG,33,FALSE)/8),0)</f>
        <v>0</v>
      </c>
      <c r="FH161" s="287"/>
      <c r="FI161" s="287">
        <f>_xlfn.IFNA(((VLOOKUP($A161,HN!$A:$M,10,FALSE)-$U161-$AK161)/10),0)</f>
        <v>366.90625</v>
      </c>
      <c r="FJ161" s="287">
        <f>_xlfn.IFNA(((VLOOKUP($A161,HN!$A:$M,13,FALSE)-$V161-$AL161)/10),0)</f>
        <v>0</v>
      </c>
      <c r="FK161" s="286">
        <f t="shared" si="255"/>
        <v>0</v>
      </c>
      <c r="FL161" s="286">
        <f t="shared" si="256"/>
        <v>0</v>
      </c>
      <c r="FM161" s="287"/>
      <c r="FN161" s="287"/>
      <c r="FO161" s="287"/>
      <c r="FP161" s="286">
        <f t="shared" si="257"/>
        <v>366.90625</v>
      </c>
      <c r="FQ161" s="293">
        <f t="shared" si="258"/>
        <v>0</v>
      </c>
      <c r="FR161" s="293"/>
      <c r="FS161" s="293"/>
      <c r="FT161" s="294">
        <f>_xlfn.IFNA((VLOOKUP($A161,HN!$A:$M,8,FALSE)/12),0)</f>
        <v>0</v>
      </c>
      <c r="FU161" s="294">
        <f>_xlfn.IFNA((VLOOKUP($A161,HN!$A:$M,12,FALSE)/12),0)</f>
        <v>0</v>
      </c>
      <c r="FV161" s="294">
        <f>_xlfn.IFNA((VLOOKUP($A161,HN!$A:$M,9,FALSE)/12),0)</f>
        <v>0</v>
      </c>
      <c r="FW161" s="294">
        <f>_xlfn.IFNA((VLOOKUP($A161,'Post 16'!$A:$AG,33,FALSE)/8),0)</f>
        <v>0</v>
      </c>
      <c r="FX161" s="294"/>
      <c r="FY161" s="294">
        <f>_xlfn.IFNA(((VLOOKUP($A161,HN!$A:$M,10,FALSE)-$U161-$AK161)/10),0)</f>
        <v>366.90625</v>
      </c>
      <c r="FZ161" s="294">
        <f>_xlfn.IFNA(((VLOOKUP($A161,HN!$A:$M,13,FALSE)-$V161-$AL161)/10),0)</f>
        <v>0</v>
      </c>
      <c r="GA161" s="293">
        <f t="shared" si="259"/>
        <v>0</v>
      </c>
      <c r="GB161" s="293">
        <f t="shared" si="260"/>
        <v>0</v>
      </c>
      <c r="GC161" s="294"/>
      <c r="GD161" s="294"/>
      <c r="GE161" s="294"/>
      <c r="GF161" s="293">
        <f t="shared" si="261"/>
        <v>366.90625</v>
      </c>
      <c r="GG161" s="300">
        <f t="shared" si="262"/>
        <v>0</v>
      </c>
      <c r="GH161" s="300"/>
      <c r="GI161" s="300"/>
      <c r="GJ161" s="301">
        <f>_xlfn.IFNA((VLOOKUP($A161,HN!$A:$M,8,FALSE)/12),0)</f>
        <v>0</v>
      </c>
      <c r="GK161" s="301">
        <f>_xlfn.IFNA((VLOOKUP($A161,HN!$A:$M,12,FALSE)/12),0)</f>
        <v>0</v>
      </c>
      <c r="GL161" s="301">
        <f>_xlfn.IFNA((VLOOKUP($A161,HN!$A:$M,9,FALSE)/12),0)</f>
        <v>0</v>
      </c>
      <c r="GM161" s="301">
        <f>_xlfn.IFNA((VLOOKUP($A161,'Post 16'!$A:$AG,33,FALSE)/8),0)</f>
        <v>0</v>
      </c>
      <c r="GN161" s="301"/>
      <c r="GO161" s="301">
        <f>_xlfn.IFNA(((VLOOKUP($A161,HN!$A:$M,10,FALSE)-$U161-$AK161)/10),0)</f>
        <v>366.90625</v>
      </c>
      <c r="GP161" s="301">
        <f>_xlfn.IFNA(((VLOOKUP($A161,HN!$A:$M,13,FALSE)-$V161-$AL161)/10),0)</f>
        <v>0</v>
      </c>
      <c r="GQ161" s="300">
        <f t="shared" si="263"/>
        <v>0</v>
      </c>
      <c r="GR161" s="300">
        <f t="shared" si="264"/>
        <v>0</v>
      </c>
      <c r="GS161" s="301"/>
      <c r="GT161" s="301"/>
      <c r="GU161" s="301"/>
      <c r="GV161" s="300">
        <f t="shared" si="265"/>
        <v>366.90625</v>
      </c>
      <c r="GX161" s="146">
        <f t="shared" si="270"/>
        <v>495051.81136713736</v>
      </c>
      <c r="GY161" s="146">
        <f t="shared" si="270"/>
        <v>0</v>
      </c>
      <c r="GZ161" s="146">
        <f t="shared" si="270"/>
        <v>16370.25</v>
      </c>
      <c r="HA161" s="146">
        <f t="shared" si="270"/>
        <v>0</v>
      </c>
      <c r="HB161" s="146">
        <f t="shared" si="270"/>
        <v>0</v>
      </c>
      <c r="HC161" s="146">
        <f t="shared" si="270"/>
        <v>0</v>
      </c>
      <c r="HE161" s="146">
        <f t="shared" si="271"/>
        <v>379877.42568292684</v>
      </c>
      <c r="HF161" s="146">
        <f t="shared" si="271"/>
        <v>0</v>
      </c>
      <c r="HG161" s="146">
        <f t="shared" si="271"/>
        <v>10728.09375</v>
      </c>
      <c r="HH161" s="146">
        <f t="shared" si="271"/>
        <v>0</v>
      </c>
      <c r="HI161" s="146">
        <f t="shared" si="271"/>
        <v>0</v>
      </c>
      <c r="HJ161" s="146">
        <f t="shared" si="271"/>
        <v>0</v>
      </c>
      <c r="HL161" s="146"/>
      <c r="HM161" s="57"/>
    </row>
    <row r="162" spans="1:221">
      <c r="A162" s="185">
        <v>2178</v>
      </c>
      <c r="B162" s="185">
        <v>103257</v>
      </c>
      <c r="C162" s="185" t="s">
        <v>351</v>
      </c>
      <c r="D162" s="2" t="s">
        <v>352</v>
      </c>
      <c r="E162" s="190" t="s">
        <v>39</v>
      </c>
      <c r="F162" s="190" t="s">
        <v>890</v>
      </c>
      <c r="H162" s="271">
        <f>_xlfn.IFNA(VLOOKUP($A162,ISB!$A$4:$BY$441,67,FALSE),0)</f>
        <v>1360832.2044609396</v>
      </c>
      <c r="I162" s="271">
        <f>_xlfn.IFNA(VLOOKUP($A162,ISB!$A$4:$BY$441,72,FALSE),0)</f>
        <v>-5054.7</v>
      </c>
      <c r="J162" s="271">
        <f>-_xlfn.IFNA(VLOOKUP($A162,ISB!$A$4:$BY$441,76,FALSE),0)</f>
        <v>-21594.4745</v>
      </c>
      <c r="K162" s="271">
        <f>_xlfn.IFNA(VLOOKUP($A162,ISB!$A$4:$BY$441,77,FALSE),0)</f>
        <v>1334183.0299609397</v>
      </c>
      <c r="M162" s="279">
        <f t="shared" si="218"/>
        <v>113402.68370507831</v>
      </c>
      <c r="N162" s="279"/>
      <c r="O162" s="279">
        <f>_xlfn.IFNA(VLOOKUP($A162,EY!$A:$H,8,FALSE)+(VLOOKUP($A162,EY!$A:$R,18,FALSE)-$T162),0)</f>
        <v>33035.496000000006</v>
      </c>
      <c r="P162" s="280">
        <f>_xlfn.IFNA((VLOOKUP($A162,HN!$A:$M,8,FALSE)/12),0)</f>
        <v>0</v>
      </c>
      <c r="Q162" s="280">
        <f>_xlfn.IFNA((VLOOKUP($A162,HN!$A:$M,12,FALSE)/12),0)</f>
        <v>0</v>
      </c>
      <c r="R162" s="280">
        <f>_xlfn.IFNA((VLOOKUP($A162,HN!$A:$M,9,FALSE)/12),0)</f>
        <v>0</v>
      </c>
      <c r="S162" s="280">
        <f>_xlfn.IFNA((VLOOKUP($A162,'Post 16'!$A:$AR,22,FALSE)/4),0)</f>
        <v>0</v>
      </c>
      <c r="T162" s="280">
        <f>_xlfn.IFNA((VLOOKUP($A162,EY!$A:$R,16,FALSE)*80%),0)</f>
        <v>0</v>
      </c>
      <c r="U162" s="280">
        <v>1384.3333333333333</v>
      </c>
      <c r="V162" s="280">
        <v>0</v>
      </c>
      <c r="W162" s="279">
        <f t="shared" si="219"/>
        <v>-421.22499999999997</v>
      </c>
      <c r="X162" s="279">
        <f t="shared" si="220"/>
        <v>-1799.5395416666668</v>
      </c>
      <c r="Y162" s="280"/>
      <c r="Z162" s="280"/>
      <c r="AA162" s="280"/>
      <c r="AB162" s="279">
        <f t="shared" si="221"/>
        <v>145601.74849674499</v>
      </c>
      <c r="AC162" s="293">
        <f t="shared" si="222"/>
        <v>113402.68370507831</v>
      </c>
      <c r="AD162" s="293"/>
      <c r="AE162" s="293"/>
      <c r="AF162" s="294">
        <f>_xlfn.IFNA((VLOOKUP($A162,HN!$A:$M,8,FALSE)/12),0)</f>
        <v>0</v>
      </c>
      <c r="AG162" s="294">
        <f>_xlfn.IFNA((VLOOKUP($A162,HN!$A:$M,12,FALSE)/12),0)+_xlfn.IFNA(VLOOKUP($A162,HN!$A:$Q,17,FALSE),0)</f>
        <v>0</v>
      </c>
      <c r="AH162" s="294">
        <f>_xlfn.IFNA((VLOOKUP($A162,HN!$A:$M,9,FALSE)/12),0)</f>
        <v>0</v>
      </c>
      <c r="AI162" s="294">
        <f>_xlfn.IFNA((VLOOKUP($A162,'Post 16'!$A:$AR,22,FALSE)/4),0)</f>
        <v>0</v>
      </c>
      <c r="AJ162" s="294"/>
      <c r="AK162" s="294">
        <f>_xlfn.IFNA((VLOOKUP($A162,HN!$A:$M,10,FALSE)/12),0)</f>
        <v>1107.5</v>
      </c>
      <c r="AL162" s="294">
        <f>_xlfn.IFNA((VLOOKUP($A162,HN!$A:$M,13,FALSE)/12),0)</f>
        <v>0</v>
      </c>
      <c r="AM162" s="293">
        <f t="shared" si="223"/>
        <v>-421.22499999999997</v>
      </c>
      <c r="AN162" s="293">
        <f t="shared" si="224"/>
        <v>-1799.5395416666668</v>
      </c>
      <c r="AO162" s="294"/>
      <c r="AP162" s="294"/>
      <c r="AQ162" s="294"/>
      <c r="AR162" s="293">
        <f t="shared" si="225"/>
        <v>112289.41916341163</v>
      </c>
      <c r="AS162" s="286">
        <f t="shared" si="226"/>
        <v>113402.68370507831</v>
      </c>
      <c r="AT162" s="286"/>
      <c r="AU162" s="286">
        <f>_xlfn.IFNA(VLOOKUP(A162,EY!A:AO,40,FALSE),0)</f>
        <v>7002.1580720221609</v>
      </c>
      <c r="AV162" s="287">
        <f>_xlfn.IFNA((VLOOKUP($A162,HN!$A:$M,8,FALSE)/12),0)</f>
        <v>0</v>
      </c>
      <c r="AW162" s="287">
        <f>_xlfn.IFNA((VLOOKUP($A162,HN!$A:$M,12,FALSE)/12),0)+_xlfn.IFNA(VLOOKUP($A162,HN!$A$8:$AU$200,19,FALSE),0)</f>
        <v>0</v>
      </c>
      <c r="AX162" s="287">
        <f>_xlfn.IFNA((VLOOKUP($A162,HN!$A:$M,9,FALSE)/12),0)</f>
        <v>0</v>
      </c>
      <c r="AY162" s="287">
        <f>_xlfn.IFNA((VLOOKUP($A162,'Post 16'!$A:$AR,22,FALSE)/4),0)</f>
        <v>0</v>
      </c>
      <c r="AZ162" s="287">
        <f>_xlfn.IFNA(VLOOKUP(A162,EY!A:AO,41,FALSE),0)</f>
        <v>0</v>
      </c>
      <c r="BA162" s="287">
        <f>_xlfn.IFNA(((VLOOKUP($A162,HN!$A:$M,10,FALSE)-$U162-$AK162)/10),0)+_xlfn.IFNA(VLOOKUP($A162,HN!$A:$R,18,FALSE),0)</f>
        <v>1079.8166666666666</v>
      </c>
      <c r="BB162" s="287">
        <f>_xlfn.IFNA(((VLOOKUP($A162,HN!$A:$M,13,FALSE)-$V162-$AL162)/10),0)+_xlfn.IFNA(VLOOKUP($A162,HN!$A$8:$AU$200,20,FALSE),0)</f>
        <v>0</v>
      </c>
      <c r="BC162" s="286">
        <f t="shared" si="227"/>
        <v>-421.22499999999997</v>
      </c>
      <c r="BD162" s="286">
        <f t="shared" si="228"/>
        <v>-1799.5395416666668</v>
      </c>
      <c r="BE162" s="287"/>
      <c r="BF162" s="287"/>
      <c r="BG162" s="287"/>
      <c r="BH162" s="286">
        <f t="shared" si="229"/>
        <v>119263.89390210045</v>
      </c>
      <c r="BI162" s="307">
        <f t="shared" si="230"/>
        <v>113402.68370507831</v>
      </c>
      <c r="BJ162" s="307">
        <f>_xlfn.IFNA(VLOOKUP(A162,'LA Deductions'!A:AH,34,FALSE),0)</f>
        <v>0</v>
      </c>
      <c r="BK162" s="307"/>
      <c r="BL162" s="308">
        <f>_xlfn.IFNA((VLOOKUP($A162,HN!$A:$M,8,FALSE)/12),0)</f>
        <v>0</v>
      </c>
      <c r="BM162" s="308">
        <f>_xlfn.IFNA((VLOOKUP($A162,HN!$A:$M,12,FALSE)/12),0)</f>
        <v>0</v>
      </c>
      <c r="BN162" s="308">
        <f>_xlfn.IFNA((VLOOKUP($A162,HN!$A:$M,9,FALSE)/12),0)</f>
        <v>0</v>
      </c>
      <c r="BO162" s="308">
        <f>_xlfn.IFNA((VLOOKUP($A162,'Post 16'!$A:$AR,22,FALSE)/4),0)</f>
        <v>0</v>
      </c>
      <c r="BP162" s="308"/>
      <c r="BQ162" s="308">
        <f>_xlfn.IFNA(((VLOOKUP($A162,HN!$A:$M,10,FALSE)-$U162-$AK162)/10),0)</f>
        <v>1079.8166666666666</v>
      </c>
      <c r="BR162" s="308">
        <f>_xlfn.IFNA(((VLOOKUP($A162,HN!$A:$M,13,FALSE)-$V162-$AL162)/10),0)</f>
        <v>0</v>
      </c>
      <c r="BS162" s="307">
        <f t="shared" si="231"/>
        <v>-421.22499999999997</v>
      </c>
      <c r="BT162" s="307">
        <f t="shared" si="232"/>
        <v>-1799.5395416666668</v>
      </c>
      <c r="BU162" s="308"/>
      <c r="BV162" s="308"/>
      <c r="BW162" s="308"/>
      <c r="BX162" s="307">
        <f t="shared" si="233"/>
        <v>112261.73583007829</v>
      </c>
      <c r="BY162" s="300">
        <f t="shared" si="234"/>
        <v>113402.68370507831</v>
      </c>
      <c r="BZ162" s="300"/>
      <c r="CA162" s="300"/>
      <c r="CB162" s="301">
        <f>_xlfn.IFNA((VLOOKUP($A162,HN!$A:$M,8,FALSE)/12),0)</f>
        <v>0</v>
      </c>
      <c r="CC162" s="301">
        <f>_xlfn.IFNA((VLOOKUP($A162,HN!$A:$M,12,FALSE)/12),0)</f>
        <v>0</v>
      </c>
      <c r="CD162" s="301">
        <f>_xlfn.IFNA((VLOOKUP($A162,HN!$A:$M,9,FALSE)/12),0)</f>
        <v>0</v>
      </c>
      <c r="CE162" s="301">
        <f>_xlfn.IFNA((VLOOKUP($A162,'Post 16'!$A:$AG,33,FALSE)/8),0)</f>
        <v>0</v>
      </c>
      <c r="CF162" s="301"/>
      <c r="CG162" s="301">
        <f>_xlfn.IFNA(((VLOOKUP($A162,HN!$A:$M,10,FALSE)-$U162-$AK162)/10),0)</f>
        <v>1079.8166666666666</v>
      </c>
      <c r="CH162" s="301">
        <f>_xlfn.IFNA(((VLOOKUP($A162,HN!$A:$M,13,FALSE)-$V162-$AL162)/10),0)</f>
        <v>0</v>
      </c>
      <c r="CI162" s="300">
        <f t="shared" si="235"/>
        <v>-421.22499999999997</v>
      </c>
      <c r="CJ162" s="300">
        <f t="shared" si="236"/>
        <v>-1799.5395416666668</v>
      </c>
      <c r="CK162" s="301"/>
      <c r="CL162" s="301"/>
      <c r="CM162" s="301"/>
      <c r="CN162" s="300">
        <f t="shared" si="237"/>
        <v>112261.73583007829</v>
      </c>
      <c r="CO162" s="332">
        <f t="shared" si="238"/>
        <v>113402.68370507831</v>
      </c>
      <c r="CP162" s="332"/>
      <c r="CQ162" s="332">
        <f>_xlfn.IFNA((VLOOKUP($A162,EY!$A:$AB,28,FALSE)-$CV162),0)</f>
        <v>28599.896000000004</v>
      </c>
      <c r="CR162" s="333">
        <f>_xlfn.IFNA((VLOOKUP($A162,HN!$A:$M,8,FALSE)/12),0)</f>
        <v>0</v>
      </c>
      <c r="CS162" s="333">
        <f>_xlfn.IFNA((VLOOKUP($A162,HN!$A:$M,12,FALSE)/12),0)</f>
        <v>0</v>
      </c>
      <c r="CT162" s="333">
        <f>_xlfn.IFNA((VLOOKUP($A162,HN!$A:$M,9,FALSE)/12),0)</f>
        <v>0</v>
      </c>
      <c r="CU162" s="333">
        <f>_xlfn.IFNA((VLOOKUP($A162,'Post 16'!$A:$AG,33,FALSE)/8),0)</f>
        <v>0</v>
      </c>
      <c r="CV162" s="333">
        <f>_xlfn.IFNA((VLOOKUP($A162,EY!$A:$AB,26,FALSE)*80%),0)</f>
        <v>0</v>
      </c>
      <c r="CW162" s="333">
        <f>_xlfn.IFNA(((VLOOKUP($A162,HN!$A:$M,10,FALSE)-$U162-$AK162)/10),0)</f>
        <v>1079.8166666666666</v>
      </c>
      <c r="CX162" s="333">
        <f>_xlfn.IFNA(((VLOOKUP($A162,HN!$A:$M,13,FALSE)-$V162-$AL162)/10),0)</f>
        <v>0</v>
      </c>
      <c r="CY162" s="332">
        <f t="shared" si="239"/>
        <v>-421.22499999999997</v>
      </c>
      <c r="CZ162" s="332">
        <f t="shared" si="240"/>
        <v>-1799.5395416666668</v>
      </c>
      <c r="DA162" s="333"/>
      <c r="DB162" s="333"/>
      <c r="DC162" s="333"/>
      <c r="DD162" s="332">
        <f t="shared" si="241"/>
        <v>140861.63183007832</v>
      </c>
      <c r="DE162" s="314">
        <f t="shared" si="242"/>
        <v>113402.68370507831</v>
      </c>
      <c r="DF162" s="314"/>
      <c r="DG162" s="314"/>
      <c r="DH162" s="315">
        <f>_xlfn.IFNA((VLOOKUP($A162,HN!$A:$M,8,FALSE)/12),0)</f>
        <v>0</v>
      </c>
      <c r="DI162" s="315">
        <f>_xlfn.IFNA((VLOOKUP($A162,HN!$A:$M,12,FALSE)/12),0)</f>
        <v>0</v>
      </c>
      <c r="DJ162" s="315">
        <f>_xlfn.IFNA((VLOOKUP($A162,HN!$A:$M,9,FALSE)/12),0)</f>
        <v>0</v>
      </c>
      <c r="DK162" s="315">
        <f>_xlfn.IFNA((VLOOKUP($A162,'Post 16'!$A:$AG,33,FALSE)/8),0)</f>
        <v>0</v>
      </c>
      <c r="DL162" s="315"/>
      <c r="DM162" s="315">
        <f>_xlfn.IFNA(((VLOOKUP($A162,HN!$A:$M,10,FALSE)-$U162-$AK162)/10),0)</f>
        <v>1079.8166666666666</v>
      </c>
      <c r="DN162" s="315">
        <f>_xlfn.IFNA(((VLOOKUP($A162,HN!$A:$M,13,FALSE)-$V162-$AL162)/10),0)</f>
        <v>0</v>
      </c>
      <c r="DO162" s="314">
        <f t="shared" si="243"/>
        <v>-421.22499999999997</v>
      </c>
      <c r="DP162" s="314">
        <f t="shared" si="244"/>
        <v>-1799.5395416666668</v>
      </c>
      <c r="DQ162" s="315"/>
      <c r="DR162" s="315"/>
      <c r="DS162" s="315"/>
      <c r="DT162" s="314">
        <f t="shared" si="245"/>
        <v>112261.73583007829</v>
      </c>
      <c r="DU162" s="307">
        <f t="shared" si="246"/>
        <v>113402.68370507831</v>
      </c>
      <c r="DV162" s="307"/>
      <c r="DW162" s="307"/>
      <c r="DX162" s="308">
        <f>_xlfn.IFNA((VLOOKUP($A162,HN!$A:$M,8,FALSE)/12),0)</f>
        <v>0</v>
      </c>
      <c r="DY162" s="308">
        <f>_xlfn.IFNA((VLOOKUP($A162,HN!$A:$M,12,FALSE)/12),0)</f>
        <v>0</v>
      </c>
      <c r="DZ162" s="308">
        <f>_xlfn.IFNA((VLOOKUP($A162,HN!$A:$M,9,FALSE)/12),0)</f>
        <v>0</v>
      </c>
      <c r="EA162" s="308">
        <f>_xlfn.IFNA((VLOOKUP($A162,'Post 16'!$A:$AG,33,FALSE)/8),0)</f>
        <v>0</v>
      </c>
      <c r="EB162" s="308"/>
      <c r="EC162" s="308">
        <f>_xlfn.IFNA(((VLOOKUP($A162,HN!$A:$M,10,FALSE)-$U162-$AK162)/10),0)</f>
        <v>1079.8166666666666</v>
      </c>
      <c r="ED162" s="308">
        <f>_xlfn.IFNA(((VLOOKUP($A162,HN!$A:$M,13,FALSE)-$V162-$AL162)/10),0)</f>
        <v>0</v>
      </c>
      <c r="EE162" s="307">
        <f t="shared" si="247"/>
        <v>-421.22499999999997</v>
      </c>
      <c r="EF162" s="307">
        <f t="shared" si="248"/>
        <v>-1799.5395416666668</v>
      </c>
      <c r="EG162" s="308"/>
      <c r="EH162" s="308"/>
      <c r="EI162" s="308"/>
      <c r="EJ162" s="307">
        <f t="shared" si="249"/>
        <v>112261.73583007829</v>
      </c>
      <c r="EK162" s="320">
        <f t="shared" si="250"/>
        <v>113402.68370507831</v>
      </c>
      <c r="EL162" s="320"/>
      <c r="EM162" s="320"/>
      <c r="EN162" s="321">
        <f>_xlfn.IFNA((VLOOKUP($A162,HN!$A:$M,8,FALSE)/12),0)</f>
        <v>0</v>
      </c>
      <c r="EO162" s="321">
        <f>_xlfn.IFNA((VLOOKUP($A162,HN!$A:$M,12,FALSE)/12),0)</f>
        <v>0</v>
      </c>
      <c r="EP162" s="321">
        <f>_xlfn.IFNA((VLOOKUP($A162,HN!$A:$M,9,FALSE)/12),0)</f>
        <v>0</v>
      </c>
      <c r="EQ162" s="321">
        <f>_xlfn.IFNA((VLOOKUP($A162,'Post 16'!$A:$AG,33,FALSE)/8),0)</f>
        <v>0</v>
      </c>
      <c r="ER162" s="321"/>
      <c r="ES162" s="321">
        <f>_xlfn.IFNA(((VLOOKUP($A162,HN!$A:$M,10,FALSE)-$U162-$AK162)/10),0)</f>
        <v>1079.8166666666666</v>
      </c>
      <c r="ET162" s="321">
        <f>_xlfn.IFNA(((VLOOKUP($A162,HN!$A:$M,13,FALSE)-$V162-$AL162)/10),0)</f>
        <v>0</v>
      </c>
      <c r="EU162" s="320">
        <f t="shared" si="251"/>
        <v>-421.22499999999997</v>
      </c>
      <c r="EV162" s="320">
        <f t="shared" si="252"/>
        <v>-1799.5395416666668</v>
      </c>
      <c r="EW162" s="321"/>
      <c r="EX162" s="321"/>
      <c r="EY162" s="321"/>
      <c r="EZ162" s="320">
        <f t="shared" si="253"/>
        <v>112261.73583007829</v>
      </c>
      <c r="FA162" s="286">
        <f t="shared" si="254"/>
        <v>113402.68370507831</v>
      </c>
      <c r="FB162" s="286"/>
      <c r="FC162" s="286"/>
      <c r="FD162" s="287">
        <f>_xlfn.IFNA((VLOOKUP($A162,HN!$A:$M,8,FALSE)/12),0)</f>
        <v>0</v>
      </c>
      <c r="FE162" s="287">
        <f>_xlfn.IFNA((VLOOKUP($A162,HN!$A:$M,12,FALSE)/12),0)</f>
        <v>0</v>
      </c>
      <c r="FF162" s="287">
        <f>_xlfn.IFNA((VLOOKUP($A162,HN!$A:$M,9,FALSE)/12),0)</f>
        <v>0</v>
      </c>
      <c r="FG162" s="287">
        <f>_xlfn.IFNA((VLOOKUP($A162,'Post 16'!$A:$AG,33,FALSE)/8),0)</f>
        <v>0</v>
      </c>
      <c r="FH162" s="287"/>
      <c r="FI162" s="287">
        <f>_xlfn.IFNA(((VLOOKUP($A162,HN!$A:$M,10,FALSE)-$U162-$AK162)/10),0)</f>
        <v>1079.8166666666666</v>
      </c>
      <c r="FJ162" s="287">
        <f>_xlfn.IFNA(((VLOOKUP($A162,HN!$A:$M,13,FALSE)-$V162-$AL162)/10),0)</f>
        <v>0</v>
      </c>
      <c r="FK162" s="286">
        <f t="shared" si="255"/>
        <v>-421.22499999999997</v>
      </c>
      <c r="FL162" s="286">
        <f t="shared" si="256"/>
        <v>-1799.5395416666668</v>
      </c>
      <c r="FM162" s="287"/>
      <c r="FN162" s="287"/>
      <c r="FO162" s="287"/>
      <c r="FP162" s="286">
        <f t="shared" si="257"/>
        <v>112261.73583007829</v>
      </c>
      <c r="FQ162" s="293">
        <f t="shared" si="258"/>
        <v>113402.68370507831</v>
      </c>
      <c r="FR162" s="293"/>
      <c r="FS162" s="293"/>
      <c r="FT162" s="294">
        <f>_xlfn.IFNA((VLOOKUP($A162,HN!$A:$M,8,FALSE)/12),0)</f>
        <v>0</v>
      </c>
      <c r="FU162" s="294">
        <f>_xlfn.IFNA((VLOOKUP($A162,HN!$A:$M,12,FALSE)/12),0)</f>
        <v>0</v>
      </c>
      <c r="FV162" s="294">
        <f>_xlfn.IFNA((VLOOKUP($A162,HN!$A:$M,9,FALSE)/12),0)</f>
        <v>0</v>
      </c>
      <c r="FW162" s="294">
        <f>_xlfn.IFNA((VLOOKUP($A162,'Post 16'!$A:$AG,33,FALSE)/8),0)</f>
        <v>0</v>
      </c>
      <c r="FX162" s="294"/>
      <c r="FY162" s="294">
        <f>_xlfn.IFNA(((VLOOKUP($A162,HN!$A:$M,10,FALSE)-$U162-$AK162)/10),0)</f>
        <v>1079.8166666666666</v>
      </c>
      <c r="FZ162" s="294">
        <f>_xlfn.IFNA(((VLOOKUP($A162,HN!$A:$M,13,FALSE)-$V162-$AL162)/10),0)</f>
        <v>0</v>
      </c>
      <c r="GA162" s="293">
        <f t="shared" si="259"/>
        <v>-421.22499999999997</v>
      </c>
      <c r="GB162" s="293">
        <f t="shared" si="260"/>
        <v>-1799.5395416666668</v>
      </c>
      <c r="GC162" s="294"/>
      <c r="GD162" s="294"/>
      <c r="GE162" s="294"/>
      <c r="GF162" s="293">
        <f t="shared" si="261"/>
        <v>112261.73583007829</v>
      </c>
      <c r="GG162" s="300">
        <f t="shared" si="262"/>
        <v>113402.68370507831</v>
      </c>
      <c r="GH162" s="300"/>
      <c r="GI162" s="300"/>
      <c r="GJ162" s="301">
        <f>_xlfn.IFNA((VLOOKUP($A162,HN!$A:$M,8,FALSE)/12),0)</f>
        <v>0</v>
      </c>
      <c r="GK162" s="301">
        <f>_xlfn.IFNA((VLOOKUP($A162,HN!$A:$M,12,FALSE)/12),0)</f>
        <v>0</v>
      </c>
      <c r="GL162" s="301">
        <f>_xlfn.IFNA((VLOOKUP($A162,HN!$A:$M,9,FALSE)/12),0)</f>
        <v>0</v>
      </c>
      <c r="GM162" s="301">
        <f>_xlfn.IFNA((VLOOKUP($A162,'Post 16'!$A:$AG,33,FALSE)/8),0)</f>
        <v>0</v>
      </c>
      <c r="GN162" s="301"/>
      <c r="GO162" s="301">
        <f>_xlfn.IFNA(((VLOOKUP($A162,HN!$A:$M,10,FALSE)-$U162-$AK162)/10),0)</f>
        <v>1079.8166666666666</v>
      </c>
      <c r="GP162" s="301">
        <f>_xlfn.IFNA(((VLOOKUP($A162,HN!$A:$M,13,FALSE)-$V162-$AL162)/10),0)</f>
        <v>0</v>
      </c>
      <c r="GQ162" s="300">
        <f t="shared" si="263"/>
        <v>-421.22499999999997</v>
      </c>
      <c r="GR162" s="300">
        <f t="shared" si="264"/>
        <v>-1799.5395416666668</v>
      </c>
      <c r="GS162" s="301"/>
      <c r="GT162" s="301"/>
      <c r="GU162" s="301"/>
      <c r="GV162" s="300">
        <f t="shared" si="265"/>
        <v>112261.73583007829</v>
      </c>
      <c r="GX162" s="146">
        <f t="shared" si="270"/>
        <v>1429469.7545329614</v>
      </c>
      <c r="GY162" s="146">
        <f t="shared" si="270"/>
        <v>0</v>
      </c>
      <c r="GZ162" s="146">
        <f t="shared" si="270"/>
        <v>13289.999999999996</v>
      </c>
      <c r="HA162" s="146">
        <f t="shared" si="270"/>
        <v>-5054.7000000000007</v>
      </c>
      <c r="HB162" s="146">
        <f t="shared" si="270"/>
        <v>-21594.474499999997</v>
      </c>
      <c r="HC162" s="146">
        <f t="shared" si="270"/>
        <v>0</v>
      </c>
      <c r="HE162" s="146">
        <f t="shared" si="271"/>
        <v>380245.70518725709</v>
      </c>
      <c r="HF162" s="146">
        <f t="shared" si="271"/>
        <v>0</v>
      </c>
      <c r="HG162" s="146">
        <f t="shared" si="271"/>
        <v>3571.6499999999996</v>
      </c>
      <c r="HH162" s="146">
        <f t="shared" si="271"/>
        <v>-1263.675</v>
      </c>
      <c r="HI162" s="146">
        <f t="shared" si="271"/>
        <v>-5398.6186250000001</v>
      </c>
      <c r="HJ162" s="146">
        <f t="shared" si="271"/>
        <v>0</v>
      </c>
      <c r="HL162" s="146"/>
      <c r="HM162" s="57"/>
    </row>
    <row r="163" spans="1:221">
      <c r="A163" s="185">
        <v>2184</v>
      </c>
      <c r="B163" s="185">
        <v>103262</v>
      </c>
      <c r="C163" s="185" t="s">
        <v>353</v>
      </c>
      <c r="D163" s="2" t="s">
        <v>354</v>
      </c>
      <c r="E163" s="190" t="s">
        <v>39</v>
      </c>
      <c r="F163" s="190" t="s">
        <v>890</v>
      </c>
      <c r="H163" s="271">
        <f>_xlfn.IFNA(VLOOKUP($A163,ISB!$A$4:$BY$441,67,FALSE),0)</f>
        <v>2608197.2493892107</v>
      </c>
      <c r="I163" s="271">
        <f>_xlfn.IFNA(VLOOKUP($A163,ISB!$A$4:$BY$441,72,FALSE),0)</f>
        <v>-10482.9</v>
      </c>
      <c r="J163" s="271">
        <f>-_xlfn.IFNA(VLOOKUP($A163,ISB!$A$4:$BY$441,76,FALSE),0)</f>
        <v>-44087.179499999998</v>
      </c>
      <c r="K163" s="271">
        <f>_xlfn.IFNA(VLOOKUP($A163,ISB!$A$4:$BY$441,77,FALSE),0)</f>
        <v>2553627.1698892107</v>
      </c>
      <c r="M163" s="279">
        <f t="shared" si="218"/>
        <v>217349.77078243424</v>
      </c>
      <c r="N163" s="279"/>
      <c r="O163" s="279">
        <f>_xlfn.IFNA(VLOOKUP($A163,EY!$A:$H,8,FALSE)+(VLOOKUP($A163,EY!$A:$R,18,FALSE)-$T163),0)</f>
        <v>0</v>
      </c>
      <c r="P163" s="280">
        <f>_xlfn.IFNA((VLOOKUP($A163,HN!$A:$M,8,FALSE)/12),0)</f>
        <v>0</v>
      </c>
      <c r="Q163" s="280">
        <f>_xlfn.IFNA((VLOOKUP($A163,HN!$A:$M,12,FALSE)/12),0)</f>
        <v>0</v>
      </c>
      <c r="R163" s="280">
        <f>_xlfn.IFNA((VLOOKUP($A163,HN!$A:$M,9,FALSE)/12),0)</f>
        <v>0</v>
      </c>
      <c r="S163" s="280">
        <f>_xlfn.IFNA((VLOOKUP($A163,'Post 16'!$A:$AR,22,FALSE)/4),0)</f>
        <v>0</v>
      </c>
      <c r="T163" s="280">
        <f>_xlfn.IFNA((VLOOKUP($A163,EY!$A:$R,16,FALSE)*80%),0)</f>
        <v>0</v>
      </c>
      <c r="U163" s="280">
        <v>8884.0133333333342</v>
      </c>
      <c r="V163" s="280">
        <v>0</v>
      </c>
      <c r="W163" s="279">
        <f t="shared" si="219"/>
        <v>-873.57499999999993</v>
      </c>
      <c r="X163" s="279">
        <f t="shared" si="220"/>
        <v>-3673.9316249999997</v>
      </c>
      <c r="Y163" s="280"/>
      <c r="Z163" s="280"/>
      <c r="AA163" s="280"/>
      <c r="AB163" s="279">
        <f t="shared" si="221"/>
        <v>221686.27749076756</v>
      </c>
      <c r="AC163" s="293">
        <f t="shared" si="222"/>
        <v>217349.77078243424</v>
      </c>
      <c r="AD163" s="293"/>
      <c r="AE163" s="293"/>
      <c r="AF163" s="294">
        <f>_xlfn.IFNA((VLOOKUP($A163,HN!$A:$M,8,FALSE)/12),0)</f>
        <v>0</v>
      </c>
      <c r="AG163" s="294">
        <f>_xlfn.IFNA((VLOOKUP($A163,HN!$A:$M,12,FALSE)/12),0)+_xlfn.IFNA(VLOOKUP($A163,HN!$A:$Q,17,FALSE),0)</f>
        <v>0</v>
      </c>
      <c r="AH163" s="294">
        <f>_xlfn.IFNA((VLOOKUP($A163,HN!$A:$M,9,FALSE)/12),0)</f>
        <v>0</v>
      </c>
      <c r="AI163" s="294">
        <f>_xlfn.IFNA((VLOOKUP($A163,'Post 16'!$A:$AR,22,FALSE)/4),0)</f>
        <v>0</v>
      </c>
      <c r="AJ163" s="294"/>
      <c r="AK163" s="294">
        <f>_xlfn.IFNA((VLOOKUP($A163,HN!$A:$M,10,FALSE)/12),0)</f>
        <v>4840.1808333333329</v>
      </c>
      <c r="AL163" s="294">
        <f>_xlfn.IFNA((VLOOKUP($A163,HN!$A:$M,13,FALSE)/12),0)</f>
        <v>0</v>
      </c>
      <c r="AM163" s="293">
        <f t="shared" si="223"/>
        <v>-873.57499999999993</v>
      </c>
      <c r="AN163" s="293">
        <f t="shared" si="224"/>
        <v>-3673.9316249999997</v>
      </c>
      <c r="AO163" s="294"/>
      <c r="AP163" s="294"/>
      <c r="AQ163" s="294"/>
      <c r="AR163" s="293">
        <f t="shared" si="225"/>
        <v>217642.44499076757</v>
      </c>
      <c r="AS163" s="286">
        <f t="shared" si="226"/>
        <v>217349.77078243424</v>
      </c>
      <c r="AT163" s="286"/>
      <c r="AU163" s="286">
        <f>_xlfn.IFNA(VLOOKUP(A163,EY!A:AO,40,FALSE),0)</f>
        <v>0</v>
      </c>
      <c r="AV163" s="287">
        <f>_xlfn.IFNA((VLOOKUP($A163,HN!$A:$M,8,FALSE)/12),0)</f>
        <v>0</v>
      </c>
      <c r="AW163" s="287">
        <f>_xlfn.IFNA((VLOOKUP($A163,HN!$A:$M,12,FALSE)/12),0)+_xlfn.IFNA(VLOOKUP($A163,HN!$A$8:$AU$200,19,FALSE),0)</f>
        <v>0</v>
      </c>
      <c r="AX163" s="287">
        <f>_xlfn.IFNA((VLOOKUP($A163,HN!$A:$M,9,FALSE)/12),0)</f>
        <v>0</v>
      </c>
      <c r="AY163" s="287">
        <f>_xlfn.IFNA((VLOOKUP($A163,'Post 16'!$A:$AR,22,FALSE)/4),0)</f>
        <v>0</v>
      </c>
      <c r="AZ163" s="287">
        <f>_xlfn.IFNA(VLOOKUP(A163,EY!A:AO,41,FALSE),0)</f>
        <v>0</v>
      </c>
      <c r="BA163" s="287">
        <f>_xlfn.IFNA(((VLOOKUP($A163,HN!$A:$M,10,FALSE)-$U163-$AK163)/10),0)+_xlfn.IFNA(VLOOKUP($A163,HN!$A:$R,18,FALSE),0)</f>
        <v>4435.797583333333</v>
      </c>
      <c r="BB163" s="287">
        <f>_xlfn.IFNA(((VLOOKUP($A163,HN!$A:$M,13,FALSE)-$V163-$AL163)/10),0)+_xlfn.IFNA(VLOOKUP($A163,HN!$A$8:$AU$200,20,FALSE),0)</f>
        <v>0</v>
      </c>
      <c r="BC163" s="286">
        <f t="shared" si="227"/>
        <v>-873.57499999999993</v>
      </c>
      <c r="BD163" s="286">
        <f t="shared" si="228"/>
        <v>-3673.9316249999997</v>
      </c>
      <c r="BE163" s="287"/>
      <c r="BF163" s="287"/>
      <c r="BG163" s="287"/>
      <c r="BH163" s="286">
        <f t="shared" si="229"/>
        <v>217238.06174076756</v>
      </c>
      <c r="BI163" s="307">
        <f t="shared" si="230"/>
        <v>217349.77078243424</v>
      </c>
      <c r="BJ163" s="307">
        <f>_xlfn.IFNA(VLOOKUP(A163,'LA Deductions'!A:AH,34,FALSE),0)</f>
        <v>0</v>
      </c>
      <c r="BK163" s="307"/>
      <c r="BL163" s="308">
        <f>_xlfn.IFNA((VLOOKUP($A163,HN!$A:$M,8,FALSE)/12),0)</f>
        <v>0</v>
      </c>
      <c r="BM163" s="308">
        <f>_xlfn.IFNA((VLOOKUP($A163,HN!$A:$M,12,FALSE)/12),0)</f>
        <v>0</v>
      </c>
      <c r="BN163" s="308">
        <f>_xlfn.IFNA((VLOOKUP($A163,HN!$A:$M,9,FALSE)/12),0)</f>
        <v>0</v>
      </c>
      <c r="BO163" s="308">
        <f>_xlfn.IFNA((VLOOKUP($A163,'Post 16'!$A:$AR,22,FALSE)/4),0)</f>
        <v>0</v>
      </c>
      <c r="BP163" s="308"/>
      <c r="BQ163" s="308">
        <f>_xlfn.IFNA(((VLOOKUP($A163,HN!$A:$M,10,FALSE)-$U163-$AK163)/10),0)</f>
        <v>4435.797583333333</v>
      </c>
      <c r="BR163" s="308">
        <f>_xlfn.IFNA(((VLOOKUP($A163,HN!$A:$M,13,FALSE)-$V163-$AL163)/10),0)</f>
        <v>0</v>
      </c>
      <c r="BS163" s="307">
        <f t="shared" si="231"/>
        <v>-873.57499999999993</v>
      </c>
      <c r="BT163" s="307">
        <f t="shared" si="232"/>
        <v>-3673.9316249999997</v>
      </c>
      <c r="BU163" s="308"/>
      <c r="BV163" s="308"/>
      <c r="BW163" s="308"/>
      <c r="BX163" s="307">
        <f t="shared" si="233"/>
        <v>217238.06174076756</v>
      </c>
      <c r="BY163" s="300">
        <f t="shared" si="234"/>
        <v>217349.77078243424</v>
      </c>
      <c r="BZ163" s="300"/>
      <c r="CA163" s="300"/>
      <c r="CB163" s="301">
        <f>_xlfn.IFNA((VLOOKUP($A163,HN!$A:$M,8,FALSE)/12),0)</f>
        <v>0</v>
      </c>
      <c r="CC163" s="301">
        <f>_xlfn.IFNA((VLOOKUP($A163,HN!$A:$M,12,FALSE)/12),0)</f>
        <v>0</v>
      </c>
      <c r="CD163" s="301">
        <f>_xlfn.IFNA((VLOOKUP($A163,HN!$A:$M,9,FALSE)/12),0)</f>
        <v>0</v>
      </c>
      <c r="CE163" s="301">
        <f>_xlfn.IFNA((VLOOKUP($A163,'Post 16'!$A:$AG,33,FALSE)/8),0)</f>
        <v>0</v>
      </c>
      <c r="CF163" s="301"/>
      <c r="CG163" s="301">
        <f>_xlfn.IFNA(((VLOOKUP($A163,HN!$A:$M,10,FALSE)-$U163-$AK163)/10),0)</f>
        <v>4435.797583333333</v>
      </c>
      <c r="CH163" s="301">
        <f>_xlfn.IFNA(((VLOOKUP($A163,HN!$A:$M,13,FALSE)-$V163-$AL163)/10),0)</f>
        <v>0</v>
      </c>
      <c r="CI163" s="300">
        <f t="shared" si="235"/>
        <v>-873.57499999999993</v>
      </c>
      <c r="CJ163" s="300">
        <f t="shared" si="236"/>
        <v>-3673.9316249999997</v>
      </c>
      <c r="CK163" s="301"/>
      <c r="CL163" s="301"/>
      <c r="CM163" s="301"/>
      <c r="CN163" s="300">
        <f t="shared" si="237"/>
        <v>217238.06174076756</v>
      </c>
      <c r="CO163" s="332">
        <f t="shared" si="238"/>
        <v>217349.77078243424</v>
      </c>
      <c r="CP163" s="332"/>
      <c r="CQ163" s="332">
        <f>_xlfn.IFNA((VLOOKUP($A163,EY!$A:$AB,28,FALSE)-$CV163),0)</f>
        <v>0</v>
      </c>
      <c r="CR163" s="333">
        <f>_xlfn.IFNA((VLOOKUP($A163,HN!$A:$M,8,FALSE)/12),0)</f>
        <v>0</v>
      </c>
      <c r="CS163" s="333">
        <f>_xlfn.IFNA((VLOOKUP($A163,HN!$A:$M,12,FALSE)/12),0)</f>
        <v>0</v>
      </c>
      <c r="CT163" s="333">
        <f>_xlfn.IFNA((VLOOKUP($A163,HN!$A:$M,9,FALSE)/12),0)</f>
        <v>0</v>
      </c>
      <c r="CU163" s="333">
        <f>_xlfn.IFNA((VLOOKUP($A163,'Post 16'!$A:$AG,33,FALSE)/8),0)</f>
        <v>0</v>
      </c>
      <c r="CV163" s="333">
        <f>_xlfn.IFNA((VLOOKUP($A163,EY!$A:$AB,26,FALSE)*80%),0)</f>
        <v>0</v>
      </c>
      <c r="CW163" s="333">
        <f>_xlfn.IFNA(((VLOOKUP($A163,HN!$A:$M,10,FALSE)-$U163-$AK163)/10),0)</f>
        <v>4435.797583333333</v>
      </c>
      <c r="CX163" s="333">
        <f>_xlfn.IFNA(((VLOOKUP($A163,HN!$A:$M,13,FALSE)-$V163-$AL163)/10),0)</f>
        <v>0</v>
      </c>
      <c r="CY163" s="332">
        <f t="shared" si="239"/>
        <v>-873.57499999999993</v>
      </c>
      <c r="CZ163" s="332">
        <f t="shared" si="240"/>
        <v>-3673.9316249999997</v>
      </c>
      <c r="DA163" s="333"/>
      <c r="DB163" s="333"/>
      <c r="DC163" s="333"/>
      <c r="DD163" s="332">
        <f t="shared" si="241"/>
        <v>217238.06174076756</v>
      </c>
      <c r="DE163" s="314">
        <f t="shared" si="242"/>
        <v>217349.77078243424</v>
      </c>
      <c r="DF163" s="314"/>
      <c r="DG163" s="314"/>
      <c r="DH163" s="315">
        <f>_xlfn.IFNA((VLOOKUP($A163,HN!$A:$M,8,FALSE)/12),0)</f>
        <v>0</v>
      </c>
      <c r="DI163" s="315">
        <f>_xlfn.IFNA((VLOOKUP($A163,HN!$A:$M,12,FALSE)/12),0)</f>
        <v>0</v>
      </c>
      <c r="DJ163" s="315">
        <f>_xlfn.IFNA((VLOOKUP($A163,HN!$A:$M,9,FALSE)/12),0)</f>
        <v>0</v>
      </c>
      <c r="DK163" s="315">
        <f>_xlfn.IFNA((VLOOKUP($A163,'Post 16'!$A:$AG,33,FALSE)/8),0)</f>
        <v>0</v>
      </c>
      <c r="DL163" s="315"/>
      <c r="DM163" s="315">
        <f>_xlfn.IFNA(((VLOOKUP($A163,HN!$A:$M,10,FALSE)-$U163-$AK163)/10),0)</f>
        <v>4435.797583333333</v>
      </c>
      <c r="DN163" s="315">
        <f>_xlfn.IFNA(((VLOOKUP($A163,HN!$A:$M,13,FALSE)-$V163-$AL163)/10),0)</f>
        <v>0</v>
      </c>
      <c r="DO163" s="314">
        <f t="shared" si="243"/>
        <v>-873.57499999999993</v>
      </c>
      <c r="DP163" s="314">
        <f t="shared" si="244"/>
        <v>-3673.9316249999997</v>
      </c>
      <c r="DQ163" s="315"/>
      <c r="DR163" s="315"/>
      <c r="DS163" s="315"/>
      <c r="DT163" s="314">
        <f t="shared" si="245"/>
        <v>217238.06174076756</v>
      </c>
      <c r="DU163" s="307">
        <f t="shared" si="246"/>
        <v>217349.77078243424</v>
      </c>
      <c r="DV163" s="307"/>
      <c r="DW163" s="307"/>
      <c r="DX163" s="308">
        <f>_xlfn.IFNA((VLOOKUP($A163,HN!$A:$M,8,FALSE)/12),0)</f>
        <v>0</v>
      </c>
      <c r="DY163" s="308">
        <f>_xlfn.IFNA((VLOOKUP($A163,HN!$A:$M,12,FALSE)/12),0)</f>
        <v>0</v>
      </c>
      <c r="DZ163" s="308">
        <f>_xlfn.IFNA((VLOOKUP($A163,HN!$A:$M,9,FALSE)/12),0)</f>
        <v>0</v>
      </c>
      <c r="EA163" s="308">
        <f>_xlfn.IFNA((VLOOKUP($A163,'Post 16'!$A:$AG,33,FALSE)/8),0)</f>
        <v>0</v>
      </c>
      <c r="EB163" s="308"/>
      <c r="EC163" s="308">
        <f>_xlfn.IFNA(((VLOOKUP($A163,HN!$A:$M,10,FALSE)-$U163-$AK163)/10),0)</f>
        <v>4435.797583333333</v>
      </c>
      <c r="ED163" s="308">
        <f>_xlfn.IFNA(((VLOOKUP($A163,HN!$A:$M,13,FALSE)-$V163-$AL163)/10),0)</f>
        <v>0</v>
      </c>
      <c r="EE163" s="307">
        <f t="shared" si="247"/>
        <v>-873.57499999999993</v>
      </c>
      <c r="EF163" s="307">
        <f t="shared" si="248"/>
        <v>-3673.9316249999997</v>
      </c>
      <c r="EG163" s="308"/>
      <c r="EH163" s="308"/>
      <c r="EI163" s="308"/>
      <c r="EJ163" s="307">
        <f t="shared" si="249"/>
        <v>217238.06174076756</v>
      </c>
      <c r="EK163" s="320">
        <f t="shared" si="250"/>
        <v>217349.77078243424</v>
      </c>
      <c r="EL163" s="320"/>
      <c r="EM163" s="320"/>
      <c r="EN163" s="321">
        <f>_xlfn.IFNA((VLOOKUP($A163,HN!$A:$M,8,FALSE)/12),0)</f>
        <v>0</v>
      </c>
      <c r="EO163" s="321">
        <f>_xlfn.IFNA((VLOOKUP($A163,HN!$A:$M,12,FALSE)/12),0)</f>
        <v>0</v>
      </c>
      <c r="EP163" s="321">
        <f>_xlfn.IFNA((VLOOKUP($A163,HN!$A:$M,9,FALSE)/12),0)</f>
        <v>0</v>
      </c>
      <c r="EQ163" s="321">
        <f>_xlfn.IFNA((VLOOKUP($A163,'Post 16'!$A:$AG,33,FALSE)/8),0)</f>
        <v>0</v>
      </c>
      <c r="ER163" s="321"/>
      <c r="ES163" s="321">
        <f>_xlfn.IFNA(((VLOOKUP($A163,HN!$A:$M,10,FALSE)-$U163-$AK163)/10),0)</f>
        <v>4435.797583333333</v>
      </c>
      <c r="ET163" s="321">
        <f>_xlfn.IFNA(((VLOOKUP($A163,HN!$A:$M,13,FALSE)-$V163-$AL163)/10),0)</f>
        <v>0</v>
      </c>
      <c r="EU163" s="320">
        <f t="shared" si="251"/>
        <v>-873.57499999999993</v>
      </c>
      <c r="EV163" s="320">
        <f t="shared" si="252"/>
        <v>-3673.9316249999997</v>
      </c>
      <c r="EW163" s="321"/>
      <c r="EX163" s="321"/>
      <c r="EY163" s="321"/>
      <c r="EZ163" s="320">
        <f t="shared" si="253"/>
        <v>217238.06174076756</v>
      </c>
      <c r="FA163" s="286">
        <f t="shared" si="254"/>
        <v>217349.77078243424</v>
      </c>
      <c r="FB163" s="286"/>
      <c r="FC163" s="286"/>
      <c r="FD163" s="287">
        <f>_xlfn.IFNA((VLOOKUP($A163,HN!$A:$M,8,FALSE)/12),0)</f>
        <v>0</v>
      </c>
      <c r="FE163" s="287">
        <f>_xlfn.IFNA((VLOOKUP($A163,HN!$A:$M,12,FALSE)/12),0)</f>
        <v>0</v>
      </c>
      <c r="FF163" s="287">
        <f>_xlfn.IFNA((VLOOKUP($A163,HN!$A:$M,9,FALSE)/12),0)</f>
        <v>0</v>
      </c>
      <c r="FG163" s="287">
        <f>_xlfn.IFNA((VLOOKUP($A163,'Post 16'!$A:$AG,33,FALSE)/8),0)</f>
        <v>0</v>
      </c>
      <c r="FH163" s="287"/>
      <c r="FI163" s="287">
        <f>_xlfn.IFNA(((VLOOKUP($A163,HN!$A:$M,10,FALSE)-$U163-$AK163)/10),0)</f>
        <v>4435.797583333333</v>
      </c>
      <c r="FJ163" s="287">
        <f>_xlfn.IFNA(((VLOOKUP($A163,HN!$A:$M,13,FALSE)-$V163-$AL163)/10),0)</f>
        <v>0</v>
      </c>
      <c r="FK163" s="286">
        <f t="shared" si="255"/>
        <v>-873.57499999999993</v>
      </c>
      <c r="FL163" s="286">
        <f t="shared" si="256"/>
        <v>-3673.9316249999997</v>
      </c>
      <c r="FM163" s="287"/>
      <c r="FN163" s="287"/>
      <c r="FO163" s="287"/>
      <c r="FP163" s="286">
        <f t="shared" si="257"/>
        <v>217238.06174076756</v>
      </c>
      <c r="FQ163" s="293">
        <f t="shared" si="258"/>
        <v>217349.77078243424</v>
      </c>
      <c r="FR163" s="293"/>
      <c r="FS163" s="293"/>
      <c r="FT163" s="294">
        <f>_xlfn.IFNA((VLOOKUP($A163,HN!$A:$M,8,FALSE)/12),0)</f>
        <v>0</v>
      </c>
      <c r="FU163" s="294">
        <f>_xlfn.IFNA((VLOOKUP($A163,HN!$A:$M,12,FALSE)/12),0)</f>
        <v>0</v>
      </c>
      <c r="FV163" s="294">
        <f>_xlfn.IFNA((VLOOKUP($A163,HN!$A:$M,9,FALSE)/12),0)</f>
        <v>0</v>
      </c>
      <c r="FW163" s="294">
        <f>_xlfn.IFNA((VLOOKUP($A163,'Post 16'!$A:$AG,33,FALSE)/8),0)</f>
        <v>0</v>
      </c>
      <c r="FX163" s="294"/>
      <c r="FY163" s="294">
        <f>_xlfn.IFNA(((VLOOKUP($A163,HN!$A:$M,10,FALSE)-$U163-$AK163)/10),0)</f>
        <v>4435.797583333333</v>
      </c>
      <c r="FZ163" s="294">
        <f>_xlfn.IFNA(((VLOOKUP($A163,HN!$A:$M,13,FALSE)-$V163-$AL163)/10),0)</f>
        <v>0</v>
      </c>
      <c r="GA163" s="293">
        <f t="shared" si="259"/>
        <v>-873.57499999999993</v>
      </c>
      <c r="GB163" s="293">
        <f t="shared" si="260"/>
        <v>-3673.9316249999997</v>
      </c>
      <c r="GC163" s="294"/>
      <c r="GD163" s="294"/>
      <c r="GE163" s="294"/>
      <c r="GF163" s="293">
        <f t="shared" si="261"/>
        <v>217238.06174076756</v>
      </c>
      <c r="GG163" s="300">
        <f t="shared" si="262"/>
        <v>217349.77078243424</v>
      </c>
      <c r="GH163" s="300"/>
      <c r="GI163" s="300"/>
      <c r="GJ163" s="301">
        <f>_xlfn.IFNA((VLOOKUP($A163,HN!$A:$M,8,FALSE)/12),0)</f>
        <v>0</v>
      </c>
      <c r="GK163" s="301">
        <f>_xlfn.IFNA((VLOOKUP($A163,HN!$A:$M,12,FALSE)/12),0)</f>
        <v>0</v>
      </c>
      <c r="GL163" s="301">
        <f>_xlfn.IFNA((VLOOKUP($A163,HN!$A:$M,9,FALSE)/12),0)</f>
        <v>0</v>
      </c>
      <c r="GM163" s="301">
        <f>_xlfn.IFNA((VLOOKUP($A163,'Post 16'!$A:$AG,33,FALSE)/8),0)</f>
        <v>0</v>
      </c>
      <c r="GN163" s="301"/>
      <c r="GO163" s="301">
        <f>_xlfn.IFNA(((VLOOKUP($A163,HN!$A:$M,10,FALSE)-$U163-$AK163)/10),0)</f>
        <v>4435.797583333333</v>
      </c>
      <c r="GP163" s="301">
        <f>_xlfn.IFNA(((VLOOKUP($A163,HN!$A:$M,13,FALSE)-$V163-$AL163)/10),0)</f>
        <v>0</v>
      </c>
      <c r="GQ163" s="300">
        <f t="shared" si="263"/>
        <v>-873.57499999999993</v>
      </c>
      <c r="GR163" s="300">
        <f t="shared" si="264"/>
        <v>-3673.9316249999997</v>
      </c>
      <c r="GS163" s="301"/>
      <c r="GT163" s="301"/>
      <c r="GU163" s="301"/>
      <c r="GV163" s="300">
        <f t="shared" si="265"/>
        <v>217238.06174076756</v>
      </c>
      <c r="GX163" s="146">
        <f t="shared" si="270"/>
        <v>2608197.2493892107</v>
      </c>
      <c r="GY163" s="146">
        <f t="shared" si="270"/>
        <v>0</v>
      </c>
      <c r="GZ163" s="146">
        <f t="shared" si="270"/>
        <v>58082.17</v>
      </c>
      <c r="HA163" s="146">
        <f t="shared" si="270"/>
        <v>-10482.900000000001</v>
      </c>
      <c r="HB163" s="146">
        <f t="shared" si="270"/>
        <v>-44087.179499999991</v>
      </c>
      <c r="HC163" s="146">
        <f t="shared" si="270"/>
        <v>0</v>
      </c>
      <c r="HE163" s="146">
        <f t="shared" si="271"/>
        <v>652049.31234730268</v>
      </c>
      <c r="HF163" s="146">
        <f t="shared" si="271"/>
        <v>0</v>
      </c>
      <c r="HG163" s="146">
        <f t="shared" si="271"/>
        <v>18159.991750000001</v>
      </c>
      <c r="HH163" s="146">
        <f t="shared" si="271"/>
        <v>-2620.7249999999999</v>
      </c>
      <c r="HI163" s="146">
        <f t="shared" si="271"/>
        <v>-11021.794875</v>
      </c>
      <c r="HJ163" s="146">
        <f t="shared" si="271"/>
        <v>0</v>
      </c>
      <c r="HL163" s="146"/>
      <c r="HM163" s="57"/>
    </row>
    <row r="164" spans="1:221">
      <c r="A164" s="185">
        <v>2190</v>
      </c>
      <c r="B164" s="185">
        <v>103266</v>
      </c>
      <c r="C164" s="185" t="s">
        <v>355</v>
      </c>
      <c r="D164" s="2" t="s">
        <v>356</v>
      </c>
      <c r="E164" s="190" t="s">
        <v>39</v>
      </c>
      <c r="F164" s="190" t="s">
        <v>890</v>
      </c>
      <c r="H164" s="271">
        <f>_xlfn.IFNA(VLOOKUP($A164,ISB!$A$4:$BY$441,67,FALSE),0)</f>
        <v>1008783.2044369536</v>
      </c>
      <c r="I164" s="271">
        <f>_xlfn.IFNA(VLOOKUP($A164,ISB!$A$4:$BY$441,72,FALSE),0)</f>
        <v>-3610.5</v>
      </c>
      <c r="J164" s="271">
        <f>-_xlfn.IFNA(VLOOKUP($A164,ISB!$A$4:$BY$441,76,FALSE),0)</f>
        <v>-25808.030500000001</v>
      </c>
      <c r="K164" s="271">
        <f>_xlfn.IFNA(VLOOKUP($A164,ISB!$A$4:$BY$441,77,FALSE),0)</f>
        <v>979364.67393695365</v>
      </c>
      <c r="M164" s="279">
        <f t="shared" si="218"/>
        <v>84065.267036412799</v>
      </c>
      <c r="N164" s="279"/>
      <c r="O164" s="279">
        <f>_xlfn.IFNA(VLOOKUP($A164,EY!$A:$H,8,FALSE)+(VLOOKUP($A164,EY!$A:$R,18,FALSE)-$T164),0)</f>
        <v>0</v>
      </c>
      <c r="P164" s="280">
        <f>_xlfn.IFNA((VLOOKUP($A164,HN!$A:$M,8,FALSE)/12),0)</f>
        <v>0</v>
      </c>
      <c r="Q164" s="280">
        <f>_xlfn.IFNA((VLOOKUP($A164,HN!$A:$M,12,FALSE)/12),0)</f>
        <v>0</v>
      </c>
      <c r="R164" s="280">
        <f>_xlfn.IFNA((VLOOKUP($A164,HN!$A:$M,9,FALSE)/12),0)</f>
        <v>0</v>
      </c>
      <c r="S164" s="280">
        <f>_xlfn.IFNA((VLOOKUP($A164,'Post 16'!$A:$AR,22,FALSE)/4),0)</f>
        <v>0</v>
      </c>
      <c r="T164" s="280">
        <f>_xlfn.IFNA((VLOOKUP($A164,EY!$A:$R,16,FALSE)*80%),0)</f>
        <v>0</v>
      </c>
      <c r="U164" s="280">
        <v>5751.75</v>
      </c>
      <c r="V164" s="280">
        <v>0</v>
      </c>
      <c r="W164" s="279">
        <f t="shared" si="219"/>
        <v>-300.875</v>
      </c>
      <c r="X164" s="279">
        <f t="shared" si="220"/>
        <v>-2150.6692083333332</v>
      </c>
      <c r="Y164" s="280"/>
      <c r="Z164" s="280"/>
      <c r="AA164" s="280"/>
      <c r="AB164" s="279">
        <f t="shared" si="221"/>
        <v>87365.472828079466</v>
      </c>
      <c r="AC164" s="293">
        <f t="shared" si="222"/>
        <v>84065.267036412799</v>
      </c>
      <c r="AD164" s="293"/>
      <c r="AE164" s="293"/>
      <c r="AF164" s="294">
        <f>_xlfn.IFNA((VLOOKUP($A164,HN!$A:$M,8,FALSE)/12),0)</f>
        <v>0</v>
      </c>
      <c r="AG164" s="294">
        <f>_xlfn.IFNA((VLOOKUP($A164,HN!$A:$M,12,FALSE)/12),0)+_xlfn.IFNA(VLOOKUP($A164,HN!$A:$Q,17,FALSE),0)</f>
        <v>0</v>
      </c>
      <c r="AH164" s="294">
        <f>_xlfn.IFNA((VLOOKUP($A164,HN!$A:$M,9,FALSE)/12),0)</f>
        <v>0</v>
      </c>
      <c r="AI164" s="294">
        <f>_xlfn.IFNA((VLOOKUP($A164,'Post 16'!$A:$AR,22,FALSE)/4),0)</f>
        <v>0</v>
      </c>
      <c r="AJ164" s="294"/>
      <c r="AK164" s="294">
        <f>_xlfn.IFNA((VLOOKUP($A164,HN!$A:$M,10,FALSE)/12),0)</f>
        <v>1384.3333333333333</v>
      </c>
      <c r="AL164" s="294">
        <f>_xlfn.IFNA((VLOOKUP($A164,HN!$A:$M,13,FALSE)/12),0)</f>
        <v>0</v>
      </c>
      <c r="AM164" s="293">
        <f t="shared" si="223"/>
        <v>-300.875</v>
      </c>
      <c r="AN164" s="293">
        <f t="shared" si="224"/>
        <v>-2150.6692083333332</v>
      </c>
      <c r="AO164" s="294"/>
      <c r="AP164" s="294"/>
      <c r="AQ164" s="294"/>
      <c r="AR164" s="293">
        <f t="shared" si="225"/>
        <v>82998.056161412795</v>
      </c>
      <c r="AS164" s="286">
        <f t="shared" si="226"/>
        <v>84065.267036412799</v>
      </c>
      <c r="AT164" s="286"/>
      <c r="AU164" s="286">
        <f>_xlfn.IFNA(VLOOKUP(A164,EY!A:AO,40,FALSE),0)</f>
        <v>0</v>
      </c>
      <c r="AV164" s="287">
        <f>_xlfn.IFNA((VLOOKUP($A164,HN!$A:$M,8,FALSE)/12),0)</f>
        <v>0</v>
      </c>
      <c r="AW164" s="287">
        <f>_xlfn.IFNA((VLOOKUP($A164,HN!$A:$M,12,FALSE)/12),0)+_xlfn.IFNA(VLOOKUP($A164,HN!$A$8:$AU$200,19,FALSE),0)</f>
        <v>0</v>
      </c>
      <c r="AX164" s="287">
        <f>_xlfn.IFNA((VLOOKUP($A164,HN!$A:$M,9,FALSE)/12),0)</f>
        <v>0</v>
      </c>
      <c r="AY164" s="287">
        <f>_xlfn.IFNA((VLOOKUP($A164,'Post 16'!$A:$AR,22,FALSE)/4),0)</f>
        <v>0</v>
      </c>
      <c r="AZ164" s="287">
        <f>_xlfn.IFNA(VLOOKUP(A164,EY!A:AO,41,FALSE),0)</f>
        <v>0</v>
      </c>
      <c r="BA164" s="287">
        <f>_xlfn.IFNA(((VLOOKUP($A164,HN!$A:$M,10,FALSE)-$U164-$AK164)/10),0)+_xlfn.IFNA(VLOOKUP($A164,HN!$A:$R,18,FALSE),0)</f>
        <v>947.59166666666658</v>
      </c>
      <c r="BB164" s="287">
        <f>_xlfn.IFNA(((VLOOKUP($A164,HN!$A:$M,13,FALSE)-$V164-$AL164)/10),0)+_xlfn.IFNA(VLOOKUP($A164,HN!$A$8:$AU$200,20,FALSE),0)</f>
        <v>0</v>
      </c>
      <c r="BC164" s="286">
        <f t="shared" si="227"/>
        <v>-300.875</v>
      </c>
      <c r="BD164" s="286">
        <f t="shared" si="228"/>
        <v>-2150.6692083333332</v>
      </c>
      <c r="BE164" s="287"/>
      <c r="BF164" s="287"/>
      <c r="BG164" s="287"/>
      <c r="BH164" s="286">
        <f t="shared" si="229"/>
        <v>82561.314494746126</v>
      </c>
      <c r="BI164" s="307">
        <f t="shared" si="230"/>
        <v>84065.267036412799</v>
      </c>
      <c r="BJ164" s="307">
        <f>_xlfn.IFNA(VLOOKUP(A164,'LA Deductions'!A:AH,34,FALSE),0)</f>
        <v>0</v>
      </c>
      <c r="BK164" s="307"/>
      <c r="BL164" s="308">
        <f>_xlfn.IFNA((VLOOKUP($A164,HN!$A:$M,8,FALSE)/12),0)</f>
        <v>0</v>
      </c>
      <c r="BM164" s="308">
        <f>_xlfn.IFNA((VLOOKUP($A164,HN!$A:$M,12,FALSE)/12),0)</f>
        <v>0</v>
      </c>
      <c r="BN164" s="308">
        <f>_xlfn.IFNA((VLOOKUP($A164,HN!$A:$M,9,FALSE)/12),0)</f>
        <v>0</v>
      </c>
      <c r="BO164" s="308">
        <f>_xlfn.IFNA((VLOOKUP($A164,'Post 16'!$A:$AR,22,FALSE)/4),0)</f>
        <v>0</v>
      </c>
      <c r="BP164" s="308"/>
      <c r="BQ164" s="308">
        <f>_xlfn.IFNA(((VLOOKUP($A164,HN!$A:$M,10,FALSE)-$U164-$AK164)/10),0)</f>
        <v>947.59166666666658</v>
      </c>
      <c r="BR164" s="308">
        <f>_xlfn.IFNA(((VLOOKUP($A164,HN!$A:$M,13,FALSE)-$V164-$AL164)/10),0)</f>
        <v>0</v>
      </c>
      <c r="BS164" s="307">
        <f t="shared" si="231"/>
        <v>-300.875</v>
      </c>
      <c r="BT164" s="307">
        <f t="shared" si="232"/>
        <v>-2150.6692083333332</v>
      </c>
      <c r="BU164" s="308"/>
      <c r="BV164" s="308"/>
      <c r="BW164" s="308"/>
      <c r="BX164" s="307">
        <f t="shared" si="233"/>
        <v>82561.314494746126</v>
      </c>
      <c r="BY164" s="300">
        <f t="shared" si="234"/>
        <v>84065.267036412799</v>
      </c>
      <c r="BZ164" s="300"/>
      <c r="CA164" s="300"/>
      <c r="CB164" s="301">
        <f>_xlfn.IFNA((VLOOKUP($A164,HN!$A:$M,8,FALSE)/12),0)</f>
        <v>0</v>
      </c>
      <c r="CC164" s="301">
        <f>_xlfn.IFNA((VLOOKUP($A164,HN!$A:$M,12,FALSE)/12),0)</f>
        <v>0</v>
      </c>
      <c r="CD164" s="301">
        <f>_xlfn.IFNA((VLOOKUP($A164,HN!$A:$M,9,FALSE)/12),0)</f>
        <v>0</v>
      </c>
      <c r="CE164" s="301">
        <f>_xlfn.IFNA((VLOOKUP($A164,'Post 16'!$A:$AG,33,FALSE)/8),0)</f>
        <v>0</v>
      </c>
      <c r="CF164" s="301"/>
      <c r="CG164" s="301">
        <f>_xlfn.IFNA(((VLOOKUP($A164,HN!$A:$M,10,FALSE)-$U164-$AK164)/10),0)</f>
        <v>947.59166666666658</v>
      </c>
      <c r="CH164" s="301">
        <f>_xlfn.IFNA(((VLOOKUP($A164,HN!$A:$M,13,FALSE)-$V164-$AL164)/10),0)</f>
        <v>0</v>
      </c>
      <c r="CI164" s="300">
        <f t="shared" si="235"/>
        <v>-300.875</v>
      </c>
      <c r="CJ164" s="300">
        <f t="shared" si="236"/>
        <v>-2150.6692083333332</v>
      </c>
      <c r="CK164" s="301"/>
      <c r="CL164" s="301"/>
      <c r="CM164" s="301"/>
      <c r="CN164" s="300">
        <f t="shared" si="237"/>
        <v>82561.314494746126</v>
      </c>
      <c r="CO164" s="332">
        <f t="shared" si="238"/>
        <v>84065.267036412799</v>
      </c>
      <c r="CP164" s="332"/>
      <c r="CQ164" s="332">
        <f>_xlfn.IFNA((VLOOKUP($A164,EY!$A:$AB,28,FALSE)-$CV164),0)</f>
        <v>0</v>
      </c>
      <c r="CR164" s="333">
        <f>_xlfn.IFNA((VLOOKUP($A164,HN!$A:$M,8,FALSE)/12),0)</f>
        <v>0</v>
      </c>
      <c r="CS164" s="333">
        <f>_xlfn.IFNA((VLOOKUP($A164,HN!$A:$M,12,FALSE)/12),0)</f>
        <v>0</v>
      </c>
      <c r="CT164" s="333">
        <f>_xlfn.IFNA((VLOOKUP($A164,HN!$A:$M,9,FALSE)/12),0)</f>
        <v>0</v>
      </c>
      <c r="CU164" s="333">
        <f>_xlfn.IFNA((VLOOKUP($A164,'Post 16'!$A:$AG,33,FALSE)/8),0)</f>
        <v>0</v>
      </c>
      <c r="CV164" s="333">
        <f>_xlfn.IFNA((VLOOKUP($A164,EY!$A:$AB,26,FALSE)*80%),0)</f>
        <v>0</v>
      </c>
      <c r="CW164" s="333">
        <f>_xlfn.IFNA(((VLOOKUP($A164,HN!$A:$M,10,FALSE)-$U164-$AK164)/10),0)</f>
        <v>947.59166666666658</v>
      </c>
      <c r="CX164" s="333">
        <f>_xlfn.IFNA(((VLOOKUP($A164,HN!$A:$M,13,FALSE)-$V164-$AL164)/10),0)</f>
        <v>0</v>
      </c>
      <c r="CY164" s="332">
        <f t="shared" si="239"/>
        <v>-300.875</v>
      </c>
      <c r="CZ164" s="332">
        <f t="shared" si="240"/>
        <v>-2150.6692083333332</v>
      </c>
      <c r="DA164" s="333"/>
      <c r="DB164" s="333"/>
      <c r="DC164" s="333"/>
      <c r="DD164" s="332">
        <f t="shared" si="241"/>
        <v>82561.314494746126</v>
      </c>
      <c r="DE164" s="314">
        <f t="shared" si="242"/>
        <v>84065.267036412799</v>
      </c>
      <c r="DF164" s="314"/>
      <c r="DG164" s="314"/>
      <c r="DH164" s="315">
        <f>_xlfn.IFNA((VLOOKUP($A164,HN!$A:$M,8,FALSE)/12),0)</f>
        <v>0</v>
      </c>
      <c r="DI164" s="315">
        <f>_xlfn.IFNA((VLOOKUP($A164,HN!$A:$M,12,FALSE)/12),0)</f>
        <v>0</v>
      </c>
      <c r="DJ164" s="315">
        <f>_xlfn.IFNA((VLOOKUP($A164,HN!$A:$M,9,FALSE)/12),0)</f>
        <v>0</v>
      </c>
      <c r="DK164" s="315">
        <f>_xlfn.IFNA((VLOOKUP($A164,'Post 16'!$A:$AG,33,FALSE)/8),0)</f>
        <v>0</v>
      </c>
      <c r="DL164" s="315"/>
      <c r="DM164" s="315">
        <f>_xlfn.IFNA(((VLOOKUP($A164,HN!$A:$M,10,FALSE)-$U164-$AK164)/10),0)</f>
        <v>947.59166666666658</v>
      </c>
      <c r="DN164" s="315">
        <f>_xlfn.IFNA(((VLOOKUP($A164,HN!$A:$M,13,FALSE)-$V164-$AL164)/10),0)</f>
        <v>0</v>
      </c>
      <c r="DO164" s="314">
        <f t="shared" si="243"/>
        <v>-300.875</v>
      </c>
      <c r="DP164" s="314">
        <f t="shared" si="244"/>
        <v>-2150.6692083333332</v>
      </c>
      <c r="DQ164" s="315"/>
      <c r="DR164" s="315"/>
      <c r="DS164" s="315"/>
      <c r="DT164" s="314">
        <f t="shared" si="245"/>
        <v>82561.314494746126</v>
      </c>
      <c r="DU164" s="307">
        <f t="shared" si="246"/>
        <v>84065.267036412799</v>
      </c>
      <c r="DV164" s="307"/>
      <c r="DW164" s="307"/>
      <c r="DX164" s="308">
        <f>_xlfn.IFNA((VLOOKUP($A164,HN!$A:$M,8,FALSE)/12),0)</f>
        <v>0</v>
      </c>
      <c r="DY164" s="308">
        <f>_xlfn.IFNA((VLOOKUP($A164,HN!$A:$M,12,FALSE)/12),0)</f>
        <v>0</v>
      </c>
      <c r="DZ164" s="308">
        <f>_xlfn.IFNA((VLOOKUP($A164,HN!$A:$M,9,FALSE)/12),0)</f>
        <v>0</v>
      </c>
      <c r="EA164" s="308">
        <f>_xlfn.IFNA((VLOOKUP($A164,'Post 16'!$A:$AG,33,FALSE)/8),0)</f>
        <v>0</v>
      </c>
      <c r="EB164" s="308"/>
      <c r="EC164" s="308">
        <f>_xlfn.IFNA(((VLOOKUP($A164,HN!$A:$M,10,FALSE)-$U164-$AK164)/10),0)</f>
        <v>947.59166666666658</v>
      </c>
      <c r="ED164" s="308">
        <f>_xlfn.IFNA(((VLOOKUP($A164,HN!$A:$M,13,FALSE)-$V164-$AL164)/10),0)</f>
        <v>0</v>
      </c>
      <c r="EE164" s="307">
        <f t="shared" si="247"/>
        <v>-300.875</v>
      </c>
      <c r="EF164" s="307">
        <f t="shared" si="248"/>
        <v>-2150.6692083333332</v>
      </c>
      <c r="EG164" s="308"/>
      <c r="EH164" s="308"/>
      <c r="EI164" s="308"/>
      <c r="EJ164" s="307">
        <f t="shared" si="249"/>
        <v>82561.314494746126</v>
      </c>
      <c r="EK164" s="320">
        <f t="shared" si="250"/>
        <v>84065.267036412799</v>
      </c>
      <c r="EL164" s="320"/>
      <c r="EM164" s="320"/>
      <c r="EN164" s="321">
        <f>_xlfn.IFNA((VLOOKUP($A164,HN!$A:$M,8,FALSE)/12),0)</f>
        <v>0</v>
      </c>
      <c r="EO164" s="321">
        <f>_xlfn.IFNA((VLOOKUP($A164,HN!$A:$M,12,FALSE)/12),0)</f>
        <v>0</v>
      </c>
      <c r="EP164" s="321">
        <f>_xlfn.IFNA((VLOOKUP($A164,HN!$A:$M,9,FALSE)/12),0)</f>
        <v>0</v>
      </c>
      <c r="EQ164" s="321">
        <f>_xlfn.IFNA((VLOOKUP($A164,'Post 16'!$A:$AG,33,FALSE)/8),0)</f>
        <v>0</v>
      </c>
      <c r="ER164" s="321"/>
      <c r="ES164" s="321">
        <f>_xlfn.IFNA(((VLOOKUP($A164,HN!$A:$M,10,FALSE)-$U164-$AK164)/10),0)</f>
        <v>947.59166666666658</v>
      </c>
      <c r="ET164" s="321">
        <f>_xlfn.IFNA(((VLOOKUP($A164,HN!$A:$M,13,FALSE)-$V164-$AL164)/10),0)</f>
        <v>0</v>
      </c>
      <c r="EU164" s="320">
        <f t="shared" si="251"/>
        <v>-300.875</v>
      </c>
      <c r="EV164" s="320">
        <f t="shared" si="252"/>
        <v>-2150.6692083333332</v>
      </c>
      <c r="EW164" s="321"/>
      <c r="EX164" s="321"/>
      <c r="EY164" s="321"/>
      <c r="EZ164" s="320">
        <f t="shared" si="253"/>
        <v>82561.314494746126</v>
      </c>
      <c r="FA164" s="286">
        <f t="shared" si="254"/>
        <v>84065.267036412799</v>
      </c>
      <c r="FB164" s="286"/>
      <c r="FC164" s="286"/>
      <c r="FD164" s="287">
        <f>_xlfn.IFNA((VLOOKUP($A164,HN!$A:$M,8,FALSE)/12),0)</f>
        <v>0</v>
      </c>
      <c r="FE164" s="287">
        <f>_xlfn.IFNA((VLOOKUP($A164,HN!$A:$M,12,FALSE)/12),0)</f>
        <v>0</v>
      </c>
      <c r="FF164" s="287">
        <f>_xlfn.IFNA((VLOOKUP($A164,HN!$A:$M,9,FALSE)/12),0)</f>
        <v>0</v>
      </c>
      <c r="FG164" s="287">
        <f>_xlfn.IFNA((VLOOKUP($A164,'Post 16'!$A:$AG,33,FALSE)/8),0)</f>
        <v>0</v>
      </c>
      <c r="FH164" s="287"/>
      <c r="FI164" s="287">
        <f>_xlfn.IFNA(((VLOOKUP($A164,HN!$A:$M,10,FALSE)-$U164-$AK164)/10),0)</f>
        <v>947.59166666666658</v>
      </c>
      <c r="FJ164" s="287">
        <f>_xlfn.IFNA(((VLOOKUP($A164,HN!$A:$M,13,FALSE)-$V164-$AL164)/10),0)</f>
        <v>0</v>
      </c>
      <c r="FK164" s="286">
        <f t="shared" si="255"/>
        <v>-300.875</v>
      </c>
      <c r="FL164" s="286">
        <f t="shared" si="256"/>
        <v>-2150.6692083333332</v>
      </c>
      <c r="FM164" s="287"/>
      <c r="FN164" s="287"/>
      <c r="FO164" s="287"/>
      <c r="FP164" s="286">
        <f t="shared" si="257"/>
        <v>82561.314494746126</v>
      </c>
      <c r="FQ164" s="293">
        <f t="shared" si="258"/>
        <v>84065.267036412799</v>
      </c>
      <c r="FR164" s="293"/>
      <c r="FS164" s="293"/>
      <c r="FT164" s="294">
        <f>_xlfn.IFNA((VLOOKUP($A164,HN!$A:$M,8,FALSE)/12),0)</f>
        <v>0</v>
      </c>
      <c r="FU164" s="294">
        <f>_xlfn.IFNA((VLOOKUP($A164,HN!$A:$M,12,FALSE)/12),0)</f>
        <v>0</v>
      </c>
      <c r="FV164" s="294">
        <f>_xlfn.IFNA((VLOOKUP($A164,HN!$A:$M,9,FALSE)/12),0)</f>
        <v>0</v>
      </c>
      <c r="FW164" s="294">
        <f>_xlfn.IFNA((VLOOKUP($A164,'Post 16'!$A:$AG,33,FALSE)/8),0)</f>
        <v>0</v>
      </c>
      <c r="FX164" s="294"/>
      <c r="FY164" s="294">
        <f>_xlfn.IFNA(((VLOOKUP($A164,HN!$A:$M,10,FALSE)-$U164-$AK164)/10),0)</f>
        <v>947.59166666666658</v>
      </c>
      <c r="FZ164" s="294">
        <f>_xlfn.IFNA(((VLOOKUP($A164,HN!$A:$M,13,FALSE)-$V164-$AL164)/10),0)</f>
        <v>0</v>
      </c>
      <c r="GA164" s="293">
        <f t="shared" si="259"/>
        <v>-300.875</v>
      </c>
      <c r="GB164" s="293">
        <f t="shared" si="260"/>
        <v>-2150.6692083333332</v>
      </c>
      <c r="GC164" s="294"/>
      <c r="GD164" s="294"/>
      <c r="GE164" s="294"/>
      <c r="GF164" s="293">
        <f t="shared" si="261"/>
        <v>82561.314494746126</v>
      </c>
      <c r="GG164" s="300">
        <f t="shared" si="262"/>
        <v>84065.267036412799</v>
      </c>
      <c r="GH164" s="300"/>
      <c r="GI164" s="300"/>
      <c r="GJ164" s="301">
        <f>_xlfn.IFNA((VLOOKUP($A164,HN!$A:$M,8,FALSE)/12),0)</f>
        <v>0</v>
      </c>
      <c r="GK164" s="301">
        <f>_xlfn.IFNA((VLOOKUP($A164,HN!$A:$M,12,FALSE)/12),0)</f>
        <v>0</v>
      </c>
      <c r="GL164" s="301">
        <f>_xlfn.IFNA((VLOOKUP($A164,HN!$A:$M,9,FALSE)/12),0)</f>
        <v>0</v>
      </c>
      <c r="GM164" s="301">
        <f>_xlfn.IFNA((VLOOKUP($A164,'Post 16'!$A:$AG,33,FALSE)/8),0)</f>
        <v>0</v>
      </c>
      <c r="GN164" s="301"/>
      <c r="GO164" s="301">
        <f>_xlfn.IFNA(((VLOOKUP($A164,HN!$A:$M,10,FALSE)-$U164-$AK164)/10),0)</f>
        <v>947.59166666666658</v>
      </c>
      <c r="GP164" s="301">
        <f>_xlfn.IFNA(((VLOOKUP($A164,HN!$A:$M,13,FALSE)-$V164-$AL164)/10),0)</f>
        <v>0</v>
      </c>
      <c r="GQ164" s="300">
        <f t="shared" si="263"/>
        <v>-300.875</v>
      </c>
      <c r="GR164" s="300">
        <f t="shared" si="264"/>
        <v>-2150.6692083333332</v>
      </c>
      <c r="GS164" s="301"/>
      <c r="GT164" s="301"/>
      <c r="GU164" s="301"/>
      <c r="GV164" s="300">
        <f t="shared" si="265"/>
        <v>82561.314494746126</v>
      </c>
      <c r="GX164" s="146">
        <f t="shared" si="270"/>
        <v>1008783.2044369538</v>
      </c>
      <c r="GY164" s="146">
        <f t="shared" si="270"/>
        <v>0</v>
      </c>
      <c r="GZ164" s="146">
        <f t="shared" si="270"/>
        <v>16612.000000000004</v>
      </c>
      <c r="HA164" s="146">
        <f t="shared" si="270"/>
        <v>-3610.5</v>
      </c>
      <c r="HB164" s="146">
        <f t="shared" si="270"/>
        <v>-25808.030499999997</v>
      </c>
      <c r="HC164" s="146">
        <f t="shared" si="270"/>
        <v>0</v>
      </c>
      <c r="HE164" s="146">
        <f t="shared" si="271"/>
        <v>252195.80110923841</v>
      </c>
      <c r="HF164" s="146">
        <f t="shared" si="271"/>
        <v>0</v>
      </c>
      <c r="HG164" s="146">
        <f t="shared" si="271"/>
        <v>8083.6749999999993</v>
      </c>
      <c r="HH164" s="146">
        <f t="shared" si="271"/>
        <v>-902.625</v>
      </c>
      <c r="HI164" s="146">
        <f t="shared" si="271"/>
        <v>-6452.0076250000002</v>
      </c>
      <c r="HJ164" s="146">
        <f t="shared" si="271"/>
        <v>0</v>
      </c>
      <c r="HL164" s="146"/>
      <c r="HM164" s="57"/>
    </row>
    <row r="165" spans="1:221">
      <c r="A165" s="185">
        <v>7035</v>
      </c>
      <c r="B165" s="185">
        <v>103615</v>
      </c>
      <c r="C165" s="185" t="s">
        <v>357</v>
      </c>
      <c r="D165" s="2" t="s">
        <v>358</v>
      </c>
      <c r="E165" s="190" t="s">
        <v>56</v>
      </c>
      <c r="F165" s="190" t="s">
        <v>890</v>
      </c>
      <c r="H165" s="271">
        <f>_xlfn.IFNA(VLOOKUP($A165,ISB!$A$4:$BY$441,67,FALSE),0)</f>
        <v>0</v>
      </c>
      <c r="I165" s="271">
        <f>_xlfn.IFNA(VLOOKUP($A165,ISB!$A$4:$BY$441,72,FALSE),0)</f>
        <v>0</v>
      </c>
      <c r="J165" s="271">
        <f>-_xlfn.IFNA(VLOOKUP($A165,ISB!$A$4:$BY$441,76,FALSE),0)</f>
        <v>0</v>
      </c>
      <c r="K165" s="271">
        <f>_xlfn.IFNA(VLOOKUP($A165,ISB!$A$4:$BY$441,77,FALSE),0)</f>
        <v>0</v>
      </c>
      <c r="M165" s="279">
        <f t="shared" si="218"/>
        <v>0</v>
      </c>
      <c r="N165" s="279"/>
      <c r="O165" s="279">
        <f>_xlfn.IFNA(VLOOKUP($A165,EY!$A:$H,8,FALSE)+(VLOOKUP($A165,EY!$A:$R,18,FALSE)-$T165),0)</f>
        <v>0</v>
      </c>
      <c r="P165" s="280">
        <f>_xlfn.IFNA((VLOOKUP($A165,HN!$A:$M,8,FALSE)/12),0)</f>
        <v>123055.55583333333</v>
      </c>
      <c r="Q165" s="280">
        <f>_xlfn.IFNA((VLOOKUP($A165,HN!$A:$M,12,FALSE)/12),0)</f>
        <v>0</v>
      </c>
      <c r="R165" s="280">
        <f>_xlfn.IFNA((VLOOKUP($A165,HN!$A:$M,9,FALSE)/12),0)</f>
        <v>0</v>
      </c>
      <c r="S165" s="280">
        <f>_xlfn.IFNA((VLOOKUP($A165,'Post 16'!$A:$AR,22,FALSE)/4),0)</f>
        <v>0</v>
      </c>
      <c r="T165" s="280">
        <f>_xlfn.IFNA((VLOOKUP($A165,EY!$A:$R,16,FALSE)*80%),0)</f>
        <v>0</v>
      </c>
      <c r="U165" s="280">
        <v>184992.27</v>
      </c>
      <c r="V165" s="280">
        <v>0</v>
      </c>
      <c r="W165" s="279">
        <f t="shared" si="219"/>
        <v>0</v>
      </c>
      <c r="X165" s="279">
        <f t="shared" si="220"/>
        <v>0</v>
      </c>
      <c r="Y165" s="280"/>
      <c r="Z165" s="280"/>
      <c r="AA165" s="280"/>
      <c r="AB165" s="279">
        <f t="shared" si="221"/>
        <v>308047.82583333331</v>
      </c>
      <c r="AC165" s="293">
        <f t="shared" si="222"/>
        <v>0</v>
      </c>
      <c r="AD165" s="293"/>
      <c r="AE165" s="293"/>
      <c r="AF165" s="294">
        <f>_xlfn.IFNA((VLOOKUP($A165,HN!$A:$M,8,FALSE)/12),0)</f>
        <v>123055.55583333333</v>
      </c>
      <c r="AG165" s="294">
        <f>_xlfn.IFNA((VLOOKUP($A165,HN!$A:$M,12,FALSE)/12),0)+_xlfn.IFNA(VLOOKUP($A165,HN!$A:$Q,17,FALSE),0)</f>
        <v>0</v>
      </c>
      <c r="AH165" s="294">
        <f>_xlfn.IFNA((VLOOKUP($A165,HN!$A:$M,9,FALSE)/12),0)</f>
        <v>0</v>
      </c>
      <c r="AI165" s="294">
        <f>_xlfn.IFNA((VLOOKUP($A165,'Post 16'!$A:$AR,22,FALSE)/4),0)</f>
        <v>0</v>
      </c>
      <c r="AJ165" s="294"/>
      <c r="AK165" s="294">
        <f>_xlfn.IFNA((VLOOKUP($A165,HN!$A:$M,10,FALSE)/12),0)</f>
        <v>184992.27</v>
      </c>
      <c r="AL165" s="294">
        <f>_xlfn.IFNA((VLOOKUP($A165,HN!$A:$M,13,FALSE)/12),0)</f>
        <v>0</v>
      </c>
      <c r="AM165" s="293">
        <f t="shared" si="223"/>
        <v>0</v>
      </c>
      <c r="AN165" s="293">
        <f t="shared" si="224"/>
        <v>0</v>
      </c>
      <c r="AO165" s="294"/>
      <c r="AP165" s="294"/>
      <c r="AQ165" s="294"/>
      <c r="AR165" s="293">
        <f t="shared" si="225"/>
        <v>308047.82583333331</v>
      </c>
      <c r="AS165" s="286">
        <f t="shared" si="226"/>
        <v>0</v>
      </c>
      <c r="AT165" s="286"/>
      <c r="AU165" s="286">
        <f>_xlfn.IFNA(VLOOKUP(A165,EY!A:AO,40,FALSE),0)</f>
        <v>0</v>
      </c>
      <c r="AV165" s="287">
        <f>_xlfn.IFNA((VLOOKUP($A165,HN!$A:$M,8,FALSE)/12),0)</f>
        <v>123055.55583333333</v>
      </c>
      <c r="AW165" s="287">
        <f>_xlfn.IFNA((VLOOKUP($A165,HN!$A:$M,12,FALSE)/12),0)+_xlfn.IFNA(VLOOKUP($A165,HN!$A$8:$AU$200,19,FALSE),0)</f>
        <v>0</v>
      </c>
      <c r="AX165" s="287">
        <f>_xlfn.IFNA((VLOOKUP($A165,HN!$A:$M,9,FALSE)/12),0)</f>
        <v>0</v>
      </c>
      <c r="AY165" s="287">
        <f>_xlfn.IFNA((VLOOKUP($A165,'Post 16'!$A:$AR,22,FALSE)/4),0)</f>
        <v>0</v>
      </c>
      <c r="AZ165" s="287">
        <f>_xlfn.IFNA(VLOOKUP(A165,EY!A:AO,41,FALSE),0)</f>
        <v>0</v>
      </c>
      <c r="BA165" s="287">
        <f>_xlfn.IFNA(((VLOOKUP($A165,HN!$A:$M,10,FALSE)-$U165-$AK165)/10),0)+_xlfn.IFNA(VLOOKUP($A165,HN!$A:$R,18,FALSE),0)</f>
        <v>184992.26999999996</v>
      </c>
      <c r="BB165" s="287">
        <f>_xlfn.IFNA(((VLOOKUP($A165,HN!$A:$M,13,FALSE)-$V165-$AL165)/10),0)+_xlfn.IFNA(VLOOKUP($A165,HN!$A$8:$AU$200,20,FALSE),0)</f>
        <v>0</v>
      </c>
      <c r="BC165" s="286">
        <f t="shared" si="227"/>
        <v>0</v>
      </c>
      <c r="BD165" s="286">
        <f t="shared" si="228"/>
        <v>0</v>
      </c>
      <c r="BE165" s="287"/>
      <c r="BF165" s="287"/>
      <c r="BG165" s="287"/>
      <c r="BH165" s="286">
        <f t="shared" si="229"/>
        <v>308047.82583333331</v>
      </c>
      <c r="BI165" s="307">
        <f t="shared" si="230"/>
        <v>0</v>
      </c>
      <c r="BJ165" s="307">
        <f>_xlfn.IFNA(VLOOKUP(A165,'LA Deductions'!A:AH,34,FALSE),0)</f>
        <v>0</v>
      </c>
      <c r="BK165" s="307"/>
      <c r="BL165" s="308">
        <f>_xlfn.IFNA((VLOOKUP($A165,HN!$A:$M,8,FALSE)/12),0)</f>
        <v>123055.55583333333</v>
      </c>
      <c r="BM165" s="308">
        <f>_xlfn.IFNA((VLOOKUP($A165,HN!$A:$M,12,FALSE)/12),0)</f>
        <v>0</v>
      </c>
      <c r="BN165" s="308">
        <f>_xlfn.IFNA((VLOOKUP($A165,HN!$A:$M,9,FALSE)/12),0)</f>
        <v>0</v>
      </c>
      <c r="BO165" s="308">
        <f>_xlfn.IFNA((VLOOKUP($A165,'Post 16'!$A:$AR,22,FALSE)/4),0)</f>
        <v>0</v>
      </c>
      <c r="BP165" s="308"/>
      <c r="BQ165" s="308">
        <f>_xlfn.IFNA(((VLOOKUP($A165,HN!$A:$M,10,FALSE)-$U165-$AK165)/10),0)</f>
        <v>184992.26999999996</v>
      </c>
      <c r="BR165" s="308">
        <f>_xlfn.IFNA(((VLOOKUP($A165,HN!$A:$M,13,FALSE)-$V165-$AL165)/10),0)</f>
        <v>0</v>
      </c>
      <c r="BS165" s="307">
        <f t="shared" si="231"/>
        <v>0</v>
      </c>
      <c r="BT165" s="307">
        <f t="shared" si="232"/>
        <v>0</v>
      </c>
      <c r="BU165" s="308"/>
      <c r="BV165" s="308"/>
      <c r="BW165" s="308"/>
      <c r="BX165" s="307">
        <f t="shared" si="233"/>
        <v>308047.82583333331</v>
      </c>
      <c r="BY165" s="300">
        <f t="shared" si="234"/>
        <v>0</v>
      </c>
      <c r="BZ165" s="300"/>
      <c r="CA165" s="300"/>
      <c r="CB165" s="301">
        <f>_xlfn.IFNA((VLOOKUP($A165,HN!$A:$M,8,FALSE)/12),0)</f>
        <v>123055.55583333333</v>
      </c>
      <c r="CC165" s="301">
        <f>_xlfn.IFNA((VLOOKUP($A165,HN!$A:$M,12,FALSE)/12),0)</f>
        <v>0</v>
      </c>
      <c r="CD165" s="301">
        <f>_xlfn.IFNA((VLOOKUP($A165,HN!$A:$M,9,FALSE)/12),0)</f>
        <v>0</v>
      </c>
      <c r="CE165" s="301">
        <f>_xlfn.IFNA((VLOOKUP($A165,'Post 16'!$A:$AG,33,FALSE)/8),0)</f>
        <v>0</v>
      </c>
      <c r="CF165" s="301"/>
      <c r="CG165" s="301">
        <f>_xlfn.IFNA(((VLOOKUP($A165,HN!$A:$M,10,FALSE)-$U165-$AK165)/10),0)</f>
        <v>184992.26999999996</v>
      </c>
      <c r="CH165" s="301">
        <f>_xlfn.IFNA(((VLOOKUP($A165,HN!$A:$M,13,FALSE)-$V165-$AL165)/10),0)</f>
        <v>0</v>
      </c>
      <c r="CI165" s="300">
        <f t="shared" si="235"/>
        <v>0</v>
      </c>
      <c r="CJ165" s="300">
        <f t="shared" si="236"/>
        <v>0</v>
      </c>
      <c r="CK165" s="301"/>
      <c r="CL165" s="301"/>
      <c r="CM165" s="301"/>
      <c r="CN165" s="300">
        <f t="shared" si="237"/>
        <v>308047.82583333331</v>
      </c>
      <c r="CO165" s="332">
        <f t="shared" si="238"/>
        <v>0</v>
      </c>
      <c r="CP165" s="332"/>
      <c r="CQ165" s="332">
        <f>_xlfn.IFNA((VLOOKUP($A165,EY!$A:$AB,28,FALSE)-$CV165),0)</f>
        <v>0</v>
      </c>
      <c r="CR165" s="333">
        <f>_xlfn.IFNA((VLOOKUP($A165,HN!$A:$M,8,FALSE)/12),0)</f>
        <v>123055.55583333333</v>
      </c>
      <c r="CS165" s="333">
        <f>_xlfn.IFNA((VLOOKUP($A165,HN!$A:$M,12,FALSE)/12),0)</f>
        <v>0</v>
      </c>
      <c r="CT165" s="333">
        <f>_xlfn.IFNA((VLOOKUP($A165,HN!$A:$M,9,FALSE)/12),0)</f>
        <v>0</v>
      </c>
      <c r="CU165" s="333">
        <f>_xlfn.IFNA((VLOOKUP($A165,'Post 16'!$A:$AG,33,FALSE)/8),0)</f>
        <v>0</v>
      </c>
      <c r="CV165" s="333">
        <f>_xlfn.IFNA((VLOOKUP($A165,EY!$A:$AB,26,FALSE)*80%),0)</f>
        <v>0</v>
      </c>
      <c r="CW165" s="333">
        <f>_xlfn.IFNA(((VLOOKUP($A165,HN!$A:$M,10,FALSE)-$U165-$AK165)/10),0)</f>
        <v>184992.26999999996</v>
      </c>
      <c r="CX165" s="333">
        <f>_xlfn.IFNA(((VLOOKUP($A165,HN!$A:$M,13,FALSE)-$V165-$AL165)/10),0)</f>
        <v>0</v>
      </c>
      <c r="CY165" s="332">
        <f t="shared" si="239"/>
        <v>0</v>
      </c>
      <c r="CZ165" s="332">
        <f t="shared" si="240"/>
        <v>0</v>
      </c>
      <c r="DA165" s="333"/>
      <c r="DB165" s="333"/>
      <c r="DC165" s="333"/>
      <c r="DD165" s="332">
        <f t="shared" si="241"/>
        <v>308047.82583333331</v>
      </c>
      <c r="DE165" s="314">
        <f t="shared" si="242"/>
        <v>0</v>
      </c>
      <c r="DF165" s="314"/>
      <c r="DG165" s="314"/>
      <c r="DH165" s="315">
        <f>_xlfn.IFNA((VLOOKUP($A165,HN!$A:$M,8,FALSE)/12),0)</f>
        <v>123055.55583333333</v>
      </c>
      <c r="DI165" s="315">
        <f>_xlfn.IFNA((VLOOKUP($A165,HN!$A:$M,12,FALSE)/12),0)</f>
        <v>0</v>
      </c>
      <c r="DJ165" s="315">
        <f>_xlfn.IFNA((VLOOKUP($A165,HN!$A:$M,9,FALSE)/12),0)</f>
        <v>0</v>
      </c>
      <c r="DK165" s="315">
        <f>_xlfn.IFNA((VLOOKUP($A165,'Post 16'!$A:$AG,33,FALSE)/8),0)</f>
        <v>0</v>
      </c>
      <c r="DL165" s="315"/>
      <c r="DM165" s="315">
        <f>_xlfn.IFNA(((VLOOKUP($A165,HN!$A:$M,10,FALSE)-$U165-$AK165)/10),0)</f>
        <v>184992.26999999996</v>
      </c>
      <c r="DN165" s="315">
        <f>_xlfn.IFNA(((VLOOKUP($A165,HN!$A:$M,13,FALSE)-$V165-$AL165)/10),0)</f>
        <v>0</v>
      </c>
      <c r="DO165" s="314">
        <f t="shared" si="243"/>
        <v>0</v>
      </c>
      <c r="DP165" s="314">
        <f t="shared" si="244"/>
        <v>0</v>
      </c>
      <c r="DQ165" s="315"/>
      <c r="DR165" s="315"/>
      <c r="DS165" s="315"/>
      <c r="DT165" s="314">
        <f t="shared" si="245"/>
        <v>308047.82583333331</v>
      </c>
      <c r="DU165" s="307">
        <f t="shared" si="246"/>
        <v>0</v>
      </c>
      <c r="DV165" s="307"/>
      <c r="DW165" s="307"/>
      <c r="DX165" s="308">
        <f>_xlfn.IFNA((VLOOKUP($A165,HN!$A:$M,8,FALSE)/12),0)</f>
        <v>123055.55583333333</v>
      </c>
      <c r="DY165" s="308">
        <f>_xlfn.IFNA((VLOOKUP($A165,HN!$A:$M,12,FALSE)/12),0)</f>
        <v>0</v>
      </c>
      <c r="DZ165" s="308">
        <f>_xlfn.IFNA((VLOOKUP($A165,HN!$A:$M,9,FALSE)/12),0)</f>
        <v>0</v>
      </c>
      <c r="EA165" s="308">
        <f>_xlfn.IFNA((VLOOKUP($A165,'Post 16'!$A:$AG,33,FALSE)/8),0)</f>
        <v>0</v>
      </c>
      <c r="EB165" s="308"/>
      <c r="EC165" s="308">
        <f>_xlfn.IFNA(((VLOOKUP($A165,HN!$A:$M,10,FALSE)-$U165-$AK165)/10),0)</f>
        <v>184992.26999999996</v>
      </c>
      <c r="ED165" s="308">
        <f>_xlfn.IFNA(((VLOOKUP($A165,HN!$A:$M,13,FALSE)-$V165-$AL165)/10),0)</f>
        <v>0</v>
      </c>
      <c r="EE165" s="307">
        <f t="shared" si="247"/>
        <v>0</v>
      </c>
      <c r="EF165" s="307">
        <f t="shared" si="248"/>
        <v>0</v>
      </c>
      <c r="EG165" s="308"/>
      <c r="EH165" s="308"/>
      <c r="EI165" s="308"/>
      <c r="EJ165" s="307">
        <f t="shared" si="249"/>
        <v>308047.82583333331</v>
      </c>
      <c r="EK165" s="320">
        <f t="shared" si="250"/>
        <v>0</v>
      </c>
      <c r="EL165" s="320"/>
      <c r="EM165" s="320"/>
      <c r="EN165" s="321">
        <f>_xlfn.IFNA((VLOOKUP($A165,HN!$A:$M,8,FALSE)/12),0)</f>
        <v>123055.55583333333</v>
      </c>
      <c r="EO165" s="321">
        <f>_xlfn.IFNA((VLOOKUP($A165,HN!$A:$M,12,FALSE)/12),0)</f>
        <v>0</v>
      </c>
      <c r="EP165" s="321">
        <f>_xlfn.IFNA((VLOOKUP($A165,HN!$A:$M,9,FALSE)/12),0)</f>
        <v>0</v>
      </c>
      <c r="EQ165" s="321">
        <f>_xlfn.IFNA((VLOOKUP($A165,'Post 16'!$A:$AG,33,FALSE)/8),0)</f>
        <v>0</v>
      </c>
      <c r="ER165" s="321"/>
      <c r="ES165" s="321">
        <f>_xlfn.IFNA(((VLOOKUP($A165,HN!$A:$M,10,FALSE)-$U165-$AK165)/10),0)</f>
        <v>184992.26999999996</v>
      </c>
      <c r="ET165" s="321">
        <f>_xlfn.IFNA(((VLOOKUP($A165,HN!$A:$M,13,FALSE)-$V165-$AL165)/10),0)</f>
        <v>0</v>
      </c>
      <c r="EU165" s="320">
        <f t="shared" si="251"/>
        <v>0</v>
      </c>
      <c r="EV165" s="320">
        <f t="shared" si="252"/>
        <v>0</v>
      </c>
      <c r="EW165" s="321"/>
      <c r="EX165" s="321"/>
      <c r="EY165" s="321"/>
      <c r="EZ165" s="320">
        <f t="shared" si="253"/>
        <v>308047.82583333331</v>
      </c>
      <c r="FA165" s="286">
        <f t="shared" si="254"/>
        <v>0</v>
      </c>
      <c r="FB165" s="286"/>
      <c r="FC165" s="286"/>
      <c r="FD165" s="287">
        <f>_xlfn.IFNA((VLOOKUP($A165,HN!$A:$M,8,FALSE)/12),0)</f>
        <v>123055.55583333333</v>
      </c>
      <c r="FE165" s="287">
        <f>_xlfn.IFNA((VLOOKUP($A165,HN!$A:$M,12,FALSE)/12),0)</f>
        <v>0</v>
      </c>
      <c r="FF165" s="287">
        <f>_xlfn.IFNA((VLOOKUP($A165,HN!$A:$M,9,FALSE)/12),0)</f>
        <v>0</v>
      </c>
      <c r="FG165" s="287">
        <f>_xlfn.IFNA((VLOOKUP($A165,'Post 16'!$A:$AG,33,FALSE)/8),0)</f>
        <v>0</v>
      </c>
      <c r="FH165" s="287"/>
      <c r="FI165" s="287">
        <f>_xlfn.IFNA(((VLOOKUP($A165,HN!$A:$M,10,FALSE)-$U165-$AK165)/10),0)</f>
        <v>184992.26999999996</v>
      </c>
      <c r="FJ165" s="287">
        <f>_xlfn.IFNA(((VLOOKUP($A165,HN!$A:$M,13,FALSE)-$V165-$AL165)/10),0)</f>
        <v>0</v>
      </c>
      <c r="FK165" s="286">
        <f t="shared" si="255"/>
        <v>0</v>
      </c>
      <c r="FL165" s="286">
        <f t="shared" si="256"/>
        <v>0</v>
      </c>
      <c r="FM165" s="287"/>
      <c r="FN165" s="287"/>
      <c r="FO165" s="287"/>
      <c r="FP165" s="286">
        <f t="shared" si="257"/>
        <v>308047.82583333331</v>
      </c>
      <c r="FQ165" s="293">
        <f t="shared" si="258"/>
        <v>0</v>
      </c>
      <c r="FR165" s="293"/>
      <c r="FS165" s="293"/>
      <c r="FT165" s="294">
        <f>_xlfn.IFNA((VLOOKUP($A165,HN!$A:$M,8,FALSE)/12),0)</f>
        <v>123055.55583333333</v>
      </c>
      <c r="FU165" s="294">
        <f>_xlfn.IFNA((VLOOKUP($A165,HN!$A:$M,12,FALSE)/12),0)</f>
        <v>0</v>
      </c>
      <c r="FV165" s="294">
        <f>_xlfn.IFNA((VLOOKUP($A165,HN!$A:$M,9,FALSE)/12),0)</f>
        <v>0</v>
      </c>
      <c r="FW165" s="294">
        <f>_xlfn.IFNA((VLOOKUP($A165,'Post 16'!$A:$AG,33,FALSE)/8),0)</f>
        <v>0</v>
      </c>
      <c r="FX165" s="294"/>
      <c r="FY165" s="294">
        <f>_xlfn.IFNA(((VLOOKUP($A165,HN!$A:$M,10,FALSE)-$U165-$AK165)/10),0)</f>
        <v>184992.26999999996</v>
      </c>
      <c r="FZ165" s="294">
        <f>_xlfn.IFNA(((VLOOKUP($A165,HN!$A:$M,13,FALSE)-$V165-$AL165)/10),0)</f>
        <v>0</v>
      </c>
      <c r="GA165" s="293">
        <f t="shared" si="259"/>
        <v>0</v>
      </c>
      <c r="GB165" s="293">
        <f t="shared" si="260"/>
        <v>0</v>
      </c>
      <c r="GC165" s="294"/>
      <c r="GD165" s="294"/>
      <c r="GE165" s="294"/>
      <c r="GF165" s="293">
        <f t="shared" si="261"/>
        <v>308047.82583333331</v>
      </c>
      <c r="GG165" s="300">
        <f t="shared" si="262"/>
        <v>0</v>
      </c>
      <c r="GH165" s="300"/>
      <c r="GI165" s="300"/>
      <c r="GJ165" s="301">
        <f>_xlfn.IFNA((VLOOKUP($A165,HN!$A:$M,8,FALSE)/12),0)</f>
        <v>123055.55583333333</v>
      </c>
      <c r="GK165" s="301">
        <f>_xlfn.IFNA((VLOOKUP($A165,HN!$A:$M,12,FALSE)/12),0)</f>
        <v>0</v>
      </c>
      <c r="GL165" s="301">
        <f>_xlfn.IFNA((VLOOKUP($A165,HN!$A:$M,9,FALSE)/12),0)</f>
        <v>0</v>
      </c>
      <c r="GM165" s="301">
        <f>_xlfn.IFNA((VLOOKUP($A165,'Post 16'!$A:$AG,33,FALSE)/8),0)</f>
        <v>0</v>
      </c>
      <c r="GN165" s="301"/>
      <c r="GO165" s="301">
        <f>_xlfn.IFNA(((VLOOKUP($A165,HN!$A:$M,10,FALSE)-$U165-$AK165)/10),0)</f>
        <v>184992.26999999996</v>
      </c>
      <c r="GP165" s="301">
        <f>_xlfn.IFNA(((VLOOKUP($A165,HN!$A:$M,13,FALSE)-$V165-$AL165)/10),0)</f>
        <v>0</v>
      </c>
      <c r="GQ165" s="300">
        <f t="shared" si="263"/>
        <v>0</v>
      </c>
      <c r="GR165" s="300">
        <f t="shared" si="264"/>
        <v>0</v>
      </c>
      <c r="GS165" s="301"/>
      <c r="GT165" s="301"/>
      <c r="GU165" s="301"/>
      <c r="GV165" s="300">
        <f t="shared" si="265"/>
        <v>308047.82583333331</v>
      </c>
      <c r="GX165" s="146">
        <f t="shared" si="270"/>
        <v>1476666.6700000002</v>
      </c>
      <c r="GY165" s="146">
        <f t="shared" si="270"/>
        <v>0</v>
      </c>
      <c r="GZ165" s="146">
        <f t="shared" si="270"/>
        <v>2219907.2399999998</v>
      </c>
      <c r="HA165" s="146">
        <f t="shared" si="270"/>
        <v>0</v>
      </c>
      <c r="HB165" s="146">
        <f t="shared" si="270"/>
        <v>0</v>
      </c>
      <c r="HC165" s="146">
        <f t="shared" si="270"/>
        <v>0</v>
      </c>
      <c r="HE165" s="146">
        <f t="shared" si="271"/>
        <v>369166.66749999998</v>
      </c>
      <c r="HF165" s="146">
        <f t="shared" si="271"/>
        <v>0</v>
      </c>
      <c r="HG165" s="146">
        <f t="shared" si="271"/>
        <v>554976.80999999994</v>
      </c>
      <c r="HH165" s="146">
        <f t="shared" si="271"/>
        <v>0</v>
      </c>
      <c r="HI165" s="146">
        <f t="shared" si="271"/>
        <v>0</v>
      </c>
      <c r="HJ165" s="146">
        <f t="shared" si="271"/>
        <v>0</v>
      </c>
      <c r="HL165" s="146"/>
      <c r="HM165" s="57"/>
    </row>
    <row r="166" spans="1:221">
      <c r="A166" s="185">
        <v>7045</v>
      </c>
      <c r="B166" s="185">
        <v>103622</v>
      </c>
      <c r="C166" s="185" t="s">
        <v>359</v>
      </c>
      <c r="D166" s="2" t="s">
        <v>360</v>
      </c>
      <c r="E166" s="190" t="s">
        <v>56</v>
      </c>
      <c r="F166" s="190" t="s">
        <v>890</v>
      </c>
      <c r="H166" s="271">
        <f>_xlfn.IFNA(VLOOKUP($A166,ISB!$A$4:$BY$441,67,FALSE),0)</f>
        <v>0</v>
      </c>
      <c r="I166" s="271">
        <f>_xlfn.IFNA(VLOOKUP($A166,ISB!$A$4:$BY$441,72,FALSE),0)</f>
        <v>0</v>
      </c>
      <c r="J166" s="271">
        <f>-_xlfn.IFNA(VLOOKUP($A166,ISB!$A$4:$BY$441,76,FALSE),0)</f>
        <v>0</v>
      </c>
      <c r="K166" s="271">
        <f>_xlfn.IFNA(VLOOKUP($A166,ISB!$A$4:$BY$441,77,FALSE),0)</f>
        <v>0</v>
      </c>
      <c r="M166" s="279">
        <f t="shared" ref="M166:M190" si="272">$H166/12</f>
        <v>0</v>
      </c>
      <c r="N166" s="279"/>
      <c r="O166" s="279">
        <f>_xlfn.IFNA(VLOOKUP($A166,EY!$A:$H,8,FALSE)+(VLOOKUP($A166,EY!$A:$R,18,FALSE)-$T166),0)</f>
        <v>0</v>
      </c>
      <c r="P166" s="280">
        <f>_xlfn.IFNA((VLOOKUP($A166,HN!$A:$M,8,FALSE)/12),0)</f>
        <v>225000</v>
      </c>
      <c r="Q166" s="280">
        <f>_xlfn.IFNA((VLOOKUP($A166,HN!$A:$M,12,FALSE)/12),0)</f>
        <v>0</v>
      </c>
      <c r="R166" s="280">
        <f>_xlfn.IFNA((VLOOKUP($A166,HN!$A:$M,9,FALSE)/12),0)</f>
        <v>0</v>
      </c>
      <c r="S166" s="280">
        <f>_xlfn.IFNA((VLOOKUP($A166,'Post 16'!$A:$AR,22,FALSE)/4),0)</f>
        <v>0</v>
      </c>
      <c r="T166" s="280">
        <f>_xlfn.IFNA((VLOOKUP($A166,EY!$A:$R,16,FALSE)*80%),0)</f>
        <v>0</v>
      </c>
      <c r="U166" s="280">
        <v>358364.67333333334</v>
      </c>
      <c r="V166" s="280">
        <v>0</v>
      </c>
      <c r="W166" s="279">
        <f t="shared" ref="W166:W193" si="273">$I166/12</f>
        <v>0</v>
      </c>
      <c r="X166" s="279">
        <f t="shared" ref="X166:X190" si="274">$J166/12</f>
        <v>0</v>
      </c>
      <c r="Y166" s="280"/>
      <c r="Z166" s="280"/>
      <c r="AA166" s="280"/>
      <c r="AB166" s="279">
        <f t="shared" ref="AB166:AB193" si="275">SUM(M166:AA166)</f>
        <v>583364.67333333334</v>
      </c>
      <c r="AC166" s="293">
        <f t="shared" ref="AC166:AC190" si="276">$H166/12</f>
        <v>0</v>
      </c>
      <c r="AD166" s="293"/>
      <c r="AE166" s="293"/>
      <c r="AF166" s="294">
        <f>_xlfn.IFNA((VLOOKUP($A166,HN!$A:$M,8,FALSE)/12),0)</f>
        <v>225000</v>
      </c>
      <c r="AG166" s="294">
        <f>_xlfn.IFNA((VLOOKUP($A166,HN!$A:$M,12,FALSE)/12),0)+_xlfn.IFNA(VLOOKUP($A166,HN!$A:$Q,17,FALSE),0)</f>
        <v>0</v>
      </c>
      <c r="AH166" s="294">
        <f>_xlfn.IFNA((VLOOKUP($A166,HN!$A:$M,9,FALSE)/12),0)</f>
        <v>0</v>
      </c>
      <c r="AI166" s="294">
        <f>_xlfn.IFNA((VLOOKUP($A166,'Post 16'!$A:$AR,22,FALSE)/4),0)</f>
        <v>0</v>
      </c>
      <c r="AJ166" s="294"/>
      <c r="AK166" s="294">
        <f>_xlfn.IFNA((VLOOKUP($A166,HN!$A:$M,10,FALSE)/12),0)</f>
        <v>358364.67333333334</v>
      </c>
      <c r="AL166" s="294">
        <f>_xlfn.IFNA((VLOOKUP($A166,HN!$A:$M,13,FALSE)/12),0)</f>
        <v>0</v>
      </c>
      <c r="AM166" s="293">
        <f t="shared" ref="AM166:AM193" si="277">$I166/12</f>
        <v>0</v>
      </c>
      <c r="AN166" s="293">
        <f t="shared" ref="AN166:AN190" si="278">$J166/12</f>
        <v>0</v>
      </c>
      <c r="AO166" s="294"/>
      <c r="AP166" s="294"/>
      <c r="AQ166" s="294"/>
      <c r="AR166" s="293">
        <f t="shared" ref="AR166:AR193" si="279">SUM(AC166:AQ166)</f>
        <v>583364.67333333334</v>
      </c>
      <c r="AS166" s="286">
        <f t="shared" ref="AS166:AS190" si="280">$H166/12</f>
        <v>0</v>
      </c>
      <c r="AT166" s="286"/>
      <c r="AU166" s="286">
        <f>_xlfn.IFNA(VLOOKUP(A166,EY!A:AO,40,FALSE),0)</f>
        <v>0</v>
      </c>
      <c r="AV166" s="287">
        <f>_xlfn.IFNA((VLOOKUP($A166,HN!$A:$M,8,FALSE)/12),0)</f>
        <v>225000</v>
      </c>
      <c r="AW166" s="287">
        <f>_xlfn.IFNA((VLOOKUP($A166,HN!$A:$M,12,FALSE)/12),0)+_xlfn.IFNA(VLOOKUP($A166,HN!$A$8:$AU$200,19,FALSE),0)</f>
        <v>0</v>
      </c>
      <c r="AX166" s="287">
        <f>_xlfn.IFNA((VLOOKUP($A166,HN!$A:$M,9,FALSE)/12),0)</f>
        <v>0</v>
      </c>
      <c r="AY166" s="287">
        <f>_xlfn.IFNA((VLOOKUP($A166,'Post 16'!$A:$AR,22,FALSE)/4),0)</f>
        <v>0</v>
      </c>
      <c r="AZ166" s="287">
        <f>_xlfn.IFNA(VLOOKUP(A166,EY!A:AO,41,FALSE),0)</f>
        <v>0</v>
      </c>
      <c r="BA166" s="287">
        <f>_xlfn.IFNA(((VLOOKUP($A166,HN!$A:$M,10,FALSE)-$U166-$AK166)/10),0)+_xlfn.IFNA(VLOOKUP($A166,HN!$A:$R,18,FALSE),0)</f>
        <v>358364.67333333334</v>
      </c>
      <c r="BB166" s="287">
        <f>_xlfn.IFNA(((VLOOKUP($A166,HN!$A:$M,13,FALSE)-$V166-$AL166)/10),0)+_xlfn.IFNA(VLOOKUP($A166,HN!$A$8:$AU$200,20,FALSE),0)</f>
        <v>0</v>
      </c>
      <c r="BC166" s="286">
        <f t="shared" ref="BC166:BC193" si="281">$I166/12</f>
        <v>0</v>
      </c>
      <c r="BD166" s="286">
        <f t="shared" ref="BD166:BD190" si="282">$J166/12</f>
        <v>0</v>
      </c>
      <c r="BE166" s="287"/>
      <c r="BF166" s="287"/>
      <c r="BG166" s="287"/>
      <c r="BH166" s="286">
        <f t="shared" ref="BH166:BH193" si="283">SUM(AS166:BG166)</f>
        <v>583364.67333333334</v>
      </c>
      <c r="BI166" s="307">
        <f t="shared" ref="BI166:BI190" si="284">$H166/12</f>
        <v>0</v>
      </c>
      <c r="BJ166" s="307">
        <f>_xlfn.IFNA(VLOOKUP(A166,'LA Deductions'!A:AH,34,FALSE),0)</f>
        <v>0</v>
      </c>
      <c r="BK166" s="307"/>
      <c r="BL166" s="308">
        <f>_xlfn.IFNA((VLOOKUP($A166,HN!$A:$M,8,FALSE)/12),0)</f>
        <v>225000</v>
      </c>
      <c r="BM166" s="308">
        <f>_xlfn.IFNA((VLOOKUP($A166,HN!$A:$M,12,FALSE)/12),0)</f>
        <v>0</v>
      </c>
      <c r="BN166" s="308">
        <f>_xlfn.IFNA((VLOOKUP($A166,HN!$A:$M,9,FALSE)/12),0)</f>
        <v>0</v>
      </c>
      <c r="BO166" s="308">
        <f>_xlfn.IFNA((VLOOKUP($A166,'Post 16'!$A:$AR,22,FALSE)/4),0)</f>
        <v>0</v>
      </c>
      <c r="BP166" s="308"/>
      <c r="BQ166" s="308">
        <f>_xlfn.IFNA(((VLOOKUP($A166,HN!$A:$M,10,FALSE)-$U166-$AK166)/10),0)</f>
        <v>358364.67333333334</v>
      </c>
      <c r="BR166" s="308">
        <f>_xlfn.IFNA(((VLOOKUP($A166,HN!$A:$M,13,FALSE)-$V166-$AL166)/10),0)</f>
        <v>0</v>
      </c>
      <c r="BS166" s="307">
        <f t="shared" ref="BS166:BS193" si="285">$I166/12</f>
        <v>0</v>
      </c>
      <c r="BT166" s="307">
        <f t="shared" ref="BT166:BT190" si="286">$J166/12</f>
        <v>0</v>
      </c>
      <c r="BU166" s="308"/>
      <c r="BV166" s="308"/>
      <c r="BW166" s="308"/>
      <c r="BX166" s="307">
        <f t="shared" ref="BX166:BX193" si="287">SUM(BI166:BW166)</f>
        <v>583364.67333333334</v>
      </c>
      <c r="BY166" s="300">
        <f t="shared" ref="BY166:BY190" si="288">$H166/12</f>
        <v>0</v>
      </c>
      <c r="BZ166" s="300"/>
      <c r="CA166" s="300"/>
      <c r="CB166" s="301">
        <f>_xlfn.IFNA((VLOOKUP($A166,HN!$A:$M,8,FALSE)/12),0)</f>
        <v>225000</v>
      </c>
      <c r="CC166" s="301">
        <f>_xlfn.IFNA((VLOOKUP($A166,HN!$A:$M,12,FALSE)/12),0)</f>
        <v>0</v>
      </c>
      <c r="CD166" s="301">
        <f>_xlfn.IFNA((VLOOKUP($A166,HN!$A:$M,9,FALSE)/12),0)</f>
        <v>0</v>
      </c>
      <c r="CE166" s="301">
        <f>_xlfn.IFNA((VLOOKUP($A166,'Post 16'!$A:$AG,33,FALSE)/8),0)</f>
        <v>0</v>
      </c>
      <c r="CF166" s="301"/>
      <c r="CG166" s="301">
        <f>_xlfn.IFNA(((VLOOKUP($A166,HN!$A:$M,10,FALSE)-$U166-$AK166)/10),0)</f>
        <v>358364.67333333334</v>
      </c>
      <c r="CH166" s="301">
        <f>_xlfn.IFNA(((VLOOKUP($A166,HN!$A:$M,13,FALSE)-$V166-$AL166)/10),0)</f>
        <v>0</v>
      </c>
      <c r="CI166" s="300">
        <f t="shared" ref="CI166:CI193" si="289">$I166/12</f>
        <v>0</v>
      </c>
      <c r="CJ166" s="300">
        <f t="shared" ref="CJ166:CJ190" si="290">$J166/12</f>
        <v>0</v>
      </c>
      <c r="CK166" s="301"/>
      <c r="CL166" s="301"/>
      <c r="CM166" s="301"/>
      <c r="CN166" s="300">
        <f t="shared" ref="CN166:CN193" si="291">SUM(BY166:CM166)</f>
        <v>583364.67333333334</v>
      </c>
      <c r="CO166" s="332">
        <f t="shared" ref="CO166:CO190" si="292">$H166/12</f>
        <v>0</v>
      </c>
      <c r="CP166" s="332"/>
      <c r="CQ166" s="332">
        <f>_xlfn.IFNA((VLOOKUP($A166,EY!$A:$AB,28,FALSE)-$CV166),0)</f>
        <v>0</v>
      </c>
      <c r="CR166" s="333">
        <f>_xlfn.IFNA((VLOOKUP($A166,HN!$A:$M,8,FALSE)/12),0)</f>
        <v>225000</v>
      </c>
      <c r="CS166" s="333">
        <f>_xlfn.IFNA((VLOOKUP($A166,HN!$A:$M,12,FALSE)/12),0)</f>
        <v>0</v>
      </c>
      <c r="CT166" s="333">
        <f>_xlfn.IFNA((VLOOKUP($A166,HN!$A:$M,9,FALSE)/12),0)</f>
        <v>0</v>
      </c>
      <c r="CU166" s="333">
        <f>_xlfn.IFNA((VLOOKUP($A166,'Post 16'!$A:$AG,33,FALSE)/8),0)</f>
        <v>0</v>
      </c>
      <c r="CV166" s="333">
        <f>_xlfn.IFNA((VLOOKUP($A166,EY!$A:$AB,26,FALSE)*80%),0)</f>
        <v>0</v>
      </c>
      <c r="CW166" s="333">
        <f>_xlfn.IFNA(((VLOOKUP($A166,HN!$A:$M,10,FALSE)-$U166-$AK166)/10),0)</f>
        <v>358364.67333333334</v>
      </c>
      <c r="CX166" s="333">
        <f>_xlfn.IFNA(((VLOOKUP($A166,HN!$A:$M,13,FALSE)-$V166-$AL166)/10),0)</f>
        <v>0</v>
      </c>
      <c r="CY166" s="332">
        <f t="shared" ref="CY166:CY193" si="293">$I166/12</f>
        <v>0</v>
      </c>
      <c r="CZ166" s="332">
        <f t="shared" ref="CZ166:CZ190" si="294">$J166/12</f>
        <v>0</v>
      </c>
      <c r="DA166" s="333"/>
      <c r="DB166" s="333"/>
      <c r="DC166" s="333"/>
      <c r="DD166" s="332">
        <f t="shared" ref="DD166:DD193" si="295">SUM(CO166:DC166)</f>
        <v>583364.67333333334</v>
      </c>
      <c r="DE166" s="314">
        <f t="shared" ref="DE166:DE190" si="296">$H166/12</f>
        <v>0</v>
      </c>
      <c r="DF166" s="314"/>
      <c r="DG166" s="314"/>
      <c r="DH166" s="315">
        <f>_xlfn.IFNA((VLOOKUP($A166,HN!$A:$M,8,FALSE)/12),0)</f>
        <v>225000</v>
      </c>
      <c r="DI166" s="315">
        <f>_xlfn.IFNA((VLOOKUP($A166,HN!$A:$M,12,FALSE)/12),0)</f>
        <v>0</v>
      </c>
      <c r="DJ166" s="315">
        <f>_xlfn.IFNA((VLOOKUP($A166,HN!$A:$M,9,FALSE)/12),0)</f>
        <v>0</v>
      </c>
      <c r="DK166" s="315">
        <f>_xlfn.IFNA((VLOOKUP($A166,'Post 16'!$A:$AG,33,FALSE)/8),0)</f>
        <v>0</v>
      </c>
      <c r="DL166" s="315"/>
      <c r="DM166" s="315">
        <f>_xlfn.IFNA(((VLOOKUP($A166,HN!$A:$M,10,FALSE)-$U166-$AK166)/10),0)</f>
        <v>358364.67333333334</v>
      </c>
      <c r="DN166" s="315">
        <f>_xlfn.IFNA(((VLOOKUP($A166,HN!$A:$M,13,FALSE)-$V166-$AL166)/10),0)</f>
        <v>0</v>
      </c>
      <c r="DO166" s="314">
        <f t="shared" ref="DO166:DO193" si="297">$I166/12</f>
        <v>0</v>
      </c>
      <c r="DP166" s="314">
        <f t="shared" ref="DP166:DP190" si="298">$J166/12</f>
        <v>0</v>
      </c>
      <c r="DQ166" s="315"/>
      <c r="DR166" s="315"/>
      <c r="DS166" s="315"/>
      <c r="DT166" s="314">
        <f t="shared" ref="DT166:DT193" si="299">SUM(DE166:DS166)</f>
        <v>583364.67333333334</v>
      </c>
      <c r="DU166" s="307">
        <f t="shared" ref="DU166:DU190" si="300">$H166/12</f>
        <v>0</v>
      </c>
      <c r="DV166" s="307"/>
      <c r="DW166" s="307"/>
      <c r="DX166" s="308">
        <f>_xlfn.IFNA((VLOOKUP($A166,HN!$A:$M,8,FALSE)/12),0)</f>
        <v>225000</v>
      </c>
      <c r="DY166" s="308">
        <f>_xlfn.IFNA((VLOOKUP($A166,HN!$A:$M,12,FALSE)/12),0)</f>
        <v>0</v>
      </c>
      <c r="DZ166" s="308">
        <f>_xlfn.IFNA((VLOOKUP($A166,HN!$A:$M,9,FALSE)/12),0)</f>
        <v>0</v>
      </c>
      <c r="EA166" s="308">
        <f>_xlfn.IFNA((VLOOKUP($A166,'Post 16'!$A:$AG,33,FALSE)/8),0)</f>
        <v>0</v>
      </c>
      <c r="EB166" s="308"/>
      <c r="EC166" s="308">
        <f>_xlfn.IFNA(((VLOOKUP($A166,HN!$A:$M,10,FALSE)-$U166-$AK166)/10),0)</f>
        <v>358364.67333333334</v>
      </c>
      <c r="ED166" s="308">
        <f>_xlfn.IFNA(((VLOOKUP($A166,HN!$A:$M,13,FALSE)-$V166-$AL166)/10),0)</f>
        <v>0</v>
      </c>
      <c r="EE166" s="307">
        <f t="shared" ref="EE166:EE193" si="301">$I166/12</f>
        <v>0</v>
      </c>
      <c r="EF166" s="307">
        <f t="shared" ref="EF166:EF190" si="302">$J166/12</f>
        <v>0</v>
      </c>
      <c r="EG166" s="308"/>
      <c r="EH166" s="308"/>
      <c r="EI166" s="308"/>
      <c r="EJ166" s="307">
        <f t="shared" ref="EJ166:EJ193" si="303">SUM(DU166:EH166)</f>
        <v>583364.67333333334</v>
      </c>
      <c r="EK166" s="320">
        <f t="shared" ref="EK166:EK190" si="304">$H166/12</f>
        <v>0</v>
      </c>
      <c r="EL166" s="320"/>
      <c r="EM166" s="320"/>
      <c r="EN166" s="321">
        <f>_xlfn.IFNA((VLOOKUP($A166,HN!$A:$M,8,FALSE)/12),0)</f>
        <v>225000</v>
      </c>
      <c r="EO166" s="321">
        <f>_xlfn.IFNA((VLOOKUP($A166,HN!$A:$M,12,FALSE)/12),0)</f>
        <v>0</v>
      </c>
      <c r="EP166" s="321">
        <f>_xlfn.IFNA((VLOOKUP($A166,HN!$A:$M,9,FALSE)/12),0)</f>
        <v>0</v>
      </c>
      <c r="EQ166" s="321">
        <f>_xlfn.IFNA((VLOOKUP($A166,'Post 16'!$A:$AG,33,FALSE)/8),0)</f>
        <v>0</v>
      </c>
      <c r="ER166" s="321"/>
      <c r="ES166" s="321">
        <f>_xlfn.IFNA(((VLOOKUP($A166,HN!$A:$M,10,FALSE)-$U166-$AK166)/10),0)</f>
        <v>358364.67333333334</v>
      </c>
      <c r="ET166" s="321">
        <f>_xlfn.IFNA(((VLOOKUP($A166,HN!$A:$M,13,FALSE)-$V166-$AL166)/10),0)</f>
        <v>0</v>
      </c>
      <c r="EU166" s="320">
        <f t="shared" ref="EU166:EU193" si="305">$I166/12</f>
        <v>0</v>
      </c>
      <c r="EV166" s="320">
        <f t="shared" ref="EV166:EV190" si="306">$J166/12</f>
        <v>0</v>
      </c>
      <c r="EW166" s="321"/>
      <c r="EX166" s="321"/>
      <c r="EY166" s="321"/>
      <c r="EZ166" s="320">
        <f t="shared" ref="EZ166:EZ193" si="307">SUM(EK166:EY166)</f>
        <v>583364.67333333334</v>
      </c>
      <c r="FA166" s="286">
        <f t="shared" ref="FA166:FA190" si="308">$H166/12</f>
        <v>0</v>
      </c>
      <c r="FB166" s="286"/>
      <c r="FC166" s="286"/>
      <c r="FD166" s="287">
        <f>_xlfn.IFNA((VLOOKUP($A166,HN!$A:$M,8,FALSE)/12),0)</f>
        <v>225000</v>
      </c>
      <c r="FE166" s="287">
        <f>_xlfn.IFNA((VLOOKUP($A166,HN!$A:$M,12,FALSE)/12),0)</f>
        <v>0</v>
      </c>
      <c r="FF166" s="287">
        <f>_xlfn.IFNA((VLOOKUP($A166,HN!$A:$M,9,FALSE)/12),0)</f>
        <v>0</v>
      </c>
      <c r="FG166" s="287">
        <f>_xlfn.IFNA((VLOOKUP($A166,'Post 16'!$A:$AG,33,FALSE)/8),0)</f>
        <v>0</v>
      </c>
      <c r="FH166" s="287"/>
      <c r="FI166" s="287">
        <f>_xlfn.IFNA(((VLOOKUP($A166,HN!$A:$M,10,FALSE)-$U166-$AK166)/10),0)</f>
        <v>358364.67333333334</v>
      </c>
      <c r="FJ166" s="287">
        <f>_xlfn.IFNA(((VLOOKUP($A166,HN!$A:$M,13,FALSE)-$V166-$AL166)/10),0)</f>
        <v>0</v>
      </c>
      <c r="FK166" s="286">
        <f t="shared" ref="FK166:FK193" si="309">$I166/12</f>
        <v>0</v>
      </c>
      <c r="FL166" s="286">
        <f t="shared" ref="FL166:FL190" si="310">$J166/12</f>
        <v>0</v>
      </c>
      <c r="FM166" s="287"/>
      <c r="FN166" s="287"/>
      <c r="FO166" s="287"/>
      <c r="FP166" s="286">
        <f t="shared" ref="FP166:FP193" si="311">SUM(FA166:FO166)</f>
        <v>583364.67333333334</v>
      </c>
      <c r="FQ166" s="293">
        <f t="shared" ref="FQ166:FQ190" si="312">$H166/12</f>
        <v>0</v>
      </c>
      <c r="FR166" s="293"/>
      <c r="FS166" s="293"/>
      <c r="FT166" s="294">
        <f>_xlfn.IFNA((VLOOKUP($A166,HN!$A:$M,8,FALSE)/12),0)</f>
        <v>225000</v>
      </c>
      <c r="FU166" s="294">
        <f>_xlfn.IFNA((VLOOKUP($A166,HN!$A:$M,12,FALSE)/12),0)</f>
        <v>0</v>
      </c>
      <c r="FV166" s="294">
        <f>_xlfn.IFNA((VLOOKUP($A166,HN!$A:$M,9,FALSE)/12),0)</f>
        <v>0</v>
      </c>
      <c r="FW166" s="294">
        <f>_xlfn.IFNA((VLOOKUP($A166,'Post 16'!$A:$AG,33,FALSE)/8),0)</f>
        <v>0</v>
      </c>
      <c r="FX166" s="294"/>
      <c r="FY166" s="294">
        <f>_xlfn.IFNA(((VLOOKUP($A166,HN!$A:$M,10,FALSE)-$U166-$AK166)/10),0)</f>
        <v>358364.67333333334</v>
      </c>
      <c r="FZ166" s="294">
        <f>_xlfn.IFNA(((VLOOKUP($A166,HN!$A:$M,13,FALSE)-$V166-$AL166)/10),0)</f>
        <v>0</v>
      </c>
      <c r="GA166" s="293">
        <f t="shared" ref="GA166:GA193" si="313">$I166/12</f>
        <v>0</v>
      </c>
      <c r="GB166" s="293">
        <f t="shared" ref="GB166:GB190" si="314">$J166/12</f>
        <v>0</v>
      </c>
      <c r="GC166" s="294"/>
      <c r="GD166" s="294"/>
      <c r="GE166" s="294"/>
      <c r="GF166" s="293">
        <f t="shared" ref="GF166:GF193" si="315">SUM(FQ166:GE166)</f>
        <v>583364.67333333334</v>
      </c>
      <c r="GG166" s="300">
        <f t="shared" ref="GG166:GG190" si="316">$H166/12</f>
        <v>0</v>
      </c>
      <c r="GH166" s="300"/>
      <c r="GI166" s="300"/>
      <c r="GJ166" s="301">
        <f>_xlfn.IFNA((VLOOKUP($A166,HN!$A:$M,8,FALSE)/12),0)</f>
        <v>225000</v>
      </c>
      <c r="GK166" s="301">
        <f>_xlfn.IFNA((VLOOKUP($A166,HN!$A:$M,12,FALSE)/12),0)</f>
        <v>0</v>
      </c>
      <c r="GL166" s="301">
        <f>_xlfn.IFNA((VLOOKUP($A166,HN!$A:$M,9,FALSE)/12),0)</f>
        <v>0</v>
      </c>
      <c r="GM166" s="301">
        <f>_xlfn.IFNA((VLOOKUP($A166,'Post 16'!$A:$AG,33,FALSE)/8),0)</f>
        <v>0</v>
      </c>
      <c r="GN166" s="301"/>
      <c r="GO166" s="301">
        <f>_xlfn.IFNA(((VLOOKUP($A166,HN!$A:$M,10,FALSE)-$U166-$AK166)/10),0)</f>
        <v>358364.67333333334</v>
      </c>
      <c r="GP166" s="301">
        <f>_xlfn.IFNA(((VLOOKUP($A166,HN!$A:$M,13,FALSE)-$V166-$AL166)/10),0)</f>
        <v>0</v>
      </c>
      <c r="GQ166" s="300">
        <f t="shared" ref="GQ166:GQ193" si="317">$I166/12</f>
        <v>0</v>
      </c>
      <c r="GR166" s="300">
        <f t="shared" ref="GR166:GR190" si="318">$J166/12</f>
        <v>0</v>
      </c>
      <c r="GS166" s="301"/>
      <c r="GT166" s="301"/>
      <c r="GU166" s="301"/>
      <c r="GV166" s="300">
        <f t="shared" ref="GV166:GV193" si="319">SUM(GG166:GU166)</f>
        <v>583364.67333333334</v>
      </c>
      <c r="GX166" s="146">
        <f t="shared" ref="GX166:HC175" si="320">SUMIFS($M166:$GV166,$M$7:$GV$7,GX$7)</f>
        <v>2700000</v>
      </c>
      <c r="GY166" s="146">
        <f t="shared" si="320"/>
        <v>0</v>
      </c>
      <c r="GZ166" s="146">
        <f t="shared" si="320"/>
        <v>4300376.08</v>
      </c>
      <c r="HA166" s="146">
        <f t="shared" si="320"/>
        <v>0</v>
      </c>
      <c r="HB166" s="146">
        <f t="shared" si="320"/>
        <v>0</v>
      </c>
      <c r="HC166" s="146">
        <f t="shared" si="320"/>
        <v>0</v>
      </c>
      <c r="HE166" s="146">
        <f t="shared" ref="HE166:HJ175" si="321">SUMIFS($M166:$GV166,$M$7:$GV$7,HE$7,$M$4:$GV$4,$HE$6)</f>
        <v>675000</v>
      </c>
      <c r="HF166" s="146">
        <f t="shared" si="321"/>
        <v>0</v>
      </c>
      <c r="HG166" s="146">
        <f t="shared" si="321"/>
        <v>1075094.02</v>
      </c>
      <c r="HH166" s="146">
        <f t="shared" si="321"/>
        <v>0</v>
      </c>
      <c r="HI166" s="146">
        <f t="shared" si="321"/>
        <v>0</v>
      </c>
      <c r="HJ166" s="146">
        <f t="shared" si="321"/>
        <v>0</v>
      </c>
      <c r="HL166" s="146"/>
      <c r="HM166" s="57"/>
    </row>
    <row r="167" spans="1:221">
      <c r="A167" s="185">
        <v>2192</v>
      </c>
      <c r="B167" s="185">
        <v>103268</v>
      </c>
      <c r="C167" s="185" t="s">
        <v>361</v>
      </c>
      <c r="D167" s="2" t="s">
        <v>362</v>
      </c>
      <c r="E167" s="190" t="s">
        <v>39</v>
      </c>
      <c r="F167" s="190" t="s">
        <v>890</v>
      </c>
      <c r="H167" s="271">
        <f>_xlfn.IFNA(VLOOKUP($A167,ISB!$A$4:$BY$441,67,FALSE),0)</f>
        <v>3052361.2457442959</v>
      </c>
      <c r="I167" s="271">
        <f>_xlfn.IFNA(VLOOKUP($A167,ISB!$A$4:$BY$441,72,FALSE),0)</f>
        <v>-11952</v>
      </c>
      <c r="J167" s="271">
        <f>-_xlfn.IFNA(VLOOKUP($A167,ISB!$A$4:$BY$441,76,FALSE),0)</f>
        <v>-45816.088499999998</v>
      </c>
      <c r="K167" s="271">
        <f>_xlfn.IFNA(VLOOKUP($A167,ISB!$A$4:$BY$441,77,FALSE),0)</f>
        <v>2994593.1572442958</v>
      </c>
      <c r="M167" s="279">
        <f t="shared" si="272"/>
        <v>254363.43714535798</v>
      </c>
      <c r="N167" s="279"/>
      <c r="O167" s="279">
        <f>_xlfn.IFNA(VLOOKUP($A167,EY!$A:$H,8,FALSE)+(VLOOKUP($A167,EY!$A:$R,18,FALSE)-$T167),0)</f>
        <v>0</v>
      </c>
      <c r="P167" s="280">
        <f>_xlfn.IFNA((VLOOKUP($A167,HN!$A:$M,8,FALSE)/12),0)</f>
        <v>0</v>
      </c>
      <c r="Q167" s="280">
        <f>_xlfn.IFNA((VLOOKUP($A167,HN!$A:$M,12,FALSE)/12),0)</f>
        <v>0</v>
      </c>
      <c r="R167" s="280">
        <f>_xlfn.IFNA((VLOOKUP($A167,HN!$A:$M,9,FALSE)/12),0)</f>
        <v>0</v>
      </c>
      <c r="S167" s="280">
        <f>_xlfn.IFNA((VLOOKUP($A167,'Post 16'!$A:$AR,22,FALSE)/4),0)</f>
        <v>0</v>
      </c>
      <c r="T167" s="280">
        <f>_xlfn.IFNA((VLOOKUP($A167,EY!$A:$R,16,FALSE)*80%),0)</f>
        <v>0</v>
      </c>
      <c r="U167" s="280">
        <v>3061.5275000000001</v>
      </c>
      <c r="V167" s="280">
        <v>0</v>
      </c>
      <c r="W167" s="279">
        <f t="shared" si="273"/>
        <v>-996</v>
      </c>
      <c r="X167" s="279">
        <f t="shared" si="274"/>
        <v>-3818.0073749999997</v>
      </c>
      <c r="Y167" s="280"/>
      <c r="Z167" s="280"/>
      <c r="AA167" s="280"/>
      <c r="AB167" s="279">
        <f t="shared" si="275"/>
        <v>252610.95727035799</v>
      </c>
      <c r="AC167" s="293">
        <f t="shared" si="276"/>
        <v>254363.43714535798</v>
      </c>
      <c r="AD167" s="293"/>
      <c r="AE167" s="293"/>
      <c r="AF167" s="294">
        <f>_xlfn.IFNA((VLOOKUP($A167,HN!$A:$M,8,FALSE)/12),0)</f>
        <v>0</v>
      </c>
      <c r="AG167" s="294">
        <f>_xlfn.IFNA((VLOOKUP($A167,HN!$A:$M,12,FALSE)/12),0)+_xlfn.IFNA(VLOOKUP($A167,HN!$A:$Q,17,FALSE),0)</f>
        <v>0</v>
      </c>
      <c r="AH167" s="294">
        <f>_xlfn.IFNA((VLOOKUP($A167,HN!$A:$M,9,FALSE)/12),0)</f>
        <v>0</v>
      </c>
      <c r="AI167" s="294">
        <f>_xlfn.IFNA((VLOOKUP($A167,'Post 16'!$A:$AR,22,FALSE)/4),0)</f>
        <v>0</v>
      </c>
      <c r="AJ167" s="294"/>
      <c r="AK167" s="294">
        <f>_xlfn.IFNA((VLOOKUP($A167,HN!$A:$M,10,FALSE)/12),0)</f>
        <v>1435.5558333333331</v>
      </c>
      <c r="AL167" s="294">
        <f>_xlfn.IFNA((VLOOKUP($A167,HN!$A:$M,13,FALSE)/12),0)</f>
        <v>0</v>
      </c>
      <c r="AM167" s="293">
        <f t="shared" si="277"/>
        <v>-996</v>
      </c>
      <c r="AN167" s="293">
        <f t="shared" si="278"/>
        <v>-3818.0073749999997</v>
      </c>
      <c r="AO167" s="294"/>
      <c r="AP167" s="294"/>
      <c r="AQ167" s="294"/>
      <c r="AR167" s="293">
        <f t="shared" si="279"/>
        <v>250984.98560369134</v>
      </c>
      <c r="AS167" s="286">
        <f t="shared" si="280"/>
        <v>254363.43714535798</v>
      </c>
      <c r="AT167" s="286"/>
      <c r="AU167" s="286">
        <f>_xlfn.IFNA(VLOOKUP(A167,EY!A:AO,40,FALSE),0)</f>
        <v>0</v>
      </c>
      <c r="AV167" s="287">
        <f>_xlfn.IFNA((VLOOKUP($A167,HN!$A:$M,8,FALSE)/12),0)</f>
        <v>0</v>
      </c>
      <c r="AW167" s="287">
        <f>_xlfn.IFNA((VLOOKUP($A167,HN!$A:$M,12,FALSE)/12),0)+_xlfn.IFNA(VLOOKUP($A167,HN!$A$8:$AU$200,19,FALSE),0)</f>
        <v>0</v>
      </c>
      <c r="AX167" s="287">
        <f>_xlfn.IFNA((VLOOKUP($A167,HN!$A:$M,9,FALSE)/12),0)</f>
        <v>0</v>
      </c>
      <c r="AY167" s="287">
        <f>_xlfn.IFNA((VLOOKUP($A167,'Post 16'!$A:$AR,22,FALSE)/4),0)</f>
        <v>0</v>
      </c>
      <c r="AZ167" s="287">
        <f>_xlfn.IFNA(VLOOKUP(A167,EY!A:AO,41,FALSE),0)</f>
        <v>0</v>
      </c>
      <c r="BA167" s="287">
        <f>_xlfn.IFNA(((VLOOKUP($A167,HN!$A:$M,10,FALSE)-$U167-$AK167)/10),0)+_xlfn.IFNA(VLOOKUP($A167,HN!$A:$R,18,FALSE),0)</f>
        <v>1272.9586666666664</v>
      </c>
      <c r="BB167" s="287">
        <f>_xlfn.IFNA(((VLOOKUP($A167,HN!$A:$M,13,FALSE)-$V167-$AL167)/10),0)+_xlfn.IFNA(VLOOKUP($A167,HN!$A$8:$AU$200,20,FALSE),0)</f>
        <v>0</v>
      </c>
      <c r="BC167" s="286">
        <f t="shared" si="281"/>
        <v>-996</v>
      </c>
      <c r="BD167" s="286">
        <f t="shared" si="282"/>
        <v>-3818.0073749999997</v>
      </c>
      <c r="BE167" s="287"/>
      <c r="BF167" s="287"/>
      <c r="BG167" s="287"/>
      <c r="BH167" s="286">
        <f t="shared" si="283"/>
        <v>250822.38843702467</v>
      </c>
      <c r="BI167" s="307">
        <f t="shared" si="284"/>
        <v>254363.43714535798</v>
      </c>
      <c r="BJ167" s="307">
        <f>_xlfn.IFNA(VLOOKUP(A167,'LA Deductions'!A:AH,34,FALSE),0)</f>
        <v>0</v>
      </c>
      <c r="BK167" s="307"/>
      <c r="BL167" s="308">
        <f>_xlfn.IFNA((VLOOKUP($A167,HN!$A:$M,8,FALSE)/12),0)</f>
        <v>0</v>
      </c>
      <c r="BM167" s="308">
        <f>_xlfn.IFNA((VLOOKUP($A167,HN!$A:$M,12,FALSE)/12),0)</f>
        <v>0</v>
      </c>
      <c r="BN167" s="308">
        <f>_xlfn.IFNA((VLOOKUP($A167,HN!$A:$M,9,FALSE)/12),0)</f>
        <v>0</v>
      </c>
      <c r="BO167" s="308">
        <f>_xlfn.IFNA((VLOOKUP($A167,'Post 16'!$A:$AR,22,FALSE)/4),0)</f>
        <v>0</v>
      </c>
      <c r="BP167" s="308"/>
      <c r="BQ167" s="308">
        <f>_xlfn.IFNA(((VLOOKUP($A167,HN!$A:$M,10,FALSE)-$U167-$AK167)/10),0)</f>
        <v>1272.9586666666664</v>
      </c>
      <c r="BR167" s="308">
        <f>_xlfn.IFNA(((VLOOKUP($A167,HN!$A:$M,13,FALSE)-$V167-$AL167)/10),0)</f>
        <v>0</v>
      </c>
      <c r="BS167" s="307">
        <f t="shared" si="285"/>
        <v>-996</v>
      </c>
      <c r="BT167" s="307">
        <f t="shared" si="286"/>
        <v>-3818.0073749999997</v>
      </c>
      <c r="BU167" s="308"/>
      <c r="BV167" s="308"/>
      <c r="BW167" s="308"/>
      <c r="BX167" s="307">
        <f t="shared" si="287"/>
        <v>250822.38843702467</v>
      </c>
      <c r="BY167" s="300">
        <f t="shared" si="288"/>
        <v>254363.43714535798</v>
      </c>
      <c r="BZ167" s="300"/>
      <c r="CA167" s="300"/>
      <c r="CB167" s="301">
        <f>_xlfn.IFNA((VLOOKUP($A167,HN!$A:$M,8,FALSE)/12),0)</f>
        <v>0</v>
      </c>
      <c r="CC167" s="301">
        <f>_xlfn.IFNA((VLOOKUP($A167,HN!$A:$M,12,FALSE)/12),0)</f>
        <v>0</v>
      </c>
      <c r="CD167" s="301">
        <f>_xlfn.IFNA((VLOOKUP($A167,HN!$A:$M,9,FALSE)/12),0)</f>
        <v>0</v>
      </c>
      <c r="CE167" s="301">
        <f>_xlfn.IFNA((VLOOKUP($A167,'Post 16'!$A:$AG,33,FALSE)/8),0)</f>
        <v>0</v>
      </c>
      <c r="CF167" s="301"/>
      <c r="CG167" s="301">
        <f>_xlfn.IFNA(((VLOOKUP($A167,HN!$A:$M,10,FALSE)-$U167-$AK167)/10),0)</f>
        <v>1272.9586666666664</v>
      </c>
      <c r="CH167" s="301">
        <f>_xlfn.IFNA(((VLOOKUP($A167,HN!$A:$M,13,FALSE)-$V167-$AL167)/10),0)</f>
        <v>0</v>
      </c>
      <c r="CI167" s="300">
        <f t="shared" si="289"/>
        <v>-996</v>
      </c>
      <c r="CJ167" s="300">
        <f t="shared" si="290"/>
        <v>-3818.0073749999997</v>
      </c>
      <c r="CK167" s="301"/>
      <c r="CL167" s="301"/>
      <c r="CM167" s="301"/>
      <c r="CN167" s="300">
        <f t="shared" si="291"/>
        <v>250822.38843702467</v>
      </c>
      <c r="CO167" s="332">
        <f t="shared" si="292"/>
        <v>254363.43714535798</v>
      </c>
      <c r="CP167" s="332"/>
      <c r="CQ167" s="332">
        <f>_xlfn.IFNA((VLOOKUP($A167,EY!$A:$AB,28,FALSE)-$CV167),0)</f>
        <v>0</v>
      </c>
      <c r="CR167" s="333">
        <f>_xlfn.IFNA((VLOOKUP($A167,HN!$A:$M,8,FALSE)/12),0)</f>
        <v>0</v>
      </c>
      <c r="CS167" s="333">
        <f>_xlfn.IFNA((VLOOKUP($A167,HN!$A:$M,12,FALSE)/12),0)</f>
        <v>0</v>
      </c>
      <c r="CT167" s="333">
        <f>_xlfn.IFNA((VLOOKUP($A167,HN!$A:$M,9,FALSE)/12),0)</f>
        <v>0</v>
      </c>
      <c r="CU167" s="333">
        <f>_xlfn.IFNA((VLOOKUP($A167,'Post 16'!$A:$AG,33,FALSE)/8),0)</f>
        <v>0</v>
      </c>
      <c r="CV167" s="333">
        <f>_xlfn.IFNA((VLOOKUP($A167,EY!$A:$AB,26,FALSE)*80%),0)</f>
        <v>0</v>
      </c>
      <c r="CW167" s="333">
        <f>_xlfn.IFNA(((VLOOKUP($A167,HN!$A:$M,10,FALSE)-$U167-$AK167)/10),0)</f>
        <v>1272.9586666666664</v>
      </c>
      <c r="CX167" s="333">
        <f>_xlfn.IFNA(((VLOOKUP($A167,HN!$A:$M,13,FALSE)-$V167-$AL167)/10),0)</f>
        <v>0</v>
      </c>
      <c r="CY167" s="332">
        <f t="shared" si="293"/>
        <v>-996</v>
      </c>
      <c r="CZ167" s="332">
        <f t="shared" si="294"/>
        <v>-3818.0073749999997</v>
      </c>
      <c r="DA167" s="333"/>
      <c r="DB167" s="333"/>
      <c r="DC167" s="333"/>
      <c r="DD167" s="332">
        <f t="shared" si="295"/>
        <v>250822.38843702467</v>
      </c>
      <c r="DE167" s="314">
        <f t="shared" si="296"/>
        <v>254363.43714535798</v>
      </c>
      <c r="DF167" s="314"/>
      <c r="DG167" s="314"/>
      <c r="DH167" s="315">
        <f>_xlfn.IFNA((VLOOKUP($A167,HN!$A:$M,8,FALSE)/12),0)</f>
        <v>0</v>
      </c>
      <c r="DI167" s="315">
        <f>_xlfn.IFNA((VLOOKUP($A167,HN!$A:$M,12,FALSE)/12),0)</f>
        <v>0</v>
      </c>
      <c r="DJ167" s="315">
        <f>_xlfn.IFNA((VLOOKUP($A167,HN!$A:$M,9,FALSE)/12),0)</f>
        <v>0</v>
      </c>
      <c r="DK167" s="315">
        <f>_xlfn.IFNA((VLOOKUP($A167,'Post 16'!$A:$AG,33,FALSE)/8),0)</f>
        <v>0</v>
      </c>
      <c r="DL167" s="315"/>
      <c r="DM167" s="315">
        <f>_xlfn.IFNA(((VLOOKUP($A167,HN!$A:$M,10,FALSE)-$U167-$AK167)/10),0)</f>
        <v>1272.9586666666664</v>
      </c>
      <c r="DN167" s="315">
        <f>_xlfn.IFNA(((VLOOKUP($A167,HN!$A:$M,13,FALSE)-$V167-$AL167)/10),0)</f>
        <v>0</v>
      </c>
      <c r="DO167" s="314">
        <f t="shared" si="297"/>
        <v>-996</v>
      </c>
      <c r="DP167" s="314">
        <f t="shared" si="298"/>
        <v>-3818.0073749999997</v>
      </c>
      <c r="DQ167" s="315"/>
      <c r="DR167" s="315"/>
      <c r="DS167" s="315"/>
      <c r="DT167" s="314">
        <f t="shared" si="299"/>
        <v>250822.38843702467</v>
      </c>
      <c r="DU167" s="307">
        <f t="shared" si="300"/>
        <v>254363.43714535798</v>
      </c>
      <c r="DV167" s="307"/>
      <c r="DW167" s="307"/>
      <c r="DX167" s="308">
        <f>_xlfn.IFNA((VLOOKUP($A167,HN!$A:$M,8,FALSE)/12),0)</f>
        <v>0</v>
      </c>
      <c r="DY167" s="308">
        <f>_xlfn.IFNA((VLOOKUP($A167,HN!$A:$M,12,FALSE)/12),0)</f>
        <v>0</v>
      </c>
      <c r="DZ167" s="308">
        <f>_xlfn.IFNA((VLOOKUP($A167,HN!$A:$M,9,FALSE)/12),0)</f>
        <v>0</v>
      </c>
      <c r="EA167" s="308">
        <f>_xlfn.IFNA((VLOOKUP($A167,'Post 16'!$A:$AG,33,FALSE)/8),0)</f>
        <v>0</v>
      </c>
      <c r="EB167" s="308"/>
      <c r="EC167" s="308">
        <f>_xlfn.IFNA(((VLOOKUP($A167,HN!$A:$M,10,FALSE)-$U167-$AK167)/10),0)</f>
        <v>1272.9586666666664</v>
      </c>
      <c r="ED167" s="308">
        <f>_xlfn.IFNA(((VLOOKUP($A167,HN!$A:$M,13,FALSE)-$V167-$AL167)/10),0)</f>
        <v>0</v>
      </c>
      <c r="EE167" s="307">
        <f t="shared" si="301"/>
        <v>-996</v>
      </c>
      <c r="EF167" s="307">
        <f t="shared" si="302"/>
        <v>-3818.0073749999997</v>
      </c>
      <c r="EG167" s="308"/>
      <c r="EH167" s="308"/>
      <c r="EI167" s="308"/>
      <c r="EJ167" s="307">
        <f t="shared" si="303"/>
        <v>250822.38843702467</v>
      </c>
      <c r="EK167" s="320">
        <f t="shared" si="304"/>
        <v>254363.43714535798</v>
      </c>
      <c r="EL167" s="320"/>
      <c r="EM167" s="320"/>
      <c r="EN167" s="321">
        <f>_xlfn.IFNA((VLOOKUP($A167,HN!$A:$M,8,FALSE)/12),0)</f>
        <v>0</v>
      </c>
      <c r="EO167" s="321">
        <f>_xlfn.IFNA((VLOOKUP($A167,HN!$A:$M,12,FALSE)/12),0)</f>
        <v>0</v>
      </c>
      <c r="EP167" s="321">
        <f>_xlfn.IFNA((VLOOKUP($A167,HN!$A:$M,9,FALSE)/12),0)</f>
        <v>0</v>
      </c>
      <c r="EQ167" s="321">
        <f>_xlfn.IFNA((VLOOKUP($A167,'Post 16'!$A:$AG,33,FALSE)/8),0)</f>
        <v>0</v>
      </c>
      <c r="ER167" s="321"/>
      <c r="ES167" s="321">
        <f>_xlfn.IFNA(((VLOOKUP($A167,HN!$A:$M,10,FALSE)-$U167-$AK167)/10),0)</f>
        <v>1272.9586666666664</v>
      </c>
      <c r="ET167" s="321">
        <f>_xlfn.IFNA(((VLOOKUP($A167,HN!$A:$M,13,FALSE)-$V167-$AL167)/10),0)</f>
        <v>0</v>
      </c>
      <c r="EU167" s="320">
        <f t="shared" si="305"/>
        <v>-996</v>
      </c>
      <c r="EV167" s="320">
        <f t="shared" si="306"/>
        <v>-3818.0073749999997</v>
      </c>
      <c r="EW167" s="321"/>
      <c r="EX167" s="321"/>
      <c r="EY167" s="321"/>
      <c r="EZ167" s="320">
        <f t="shared" si="307"/>
        <v>250822.38843702467</v>
      </c>
      <c r="FA167" s="286">
        <f t="shared" si="308"/>
        <v>254363.43714535798</v>
      </c>
      <c r="FB167" s="286"/>
      <c r="FC167" s="286"/>
      <c r="FD167" s="287">
        <f>_xlfn.IFNA((VLOOKUP($A167,HN!$A:$M,8,FALSE)/12),0)</f>
        <v>0</v>
      </c>
      <c r="FE167" s="287">
        <f>_xlfn.IFNA((VLOOKUP($A167,HN!$A:$M,12,FALSE)/12),0)</f>
        <v>0</v>
      </c>
      <c r="FF167" s="287">
        <f>_xlfn.IFNA((VLOOKUP($A167,HN!$A:$M,9,FALSE)/12),0)</f>
        <v>0</v>
      </c>
      <c r="FG167" s="287">
        <f>_xlfn.IFNA((VLOOKUP($A167,'Post 16'!$A:$AG,33,FALSE)/8),0)</f>
        <v>0</v>
      </c>
      <c r="FH167" s="287"/>
      <c r="FI167" s="287">
        <f>_xlfn.IFNA(((VLOOKUP($A167,HN!$A:$M,10,FALSE)-$U167-$AK167)/10),0)</f>
        <v>1272.9586666666664</v>
      </c>
      <c r="FJ167" s="287">
        <f>_xlfn.IFNA(((VLOOKUP($A167,HN!$A:$M,13,FALSE)-$V167-$AL167)/10),0)</f>
        <v>0</v>
      </c>
      <c r="FK167" s="286">
        <f t="shared" si="309"/>
        <v>-996</v>
      </c>
      <c r="FL167" s="286">
        <f t="shared" si="310"/>
        <v>-3818.0073749999997</v>
      </c>
      <c r="FM167" s="287"/>
      <c r="FN167" s="287"/>
      <c r="FO167" s="287"/>
      <c r="FP167" s="286">
        <f t="shared" si="311"/>
        <v>250822.38843702467</v>
      </c>
      <c r="FQ167" s="293">
        <f t="shared" si="312"/>
        <v>254363.43714535798</v>
      </c>
      <c r="FR167" s="293"/>
      <c r="FS167" s="293"/>
      <c r="FT167" s="294">
        <f>_xlfn.IFNA((VLOOKUP($A167,HN!$A:$M,8,FALSE)/12),0)</f>
        <v>0</v>
      </c>
      <c r="FU167" s="294">
        <f>_xlfn.IFNA((VLOOKUP($A167,HN!$A:$M,12,FALSE)/12),0)</f>
        <v>0</v>
      </c>
      <c r="FV167" s="294">
        <f>_xlfn.IFNA((VLOOKUP($A167,HN!$A:$M,9,FALSE)/12),0)</f>
        <v>0</v>
      </c>
      <c r="FW167" s="294">
        <f>_xlfn.IFNA((VLOOKUP($A167,'Post 16'!$A:$AG,33,FALSE)/8),0)</f>
        <v>0</v>
      </c>
      <c r="FX167" s="294"/>
      <c r="FY167" s="294">
        <f>_xlfn.IFNA(((VLOOKUP($A167,HN!$A:$M,10,FALSE)-$U167-$AK167)/10),0)</f>
        <v>1272.9586666666664</v>
      </c>
      <c r="FZ167" s="294">
        <f>_xlfn.IFNA(((VLOOKUP($A167,HN!$A:$M,13,FALSE)-$V167-$AL167)/10),0)</f>
        <v>0</v>
      </c>
      <c r="GA167" s="293">
        <f t="shared" si="313"/>
        <v>-996</v>
      </c>
      <c r="GB167" s="293">
        <f t="shared" si="314"/>
        <v>-3818.0073749999997</v>
      </c>
      <c r="GC167" s="294"/>
      <c r="GD167" s="294"/>
      <c r="GE167" s="294"/>
      <c r="GF167" s="293">
        <f t="shared" si="315"/>
        <v>250822.38843702467</v>
      </c>
      <c r="GG167" s="300">
        <f t="shared" si="316"/>
        <v>254363.43714535798</v>
      </c>
      <c r="GH167" s="300"/>
      <c r="GI167" s="300"/>
      <c r="GJ167" s="301">
        <f>_xlfn.IFNA((VLOOKUP($A167,HN!$A:$M,8,FALSE)/12),0)</f>
        <v>0</v>
      </c>
      <c r="GK167" s="301">
        <f>_xlfn.IFNA((VLOOKUP($A167,HN!$A:$M,12,FALSE)/12),0)</f>
        <v>0</v>
      </c>
      <c r="GL167" s="301">
        <f>_xlfn.IFNA((VLOOKUP($A167,HN!$A:$M,9,FALSE)/12),0)</f>
        <v>0</v>
      </c>
      <c r="GM167" s="301">
        <f>_xlfn.IFNA((VLOOKUP($A167,'Post 16'!$A:$AG,33,FALSE)/8),0)</f>
        <v>0</v>
      </c>
      <c r="GN167" s="301"/>
      <c r="GO167" s="301">
        <f>_xlfn.IFNA(((VLOOKUP($A167,HN!$A:$M,10,FALSE)-$U167-$AK167)/10),0)</f>
        <v>1272.9586666666664</v>
      </c>
      <c r="GP167" s="301">
        <f>_xlfn.IFNA(((VLOOKUP($A167,HN!$A:$M,13,FALSE)-$V167-$AL167)/10),0)</f>
        <v>0</v>
      </c>
      <c r="GQ167" s="300">
        <f t="shared" si="317"/>
        <v>-996</v>
      </c>
      <c r="GR167" s="300">
        <f t="shared" si="318"/>
        <v>-3818.0073749999997</v>
      </c>
      <c r="GS167" s="301"/>
      <c r="GT167" s="301"/>
      <c r="GU167" s="301"/>
      <c r="GV167" s="300">
        <f t="shared" si="319"/>
        <v>250822.38843702467</v>
      </c>
      <c r="GX167" s="146">
        <f t="shared" si="320"/>
        <v>3052361.2457442959</v>
      </c>
      <c r="GY167" s="146">
        <f t="shared" si="320"/>
        <v>0</v>
      </c>
      <c r="GZ167" s="146">
        <f t="shared" si="320"/>
        <v>17226.669999999991</v>
      </c>
      <c r="HA167" s="146">
        <f t="shared" si="320"/>
        <v>-11952</v>
      </c>
      <c r="HB167" s="146">
        <f t="shared" si="320"/>
        <v>-45816.088500000005</v>
      </c>
      <c r="HC167" s="146">
        <f t="shared" si="320"/>
        <v>0</v>
      </c>
      <c r="HE167" s="146">
        <f t="shared" si="321"/>
        <v>763090.31143607397</v>
      </c>
      <c r="HF167" s="146">
        <f t="shared" si="321"/>
        <v>0</v>
      </c>
      <c r="HG167" s="146">
        <f t="shared" si="321"/>
        <v>5770.0419999999995</v>
      </c>
      <c r="HH167" s="146">
        <f t="shared" si="321"/>
        <v>-2988</v>
      </c>
      <c r="HI167" s="146">
        <f t="shared" si="321"/>
        <v>-11454.022125</v>
      </c>
      <c r="HJ167" s="146">
        <f t="shared" si="321"/>
        <v>0</v>
      </c>
      <c r="HL167" s="146"/>
      <c r="HM167" s="57"/>
    </row>
    <row r="168" spans="1:221">
      <c r="A168" s="185">
        <v>7014</v>
      </c>
      <c r="B168" s="185">
        <v>103605</v>
      </c>
      <c r="C168" s="185" t="s">
        <v>363</v>
      </c>
      <c r="D168" s="2" t="s">
        <v>364</v>
      </c>
      <c r="E168" s="190" t="s">
        <v>56</v>
      </c>
      <c r="F168" s="190" t="s">
        <v>890</v>
      </c>
      <c r="H168" s="271">
        <f>_xlfn.IFNA(VLOOKUP($A168,ISB!$A$4:$BY$441,67,FALSE),0)</f>
        <v>0</v>
      </c>
      <c r="I168" s="271">
        <f>_xlfn.IFNA(VLOOKUP($A168,ISB!$A$4:$BY$441,72,FALSE),0)</f>
        <v>0</v>
      </c>
      <c r="J168" s="271">
        <f>-_xlfn.IFNA(VLOOKUP($A168,ISB!$A$4:$BY$441,76,FALSE),0)</f>
        <v>0</v>
      </c>
      <c r="K168" s="271">
        <f>_xlfn.IFNA(VLOOKUP($A168,ISB!$A$4:$BY$441,77,FALSE),0)</f>
        <v>0</v>
      </c>
      <c r="M168" s="279">
        <f t="shared" si="272"/>
        <v>0</v>
      </c>
      <c r="N168" s="279"/>
      <c r="O168" s="279">
        <f>_xlfn.IFNA(VLOOKUP($A168,EY!$A:$H,8,FALSE)+(VLOOKUP($A168,EY!$A:$R,18,FALSE)-$T168),0)</f>
        <v>0</v>
      </c>
      <c r="P168" s="280">
        <f>_xlfn.IFNA((VLOOKUP($A168,HN!$A:$M,8,FALSE)/12),0)</f>
        <v>203194.44499999998</v>
      </c>
      <c r="Q168" s="280">
        <f>_xlfn.IFNA((VLOOKUP($A168,HN!$A:$M,12,FALSE)/12),0)</f>
        <v>0</v>
      </c>
      <c r="R168" s="280">
        <f>_xlfn.IFNA((VLOOKUP($A168,HN!$A:$M,9,FALSE)/12),0)</f>
        <v>43333.333333333336</v>
      </c>
      <c r="S168" s="280">
        <f>_xlfn.IFNA((VLOOKUP($A168,'Post 16'!$A:$AR,22,FALSE)/4),0)</f>
        <v>0</v>
      </c>
      <c r="T168" s="280">
        <f>_xlfn.IFNA((VLOOKUP($A168,EY!$A:$R,16,FALSE)*80%),0)</f>
        <v>0</v>
      </c>
      <c r="U168" s="280">
        <v>458357.4891666667</v>
      </c>
      <c r="V168" s="280">
        <v>0</v>
      </c>
      <c r="W168" s="279">
        <f t="shared" si="273"/>
        <v>0</v>
      </c>
      <c r="X168" s="279">
        <f t="shared" si="274"/>
        <v>0</v>
      </c>
      <c r="Y168" s="280"/>
      <c r="Z168" s="280"/>
      <c r="AA168" s="280"/>
      <c r="AB168" s="279">
        <f t="shared" si="275"/>
        <v>704885.26750000007</v>
      </c>
      <c r="AC168" s="293">
        <f t="shared" si="276"/>
        <v>0</v>
      </c>
      <c r="AD168" s="293"/>
      <c r="AE168" s="293"/>
      <c r="AF168" s="294">
        <f>_xlfn.IFNA((VLOOKUP($A168,HN!$A:$M,8,FALSE)/12),0)</f>
        <v>203194.44499999998</v>
      </c>
      <c r="AG168" s="294">
        <f>_xlfn.IFNA((VLOOKUP($A168,HN!$A:$M,12,FALSE)/12),0)+_xlfn.IFNA(VLOOKUP($A168,HN!$A:$Q,17,FALSE),0)</f>
        <v>0</v>
      </c>
      <c r="AH168" s="294">
        <f>_xlfn.IFNA((VLOOKUP($A168,HN!$A:$M,9,FALSE)/12),0)</f>
        <v>43333.333333333336</v>
      </c>
      <c r="AI168" s="294">
        <f>_xlfn.IFNA((VLOOKUP($A168,'Post 16'!$A:$AR,22,FALSE)/4),0)</f>
        <v>0</v>
      </c>
      <c r="AJ168" s="294"/>
      <c r="AK168" s="294">
        <f>_xlfn.IFNA((VLOOKUP($A168,HN!$A:$M,10,FALSE)/12),0)</f>
        <v>458357.4891666667</v>
      </c>
      <c r="AL168" s="294">
        <f>_xlfn.IFNA((VLOOKUP($A168,HN!$A:$M,13,FALSE)/12),0)</f>
        <v>0</v>
      </c>
      <c r="AM168" s="293">
        <f t="shared" si="277"/>
        <v>0</v>
      </c>
      <c r="AN168" s="293">
        <f t="shared" si="278"/>
        <v>0</v>
      </c>
      <c r="AO168" s="294"/>
      <c r="AP168" s="294"/>
      <c r="AQ168" s="294"/>
      <c r="AR168" s="293">
        <f t="shared" si="279"/>
        <v>704885.26750000007</v>
      </c>
      <c r="AS168" s="286">
        <f t="shared" si="280"/>
        <v>0</v>
      </c>
      <c r="AT168" s="286"/>
      <c r="AU168" s="286">
        <f>_xlfn.IFNA(VLOOKUP(A168,EY!A:AO,40,FALSE),0)</f>
        <v>0</v>
      </c>
      <c r="AV168" s="287">
        <f>_xlfn.IFNA((VLOOKUP($A168,HN!$A:$M,8,FALSE)/12),0)</f>
        <v>203194.44499999998</v>
      </c>
      <c r="AW168" s="287">
        <f>_xlfn.IFNA((VLOOKUP($A168,HN!$A:$M,12,FALSE)/12),0)+_xlfn.IFNA(VLOOKUP($A168,HN!$A$8:$AU$200,19,FALSE),0)</f>
        <v>0</v>
      </c>
      <c r="AX168" s="287">
        <f>_xlfn.IFNA((VLOOKUP($A168,HN!$A:$M,9,FALSE)/12),0)</f>
        <v>43333.333333333336</v>
      </c>
      <c r="AY168" s="287">
        <f>_xlfn.IFNA((VLOOKUP($A168,'Post 16'!$A:$AR,22,FALSE)/4),0)</f>
        <v>0</v>
      </c>
      <c r="AZ168" s="287">
        <f>_xlfn.IFNA(VLOOKUP(A168,EY!A:AO,41,FALSE),0)</f>
        <v>0</v>
      </c>
      <c r="BA168" s="287">
        <f>_xlfn.IFNA(((VLOOKUP($A168,HN!$A:$M,10,FALSE)-$U168-$AK168)/10),0)+_xlfn.IFNA(VLOOKUP($A168,HN!$A:$R,18,FALSE),0)</f>
        <v>458357.48916666664</v>
      </c>
      <c r="BB168" s="287">
        <f>_xlfn.IFNA(((VLOOKUP($A168,HN!$A:$M,13,FALSE)-$V168-$AL168)/10),0)+_xlfn.IFNA(VLOOKUP($A168,HN!$A$8:$AU$200,20,FALSE),0)</f>
        <v>0</v>
      </c>
      <c r="BC168" s="286">
        <f t="shared" si="281"/>
        <v>0</v>
      </c>
      <c r="BD168" s="286">
        <f t="shared" si="282"/>
        <v>0</v>
      </c>
      <c r="BE168" s="287"/>
      <c r="BF168" s="287"/>
      <c r="BG168" s="287"/>
      <c r="BH168" s="286">
        <f t="shared" si="283"/>
        <v>704885.26749999996</v>
      </c>
      <c r="BI168" s="307">
        <f t="shared" si="284"/>
        <v>0</v>
      </c>
      <c r="BJ168" s="307">
        <f>_xlfn.IFNA(VLOOKUP(A168,'LA Deductions'!A:AH,34,FALSE),0)</f>
        <v>0</v>
      </c>
      <c r="BK168" s="307"/>
      <c r="BL168" s="308">
        <f>_xlfn.IFNA((VLOOKUP($A168,HN!$A:$M,8,FALSE)/12),0)</f>
        <v>203194.44499999998</v>
      </c>
      <c r="BM168" s="308">
        <f>_xlfn.IFNA((VLOOKUP($A168,HN!$A:$M,12,FALSE)/12),0)</f>
        <v>0</v>
      </c>
      <c r="BN168" s="308">
        <f>_xlfn.IFNA((VLOOKUP($A168,HN!$A:$M,9,FALSE)/12),0)</f>
        <v>43333.333333333336</v>
      </c>
      <c r="BO168" s="308">
        <f>_xlfn.IFNA((VLOOKUP($A168,'Post 16'!$A:$AR,22,FALSE)/4),0)</f>
        <v>0</v>
      </c>
      <c r="BP168" s="308"/>
      <c r="BQ168" s="308">
        <f>_xlfn.IFNA(((VLOOKUP($A168,HN!$A:$M,10,FALSE)-$U168-$AK168)/10),0)</f>
        <v>458357.48916666664</v>
      </c>
      <c r="BR168" s="308">
        <f>_xlfn.IFNA(((VLOOKUP($A168,HN!$A:$M,13,FALSE)-$V168-$AL168)/10),0)</f>
        <v>0</v>
      </c>
      <c r="BS168" s="307">
        <f t="shared" si="285"/>
        <v>0</v>
      </c>
      <c r="BT168" s="307">
        <f t="shared" si="286"/>
        <v>0</v>
      </c>
      <c r="BU168" s="308"/>
      <c r="BV168" s="308"/>
      <c r="BW168" s="308"/>
      <c r="BX168" s="307">
        <f t="shared" si="287"/>
        <v>704885.26749999996</v>
      </c>
      <c r="BY168" s="300">
        <f t="shared" si="288"/>
        <v>0</v>
      </c>
      <c r="BZ168" s="300"/>
      <c r="CA168" s="300"/>
      <c r="CB168" s="301">
        <f>_xlfn.IFNA((VLOOKUP($A168,HN!$A:$M,8,FALSE)/12),0)</f>
        <v>203194.44499999998</v>
      </c>
      <c r="CC168" s="301">
        <f>_xlfn.IFNA((VLOOKUP($A168,HN!$A:$M,12,FALSE)/12),0)</f>
        <v>0</v>
      </c>
      <c r="CD168" s="301">
        <f>_xlfn.IFNA((VLOOKUP($A168,HN!$A:$M,9,FALSE)/12),0)</f>
        <v>43333.333333333336</v>
      </c>
      <c r="CE168" s="301">
        <f>_xlfn.IFNA((VLOOKUP($A168,'Post 16'!$A:$AG,33,FALSE)/8),0)</f>
        <v>0</v>
      </c>
      <c r="CF168" s="301"/>
      <c r="CG168" s="301">
        <f>_xlfn.IFNA(((VLOOKUP($A168,HN!$A:$M,10,FALSE)-$U168-$AK168)/10),0)</f>
        <v>458357.48916666664</v>
      </c>
      <c r="CH168" s="301">
        <f>_xlfn.IFNA(((VLOOKUP($A168,HN!$A:$M,13,FALSE)-$V168-$AL168)/10),0)</f>
        <v>0</v>
      </c>
      <c r="CI168" s="300">
        <f t="shared" si="289"/>
        <v>0</v>
      </c>
      <c r="CJ168" s="300">
        <f t="shared" si="290"/>
        <v>0</v>
      </c>
      <c r="CK168" s="301"/>
      <c r="CL168" s="301"/>
      <c r="CM168" s="301"/>
      <c r="CN168" s="300">
        <f t="shared" si="291"/>
        <v>704885.26749999996</v>
      </c>
      <c r="CO168" s="332">
        <f t="shared" si="292"/>
        <v>0</v>
      </c>
      <c r="CP168" s="332"/>
      <c r="CQ168" s="332">
        <f>_xlfn.IFNA((VLOOKUP($A168,EY!$A:$AB,28,FALSE)-$CV168),0)</f>
        <v>0</v>
      </c>
      <c r="CR168" s="333">
        <f>_xlfn.IFNA((VLOOKUP($A168,HN!$A:$M,8,FALSE)/12),0)</f>
        <v>203194.44499999998</v>
      </c>
      <c r="CS168" s="333">
        <f>_xlfn.IFNA((VLOOKUP($A168,HN!$A:$M,12,FALSE)/12),0)</f>
        <v>0</v>
      </c>
      <c r="CT168" s="333">
        <f>_xlfn.IFNA((VLOOKUP($A168,HN!$A:$M,9,FALSE)/12),0)</f>
        <v>43333.333333333336</v>
      </c>
      <c r="CU168" s="333">
        <f>_xlfn.IFNA((VLOOKUP($A168,'Post 16'!$A:$AG,33,FALSE)/8),0)</f>
        <v>0</v>
      </c>
      <c r="CV168" s="333">
        <f>_xlfn.IFNA((VLOOKUP($A168,EY!$A:$AB,26,FALSE)*80%),0)</f>
        <v>0</v>
      </c>
      <c r="CW168" s="333">
        <f>_xlfn.IFNA(((VLOOKUP($A168,HN!$A:$M,10,FALSE)-$U168-$AK168)/10),0)</f>
        <v>458357.48916666664</v>
      </c>
      <c r="CX168" s="333">
        <f>_xlfn.IFNA(((VLOOKUP($A168,HN!$A:$M,13,FALSE)-$V168-$AL168)/10),0)</f>
        <v>0</v>
      </c>
      <c r="CY168" s="332">
        <f t="shared" si="293"/>
        <v>0</v>
      </c>
      <c r="CZ168" s="332">
        <f t="shared" si="294"/>
        <v>0</v>
      </c>
      <c r="DA168" s="333"/>
      <c r="DB168" s="333"/>
      <c r="DC168" s="333"/>
      <c r="DD168" s="332">
        <f t="shared" si="295"/>
        <v>704885.26749999996</v>
      </c>
      <c r="DE168" s="314">
        <f t="shared" si="296"/>
        <v>0</v>
      </c>
      <c r="DF168" s="314"/>
      <c r="DG168" s="314"/>
      <c r="DH168" s="315">
        <f>_xlfn.IFNA((VLOOKUP($A168,HN!$A:$M,8,FALSE)/12),0)</f>
        <v>203194.44499999998</v>
      </c>
      <c r="DI168" s="315">
        <f>_xlfn.IFNA((VLOOKUP($A168,HN!$A:$M,12,FALSE)/12),0)</f>
        <v>0</v>
      </c>
      <c r="DJ168" s="315">
        <f>_xlfn.IFNA((VLOOKUP($A168,HN!$A:$M,9,FALSE)/12),0)</f>
        <v>43333.333333333336</v>
      </c>
      <c r="DK168" s="315">
        <f>_xlfn.IFNA((VLOOKUP($A168,'Post 16'!$A:$AG,33,FALSE)/8),0)</f>
        <v>0</v>
      </c>
      <c r="DL168" s="315"/>
      <c r="DM168" s="315">
        <f>_xlfn.IFNA(((VLOOKUP($A168,HN!$A:$M,10,FALSE)-$U168-$AK168)/10),0)</f>
        <v>458357.48916666664</v>
      </c>
      <c r="DN168" s="315">
        <f>_xlfn.IFNA(((VLOOKUP($A168,HN!$A:$M,13,FALSE)-$V168-$AL168)/10),0)</f>
        <v>0</v>
      </c>
      <c r="DO168" s="314">
        <f t="shared" si="297"/>
        <v>0</v>
      </c>
      <c r="DP168" s="314">
        <f t="shared" si="298"/>
        <v>0</v>
      </c>
      <c r="DQ168" s="315"/>
      <c r="DR168" s="315"/>
      <c r="DS168" s="315"/>
      <c r="DT168" s="314">
        <f t="shared" si="299"/>
        <v>704885.26749999996</v>
      </c>
      <c r="DU168" s="307">
        <f t="shared" si="300"/>
        <v>0</v>
      </c>
      <c r="DV168" s="307"/>
      <c r="DW168" s="307"/>
      <c r="DX168" s="308">
        <f>_xlfn.IFNA((VLOOKUP($A168,HN!$A:$M,8,FALSE)/12),0)</f>
        <v>203194.44499999998</v>
      </c>
      <c r="DY168" s="308">
        <f>_xlfn.IFNA((VLOOKUP($A168,HN!$A:$M,12,FALSE)/12),0)</f>
        <v>0</v>
      </c>
      <c r="DZ168" s="308">
        <f>_xlfn.IFNA((VLOOKUP($A168,HN!$A:$M,9,FALSE)/12),0)</f>
        <v>43333.333333333336</v>
      </c>
      <c r="EA168" s="308">
        <f>_xlfn.IFNA((VLOOKUP($A168,'Post 16'!$A:$AG,33,FALSE)/8),0)</f>
        <v>0</v>
      </c>
      <c r="EB168" s="308"/>
      <c r="EC168" s="308">
        <f>_xlfn.IFNA(((VLOOKUP($A168,HN!$A:$M,10,FALSE)-$U168-$AK168)/10),0)</f>
        <v>458357.48916666664</v>
      </c>
      <c r="ED168" s="308">
        <f>_xlfn.IFNA(((VLOOKUP($A168,HN!$A:$M,13,FALSE)-$V168-$AL168)/10),0)</f>
        <v>0</v>
      </c>
      <c r="EE168" s="307">
        <f t="shared" si="301"/>
        <v>0</v>
      </c>
      <c r="EF168" s="307">
        <f t="shared" si="302"/>
        <v>0</v>
      </c>
      <c r="EG168" s="308"/>
      <c r="EH168" s="308"/>
      <c r="EI168" s="308"/>
      <c r="EJ168" s="307">
        <f t="shared" si="303"/>
        <v>704885.26749999996</v>
      </c>
      <c r="EK168" s="320">
        <f t="shared" si="304"/>
        <v>0</v>
      </c>
      <c r="EL168" s="320"/>
      <c r="EM168" s="320"/>
      <c r="EN168" s="321">
        <f>_xlfn.IFNA((VLOOKUP($A168,HN!$A:$M,8,FALSE)/12),0)</f>
        <v>203194.44499999998</v>
      </c>
      <c r="EO168" s="321">
        <f>_xlfn.IFNA((VLOOKUP($A168,HN!$A:$M,12,FALSE)/12),0)</f>
        <v>0</v>
      </c>
      <c r="EP168" s="321">
        <f>_xlfn.IFNA((VLOOKUP($A168,HN!$A:$M,9,FALSE)/12),0)</f>
        <v>43333.333333333336</v>
      </c>
      <c r="EQ168" s="321">
        <f>_xlfn.IFNA((VLOOKUP($A168,'Post 16'!$A:$AG,33,FALSE)/8),0)</f>
        <v>0</v>
      </c>
      <c r="ER168" s="321"/>
      <c r="ES168" s="321">
        <f>_xlfn.IFNA(((VLOOKUP($A168,HN!$A:$M,10,FALSE)-$U168-$AK168)/10),0)</f>
        <v>458357.48916666664</v>
      </c>
      <c r="ET168" s="321">
        <f>_xlfn.IFNA(((VLOOKUP($A168,HN!$A:$M,13,FALSE)-$V168-$AL168)/10),0)</f>
        <v>0</v>
      </c>
      <c r="EU168" s="320">
        <f t="shared" si="305"/>
        <v>0</v>
      </c>
      <c r="EV168" s="320">
        <f t="shared" si="306"/>
        <v>0</v>
      </c>
      <c r="EW168" s="321"/>
      <c r="EX168" s="321"/>
      <c r="EY168" s="321"/>
      <c r="EZ168" s="320">
        <f t="shared" si="307"/>
        <v>704885.26749999996</v>
      </c>
      <c r="FA168" s="286">
        <f t="shared" si="308"/>
        <v>0</v>
      </c>
      <c r="FB168" s="286"/>
      <c r="FC168" s="286"/>
      <c r="FD168" s="287">
        <f>_xlfn.IFNA((VLOOKUP($A168,HN!$A:$M,8,FALSE)/12),0)</f>
        <v>203194.44499999998</v>
      </c>
      <c r="FE168" s="287">
        <f>_xlfn.IFNA((VLOOKUP($A168,HN!$A:$M,12,FALSE)/12),0)</f>
        <v>0</v>
      </c>
      <c r="FF168" s="287">
        <f>_xlfn.IFNA((VLOOKUP($A168,HN!$A:$M,9,FALSE)/12),0)</f>
        <v>43333.333333333336</v>
      </c>
      <c r="FG168" s="287">
        <f>_xlfn.IFNA((VLOOKUP($A168,'Post 16'!$A:$AG,33,FALSE)/8),0)</f>
        <v>0</v>
      </c>
      <c r="FH168" s="287"/>
      <c r="FI168" s="287">
        <f>_xlfn.IFNA(((VLOOKUP($A168,HN!$A:$M,10,FALSE)-$U168-$AK168)/10),0)</f>
        <v>458357.48916666664</v>
      </c>
      <c r="FJ168" s="287">
        <f>_xlfn.IFNA(((VLOOKUP($A168,HN!$A:$M,13,FALSE)-$V168-$AL168)/10),0)</f>
        <v>0</v>
      </c>
      <c r="FK168" s="286">
        <f t="shared" si="309"/>
        <v>0</v>
      </c>
      <c r="FL168" s="286">
        <f t="shared" si="310"/>
        <v>0</v>
      </c>
      <c r="FM168" s="287"/>
      <c r="FN168" s="287"/>
      <c r="FO168" s="287"/>
      <c r="FP168" s="286">
        <f t="shared" si="311"/>
        <v>704885.26749999996</v>
      </c>
      <c r="FQ168" s="293">
        <f t="shared" si="312"/>
        <v>0</v>
      </c>
      <c r="FR168" s="293"/>
      <c r="FS168" s="293"/>
      <c r="FT168" s="294">
        <f>_xlfn.IFNA((VLOOKUP($A168,HN!$A:$M,8,FALSE)/12),0)</f>
        <v>203194.44499999998</v>
      </c>
      <c r="FU168" s="294">
        <f>_xlfn.IFNA((VLOOKUP($A168,HN!$A:$M,12,FALSE)/12),0)</f>
        <v>0</v>
      </c>
      <c r="FV168" s="294">
        <f>_xlfn.IFNA((VLOOKUP($A168,HN!$A:$M,9,FALSE)/12),0)</f>
        <v>43333.333333333336</v>
      </c>
      <c r="FW168" s="294">
        <f>_xlfn.IFNA((VLOOKUP($A168,'Post 16'!$A:$AG,33,FALSE)/8),0)</f>
        <v>0</v>
      </c>
      <c r="FX168" s="294"/>
      <c r="FY168" s="294">
        <f>_xlfn.IFNA(((VLOOKUP($A168,HN!$A:$M,10,FALSE)-$U168-$AK168)/10),0)</f>
        <v>458357.48916666664</v>
      </c>
      <c r="FZ168" s="294">
        <f>_xlfn.IFNA(((VLOOKUP($A168,HN!$A:$M,13,FALSE)-$V168-$AL168)/10),0)</f>
        <v>0</v>
      </c>
      <c r="GA168" s="293">
        <f t="shared" si="313"/>
        <v>0</v>
      </c>
      <c r="GB168" s="293">
        <f t="shared" si="314"/>
        <v>0</v>
      </c>
      <c r="GC168" s="294"/>
      <c r="GD168" s="294"/>
      <c r="GE168" s="294"/>
      <c r="GF168" s="293">
        <f t="shared" si="315"/>
        <v>704885.26749999996</v>
      </c>
      <c r="GG168" s="300">
        <f t="shared" si="316"/>
        <v>0</v>
      </c>
      <c r="GH168" s="300"/>
      <c r="GI168" s="300"/>
      <c r="GJ168" s="301">
        <f>_xlfn.IFNA((VLOOKUP($A168,HN!$A:$M,8,FALSE)/12),0)</f>
        <v>203194.44499999998</v>
      </c>
      <c r="GK168" s="301">
        <f>_xlfn.IFNA((VLOOKUP($A168,HN!$A:$M,12,FALSE)/12),0)</f>
        <v>0</v>
      </c>
      <c r="GL168" s="301">
        <f>_xlfn.IFNA((VLOOKUP($A168,HN!$A:$M,9,FALSE)/12),0)</f>
        <v>43333.333333333336</v>
      </c>
      <c r="GM168" s="301">
        <f>_xlfn.IFNA((VLOOKUP($A168,'Post 16'!$A:$AG,33,FALSE)/8),0)</f>
        <v>0</v>
      </c>
      <c r="GN168" s="301"/>
      <c r="GO168" s="301">
        <f>_xlfn.IFNA(((VLOOKUP($A168,HN!$A:$M,10,FALSE)-$U168-$AK168)/10),0)</f>
        <v>458357.48916666664</v>
      </c>
      <c r="GP168" s="301">
        <f>_xlfn.IFNA(((VLOOKUP($A168,HN!$A:$M,13,FALSE)-$V168-$AL168)/10),0)</f>
        <v>0</v>
      </c>
      <c r="GQ168" s="300">
        <f t="shared" si="317"/>
        <v>0</v>
      </c>
      <c r="GR168" s="300">
        <f t="shared" si="318"/>
        <v>0</v>
      </c>
      <c r="GS168" s="301"/>
      <c r="GT168" s="301"/>
      <c r="GU168" s="301"/>
      <c r="GV168" s="300">
        <f t="shared" si="319"/>
        <v>704885.26749999996</v>
      </c>
      <c r="GX168" s="146">
        <f t="shared" si="320"/>
        <v>2438333.34</v>
      </c>
      <c r="GY168" s="146">
        <f t="shared" si="320"/>
        <v>519999.99999999994</v>
      </c>
      <c r="GZ168" s="146">
        <f t="shared" si="320"/>
        <v>5500289.8700000001</v>
      </c>
      <c r="HA168" s="146">
        <f t="shared" si="320"/>
        <v>0</v>
      </c>
      <c r="HB168" s="146">
        <f t="shared" si="320"/>
        <v>0</v>
      </c>
      <c r="HC168" s="146">
        <f t="shared" si="320"/>
        <v>0</v>
      </c>
      <c r="HE168" s="146">
        <f t="shared" si="321"/>
        <v>609583.33499999996</v>
      </c>
      <c r="HF168" s="146">
        <f t="shared" si="321"/>
        <v>130000</v>
      </c>
      <c r="HG168" s="146">
        <f t="shared" si="321"/>
        <v>1375072.4675</v>
      </c>
      <c r="HH168" s="146">
        <f t="shared" si="321"/>
        <v>0</v>
      </c>
      <c r="HI168" s="146">
        <f t="shared" si="321"/>
        <v>0</v>
      </c>
      <c r="HJ168" s="146">
        <f t="shared" si="321"/>
        <v>0</v>
      </c>
      <c r="HL168" s="146"/>
      <c r="HM168" s="57"/>
    </row>
    <row r="169" spans="1:221">
      <c r="A169" s="185">
        <v>7009</v>
      </c>
      <c r="B169" s="185">
        <v>103601</v>
      </c>
      <c r="C169" s="185" t="s">
        <v>365</v>
      </c>
      <c r="D169" s="2" t="s">
        <v>366</v>
      </c>
      <c r="E169" s="190" t="s">
        <v>56</v>
      </c>
      <c r="F169" s="190" t="s">
        <v>890</v>
      </c>
      <c r="H169" s="271">
        <f>_xlfn.IFNA(VLOOKUP($A169,ISB!$A$4:$BY$441,67,FALSE),0)</f>
        <v>0</v>
      </c>
      <c r="I169" s="271">
        <f>_xlfn.IFNA(VLOOKUP($A169,ISB!$A$4:$BY$441,72,FALSE),0)</f>
        <v>0</v>
      </c>
      <c r="J169" s="271">
        <f>-_xlfn.IFNA(VLOOKUP($A169,ISB!$A$4:$BY$441,76,FALSE),0)</f>
        <v>0</v>
      </c>
      <c r="K169" s="271">
        <f>_xlfn.IFNA(VLOOKUP($A169,ISB!$A$4:$BY$441,77,FALSE),0)</f>
        <v>0</v>
      </c>
      <c r="M169" s="279">
        <f t="shared" si="272"/>
        <v>0</v>
      </c>
      <c r="N169" s="279"/>
      <c r="O169" s="279">
        <f>_xlfn.IFNA(VLOOKUP($A169,EY!$A:$H,8,FALSE)+(VLOOKUP($A169,EY!$A:$R,18,FALSE)-$T169),0)</f>
        <v>0</v>
      </c>
      <c r="P169" s="280">
        <f>_xlfn.IFNA((VLOOKUP($A169,HN!$A:$M,8,FALSE)/12),0)</f>
        <v>154722.2225</v>
      </c>
      <c r="Q169" s="280">
        <f>_xlfn.IFNA((VLOOKUP($A169,HN!$A:$M,12,FALSE)/12),0)</f>
        <v>0</v>
      </c>
      <c r="R169" s="280">
        <f>_xlfn.IFNA((VLOOKUP($A169,HN!$A:$M,9,FALSE)/12),0)</f>
        <v>39166.666666666664</v>
      </c>
      <c r="S169" s="280">
        <f>_xlfn.IFNA((VLOOKUP($A169,'Post 16'!$A:$AR,22,FALSE)/4),0)</f>
        <v>0</v>
      </c>
      <c r="T169" s="280">
        <f>_xlfn.IFNA((VLOOKUP($A169,EY!$A:$R,16,FALSE)*80%),0)</f>
        <v>0</v>
      </c>
      <c r="U169" s="280">
        <v>368368.0633333333</v>
      </c>
      <c r="V169" s="280">
        <v>0</v>
      </c>
      <c r="W169" s="279">
        <f t="shared" si="273"/>
        <v>0</v>
      </c>
      <c r="X169" s="279">
        <f t="shared" si="274"/>
        <v>0</v>
      </c>
      <c r="Y169" s="280"/>
      <c r="Z169" s="280"/>
      <c r="AA169" s="280"/>
      <c r="AB169" s="279">
        <f t="shared" si="275"/>
        <v>562256.9524999999</v>
      </c>
      <c r="AC169" s="293">
        <f t="shared" si="276"/>
        <v>0</v>
      </c>
      <c r="AD169" s="293"/>
      <c r="AE169" s="293"/>
      <c r="AF169" s="294">
        <f>_xlfn.IFNA((VLOOKUP($A169,HN!$A:$M,8,FALSE)/12),0)</f>
        <v>154722.2225</v>
      </c>
      <c r="AG169" s="294">
        <f>_xlfn.IFNA((VLOOKUP($A169,HN!$A:$M,12,FALSE)/12),0)+_xlfn.IFNA(VLOOKUP($A169,HN!$A:$Q,17,FALSE),0)</f>
        <v>0</v>
      </c>
      <c r="AH169" s="294">
        <f>_xlfn.IFNA((VLOOKUP($A169,HN!$A:$M,9,FALSE)/12),0)</f>
        <v>39166.666666666664</v>
      </c>
      <c r="AI169" s="294">
        <f>_xlfn.IFNA((VLOOKUP($A169,'Post 16'!$A:$AR,22,FALSE)/4),0)</f>
        <v>0</v>
      </c>
      <c r="AJ169" s="294"/>
      <c r="AK169" s="294">
        <f>_xlfn.IFNA((VLOOKUP($A169,HN!$A:$M,10,FALSE)/12),0)</f>
        <v>368368.0633333333</v>
      </c>
      <c r="AL169" s="294">
        <f>_xlfn.IFNA((VLOOKUP($A169,HN!$A:$M,13,FALSE)/12),0)</f>
        <v>0</v>
      </c>
      <c r="AM169" s="293">
        <f t="shared" si="277"/>
        <v>0</v>
      </c>
      <c r="AN169" s="293">
        <f t="shared" si="278"/>
        <v>0</v>
      </c>
      <c r="AO169" s="294"/>
      <c r="AP169" s="294"/>
      <c r="AQ169" s="294"/>
      <c r="AR169" s="293">
        <f t="shared" si="279"/>
        <v>562256.9524999999</v>
      </c>
      <c r="AS169" s="286">
        <f t="shared" si="280"/>
        <v>0</v>
      </c>
      <c r="AT169" s="286"/>
      <c r="AU169" s="286">
        <f>_xlfn.IFNA(VLOOKUP(A169,EY!A:AO,40,FALSE),0)</f>
        <v>0</v>
      </c>
      <c r="AV169" s="287">
        <f>_xlfn.IFNA((VLOOKUP($A169,HN!$A:$M,8,FALSE)/12),0)</f>
        <v>154722.2225</v>
      </c>
      <c r="AW169" s="287">
        <f>_xlfn.IFNA((VLOOKUP($A169,HN!$A:$M,12,FALSE)/12),0)+_xlfn.IFNA(VLOOKUP($A169,HN!$A$8:$AU$200,19,FALSE),0)</f>
        <v>0</v>
      </c>
      <c r="AX169" s="287">
        <f>_xlfn.IFNA((VLOOKUP($A169,HN!$A:$M,9,FALSE)/12),0)</f>
        <v>39166.666666666664</v>
      </c>
      <c r="AY169" s="287">
        <f>_xlfn.IFNA((VLOOKUP($A169,'Post 16'!$A:$AR,22,FALSE)/4),0)</f>
        <v>0</v>
      </c>
      <c r="AZ169" s="287">
        <f>_xlfn.IFNA(VLOOKUP(A169,EY!A:AO,41,FALSE),0)</f>
        <v>0</v>
      </c>
      <c r="BA169" s="287">
        <f>_xlfn.IFNA(((VLOOKUP($A169,HN!$A:$M,10,FALSE)-$U169-$AK169)/10),0)+_xlfn.IFNA(VLOOKUP($A169,HN!$A:$R,18,FALSE),0)</f>
        <v>368368.0633333333</v>
      </c>
      <c r="BB169" s="287">
        <f>_xlfn.IFNA(((VLOOKUP($A169,HN!$A:$M,13,FALSE)-$V169-$AL169)/10),0)+_xlfn.IFNA(VLOOKUP($A169,HN!$A$8:$AU$200,20,FALSE),0)</f>
        <v>0</v>
      </c>
      <c r="BC169" s="286">
        <f t="shared" si="281"/>
        <v>0</v>
      </c>
      <c r="BD169" s="286">
        <f t="shared" si="282"/>
        <v>0</v>
      </c>
      <c r="BE169" s="287"/>
      <c r="BF169" s="287"/>
      <c r="BG169" s="287"/>
      <c r="BH169" s="286">
        <f t="shared" si="283"/>
        <v>562256.9524999999</v>
      </c>
      <c r="BI169" s="307">
        <f t="shared" si="284"/>
        <v>0</v>
      </c>
      <c r="BJ169" s="307">
        <f>_xlfn.IFNA(VLOOKUP(A169,'LA Deductions'!A:AH,34,FALSE),0)</f>
        <v>0</v>
      </c>
      <c r="BK169" s="307"/>
      <c r="BL169" s="308">
        <f>_xlfn.IFNA((VLOOKUP($A169,HN!$A:$M,8,FALSE)/12),0)</f>
        <v>154722.2225</v>
      </c>
      <c r="BM169" s="308">
        <f>_xlfn.IFNA((VLOOKUP($A169,HN!$A:$M,12,FALSE)/12),0)</f>
        <v>0</v>
      </c>
      <c r="BN169" s="308">
        <f>_xlfn.IFNA((VLOOKUP($A169,HN!$A:$M,9,FALSE)/12),0)</f>
        <v>39166.666666666664</v>
      </c>
      <c r="BO169" s="308">
        <f>_xlfn.IFNA((VLOOKUP($A169,'Post 16'!$A:$AR,22,FALSE)/4),0)</f>
        <v>0</v>
      </c>
      <c r="BP169" s="308"/>
      <c r="BQ169" s="308">
        <f>_xlfn.IFNA(((VLOOKUP($A169,HN!$A:$M,10,FALSE)-$U169-$AK169)/10),0)</f>
        <v>368368.0633333333</v>
      </c>
      <c r="BR169" s="308">
        <f>_xlfn.IFNA(((VLOOKUP($A169,HN!$A:$M,13,FALSE)-$V169-$AL169)/10),0)</f>
        <v>0</v>
      </c>
      <c r="BS169" s="307">
        <f t="shared" si="285"/>
        <v>0</v>
      </c>
      <c r="BT169" s="307">
        <f t="shared" si="286"/>
        <v>0</v>
      </c>
      <c r="BU169" s="308"/>
      <c r="BV169" s="308"/>
      <c r="BW169" s="308"/>
      <c r="BX169" s="307">
        <f t="shared" si="287"/>
        <v>562256.9524999999</v>
      </c>
      <c r="BY169" s="300">
        <f t="shared" si="288"/>
        <v>0</v>
      </c>
      <c r="BZ169" s="300"/>
      <c r="CA169" s="300"/>
      <c r="CB169" s="301">
        <f>_xlfn.IFNA((VLOOKUP($A169,HN!$A:$M,8,FALSE)/12),0)</f>
        <v>154722.2225</v>
      </c>
      <c r="CC169" s="301">
        <f>_xlfn.IFNA((VLOOKUP($A169,HN!$A:$M,12,FALSE)/12),0)</f>
        <v>0</v>
      </c>
      <c r="CD169" s="301">
        <f>_xlfn.IFNA((VLOOKUP($A169,HN!$A:$M,9,FALSE)/12),0)</f>
        <v>39166.666666666664</v>
      </c>
      <c r="CE169" s="301">
        <f>_xlfn.IFNA((VLOOKUP($A169,'Post 16'!$A:$AG,33,FALSE)/8),0)</f>
        <v>0</v>
      </c>
      <c r="CF169" s="301"/>
      <c r="CG169" s="301">
        <f>_xlfn.IFNA(((VLOOKUP($A169,HN!$A:$M,10,FALSE)-$U169-$AK169)/10),0)</f>
        <v>368368.0633333333</v>
      </c>
      <c r="CH169" s="301">
        <f>_xlfn.IFNA(((VLOOKUP($A169,HN!$A:$M,13,FALSE)-$V169-$AL169)/10),0)</f>
        <v>0</v>
      </c>
      <c r="CI169" s="300">
        <f t="shared" si="289"/>
        <v>0</v>
      </c>
      <c r="CJ169" s="300">
        <f t="shared" si="290"/>
        <v>0</v>
      </c>
      <c r="CK169" s="301"/>
      <c r="CL169" s="301"/>
      <c r="CM169" s="301"/>
      <c r="CN169" s="300">
        <f t="shared" si="291"/>
        <v>562256.9524999999</v>
      </c>
      <c r="CO169" s="332">
        <f t="shared" si="292"/>
        <v>0</v>
      </c>
      <c r="CP169" s="332"/>
      <c r="CQ169" s="332">
        <f>_xlfn.IFNA((VLOOKUP($A169,EY!$A:$AB,28,FALSE)-$CV169),0)</f>
        <v>0</v>
      </c>
      <c r="CR169" s="333">
        <f>_xlfn.IFNA((VLOOKUP($A169,HN!$A:$M,8,FALSE)/12),0)</f>
        <v>154722.2225</v>
      </c>
      <c r="CS169" s="333">
        <f>_xlfn.IFNA((VLOOKUP($A169,HN!$A:$M,12,FALSE)/12),0)</f>
        <v>0</v>
      </c>
      <c r="CT169" s="333">
        <f>_xlfn.IFNA((VLOOKUP($A169,HN!$A:$M,9,FALSE)/12),0)</f>
        <v>39166.666666666664</v>
      </c>
      <c r="CU169" s="333">
        <f>_xlfn.IFNA((VLOOKUP($A169,'Post 16'!$A:$AG,33,FALSE)/8),0)</f>
        <v>0</v>
      </c>
      <c r="CV169" s="333">
        <f>_xlfn.IFNA((VLOOKUP($A169,EY!$A:$AB,26,FALSE)*80%),0)</f>
        <v>0</v>
      </c>
      <c r="CW169" s="333">
        <f>_xlfn.IFNA(((VLOOKUP($A169,HN!$A:$M,10,FALSE)-$U169-$AK169)/10),0)</f>
        <v>368368.0633333333</v>
      </c>
      <c r="CX169" s="333">
        <f>_xlfn.IFNA(((VLOOKUP($A169,HN!$A:$M,13,FALSE)-$V169-$AL169)/10),0)</f>
        <v>0</v>
      </c>
      <c r="CY169" s="332">
        <f t="shared" si="293"/>
        <v>0</v>
      </c>
      <c r="CZ169" s="332">
        <f t="shared" si="294"/>
        <v>0</v>
      </c>
      <c r="DA169" s="333"/>
      <c r="DB169" s="333"/>
      <c r="DC169" s="333"/>
      <c r="DD169" s="332">
        <f t="shared" si="295"/>
        <v>562256.9524999999</v>
      </c>
      <c r="DE169" s="314">
        <f t="shared" si="296"/>
        <v>0</v>
      </c>
      <c r="DF169" s="314"/>
      <c r="DG169" s="314"/>
      <c r="DH169" s="315">
        <f>_xlfn.IFNA((VLOOKUP($A169,HN!$A:$M,8,FALSE)/12),0)</f>
        <v>154722.2225</v>
      </c>
      <c r="DI169" s="315">
        <f>_xlfn.IFNA((VLOOKUP($A169,HN!$A:$M,12,FALSE)/12),0)</f>
        <v>0</v>
      </c>
      <c r="DJ169" s="315">
        <f>_xlfn.IFNA((VLOOKUP($A169,HN!$A:$M,9,FALSE)/12),0)</f>
        <v>39166.666666666664</v>
      </c>
      <c r="DK169" s="315">
        <f>_xlfn.IFNA((VLOOKUP($A169,'Post 16'!$A:$AG,33,FALSE)/8),0)</f>
        <v>0</v>
      </c>
      <c r="DL169" s="315"/>
      <c r="DM169" s="315">
        <f>_xlfn.IFNA(((VLOOKUP($A169,HN!$A:$M,10,FALSE)-$U169-$AK169)/10),0)</f>
        <v>368368.0633333333</v>
      </c>
      <c r="DN169" s="315">
        <f>_xlfn.IFNA(((VLOOKUP($A169,HN!$A:$M,13,FALSE)-$V169-$AL169)/10),0)</f>
        <v>0</v>
      </c>
      <c r="DO169" s="314">
        <f t="shared" si="297"/>
        <v>0</v>
      </c>
      <c r="DP169" s="314">
        <f t="shared" si="298"/>
        <v>0</v>
      </c>
      <c r="DQ169" s="315"/>
      <c r="DR169" s="315"/>
      <c r="DS169" s="315"/>
      <c r="DT169" s="314">
        <f t="shared" si="299"/>
        <v>562256.9524999999</v>
      </c>
      <c r="DU169" s="307">
        <f t="shared" si="300"/>
        <v>0</v>
      </c>
      <c r="DV169" s="307"/>
      <c r="DW169" s="307"/>
      <c r="DX169" s="308">
        <f>_xlfn.IFNA((VLOOKUP($A169,HN!$A:$M,8,FALSE)/12),0)</f>
        <v>154722.2225</v>
      </c>
      <c r="DY169" s="308">
        <f>_xlfn.IFNA((VLOOKUP($A169,HN!$A:$M,12,FALSE)/12),0)</f>
        <v>0</v>
      </c>
      <c r="DZ169" s="308">
        <f>_xlfn.IFNA((VLOOKUP($A169,HN!$A:$M,9,FALSE)/12),0)</f>
        <v>39166.666666666664</v>
      </c>
      <c r="EA169" s="308">
        <f>_xlfn.IFNA((VLOOKUP($A169,'Post 16'!$A:$AG,33,FALSE)/8),0)</f>
        <v>0</v>
      </c>
      <c r="EB169" s="308"/>
      <c r="EC169" s="308">
        <f>_xlfn.IFNA(((VLOOKUP($A169,HN!$A:$M,10,FALSE)-$U169-$AK169)/10),0)</f>
        <v>368368.0633333333</v>
      </c>
      <c r="ED169" s="308">
        <f>_xlfn.IFNA(((VLOOKUP($A169,HN!$A:$M,13,FALSE)-$V169-$AL169)/10),0)</f>
        <v>0</v>
      </c>
      <c r="EE169" s="307">
        <f t="shared" si="301"/>
        <v>0</v>
      </c>
      <c r="EF169" s="307">
        <f t="shared" si="302"/>
        <v>0</v>
      </c>
      <c r="EG169" s="308"/>
      <c r="EH169" s="308"/>
      <c r="EI169" s="308"/>
      <c r="EJ169" s="307">
        <f t="shared" si="303"/>
        <v>562256.9524999999</v>
      </c>
      <c r="EK169" s="320">
        <f t="shared" si="304"/>
        <v>0</v>
      </c>
      <c r="EL169" s="320"/>
      <c r="EM169" s="320"/>
      <c r="EN169" s="321">
        <f>_xlfn.IFNA((VLOOKUP($A169,HN!$A:$M,8,FALSE)/12),0)</f>
        <v>154722.2225</v>
      </c>
      <c r="EO169" s="321">
        <f>_xlfn.IFNA((VLOOKUP($A169,HN!$A:$M,12,FALSE)/12),0)</f>
        <v>0</v>
      </c>
      <c r="EP169" s="321">
        <f>_xlfn.IFNA((VLOOKUP($A169,HN!$A:$M,9,FALSE)/12),0)</f>
        <v>39166.666666666664</v>
      </c>
      <c r="EQ169" s="321">
        <f>_xlfn.IFNA((VLOOKUP($A169,'Post 16'!$A:$AG,33,FALSE)/8),0)</f>
        <v>0</v>
      </c>
      <c r="ER169" s="321"/>
      <c r="ES169" s="321">
        <f>_xlfn.IFNA(((VLOOKUP($A169,HN!$A:$M,10,FALSE)-$U169-$AK169)/10),0)</f>
        <v>368368.0633333333</v>
      </c>
      <c r="ET169" s="321">
        <f>_xlfn.IFNA(((VLOOKUP($A169,HN!$A:$M,13,FALSE)-$V169-$AL169)/10),0)</f>
        <v>0</v>
      </c>
      <c r="EU169" s="320">
        <f t="shared" si="305"/>
        <v>0</v>
      </c>
      <c r="EV169" s="320">
        <f t="shared" si="306"/>
        <v>0</v>
      </c>
      <c r="EW169" s="321"/>
      <c r="EX169" s="321"/>
      <c r="EY169" s="321"/>
      <c r="EZ169" s="320">
        <f t="shared" si="307"/>
        <v>562256.9524999999</v>
      </c>
      <c r="FA169" s="286">
        <f t="shared" si="308"/>
        <v>0</v>
      </c>
      <c r="FB169" s="286"/>
      <c r="FC169" s="286"/>
      <c r="FD169" s="287">
        <f>_xlfn.IFNA((VLOOKUP($A169,HN!$A:$M,8,FALSE)/12),0)</f>
        <v>154722.2225</v>
      </c>
      <c r="FE169" s="287">
        <f>_xlfn.IFNA((VLOOKUP($A169,HN!$A:$M,12,FALSE)/12),0)</f>
        <v>0</v>
      </c>
      <c r="FF169" s="287">
        <f>_xlfn.IFNA((VLOOKUP($A169,HN!$A:$M,9,FALSE)/12),0)</f>
        <v>39166.666666666664</v>
      </c>
      <c r="FG169" s="287">
        <f>_xlfn.IFNA((VLOOKUP($A169,'Post 16'!$A:$AG,33,FALSE)/8),0)</f>
        <v>0</v>
      </c>
      <c r="FH169" s="287"/>
      <c r="FI169" s="287">
        <f>_xlfn.IFNA(((VLOOKUP($A169,HN!$A:$M,10,FALSE)-$U169-$AK169)/10),0)</f>
        <v>368368.0633333333</v>
      </c>
      <c r="FJ169" s="287">
        <f>_xlfn.IFNA(((VLOOKUP($A169,HN!$A:$M,13,FALSE)-$V169-$AL169)/10),0)</f>
        <v>0</v>
      </c>
      <c r="FK169" s="286">
        <f t="shared" si="309"/>
        <v>0</v>
      </c>
      <c r="FL169" s="286">
        <f t="shared" si="310"/>
        <v>0</v>
      </c>
      <c r="FM169" s="287"/>
      <c r="FN169" s="287"/>
      <c r="FO169" s="287"/>
      <c r="FP169" s="286">
        <f t="shared" si="311"/>
        <v>562256.9524999999</v>
      </c>
      <c r="FQ169" s="293">
        <f t="shared" si="312"/>
        <v>0</v>
      </c>
      <c r="FR169" s="293"/>
      <c r="FS169" s="293"/>
      <c r="FT169" s="294">
        <f>_xlfn.IFNA((VLOOKUP($A169,HN!$A:$M,8,FALSE)/12),0)</f>
        <v>154722.2225</v>
      </c>
      <c r="FU169" s="294">
        <f>_xlfn.IFNA((VLOOKUP($A169,HN!$A:$M,12,FALSE)/12),0)</f>
        <v>0</v>
      </c>
      <c r="FV169" s="294">
        <f>_xlfn.IFNA((VLOOKUP($A169,HN!$A:$M,9,FALSE)/12),0)</f>
        <v>39166.666666666664</v>
      </c>
      <c r="FW169" s="294">
        <f>_xlfn.IFNA((VLOOKUP($A169,'Post 16'!$A:$AG,33,FALSE)/8),0)</f>
        <v>0</v>
      </c>
      <c r="FX169" s="294"/>
      <c r="FY169" s="294">
        <f>_xlfn.IFNA(((VLOOKUP($A169,HN!$A:$M,10,FALSE)-$U169-$AK169)/10),0)</f>
        <v>368368.0633333333</v>
      </c>
      <c r="FZ169" s="294">
        <f>_xlfn.IFNA(((VLOOKUP($A169,HN!$A:$M,13,FALSE)-$V169-$AL169)/10),0)</f>
        <v>0</v>
      </c>
      <c r="GA169" s="293">
        <f t="shared" si="313"/>
        <v>0</v>
      </c>
      <c r="GB169" s="293">
        <f t="shared" si="314"/>
        <v>0</v>
      </c>
      <c r="GC169" s="294"/>
      <c r="GD169" s="294"/>
      <c r="GE169" s="294"/>
      <c r="GF169" s="293">
        <f t="shared" si="315"/>
        <v>562256.9524999999</v>
      </c>
      <c r="GG169" s="300">
        <f t="shared" si="316"/>
        <v>0</v>
      </c>
      <c r="GH169" s="300"/>
      <c r="GI169" s="300"/>
      <c r="GJ169" s="301">
        <f>_xlfn.IFNA((VLOOKUP($A169,HN!$A:$M,8,FALSE)/12),0)</f>
        <v>154722.2225</v>
      </c>
      <c r="GK169" s="301">
        <f>_xlfn.IFNA((VLOOKUP($A169,HN!$A:$M,12,FALSE)/12),0)</f>
        <v>0</v>
      </c>
      <c r="GL169" s="301">
        <f>_xlfn.IFNA((VLOOKUP($A169,HN!$A:$M,9,FALSE)/12),0)</f>
        <v>39166.666666666664</v>
      </c>
      <c r="GM169" s="301">
        <f>_xlfn.IFNA((VLOOKUP($A169,'Post 16'!$A:$AG,33,FALSE)/8),0)</f>
        <v>0</v>
      </c>
      <c r="GN169" s="301"/>
      <c r="GO169" s="301">
        <f>_xlfn.IFNA(((VLOOKUP($A169,HN!$A:$M,10,FALSE)-$U169-$AK169)/10),0)</f>
        <v>368368.0633333333</v>
      </c>
      <c r="GP169" s="301">
        <f>_xlfn.IFNA(((VLOOKUP($A169,HN!$A:$M,13,FALSE)-$V169-$AL169)/10),0)</f>
        <v>0</v>
      </c>
      <c r="GQ169" s="300">
        <f t="shared" si="317"/>
        <v>0</v>
      </c>
      <c r="GR169" s="300">
        <f t="shared" si="318"/>
        <v>0</v>
      </c>
      <c r="GS169" s="301"/>
      <c r="GT169" s="301"/>
      <c r="GU169" s="301"/>
      <c r="GV169" s="300">
        <f t="shared" si="319"/>
        <v>562256.9524999999</v>
      </c>
      <c r="GX169" s="146">
        <f t="shared" si="320"/>
        <v>1856666.6699999997</v>
      </c>
      <c r="GY169" s="146">
        <f t="shared" si="320"/>
        <v>470000.00000000006</v>
      </c>
      <c r="GZ169" s="146">
        <f t="shared" si="320"/>
        <v>4420416.7600000007</v>
      </c>
      <c r="HA169" s="146">
        <f t="shared" si="320"/>
        <v>0</v>
      </c>
      <c r="HB169" s="146">
        <f t="shared" si="320"/>
        <v>0</v>
      </c>
      <c r="HC169" s="146">
        <f t="shared" si="320"/>
        <v>0</v>
      </c>
      <c r="HE169" s="146">
        <f t="shared" si="321"/>
        <v>464166.66749999998</v>
      </c>
      <c r="HF169" s="146">
        <f t="shared" si="321"/>
        <v>117500</v>
      </c>
      <c r="HG169" s="146">
        <f t="shared" si="321"/>
        <v>1105104.19</v>
      </c>
      <c r="HH169" s="146">
        <f t="shared" si="321"/>
        <v>0</v>
      </c>
      <c r="HI169" s="146">
        <f t="shared" si="321"/>
        <v>0</v>
      </c>
      <c r="HJ169" s="146">
        <f t="shared" si="321"/>
        <v>0</v>
      </c>
      <c r="HL169" s="146"/>
      <c r="HM169" s="57"/>
    </row>
    <row r="170" spans="1:221">
      <c r="A170" s="185">
        <v>5203</v>
      </c>
      <c r="B170" s="185">
        <v>103544</v>
      </c>
      <c r="C170" s="185" t="s">
        <v>367</v>
      </c>
      <c r="D170" s="2" t="s">
        <v>368</v>
      </c>
      <c r="E170" s="190" t="s">
        <v>39</v>
      </c>
      <c r="F170" s="190" t="s">
        <v>890</v>
      </c>
      <c r="H170" s="271">
        <f>_xlfn.IFNA(VLOOKUP($A170,ISB!$A$4:$BY$441,67,FALSE),0)</f>
        <v>1426277.9615069344</v>
      </c>
      <c r="I170" s="271">
        <f>_xlfn.IFNA(VLOOKUP($A170,ISB!$A$4:$BY$441,72,FALSE),0)</f>
        <v>-6648.2999999999993</v>
      </c>
      <c r="J170" s="271">
        <f>-_xlfn.IFNA(VLOOKUP($A170,ISB!$A$4:$BY$441,76,FALSE),0)</f>
        <v>-5935.9209000000001</v>
      </c>
      <c r="K170" s="271">
        <f>_xlfn.IFNA(VLOOKUP($A170,ISB!$A$4:$BY$441,77,FALSE),0)</f>
        <v>1413693.7406069343</v>
      </c>
      <c r="M170" s="279">
        <f t="shared" si="272"/>
        <v>118856.49679224454</v>
      </c>
      <c r="N170" s="279"/>
      <c r="O170" s="279">
        <f>_xlfn.IFNA(VLOOKUP($A170,EY!$A:$H,8,FALSE)+(VLOOKUP($A170,EY!$A:$R,18,FALSE)-$T170),0)</f>
        <v>94105.669894736842</v>
      </c>
      <c r="P170" s="280">
        <f>_xlfn.IFNA((VLOOKUP($A170,HN!$A:$M,8,FALSE)/12),0)</f>
        <v>0</v>
      </c>
      <c r="Q170" s="280">
        <f>_xlfn.IFNA((VLOOKUP($A170,HN!$A:$M,12,FALSE)/12),0)</f>
        <v>0</v>
      </c>
      <c r="R170" s="280">
        <f>_xlfn.IFNA((VLOOKUP($A170,HN!$A:$M,9,FALSE)/12),0)</f>
        <v>0</v>
      </c>
      <c r="S170" s="280">
        <f>_xlfn.IFNA((VLOOKUP($A170,'Post 16'!$A:$AR,22,FALSE)/4),0)</f>
        <v>0</v>
      </c>
      <c r="T170" s="280">
        <f>_xlfn.IFNA((VLOOKUP($A170,EY!$A:$R,16,FALSE)*80%),0)</f>
        <v>0</v>
      </c>
      <c r="U170" s="280">
        <v>8027.2224999999999</v>
      </c>
      <c r="V170" s="280">
        <v>0</v>
      </c>
      <c r="W170" s="279">
        <f t="shared" si="273"/>
        <v>-554.02499999999998</v>
      </c>
      <c r="X170" s="279">
        <f t="shared" si="274"/>
        <v>-494.66007500000001</v>
      </c>
      <c r="Y170" s="280"/>
      <c r="Z170" s="280"/>
      <c r="AA170" s="280"/>
      <c r="AB170" s="279">
        <f t="shared" si="275"/>
        <v>219940.70411198141</v>
      </c>
      <c r="AC170" s="293">
        <f t="shared" si="276"/>
        <v>118856.49679224454</v>
      </c>
      <c r="AD170" s="293"/>
      <c r="AE170" s="293"/>
      <c r="AF170" s="294">
        <f>_xlfn.IFNA((VLOOKUP($A170,HN!$A:$M,8,FALSE)/12),0)</f>
        <v>0</v>
      </c>
      <c r="AG170" s="294">
        <f>_xlfn.IFNA((VLOOKUP($A170,HN!$A:$M,12,FALSE)/12),0)+_xlfn.IFNA(VLOOKUP($A170,HN!$A:$Q,17,FALSE),0)</f>
        <v>0</v>
      </c>
      <c r="AH170" s="294">
        <f>_xlfn.IFNA((VLOOKUP($A170,HN!$A:$M,9,FALSE)/12),0)</f>
        <v>0</v>
      </c>
      <c r="AI170" s="294">
        <f>_xlfn.IFNA((VLOOKUP($A170,'Post 16'!$A:$AR,22,FALSE)/4),0)</f>
        <v>0</v>
      </c>
      <c r="AJ170" s="294"/>
      <c r="AK170" s="294">
        <f>_xlfn.IFNA((VLOOKUP($A170,HN!$A:$M,10,FALSE)/12),0)</f>
        <v>3783.9583333333335</v>
      </c>
      <c r="AL170" s="294">
        <f>_xlfn.IFNA((VLOOKUP($A170,HN!$A:$M,13,FALSE)/12),0)</f>
        <v>0</v>
      </c>
      <c r="AM170" s="293">
        <f t="shared" si="277"/>
        <v>-554.02499999999998</v>
      </c>
      <c r="AN170" s="293">
        <f t="shared" si="278"/>
        <v>-494.66007500000001</v>
      </c>
      <c r="AO170" s="294"/>
      <c r="AP170" s="294"/>
      <c r="AQ170" s="294"/>
      <c r="AR170" s="293">
        <f t="shared" si="279"/>
        <v>121591.77005057786</v>
      </c>
      <c r="AS170" s="286">
        <f t="shared" si="280"/>
        <v>118856.49679224454</v>
      </c>
      <c r="AT170" s="286"/>
      <c r="AU170" s="286">
        <f>_xlfn.IFNA(VLOOKUP(A170,EY!A:AO,40,FALSE),0)</f>
        <v>14422.058199445983</v>
      </c>
      <c r="AV170" s="287">
        <f>_xlfn.IFNA((VLOOKUP($A170,HN!$A:$M,8,FALSE)/12),0)</f>
        <v>0</v>
      </c>
      <c r="AW170" s="287">
        <f>_xlfn.IFNA((VLOOKUP($A170,HN!$A:$M,12,FALSE)/12),0)+_xlfn.IFNA(VLOOKUP($A170,HN!$A$8:$AU$200,19,FALSE),0)</f>
        <v>0</v>
      </c>
      <c r="AX170" s="287">
        <f>_xlfn.IFNA((VLOOKUP($A170,HN!$A:$M,9,FALSE)/12),0)</f>
        <v>0</v>
      </c>
      <c r="AY170" s="287">
        <f>_xlfn.IFNA((VLOOKUP($A170,'Post 16'!$A:$AR,22,FALSE)/4),0)</f>
        <v>0</v>
      </c>
      <c r="AZ170" s="287">
        <f>_xlfn.IFNA(VLOOKUP(A170,EY!A:AO,41,FALSE),0)</f>
        <v>0</v>
      </c>
      <c r="BA170" s="287">
        <f>_xlfn.IFNA(((VLOOKUP($A170,HN!$A:$M,10,FALSE)-$U170-$AK170)/10),0)+_xlfn.IFNA(VLOOKUP($A170,HN!$A:$R,18,FALSE),0)</f>
        <v>3359.6319166666663</v>
      </c>
      <c r="BB170" s="287">
        <f>_xlfn.IFNA(((VLOOKUP($A170,HN!$A:$M,13,FALSE)-$V170-$AL170)/10),0)+_xlfn.IFNA(VLOOKUP($A170,HN!$A$8:$AU$200,20,FALSE),0)</f>
        <v>0</v>
      </c>
      <c r="BC170" s="286">
        <f t="shared" si="281"/>
        <v>-554.02499999999998</v>
      </c>
      <c r="BD170" s="286">
        <f t="shared" si="282"/>
        <v>-494.66007500000001</v>
      </c>
      <c r="BE170" s="287"/>
      <c r="BF170" s="287"/>
      <c r="BG170" s="287"/>
      <c r="BH170" s="286">
        <f t="shared" si="283"/>
        <v>135589.50183335721</v>
      </c>
      <c r="BI170" s="307">
        <f t="shared" si="284"/>
        <v>118856.49679224454</v>
      </c>
      <c r="BJ170" s="307">
        <f>_xlfn.IFNA(VLOOKUP(A170,'LA Deductions'!A:AH,34,FALSE),0)</f>
        <v>0</v>
      </c>
      <c r="BK170" s="307"/>
      <c r="BL170" s="308">
        <f>_xlfn.IFNA((VLOOKUP($A170,HN!$A:$M,8,FALSE)/12),0)</f>
        <v>0</v>
      </c>
      <c r="BM170" s="308">
        <f>_xlfn.IFNA((VLOOKUP($A170,HN!$A:$M,12,FALSE)/12),0)</f>
        <v>0</v>
      </c>
      <c r="BN170" s="308">
        <f>_xlfn.IFNA((VLOOKUP($A170,HN!$A:$M,9,FALSE)/12),0)</f>
        <v>0</v>
      </c>
      <c r="BO170" s="308">
        <f>_xlfn.IFNA((VLOOKUP($A170,'Post 16'!$A:$AR,22,FALSE)/4),0)</f>
        <v>0</v>
      </c>
      <c r="BP170" s="308"/>
      <c r="BQ170" s="308">
        <f>_xlfn.IFNA(((VLOOKUP($A170,HN!$A:$M,10,FALSE)-$U170-$AK170)/10),0)</f>
        <v>3359.6319166666663</v>
      </c>
      <c r="BR170" s="308">
        <f>_xlfn.IFNA(((VLOOKUP($A170,HN!$A:$M,13,FALSE)-$V170-$AL170)/10),0)</f>
        <v>0</v>
      </c>
      <c r="BS170" s="307">
        <f t="shared" si="285"/>
        <v>-554.02499999999998</v>
      </c>
      <c r="BT170" s="307">
        <f t="shared" si="286"/>
        <v>-494.66007500000001</v>
      </c>
      <c r="BU170" s="308"/>
      <c r="BV170" s="308"/>
      <c r="BW170" s="308"/>
      <c r="BX170" s="307">
        <f t="shared" si="287"/>
        <v>121167.4436339112</v>
      </c>
      <c r="BY170" s="300">
        <f t="shared" si="288"/>
        <v>118856.49679224454</v>
      </c>
      <c r="BZ170" s="300"/>
      <c r="CA170" s="300"/>
      <c r="CB170" s="301">
        <f>_xlfn.IFNA((VLOOKUP($A170,HN!$A:$M,8,FALSE)/12),0)</f>
        <v>0</v>
      </c>
      <c r="CC170" s="301">
        <f>_xlfn.IFNA((VLOOKUP($A170,HN!$A:$M,12,FALSE)/12),0)</f>
        <v>0</v>
      </c>
      <c r="CD170" s="301">
        <f>_xlfn.IFNA((VLOOKUP($A170,HN!$A:$M,9,FALSE)/12),0)</f>
        <v>0</v>
      </c>
      <c r="CE170" s="301">
        <f>_xlfn.IFNA((VLOOKUP($A170,'Post 16'!$A:$AG,33,FALSE)/8),0)</f>
        <v>0</v>
      </c>
      <c r="CF170" s="301"/>
      <c r="CG170" s="301">
        <f>_xlfn.IFNA(((VLOOKUP($A170,HN!$A:$M,10,FALSE)-$U170-$AK170)/10),0)</f>
        <v>3359.6319166666663</v>
      </c>
      <c r="CH170" s="301">
        <f>_xlfn.IFNA(((VLOOKUP($A170,HN!$A:$M,13,FALSE)-$V170-$AL170)/10),0)</f>
        <v>0</v>
      </c>
      <c r="CI170" s="300">
        <f t="shared" si="289"/>
        <v>-554.02499999999998</v>
      </c>
      <c r="CJ170" s="300">
        <f t="shared" si="290"/>
        <v>-494.66007500000001</v>
      </c>
      <c r="CK170" s="301"/>
      <c r="CL170" s="301"/>
      <c r="CM170" s="301"/>
      <c r="CN170" s="300">
        <f t="shared" si="291"/>
        <v>121167.4436339112</v>
      </c>
      <c r="CO170" s="332">
        <f t="shared" si="292"/>
        <v>118856.49679224454</v>
      </c>
      <c r="CP170" s="332"/>
      <c r="CQ170" s="332">
        <f>_xlfn.IFNA((VLOOKUP($A170,EY!$A:$AB,28,FALSE)-$CV170),0)</f>
        <v>96004.064000000013</v>
      </c>
      <c r="CR170" s="333">
        <f>_xlfn.IFNA((VLOOKUP($A170,HN!$A:$M,8,FALSE)/12),0)</f>
        <v>0</v>
      </c>
      <c r="CS170" s="333">
        <f>_xlfn.IFNA((VLOOKUP($A170,HN!$A:$M,12,FALSE)/12),0)</f>
        <v>0</v>
      </c>
      <c r="CT170" s="333">
        <f>_xlfn.IFNA((VLOOKUP($A170,HN!$A:$M,9,FALSE)/12),0)</f>
        <v>0</v>
      </c>
      <c r="CU170" s="333">
        <f>_xlfn.IFNA((VLOOKUP($A170,'Post 16'!$A:$AG,33,FALSE)/8),0)</f>
        <v>0</v>
      </c>
      <c r="CV170" s="333">
        <f>_xlfn.IFNA((VLOOKUP($A170,EY!$A:$AB,26,FALSE)*80%),0)</f>
        <v>0</v>
      </c>
      <c r="CW170" s="333">
        <f>_xlfn.IFNA(((VLOOKUP($A170,HN!$A:$M,10,FALSE)-$U170-$AK170)/10),0)</f>
        <v>3359.6319166666663</v>
      </c>
      <c r="CX170" s="333">
        <f>_xlfn.IFNA(((VLOOKUP($A170,HN!$A:$M,13,FALSE)-$V170-$AL170)/10),0)</f>
        <v>0</v>
      </c>
      <c r="CY170" s="332">
        <f t="shared" si="293"/>
        <v>-554.02499999999998</v>
      </c>
      <c r="CZ170" s="332">
        <f t="shared" si="294"/>
        <v>-494.66007500000001</v>
      </c>
      <c r="DA170" s="333"/>
      <c r="DB170" s="333"/>
      <c r="DC170" s="333"/>
      <c r="DD170" s="332">
        <f t="shared" si="295"/>
        <v>217171.50763391124</v>
      </c>
      <c r="DE170" s="314">
        <f t="shared" si="296"/>
        <v>118856.49679224454</v>
      </c>
      <c r="DF170" s="314"/>
      <c r="DG170" s="314"/>
      <c r="DH170" s="315">
        <f>_xlfn.IFNA((VLOOKUP($A170,HN!$A:$M,8,FALSE)/12),0)</f>
        <v>0</v>
      </c>
      <c r="DI170" s="315">
        <f>_xlfn.IFNA((VLOOKUP($A170,HN!$A:$M,12,FALSE)/12),0)</f>
        <v>0</v>
      </c>
      <c r="DJ170" s="315">
        <f>_xlfn.IFNA((VLOOKUP($A170,HN!$A:$M,9,FALSE)/12),0)</f>
        <v>0</v>
      </c>
      <c r="DK170" s="315">
        <f>_xlfn.IFNA((VLOOKUP($A170,'Post 16'!$A:$AG,33,FALSE)/8),0)</f>
        <v>0</v>
      </c>
      <c r="DL170" s="315"/>
      <c r="DM170" s="315">
        <f>_xlfn.IFNA(((VLOOKUP($A170,HN!$A:$M,10,FALSE)-$U170-$AK170)/10),0)</f>
        <v>3359.6319166666663</v>
      </c>
      <c r="DN170" s="315">
        <f>_xlfn.IFNA(((VLOOKUP($A170,HN!$A:$M,13,FALSE)-$V170-$AL170)/10),0)</f>
        <v>0</v>
      </c>
      <c r="DO170" s="314">
        <f t="shared" si="297"/>
        <v>-554.02499999999998</v>
      </c>
      <c r="DP170" s="314">
        <f t="shared" si="298"/>
        <v>-494.66007500000001</v>
      </c>
      <c r="DQ170" s="315"/>
      <c r="DR170" s="315"/>
      <c r="DS170" s="315"/>
      <c r="DT170" s="314">
        <f t="shared" si="299"/>
        <v>121167.4436339112</v>
      </c>
      <c r="DU170" s="307">
        <f t="shared" si="300"/>
        <v>118856.49679224454</v>
      </c>
      <c r="DV170" s="307"/>
      <c r="DW170" s="307"/>
      <c r="DX170" s="308">
        <f>_xlfn.IFNA((VLOOKUP($A170,HN!$A:$M,8,FALSE)/12),0)</f>
        <v>0</v>
      </c>
      <c r="DY170" s="308">
        <f>_xlfn.IFNA((VLOOKUP($A170,HN!$A:$M,12,FALSE)/12),0)</f>
        <v>0</v>
      </c>
      <c r="DZ170" s="308">
        <f>_xlfn.IFNA((VLOOKUP($A170,HN!$A:$M,9,FALSE)/12),0)</f>
        <v>0</v>
      </c>
      <c r="EA170" s="308">
        <f>_xlfn.IFNA((VLOOKUP($A170,'Post 16'!$A:$AG,33,FALSE)/8),0)</f>
        <v>0</v>
      </c>
      <c r="EB170" s="308"/>
      <c r="EC170" s="308">
        <f>_xlfn.IFNA(((VLOOKUP($A170,HN!$A:$M,10,FALSE)-$U170-$AK170)/10),0)</f>
        <v>3359.6319166666663</v>
      </c>
      <c r="ED170" s="308">
        <f>_xlfn.IFNA(((VLOOKUP($A170,HN!$A:$M,13,FALSE)-$V170-$AL170)/10),0)</f>
        <v>0</v>
      </c>
      <c r="EE170" s="307">
        <f t="shared" si="301"/>
        <v>-554.02499999999998</v>
      </c>
      <c r="EF170" s="307">
        <f t="shared" si="302"/>
        <v>-494.66007500000001</v>
      </c>
      <c r="EG170" s="308"/>
      <c r="EH170" s="308"/>
      <c r="EI170" s="308"/>
      <c r="EJ170" s="307">
        <f t="shared" si="303"/>
        <v>121167.4436339112</v>
      </c>
      <c r="EK170" s="320">
        <f t="shared" si="304"/>
        <v>118856.49679224454</v>
      </c>
      <c r="EL170" s="320"/>
      <c r="EM170" s="320"/>
      <c r="EN170" s="321">
        <f>_xlfn.IFNA((VLOOKUP($A170,HN!$A:$M,8,FALSE)/12),0)</f>
        <v>0</v>
      </c>
      <c r="EO170" s="321">
        <f>_xlfn.IFNA((VLOOKUP($A170,HN!$A:$M,12,FALSE)/12),0)</f>
        <v>0</v>
      </c>
      <c r="EP170" s="321">
        <f>_xlfn.IFNA((VLOOKUP($A170,HN!$A:$M,9,FALSE)/12),0)</f>
        <v>0</v>
      </c>
      <c r="EQ170" s="321">
        <f>_xlfn.IFNA((VLOOKUP($A170,'Post 16'!$A:$AG,33,FALSE)/8),0)</f>
        <v>0</v>
      </c>
      <c r="ER170" s="321"/>
      <c r="ES170" s="321">
        <f>_xlfn.IFNA(((VLOOKUP($A170,HN!$A:$M,10,FALSE)-$U170-$AK170)/10),0)</f>
        <v>3359.6319166666663</v>
      </c>
      <c r="ET170" s="321">
        <f>_xlfn.IFNA(((VLOOKUP($A170,HN!$A:$M,13,FALSE)-$V170-$AL170)/10),0)</f>
        <v>0</v>
      </c>
      <c r="EU170" s="320">
        <f t="shared" si="305"/>
        <v>-554.02499999999998</v>
      </c>
      <c r="EV170" s="320">
        <f t="shared" si="306"/>
        <v>-494.66007500000001</v>
      </c>
      <c r="EW170" s="321"/>
      <c r="EX170" s="321"/>
      <c r="EY170" s="321"/>
      <c r="EZ170" s="320">
        <f t="shared" si="307"/>
        <v>121167.4436339112</v>
      </c>
      <c r="FA170" s="286">
        <f t="shared" si="308"/>
        <v>118856.49679224454</v>
      </c>
      <c r="FB170" s="286"/>
      <c r="FC170" s="286"/>
      <c r="FD170" s="287">
        <f>_xlfn.IFNA((VLOOKUP($A170,HN!$A:$M,8,FALSE)/12),0)</f>
        <v>0</v>
      </c>
      <c r="FE170" s="287">
        <f>_xlfn.IFNA((VLOOKUP($A170,HN!$A:$M,12,FALSE)/12),0)</f>
        <v>0</v>
      </c>
      <c r="FF170" s="287">
        <f>_xlfn.IFNA((VLOOKUP($A170,HN!$A:$M,9,FALSE)/12),0)</f>
        <v>0</v>
      </c>
      <c r="FG170" s="287">
        <f>_xlfn.IFNA((VLOOKUP($A170,'Post 16'!$A:$AG,33,FALSE)/8),0)</f>
        <v>0</v>
      </c>
      <c r="FH170" s="287"/>
      <c r="FI170" s="287">
        <f>_xlfn.IFNA(((VLOOKUP($A170,HN!$A:$M,10,FALSE)-$U170-$AK170)/10),0)</f>
        <v>3359.6319166666663</v>
      </c>
      <c r="FJ170" s="287">
        <f>_xlfn.IFNA(((VLOOKUP($A170,HN!$A:$M,13,FALSE)-$V170-$AL170)/10),0)</f>
        <v>0</v>
      </c>
      <c r="FK170" s="286">
        <f t="shared" si="309"/>
        <v>-554.02499999999998</v>
      </c>
      <c r="FL170" s="286">
        <f t="shared" si="310"/>
        <v>-494.66007500000001</v>
      </c>
      <c r="FM170" s="287"/>
      <c r="FN170" s="287"/>
      <c r="FO170" s="287"/>
      <c r="FP170" s="286">
        <f t="shared" si="311"/>
        <v>121167.4436339112</v>
      </c>
      <c r="FQ170" s="293">
        <f t="shared" si="312"/>
        <v>118856.49679224454</v>
      </c>
      <c r="FR170" s="293"/>
      <c r="FS170" s="293"/>
      <c r="FT170" s="294">
        <f>_xlfn.IFNA((VLOOKUP($A170,HN!$A:$M,8,FALSE)/12),0)</f>
        <v>0</v>
      </c>
      <c r="FU170" s="294">
        <f>_xlfn.IFNA((VLOOKUP($A170,HN!$A:$M,12,FALSE)/12),0)</f>
        <v>0</v>
      </c>
      <c r="FV170" s="294">
        <f>_xlfn.IFNA((VLOOKUP($A170,HN!$A:$M,9,FALSE)/12),0)</f>
        <v>0</v>
      </c>
      <c r="FW170" s="294">
        <f>_xlfn.IFNA((VLOOKUP($A170,'Post 16'!$A:$AG,33,FALSE)/8),0)</f>
        <v>0</v>
      </c>
      <c r="FX170" s="294"/>
      <c r="FY170" s="294">
        <f>_xlfn.IFNA(((VLOOKUP($A170,HN!$A:$M,10,FALSE)-$U170-$AK170)/10),0)</f>
        <v>3359.6319166666663</v>
      </c>
      <c r="FZ170" s="294">
        <f>_xlfn.IFNA(((VLOOKUP($A170,HN!$A:$M,13,FALSE)-$V170-$AL170)/10),0)</f>
        <v>0</v>
      </c>
      <c r="GA170" s="293">
        <f t="shared" si="313"/>
        <v>-554.02499999999998</v>
      </c>
      <c r="GB170" s="293">
        <f t="shared" si="314"/>
        <v>-494.66007500000001</v>
      </c>
      <c r="GC170" s="294"/>
      <c r="GD170" s="294"/>
      <c r="GE170" s="294"/>
      <c r="GF170" s="293">
        <f t="shared" si="315"/>
        <v>121167.4436339112</v>
      </c>
      <c r="GG170" s="300">
        <f t="shared" si="316"/>
        <v>118856.49679224454</v>
      </c>
      <c r="GH170" s="300"/>
      <c r="GI170" s="300"/>
      <c r="GJ170" s="301">
        <f>_xlfn.IFNA((VLOOKUP($A170,HN!$A:$M,8,FALSE)/12),0)</f>
        <v>0</v>
      </c>
      <c r="GK170" s="301">
        <f>_xlfn.IFNA((VLOOKUP($A170,HN!$A:$M,12,FALSE)/12),0)</f>
        <v>0</v>
      </c>
      <c r="GL170" s="301">
        <f>_xlfn.IFNA((VLOOKUP($A170,HN!$A:$M,9,FALSE)/12),0)</f>
        <v>0</v>
      </c>
      <c r="GM170" s="301">
        <f>_xlfn.IFNA((VLOOKUP($A170,'Post 16'!$A:$AG,33,FALSE)/8),0)</f>
        <v>0</v>
      </c>
      <c r="GN170" s="301"/>
      <c r="GO170" s="301">
        <f>_xlfn.IFNA(((VLOOKUP($A170,HN!$A:$M,10,FALSE)-$U170-$AK170)/10),0)</f>
        <v>3359.6319166666663</v>
      </c>
      <c r="GP170" s="301">
        <f>_xlfn.IFNA(((VLOOKUP($A170,HN!$A:$M,13,FALSE)-$V170-$AL170)/10),0)</f>
        <v>0</v>
      </c>
      <c r="GQ170" s="300">
        <f t="shared" si="317"/>
        <v>-554.02499999999998</v>
      </c>
      <c r="GR170" s="300">
        <f t="shared" si="318"/>
        <v>-494.66007500000001</v>
      </c>
      <c r="GS170" s="301"/>
      <c r="GT170" s="301"/>
      <c r="GU170" s="301"/>
      <c r="GV170" s="300">
        <f t="shared" si="319"/>
        <v>121167.4436339112</v>
      </c>
      <c r="GX170" s="146">
        <f t="shared" si="320"/>
        <v>1630809.7536011171</v>
      </c>
      <c r="GY170" s="146">
        <f t="shared" si="320"/>
        <v>0</v>
      </c>
      <c r="GZ170" s="146">
        <f t="shared" si="320"/>
        <v>45407.499999999993</v>
      </c>
      <c r="HA170" s="146">
        <f t="shared" si="320"/>
        <v>-6648.2999999999984</v>
      </c>
      <c r="HB170" s="146">
        <f t="shared" si="320"/>
        <v>-5935.9208999999983</v>
      </c>
      <c r="HC170" s="146">
        <f t="shared" si="320"/>
        <v>0</v>
      </c>
      <c r="HE170" s="146">
        <f t="shared" si="321"/>
        <v>465097.2184709165</v>
      </c>
      <c r="HF170" s="146">
        <f t="shared" si="321"/>
        <v>0</v>
      </c>
      <c r="HG170" s="146">
        <f t="shared" si="321"/>
        <v>15170.812750000001</v>
      </c>
      <c r="HH170" s="146">
        <f t="shared" si="321"/>
        <v>-1662.0749999999998</v>
      </c>
      <c r="HI170" s="146">
        <f t="shared" si="321"/>
        <v>-1483.980225</v>
      </c>
      <c r="HJ170" s="146">
        <f t="shared" si="321"/>
        <v>0</v>
      </c>
      <c r="HL170" s="146"/>
      <c r="HM170" s="57"/>
    </row>
    <row r="171" spans="1:221">
      <c r="A171" s="185">
        <v>5202</v>
      </c>
      <c r="B171" s="185">
        <v>103543</v>
      </c>
      <c r="C171" s="185" t="s">
        <v>369</v>
      </c>
      <c r="D171" s="2" t="s">
        <v>370</v>
      </c>
      <c r="E171" s="190" t="s">
        <v>39</v>
      </c>
      <c r="F171" s="190" t="s">
        <v>890</v>
      </c>
      <c r="H171" s="271">
        <f>_xlfn.IFNA(VLOOKUP($A171,ISB!$A$4:$BY$441,67,FALSE),0)</f>
        <v>1860383.8691386087</v>
      </c>
      <c r="I171" s="271">
        <f>_xlfn.IFNA(VLOOKUP($A171,ISB!$A$4:$BY$441,72,FALSE),0)</f>
        <v>-8964</v>
      </c>
      <c r="J171" s="271">
        <f>-_xlfn.IFNA(VLOOKUP($A171,ISB!$A$4:$BY$441,76,FALSE),0)</f>
        <v>-4447.3176000000003</v>
      </c>
      <c r="K171" s="271">
        <f>_xlfn.IFNA(VLOOKUP($A171,ISB!$A$4:$BY$441,77,FALSE),0)</f>
        <v>1846972.5515386087</v>
      </c>
      <c r="M171" s="279">
        <f t="shared" si="272"/>
        <v>155031.98909488405</v>
      </c>
      <c r="N171" s="279"/>
      <c r="O171" s="279">
        <f>_xlfn.IFNA(VLOOKUP($A171,EY!$A:$H,8,FALSE)+(VLOOKUP($A171,EY!$A:$R,18,FALSE)-$T171),0)</f>
        <v>0</v>
      </c>
      <c r="P171" s="280">
        <f>_xlfn.IFNA((VLOOKUP($A171,HN!$A:$M,8,FALSE)/12),0)</f>
        <v>0</v>
      </c>
      <c r="Q171" s="280">
        <f>_xlfn.IFNA((VLOOKUP($A171,HN!$A:$M,12,FALSE)/12),0)</f>
        <v>0</v>
      </c>
      <c r="R171" s="280">
        <f>_xlfn.IFNA((VLOOKUP($A171,HN!$A:$M,9,FALSE)/12),0)</f>
        <v>0</v>
      </c>
      <c r="S171" s="280">
        <f>_xlfn.IFNA((VLOOKUP($A171,'Post 16'!$A:$AR,22,FALSE)/4),0)</f>
        <v>0</v>
      </c>
      <c r="T171" s="280">
        <f>_xlfn.IFNA((VLOOKUP($A171,EY!$A:$R,16,FALSE)*80%),0)</f>
        <v>0</v>
      </c>
      <c r="U171" s="280">
        <v>13662.034166666666</v>
      </c>
      <c r="V171" s="280">
        <v>0</v>
      </c>
      <c r="W171" s="279">
        <f t="shared" si="273"/>
        <v>-747</v>
      </c>
      <c r="X171" s="279">
        <f t="shared" si="274"/>
        <v>-370.60980000000001</v>
      </c>
      <c r="Y171" s="280"/>
      <c r="Z171" s="280"/>
      <c r="AA171" s="280"/>
      <c r="AB171" s="279">
        <f t="shared" si="275"/>
        <v>167576.41346155072</v>
      </c>
      <c r="AC171" s="293">
        <f t="shared" si="276"/>
        <v>155031.98909488405</v>
      </c>
      <c r="AD171" s="293"/>
      <c r="AE171" s="293"/>
      <c r="AF171" s="294">
        <f>_xlfn.IFNA((VLOOKUP($A171,HN!$A:$M,8,FALSE)/12),0)</f>
        <v>0</v>
      </c>
      <c r="AG171" s="294">
        <f>_xlfn.IFNA((VLOOKUP($A171,HN!$A:$M,12,FALSE)/12),0)+_xlfn.IFNA(VLOOKUP($A171,HN!$A:$Q,17,FALSE),0)</f>
        <v>0</v>
      </c>
      <c r="AH171" s="294">
        <f>_xlfn.IFNA((VLOOKUP($A171,HN!$A:$M,9,FALSE)/12),0)</f>
        <v>0</v>
      </c>
      <c r="AI171" s="294">
        <f>_xlfn.IFNA((VLOOKUP($A171,'Post 16'!$A:$AR,22,FALSE)/4),0)</f>
        <v>0</v>
      </c>
      <c r="AJ171" s="294"/>
      <c r="AK171" s="294">
        <f>_xlfn.IFNA((VLOOKUP($A171,HN!$A:$M,10,FALSE)/12),0)</f>
        <v>6460.416666666667</v>
      </c>
      <c r="AL171" s="294">
        <f>_xlfn.IFNA((VLOOKUP($A171,HN!$A:$M,13,FALSE)/12),0)</f>
        <v>0</v>
      </c>
      <c r="AM171" s="293">
        <f t="shared" si="277"/>
        <v>-747</v>
      </c>
      <c r="AN171" s="293">
        <f t="shared" si="278"/>
        <v>-370.60980000000001</v>
      </c>
      <c r="AO171" s="294"/>
      <c r="AP171" s="294"/>
      <c r="AQ171" s="294"/>
      <c r="AR171" s="293">
        <f t="shared" si="279"/>
        <v>160374.7959615507</v>
      </c>
      <c r="AS171" s="286">
        <f t="shared" si="280"/>
        <v>155031.98909488405</v>
      </c>
      <c r="AT171" s="286"/>
      <c r="AU171" s="286">
        <f>_xlfn.IFNA(VLOOKUP(A171,EY!A:AO,40,FALSE),0)</f>
        <v>0</v>
      </c>
      <c r="AV171" s="287">
        <f>_xlfn.IFNA((VLOOKUP($A171,HN!$A:$M,8,FALSE)/12),0)</f>
        <v>0</v>
      </c>
      <c r="AW171" s="287">
        <f>_xlfn.IFNA((VLOOKUP($A171,HN!$A:$M,12,FALSE)/12),0)+_xlfn.IFNA(VLOOKUP($A171,HN!$A$8:$AU$200,19,FALSE),0)</f>
        <v>0</v>
      </c>
      <c r="AX171" s="287">
        <f>_xlfn.IFNA((VLOOKUP($A171,HN!$A:$M,9,FALSE)/12),0)</f>
        <v>0</v>
      </c>
      <c r="AY171" s="287">
        <f>_xlfn.IFNA((VLOOKUP($A171,'Post 16'!$A:$AR,22,FALSE)/4),0)</f>
        <v>0</v>
      </c>
      <c r="AZ171" s="287">
        <f>_xlfn.IFNA(VLOOKUP(A171,EY!A:AO,41,FALSE),0)</f>
        <v>0</v>
      </c>
      <c r="BA171" s="287">
        <f>_xlfn.IFNA(((VLOOKUP($A171,HN!$A:$M,10,FALSE)-$U171-$AK171)/10),0)+_xlfn.IFNA(VLOOKUP($A171,HN!$A:$R,18,FALSE),0)</f>
        <v>5740.2549166666668</v>
      </c>
      <c r="BB171" s="287">
        <f>_xlfn.IFNA(((VLOOKUP($A171,HN!$A:$M,13,FALSE)-$V171-$AL171)/10),0)+_xlfn.IFNA(VLOOKUP($A171,HN!$A$8:$AU$200,20,FALSE),0)</f>
        <v>0</v>
      </c>
      <c r="BC171" s="286">
        <f t="shared" si="281"/>
        <v>-747</v>
      </c>
      <c r="BD171" s="286">
        <f t="shared" si="282"/>
        <v>-370.60980000000001</v>
      </c>
      <c r="BE171" s="287"/>
      <c r="BF171" s="287"/>
      <c r="BG171" s="287"/>
      <c r="BH171" s="286">
        <f t="shared" si="283"/>
        <v>159654.6342115507</v>
      </c>
      <c r="BI171" s="307">
        <f t="shared" si="284"/>
        <v>155031.98909488405</v>
      </c>
      <c r="BJ171" s="307">
        <f>_xlfn.IFNA(VLOOKUP(A171,'LA Deductions'!A:AH,34,FALSE),0)</f>
        <v>0</v>
      </c>
      <c r="BK171" s="307"/>
      <c r="BL171" s="308">
        <f>_xlfn.IFNA((VLOOKUP($A171,HN!$A:$M,8,FALSE)/12),0)</f>
        <v>0</v>
      </c>
      <c r="BM171" s="308">
        <f>_xlfn.IFNA((VLOOKUP($A171,HN!$A:$M,12,FALSE)/12),0)</f>
        <v>0</v>
      </c>
      <c r="BN171" s="308">
        <f>_xlfn.IFNA((VLOOKUP($A171,HN!$A:$M,9,FALSE)/12),0)</f>
        <v>0</v>
      </c>
      <c r="BO171" s="308">
        <f>_xlfn.IFNA((VLOOKUP($A171,'Post 16'!$A:$AR,22,FALSE)/4),0)</f>
        <v>0</v>
      </c>
      <c r="BP171" s="308"/>
      <c r="BQ171" s="308">
        <f>_xlfn.IFNA(((VLOOKUP($A171,HN!$A:$M,10,FALSE)-$U171-$AK171)/10),0)</f>
        <v>5740.2549166666668</v>
      </c>
      <c r="BR171" s="308">
        <f>_xlfn.IFNA(((VLOOKUP($A171,HN!$A:$M,13,FALSE)-$V171-$AL171)/10),0)</f>
        <v>0</v>
      </c>
      <c r="BS171" s="307">
        <f t="shared" si="285"/>
        <v>-747</v>
      </c>
      <c r="BT171" s="307">
        <f t="shared" si="286"/>
        <v>-370.60980000000001</v>
      </c>
      <c r="BU171" s="308"/>
      <c r="BV171" s="308"/>
      <c r="BW171" s="308"/>
      <c r="BX171" s="307">
        <f t="shared" si="287"/>
        <v>159654.6342115507</v>
      </c>
      <c r="BY171" s="300">
        <f t="shared" si="288"/>
        <v>155031.98909488405</v>
      </c>
      <c r="BZ171" s="300"/>
      <c r="CA171" s="300"/>
      <c r="CB171" s="301">
        <f>_xlfn.IFNA((VLOOKUP($A171,HN!$A:$M,8,FALSE)/12),0)</f>
        <v>0</v>
      </c>
      <c r="CC171" s="301">
        <f>_xlfn.IFNA((VLOOKUP($A171,HN!$A:$M,12,FALSE)/12),0)</f>
        <v>0</v>
      </c>
      <c r="CD171" s="301">
        <f>_xlfn.IFNA((VLOOKUP($A171,HN!$A:$M,9,FALSE)/12),0)</f>
        <v>0</v>
      </c>
      <c r="CE171" s="301">
        <f>_xlfn.IFNA((VLOOKUP($A171,'Post 16'!$A:$AG,33,FALSE)/8),0)</f>
        <v>0</v>
      </c>
      <c r="CF171" s="301"/>
      <c r="CG171" s="301">
        <f>_xlfn.IFNA(((VLOOKUP($A171,HN!$A:$M,10,FALSE)-$U171-$AK171)/10),0)</f>
        <v>5740.2549166666668</v>
      </c>
      <c r="CH171" s="301">
        <f>_xlfn.IFNA(((VLOOKUP($A171,HN!$A:$M,13,FALSE)-$V171-$AL171)/10),0)</f>
        <v>0</v>
      </c>
      <c r="CI171" s="300">
        <f t="shared" si="289"/>
        <v>-747</v>
      </c>
      <c r="CJ171" s="300">
        <f t="shared" si="290"/>
        <v>-370.60980000000001</v>
      </c>
      <c r="CK171" s="301"/>
      <c r="CL171" s="301"/>
      <c r="CM171" s="301"/>
      <c r="CN171" s="300">
        <f t="shared" si="291"/>
        <v>159654.6342115507</v>
      </c>
      <c r="CO171" s="332">
        <f t="shared" si="292"/>
        <v>155031.98909488405</v>
      </c>
      <c r="CP171" s="332"/>
      <c r="CQ171" s="332">
        <f>_xlfn.IFNA((VLOOKUP($A171,EY!$A:$AB,28,FALSE)-$CV171),0)</f>
        <v>0</v>
      </c>
      <c r="CR171" s="333">
        <f>_xlfn.IFNA((VLOOKUP($A171,HN!$A:$M,8,FALSE)/12),0)</f>
        <v>0</v>
      </c>
      <c r="CS171" s="333">
        <f>_xlfn.IFNA((VLOOKUP($A171,HN!$A:$M,12,FALSE)/12),0)</f>
        <v>0</v>
      </c>
      <c r="CT171" s="333">
        <f>_xlfn.IFNA((VLOOKUP($A171,HN!$A:$M,9,FALSE)/12),0)</f>
        <v>0</v>
      </c>
      <c r="CU171" s="333">
        <f>_xlfn.IFNA((VLOOKUP($A171,'Post 16'!$A:$AG,33,FALSE)/8),0)</f>
        <v>0</v>
      </c>
      <c r="CV171" s="333">
        <f>_xlfn.IFNA((VLOOKUP($A171,EY!$A:$AB,26,FALSE)*80%),0)</f>
        <v>0</v>
      </c>
      <c r="CW171" s="333">
        <f>_xlfn.IFNA(((VLOOKUP($A171,HN!$A:$M,10,FALSE)-$U171-$AK171)/10),0)</f>
        <v>5740.2549166666668</v>
      </c>
      <c r="CX171" s="333">
        <f>_xlfn.IFNA(((VLOOKUP($A171,HN!$A:$M,13,FALSE)-$V171-$AL171)/10),0)</f>
        <v>0</v>
      </c>
      <c r="CY171" s="332">
        <f t="shared" si="293"/>
        <v>-747</v>
      </c>
      <c r="CZ171" s="332">
        <f t="shared" si="294"/>
        <v>-370.60980000000001</v>
      </c>
      <c r="DA171" s="333"/>
      <c r="DB171" s="333"/>
      <c r="DC171" s="333"/>
      <c r="DD171" s="332">
        <f t="shared" si="295"/>
        <v>159654.6342115507</v>
      </c>
      <c r="DE171" s="314">
        <f t="shared" si="296"/>
        <v>155031.98909488405</v>
      </c>
      <c r="DF171" s="314"/>
      <c r="DG171" s="314"/>
      <c r="DH171" s="315">
        <f>_xlfn.IFNA((VLOOKUP($A171,HN!$A:$M,8,FALSE)/12),0)</f>
        <v>0</v>
      </c>
      <c r="DI171" s="315">
        <f>_xlfn.IFNA((VLOOKUP($A171,HN!$A:$M,12,FALSE)/12),0)</f>
        <v>0</v>
      </c>
      <c r="DJ171" s="315">
        <f>_xlfn.IFNA((VLOOKUP($A171,HN!$A:$M,9,FALSE)/12),0)</f>
        <v>0</v>
      </c>
      <c r="DK171" s="315">
        <f>_xlfn.IFNA((VLOOKUP($A171,'Post 16'!$A:$AG,33,FALSE)/8),0)</f>
        <v>0</v>
      </c>
      <c r="DL171" s="315"/>
      <c r="DM171" s="315">
        <f>_xlfn.IFNA(((VLOOKUP($A171,HN!$A:$M,10,FALSE)-$U171-$AK171)/10),0)</f>
        <v>5740.2549166666668</v>
      </c>
      <c r="DN171" s="315">
        <f>_xlfn.IFNA(((VLOOKUP($A171,HN!$A:$M,13,FALSE)-$V171-$AL171)/10),0)</f>
        <v>0</v>
      </c>
      <c r="DO171" s="314">
        <f t="shared" si="297"/>
        <v>-747</v>
      </c>
      <c r="DP171" s="314">
        <f t="shared" si="298"/>
        <v>-370.60980000000001</v>
      </c>
      <c r="DQ171" s="315"/>
      <c r="DR171" s="315"/>
      <c r="DS171" s="315"/>
      <c r="DT171" s="314">
        <f t="shared" si="299"/>
        <v>159654.6342115507</v>
      </c>
      <c r="DU171" s="307">
        <f t="shared" si="300"/>
        <v>155031.98909488405</v>
      </c>
      <c r="DV171" s="307"/>
      <c r="DW171" s="307"/>
      <c r="DX171" s="308">
        <f>_xlfn.IFNA((VLOOKUP($A171,HN!$A:$M,8,FALSE)/12),0)</f>
        <v>0</v>
      </c>
      <c r="DY171" s="308">
        <f>_xlfn.IFNA((VLOOKUP($A171,HN!$A:$M,12,FALSE)/12),0)</f>
        <v>0</v>
      </c>
      <c r="DZ171" s="308">
        <f>_xlfn.IFNA((VLOOKUP($A171,HN!$A:$M,9,FALSE)/12),0)</f>
        <v>0</v>
      </c>
      <c r="EA171" s="308">
        <f>_xlfn.IFNA((VLOOKUP($A171,'Post 16'!$A:$AG,33,FALSE)/8),0)</f>
        <v>0</v>
      </c>
      <c r="EB171" s="308"/>
      <c r="EC171" s="308">
        <f>_xlfn.IFNA(((VLOOKUP($A171,HN!$A:$M,10,FALSE)-$U171-$AK171)/10),0)</f>
        <v>5740.2549166666668</v>
      </c>
      <c r="ED171" s="308">
        <f>_xlfn.IFNA(((VLOOKUP($A171,HN!$A:$M,13,FALSE)-$V171-$AL171)/10),0)</f>
        <v>0</v>
      </c>
      <c r="EE171" s="307">
        <f t="shared" si="301"/>
        <v>-747</v>
      </c>
      <c r="EF171" s="307">
        <f t="shared" si="302"/>
        <v>-370.60980000000001</v>
      </c>
      <c r="EG171" s="308"/>
      <c r="EH171" s="308"/>
      <c r="EI171" s="308"/>
      <c r="EJ171" s="307">
        <f t="shared" si="303"/>
        <v>159654.6342115507</v>
      </c>
      <c r="EK171" s="320">
        <f t="shared" si="304"/>
        <v>155031.98909488405</v>
      </c>
      <c r="EL171" s="320"/>
      <c r="EM171" s="320"/>
      <c r="EN171" s="321">
        <f>_xlfn.IFNA((VLOOKUP($A171,HN!$A:$M,8,FALSE)/12),0)</f>
        <v>0</v>
      </c>
      <c r="EO171" s="321">
        <f>_xlfn.IFNA((VLOOKUP($A171,HN!$A:$M,12,FALSE)/12),0)</f>
        <v>0</v>
      </c>
      <c r="EP171" s="321">
        <f>_xlfn.IFNA((VLOOKUP($A171,HN!$A:$M,9,FALSE)/12),0)</f>
        <v>0</v>
      </c>
      <c r="EQ171" s="321">
        <f>_xlfn.IFNA((VLOOKUP($A171,'Post 16'!$A:$AG,33,FALSE)/8),0)</f>
        <v>0</v>
      </c>
      <c r="ER171" s="321"/>
      <c r="ES171" s="321">
        <f>_xlfn.IFNA(((VLOOKUP($A171,HN!$A:$M,10,FALSE)-$U171-$AK171)/10),0)</f>
        <v>5740.2549166666668</v>
      </c>
      <c r="ET171" s="321">
        <f>_xlfn.IFNA(((VLOOKUP($A171,HN!$A:$M,13,FALSE)-$V171-$AL171)/10),0)</f>
        <v>0</v>
      </c>
      <c r="EU171" s="320">
        <f t="shared" si="305"/>
        <v>-747</v>
      </c>
      <c r="EV171" s="320">
        <f t="shared" si="306"/>
        <v>-370.60980000000001</v>
      </c>
      <c r="EW171" s="321"/>
      <c r="EX171" s="321"/>
      <c r="EY171" s="321"/>
      <c r="EZ171" s="320">
        <f t="shared" si="307"/>
        <v>159654.6342115507</v>
      </c>
      <c r="FA171" s="286">
        <f t="shared" si="308"/>
        <v>155031.98909488405</v>
      </c>
      <c r="FB171" s="286"/>
      <c r="FC171" s="286"/>
      <c r="FD171" s="287">
        <f>_xlfn.IFNA((VLOOKUP($A171,HN!$A:$M,8,FALSE)/12),0)</f>
        <v>0</v>
      </c>
      <c r="FE171" s="287">
        <f>_xlfn.IFNA((VLOOKUP($A171,HN!$A:$M,12,FALSE)/12),0)</f>
        <v>0</v>
      </c>
      <c r="FF171" s="287">
        <f>_xlfn.IFNA((VLOOKUP($A171,HN!$A:$M,9,FALSE)/12),0)</f>
        <v>0</v>
      </c>
      <c r="FG171" s="287">
        <f>_xlfn.IFNA((VLOOKUP($A171,'Post 16'!$A:$AG,33,FALSE)/8),0)</f>
        <v>0</v>
      </c>
      <c r="FH171" s="287"/>
      <c r="FI171" s="287">
        <f>_xlfn.IFNA(((VLOOKUP($A171,HN!$A:$M,10,FALSE)-$U171-$AK171)/10),0)</f>
        <v>5740.2549166666668</v>
      </c>
      <c r="FJ171" s="287">
        <f>_xlfn.IFNA(((VLOOKUP($A171,HN!$A:$M,13,FALSE)-$V171-$AL171)/10),0)</f>
        <v>0</v>
      </c>
      <c r="FK171" s="286">
        <f t="shared" si="309"/>
        <v>-747</v>
      </c>
      <c r="FL171" s="286">
        <f t="shared" si="310"/>
        <v>-370.60980000000001</v>
      </c>
      <c r="FM171" s="287"/>
      <c r="FN171" s="287"/>
      <c r="FO171" s="287"/>
      <c r="FP171" s="286">
        <f t="shared" si="311"/>
        <v>159654.6342115507</v>
      </c>
      <c r="FQ171" s="293">
        <f t="shared" si="312"/>
        <v>155031.98909488405</v>
      </c>
      <c r="FR171" s="293"/>
      <c r="FS171" s="293"/>
      <c r="FT171" s="294">
        <f>_xlfn.IFNA((VLOOKUP($A171,HN!$A:$M,8,FALSE)/12),0)</f>
        <v>0</v>
      </c>
      <c r="FU171" s="294">
        <f>_xlfn.IFNA((VLOOKUP($A171,HN!$A:$M,12,FALSE)/12),0)</f>
        <v>0</v>
      </c>
      <c r="FV171" s="294">
        <f>_xlfn.IFNA((VLOOKUP($A171,HN!$A:$M,9,FALSE)/12),0)</f>
        <v>0</v>
      </c>
      <c r="FW171" s="294">
        <f>_xlfn.IFNA((VLOOKUP($A171,'Post 16'!$A:$AG,33,FALSE)/8),0)</f>
        <v>0</v>
      </c>
      <c r="FX171" s="294"/>
      <c r="FY171" s="294">
        <f>_xlfn.IFNA(((VLOOKUP($A171,HN!$A:$M,10,FALSE)-$U171-$AK171)/10),0)</f>
        <v>5740.2549166666668</v>
      </c>
      <c r="FZ171" s="294">
        <f>_xlfn.IFNA(((VLOOKUP($A171,HN!$A:$M,13,FALSE)-$V171-$AL171)/10),0)</f>
        <v>0</v>
      </c>
      <c r="GA171" s="293">
        <f t="shared" si="313"/>
        <v>-747</v>
      </c>
      <c r="GB171" s="293">
        <f t="shared" si="314"/>
        <v>-370.60980000000001</v>
      </c>
      <c r="GC171" s="294"/>
      <c r="GD171" s="294"/>
      <c r="GE171" s="294"/>
      <c r="GF171" s="293">
        <f t="shared" si="315"/>
        <v>159654.6342115507</v>
      </c>
      <c r="GG171" s="300">
        <f t="shared" si="316"/>
        <v>155031.98909488405</v>
      </c>
      <c r="GH171" s="300"/>
      <c r="GI171" s="300"/>
      <c r="GJ171" s="301">
        <f>_xlfn.IFNA((VLOOKUP($A171,HN!$A:$M,8,FALSE)/12),0)</f>
        <v>0</v>
      </c>
      <c r="GK171" s="301">
        <f>_xlfn.IFNA((VLOOKUP($A171,HN!$A:$M,12,FALSE)/12),0)</f>
        <v>0</v>
      </c>
      <c r="GL171" s="301">
        <f>_xlfn.IFNA((VLOOKUP($A171,HN!$A:$M,9,FALSE)/12),0)</f>
        <v>0</v>
      </c>
      <c r="GM171" s="301">
        <f>_xlfn.IFNA((VLOOKUP($A171,'Post 16'!$A:$AG,33,FALSE)/8),0)</f>
        <v>0</v>
      </c>
      <c r="GN171" s="301"/>
      <c r="GO171" s="301">
        <f>_xlfn.IFNA(((VLOOKUP($A171,HN!$A:$M,10,FALSE)-$U171-$AK171)/10),0)</f>
        <v>5740.2549166666668</v>
      </c>
      <c r="GP171" s="301">
        <f>_xlfn.IFNA(((VLOOKUP($A171,HN!$A:$M,13,FALSE)-$V171-$AL171)/10),0)</f>
        <v>0</v>
      </c>
      <c r="GQ171" s="300">
        <f t="shared" si="317"/>
        <v>-747</v>
      </c>
      <c r="GR171" s="300">
        <f t="shared" si="318"/>
        <v>-370.60980000000001</v>
      </c>
      <c r="GS171" s="301"/>
      <c r="GT171" s="301"/>
      <c r="GU171" s="301"/>
      <c r="GV171" s="300">
        <f t="shared" si="319"/>
        <v>159654.6342115507</v>
      </c>
      <c r="GX171" s="146">
        <f t="shared" si="320"/>
        <v>1860383.8691386089</v>
      </c>
      <c r="GY171" s="146">
        <f t="shared" si="320"/>
        <v>0</v>
      </c>
      <c r="GZ171" s="146">
        <f t="shared" si="320"/>
        <v>77525</v>
      </c>
      <c r="HA171" s="146">
        <f t="shared" si="320"/>
        <v>-8964</v>
      </c>
      <c r="HB171" s="146">
        <f t="shared" si="320"/>
        <v>-4447.3176000000012</v>
      </c>
      <c r="HC171" s="146">
        <f t="shared" si="320"/>
        <v>0</v>
      </c>
      <c r="HE171" s="146">
        <f t="shared" si="321"/>
        <v>465095.96728465217</v>
      </c>
      <c r="HF171" s="146">
        <f t="shared" si="321"/>
        <v>0</v>
      </c>
      <c r="HG171" s="146">
        <f t="shared" si="321"/>
        <v>25862.705750000001</v>
      </c>
      <c r="HH171" s="146">
        <f t="shared" si="321"/>
        <v>-2241</v>
      </c>
      <c r="HI171" s="146">
        <f t="shared" si="321"/>
        <v>-1111.8294000000001</v>
      </c>
      <c r="HJ171" s="146">
        <f t="shared" si="321"/>
        <v>0</v>
      </c>
      <c r="HL171" s="146"/>
      <c r="HM171" s="57"/>
    </row>
    <row r="172" spans="1:221">
      <c r="A172" s="185">
        <v>2108</v>
      </c>
      <c r="B172" s="185">
        <v>103217</v>
      </c>
      <c r="C172" s="185" t="s">
        <v>371</v>
      </c>
      <c r="D172" s="2" t="s">
        <v>372</v>
      </c>
      <c r="E172" s="190" t="s">
        <v>39</v>
      </c>
      <c r="F172" s="190" t="s">
        <v>890</v>
      </c>
      <c r="H172" s="271">
        <f>_xlfn.IFNA(VLOOKUP($A172,ISB!$A$4:$BY$441,67,FALSE),0)</f>
        <v>5032599.7855874132</v>
      </c>
      <c r="I172" s="271">
        <f>_xlfn.IFNA(VLOOKUP($A172,ISB!$A$4:$BY$441,72,FALSE),0)</f>
        <v>-20617.199999999997</v>
      </c>
      <c r="J172" s="271">
        <f>-_xlfn.IFNA(VLOOKUP($A172,ISB!$A$4:$BY$441,76,FALSE),0)</f>
        <v>-20170.605</v>
      </c>
      <c r="K172" s="271">
        <f>_xlfn.IFNA(VLOOKUP($A172,ISB!$A$4:$BY$441,77,FALSE),0)</f>
        <v>4991811.9805874126</v>
      </c>
      <c r="M172" s="279">
        <f t="shared" si="272"/>
        <v>419383.31546561775</v>
      </c>
      <c r="N172" s="279"/>
      <c r="O172" s="279">
        <f>_xlfn.IFNA(VLOOKUP($A172,EY!$A:$H,8,FALSE)+(VLOOKUP($A172,EY!$A:$R,18,FALSE)-$T172),0)</f>
        <v>45714.240000000005</v>
      </c>
      <c r="P172" s="280">
        <f>_xlfn.IFNA((VLOOKUP($A172,HN!$A:$M,8,FALSE)/12),0)</f>
        <v>0</v>
      </c>
      <c r="Q172" s="280">
        <f>_xlfn.IFNA((VLOOKUP($A172,HN!$A:$M,12,FALSE)/12),0)</f>
        <v>8166.666666666667</v>
      </c>
      <c r="R172" s="280">
        <f>_xlfn.IFNA((VLOOKUP($A172,HN!$A:$M,9,FALSE)/12),0)</f>
        <v>0</v>
      </c>
      <c r="S172" s="280">
        <f>_xlfn.IFNA((VLOOKUP($A172,'Post 16'!$A:$AR,22,FALSE)/4),0)</f>
        <v>0</v>
      </c>
      <c r="T172" s="280">
        <f>_xlfn.IFNA((VLOOKUP($A172,EY!$A:$R,16,FALSE)*80%),0)</f>
        <v>0</v>
      </c>
      <c r="U172" s="280">
        <v>0</v>
      </c>
      <c r="V172" s="280">
        <v>39759.719166666669</v>
      </c>
      <c r="W172" s="279">
        <f t="shared" si="273"/>
        <v>-1718.0999999999997</v>
      </c>
      <c r="X172" s="279">
        <f t="shared" si="274"/>
        <v>-1680.88375</v>
      </c>
      <c r="Y172" s="280"/>
      <c r="Z172" s="280"/>
      <c r="AA172" s="280"/>
      <c r="AB172" s="279">
        <f t="shared" si="275"/>
        <v>509624.95754895115</v>
      </c>
      <c r="AC172" s="293">
        <f t="shared" si="276"/>
        <v>419383.31546561775</v>
      </c>
      <c r="AD172" s="293"/>
      <c r="AE172" s="293"/>
      <c r="AF172" s="294">
        <f>_xlfn.IFNA((VLOOKUP($A172,HN!$A:$M,8,FALSE)/12),0)</f>
        <v>0</v>
      </c>
      <c r="AG172" s="294">
        <f>_xlfn.IFNA((VLOOKUP($A172,HN!$A:$M,12,FALSE)/12),0)+_xlfn.IFNA(VLOOKUP($A172,HN!$A:$Q,17,FALSE),0)</f>
        <v>8166.666666666667</v>
      </c>
      <c r="AH172" s="294">
        <f>_xlfn.IFNA((VLOOKUP($A172,HN!$A:$M,9,FALSE)/12),0)</f>
        <v>0</v>
      </c>
      <c r="AI172" s="294">
        <f>_xlfn.IFNA((VLOOKUP($A172,'Post 16'!$A:$AR,22,FALSE)/4),0)</f>
        <v>0</v>
      </c>
      <c r="AJ172" s="294"/>
      <c r="AK172" s="294">
        <f>_xlfn.IFNA((VLOOKUP($A172,HN!$A:$M,10,FALSE)/12),0)</f>
        <v>0</v>
      </c>
      <c r="AL172" s="294">
        <f>_xlfn.IFNA((VLOOKUP($A172,HN!$A:$M,13,FALSE)/12),0)</f>
        <v>26691.309999999998</v>
      </c>
      <c r="AM172" s="293">
        <f t="shared" si="277"/>
        <v>-1718.0999999999997</v>
      </c>
      <c r="AN172" s="293">
        <f t="shared" si="278"/>
        <v>-1680.88375</v>
      </c>
      <c r="AO172" s="294"/>
      <c r="AP172" s="294"/>
      <c r="AQ172" s="294"/>
      <c r="AR172" s="293">
        <f t="shared" si="279"/>
        <v>450842.30838228448</v>
      </c>
      <c r="AS172" s="286">
        <f t="shared" si="280"/>
        <v>419383.31546561775</v>
      </c>
      <c r="AT172" s="286"/>
      <c r="AU172" s="286">
        <f>_xlfn.IFNA(VLOOKUP(A172,EY!A:AO,40,FALSE),0)</f>
        <v>385.9277839335241</v>
      </c>
      <c r="AV172" s="287">
        <f>_xlfn.IFNA((VLOOKUP($A172,HN!$A:$M,8,FALSE)/12),0)</f>
        <v>0</v>
      </c>
      <c r="AW172" s="287">
        <f>_xlfn.IFNA((VLOOKUP($A172,HN!$A:$M,12,FALSE)/12),0)+_xlfn.IFNA(VLOOKUP($A172,HN!$A$8:$AU$200,19,FALSE),0)</f>
        <v>18166.666666666668</v>
      </c>
      <c r="AX172" s="287">
        <f>_xlfn.IFNA((VLOOKUP($A172,HN!$A:$M,9,FALSE)/12),0)</f>
        <v>0</v>
      </c>
      <c r="AY172" s="287">
        <f>_xlfn.IFNA((VLOOKUP($A172,'Post 16'!$A:$AR,22,FALSE)/4),0)</f>
        <v>0</v>
      </c>
      <c r="AZ172" s="287">
        <f>_xlfn.IFNA(VLOOKUP(A172,EY!A:AO,41,FALSE),0)</f>
        <v>0</v>
      </c>
      <c r="BA172" s="287">
        <f>_xlfn.IFNA(((VLOOKUP($A172,HN!$A:$M,10,FALSE)-$U172-$AK172)/10),0)+_xlfn.IFNA(VLOOKUP($A172,HN!$A:$R,18,FALSE),0)</f>
        <v>0</v>
      </c>
      <c r="BB172" s="287">
        <f>_xlfn.IFNA(((VLOOKUP($A172,HN!$A:$M,13,FALSE)-$V172-$AL172)/10),0)+_xlfn.IFNA(VLOOKUP($A172,HN!$A$8:$AU$200,20,FALSE),0)</f>
        <v>2793.7490833333286</v>
      </c>
      <c r="BC172" s="286">
        <f t="shared" si="281"/>
        <v>-1718.0999999999997</v>
      </c>
      <c r="BD172" s="286">
        <f t="shared" si="282"/>
        <v>-1680.88375</v>
      </c>
      <c r="BE172" s="287"/>
      <c r="BF172" s="287"/>
      <c r="BG172" s="287"/>
      <c r="BH172" s="286">
        <f t="shared" si="283"/>
        <v>437330.67524955136</v>
      </c>
      <c r="BI172" s="307">
        <f t="shared" si="284"/>
        <v>419383.31546561775</v>
      </c>
      <c r="BJ172" s="307">
        <f>_xlfn.IFNA(VLOOKUP(A172,'LA Deductions'!A:AH,34,FALSE),0)</f>
        <v>0</v>
      </c>
      <c r="BK172" s="307"/>
      <c r="BL172" s="308">
        <f>_xlfn.IFNA((VLOOKUP($A172,HN!$A:$M,8,FALSE)/12),0)</f>
        <v>0</v>
      </c>
      <c r="BM172" s="308">
        <f>_xlfn.IFNA((VLOOKUP($A172,HN!$A:$M,12,FALSE)/12),0)</f>
        <v>8166.666666666667</v>
      </c>
      <c r="BN172" s="308">
        <f>_xlfn.IFNA((VLOOKUP($A172,HN!$A:$M,9,FALSE)/12),0)</f>
        <v>0</v>
      </c>
      <c r="BO172" s="308">
        <f>_xlfn.IFNA((VLOOKUP($A172,'Post 16'!$A:$AR,22,FALSE)/4),0)</f>
        <v>0</v>
      </c>
      <c r="BP172" s="308"/>
      <c r="BQ172" s="308">
        <f>_xlfn.IFNA(((VLOOKUP($A172,HN!$A:$M,10,FALSE)-$U172-$AK172)/10),0)</f>
        <v>0</v>
      </c>
      <c r="BR172" s="308">
        <f>_xlfn.IFNA(((VLOOKUP($A172,HN!$A:$M,13,FALSE)-$V172-$AL172)/10),0)</f>
        <v>25384.46908333333</v>
      </c>
      <c r="BS172" s="307">
        <f t="shared" si="285"/>
        <v>-1718.0999999999997</v>
      </c>
      <c r="BT172" s="307">
        <f t="shared" si="286"/>
        <v>-1680.88375</v>
      </c>
      <c r="BU172" s="308"/>
      <c r="BV172" s="308"/>
      <c r="BW172" s="308"/>
      <c r="BX172" s="307">
        <f t="shared" si="287"/>
        <v>449535.46746561781</v>
      </c>
      <c r="BY172" s="300">
        <f t="shared" si="288"/>
        <v>419383.31546561775</v>
      </c>
      <c r="BZ172" s="300"/>
      <c r="CA172" s="300"/>
      <c r="CB172" s="301">
        <f>_xlfn.IFNA((VLOOKUP($A172,HN!$A:$M,8,FALSE)/12),0)</f>
        <v>0</v>
      </c>
      <c r="CC172" s="301">
        <f>_xlfn.IFNA((VLOOKUP($A172,HN!$A:$M,12,FALSE)/12),0)</f>
        <v>8166.666666666667</v>
      </c>
      <c r="CD172" s="301">
        <f>_xlfn.IFNA((VLOOKUP($A172,HN!$A:$M,9,FALSE)/12),0)</f>
        <v>0</v>
      </c>
      <c r="CE172" s="301">
        <f>_xlfn.IFNA((VLOOKUP($A172,'Post 16'!$A:$AG,33,FALSE)/8),0)</f>
        <v>0</v>
      </c>
      <c r="CF172" s="301"/>
      <c r="CG172" s="301">
        <f>_xlfn.IFNA(((VLOOKUP($A172,HN!$A:$M,10,FALSE)-$U172-$AK172)/10),0)</f>
        <v>0</v>
      </c>
      <c r="CH172" s="301">
        <f>_xlfn.IFNA(((VLOOKUP($A172,HN!$A:$M,13,FALSE)-$V172-$AL172)/10),0)</f>
        <v>25384.46908333333</v>
      </c>
      <c r="CI172" s="300">
        <f t="shared" si="289"/>
        <v>-1718.0999999999997</v>
      </c>
      <c r="CJ172" s="300">
        <f t="shared" si="290"/>
        <v>-1680.88375</v>
      </c>
      <c r="CK172" s="301"/>
      <c r="CL172" s="301"/>
      <c r="CM172" s="301"/>
      <c r="CN172" s="300">
        <f t="shared" si="291"/>
        <v>449535.46746561781</v>
      </c>
      <c r="CO172" s="332">
        <f t="shared" si="292"/>
        <v>419383.31546561775</v>
      </c>
      <c r="CP172" s="332"/>
      <c r="CQ172" s="332">
        <f>_xlfn.IFNA((VLOOKUP($A172,EY!$A:$AB,28,FALSE)-$CV172),0)</f>
        <v>41583.360000000001</v>
      </c>
      <c r="CR172" s="333">
        <f>_xlfn.IFNA((VLOOKUP($A172,HN!$A:$M,8,FALSE)/12),0)</f>
        <v>0</v>
      </c>
      <c r="CS172" s="333">
        <f>_xlfn.IFNA((VLOOKUP($A172,HN!$A:$M,12,FALSE)/12),0)</f>
        <v>8166.666666666667</v>
      </c>
      <c r="CT172" s="333">
        <f>_xlfn.IFNA((VLOOKUP($A172,HN!$A:$M,9,FALSE)/12),0)</f>
        <v>0</v>
      </c>
      <c r="CU172" s="333">
        <f>_xlfn.IFNA((VLOOKUP($A172,'Post 16'!$A:$AG,33,FALSE)/8),0)</f>
        <v>0</v>
      </c>
      <c r="CV172" s="333">
        <f>_xlfn.IFNA((VLOOKUP($A172,EY!$A:$AB,26,FALSE)*80%),0)</f>
        <v>0</v>
      </c>
      <c r="CW172" s="333">
        <f>_xlfn.IFNA(((VLOOKUP($A172,HN!$A:$M,10,FALSE)-$U172-$AK172)/10),0)</f>
        <v>0</v>
      </c>
      <c r="CX172" s="333">
        <f>_xlfn.IFNA(((VLOOKUP($A172,HN!$A:$M,13,FALSE)-$V172-$AL172)/10),0)</f>
        <v>25384.46908333333</v>
      </c>
      <c r="CY172" s="332">
        <f t="shared" si="293"/>
        <v>-1718.0999999999997</v>
      </c>
      <c r="CZ172" s="332">
        <f t="shared" si="294"/>
        <v>-1680.88375</v>
      </c>
      <c r="DA172" s="333"/>
      <c r="DB172" s="333"/>
      <c r="DC172" s="333"/>
      <c r="DD172" s="332">
        <f t="shared" si="295"/>
        <v>491118.8274656178</v>
      </c>
      <c r="DE172" s="314">
        <f t="shared" si="296"/>
        <v>419383.31546561775</v>
      </c>
      <c r="DF172" s="314"/>
      <c r="DG172" s="314"/>
      <c r="DH172" s="315">
        <f>_xlfn.IFNA((VLOOKUP($A172,HN!$A:$M,8,FALSE)/12),0)</f>
        <v>0</v>
      </c>
      <c r="DI172" s="315">
        <f>_xlfn.IFNA((VLOOKUP($A172,HN!$A:$M,12,FALSE)/12),0)</f>
        <v>8166.666666666667</v>
      </c>
      <c r="DJ172" s="315">
        <f>_xlfn.IFNA((VLOOKUP($A172,HN!$A:$M,9,FALSE)/12),0)</f>
        <v>0</v>
      </c>
      <c r="DK172" s="315">
        <f>_xlfn.IFNA((VLOOKUP($A172,'Post 16'!$A:$AG,33,FALSE)/8),0)</f>
        <v>0</v>
      </c>
      <c r="DL172" s="315"/>
      <c r="DM172" s="315">
        <f>_xlfn.IFNA(((VLOOKUP($A172,HN!$A:$M,10,FALSE)-$U172-$AK172)/10),0)</f>
        <v>0</v>
      </c>
      <c r="DN172" s="315">
        <f>_xlfn.IFNA(((VLOOKUP($A172,HN!$A:$M,13,FALSE)-$V172-$AL172)/10),0)</f>
        <v>25384.46908333333</v>
      </c>
      <c r="DO172" s="314">
        <f t="shared" si="297"/>
        <v>-1718.0999999999997</v>
      </c>
      <c r="DP172" s="314">
        <f t="shared" si="298"/>
        <v>-1680.88375</v>
      </c>
      <c r="DQ172" s="315"/>
      <c r="DR172" s="315"/>
      <c r="DS172" s="315"/>
      <c r="DT172" s="314">
        <f t="shared" si="299"/>
        <v>449535.46746561781</v>
      </c>
      <c r="DU172" s="307">
        <f t="shared" si="300"/>
        <v>419383.31546561775</v>
      </c>
      <c r="DV172" s="307"/>
      <c r="DW172" s="307"/>
      <c r="DX172" s="308">
        <f>_xlfn.IFNA((VLOOKUP($A172,HN!$A:$M,8,FALSE)/12),0)</f>
        <v>0</v>
      </c>
      <c r="DY172" s="308">
        <f>_xlfn.IFNA((VLOOKUP($A172,HN!$A:$M,12,FALSE)/12),0)</f>
        <v>8166.666666666667</v>
      </c>
      <c r="DZ172" s="308">
        <f>_xlfn.IFNA((VLOOKUP($A172,HN!$A:$M,9,FALSE)/12),0)</f>
        <v>0</v>
      </c>
      <c r="EA172" s="308">
        <f>_xlfn.IFNA((VLOOKUP($A172,'Post 16'!$A:$AG,33,FALSE)/8),0)</f>
        <v>0</v>
      </c>
      <c r="EB172" s="308"/>
      <c r="EC172" s="308">
        <f>_xlfn.IFNA(((VLOOKUP($A172,HN!$A:$M,10,FALSE)-$U172-$AK172)/10),0)</f>
        <v>0</v>
      </c>
      <c r="ED172" s="308">
        <f>_xlfn.IFNA(((VLOOKUP($A172,HN!$A:$M,13,FALSE)-$V172-$AL172)/10),0)</f>
        <v>25384.46908333333</v>
      </c>
      <c r="EE172" s="307">
        <f t="shared" si="301"/>
        <v>-1718.0999999999997</v>
      </c>
      <c r="EF172" s="307">
        <f t="shared" si="302"/>
        <v>-1680.88375</v>
      </c>
      <c r="EG172" s="308"/>
      <c r="EH172" s="308"/>
      <c r="EI172" s="308"/>
      <c r="EJ172" s="307">
        <f t="shared" si="303"/>
        <v>449535.46746561781</v>
      </c>
      <c r="EK172" s="320">
        <f t="shared" si="304"/>
        <v>419383.31546561775</v>
      </c>
      <c r="EL172" s="320"/>
      <c r="EM172" s="320"/>
      <c r="EN172" s="321">
        <f>_xlfn.IFNA((VLOOKUP($A172,HN!$A:$M,8,FALSE)/12),0)</f>
        <v>0</v>
      </c>
      <c r="EO172" s="321">
        <f>_xlfn.IFNA((VLOOKUP($A172,HN!$A:$M,12,FALSE)/12),0)</f>
        <v>8166.666666666667</v>
      </c>
      <c r="EP172" s="321">
        <f>_xlfn.IFNA((VLOOKUP($A172,HN!$A:$M,9,FALSE)/12),0)</f>
        <v>0</v>
      </c>
      <c r="EQ172" s="321">
        <f>_xlfn.IFNA((VLOOKUP($A172,'Post 16'!$A:$AG,33,FALSE)/8),0)</f>
        <v>0</v>
      </c>
      <c r="ER172" s="321"/>
      <c r="ES172" s="321">
        <f>_xlfn.IFNA(((VLOOKUP($A172,HN!$A:$M,10,FALSE)-$U172-$AK172)/10),0)</f>
        <v>0</v>
      </c>
      <c r="ET172" s="321">
        <f>_xlfn.IFNA(((VLOOKUP($A172,HN!$A:$M,13,FALSE)-$V172-$AL172)/10),0)</f>
        <v>25384.46908333333</v>
      </c>
      <c r="EU172" s="320">
        <f t="shared" si="305"/>
        <v>-1718.0999999999997</v>
      </c>
      <c r="EV172" s="320">
        <f t="shared" si="306"/>
        <v>-1680.88375</v>
      </c>
      <c r="EW172" s="321"/>
      <c r="EX172" s="321"/>
      <c r="EY172" s="321"/>
      <c r="EZ172" s="320">
        <f t="shared" si="307"/>
        <v>449535.46746561781</v>
      </c>
      <c r="FA172" s="286">
        <f t="shared" si="308"/>
        <v>419383.31546561775</v>
      </c>
      <c r="FB172" s="286"/>
      <c r="FC172" s="286"/>
      <c r="FD172" s="287">
        <f>_xlfn.IFNA((VLOOKUP($A172,HN!$A:$M,8,FALSE)/12),0)</f>
        <v>0</v>
      </c>
      <c r="FE172" s="287">
        <f>_xlfn.IFNA((VLOOKUP($A172,HN!$A:$M,12,FALSE)/12),0)</f>
        <v>8166.666666666667</v>
      </c>
      <c r="FF172" s="287">
        <f>_xlfn.IFNA((VLOOKUP($A172,HN!$A:$M,9,FALSE)/12),0)</f>
        <v>0</v>
      </c>
      <c r="FG172" s="287">
        <f>_xlfn.IFNA((VLOOKUP($A172,'Post 16'!$A:$AG,33,FALSE)/8),0)</f>
        <v>0</v>
      </c>
      <c r="FH172" s="287"/>
      <c r="FI172" s="287">
        <f>_xlfn.IFNA(((VLOOKUP($A172,HN!$A:$M,10,FALSE)-$U172-$AK172)/10),0)</f>
        <v>0</v>
      </c>
      <c r="FJ172" s="287">
        <f>_xlfn.IFNA(((VLOOKUP($A172,HN!$A:$M,13,FALSE)-$V172-$AL172)/10),0)</f>
        <v>25384.46908333333</v>
      </c>
      <c r="FK172" s="286">
        <f t="shared" si="309"/>
        <v>-1718.0999999999997</v>
      </c>
      <c r="FL172" s="286">
        <f t="shared" si="310"/>
        <v>-1680.88375</v>
      </c>
      <c r="FM172" s="287"/>
      <c r="FN172" s="287"/>
      <c r="FO172" s="287"/>
      <c r="FP172" s="286">
        <f t="shared" si="311"/>
        <v>449535.46746561781</v>
      </c>
      <c r="FQ172" s="293">
        <f t="shared" si="312"/>
        <v>419383.31546561775</v>
      </c>
      <c r="FR172" s="293"/>
      <c r="FS172" s="293"/>
      <c r="FT172" s="294">
        <f>_xlfn.IFNA((VLOOKUP($A172,HN!$A:$M,8,FALSE)/12),0)</f>
        <v>0</v>
      </c>
      <c r="FU172" s="294">
        <f>_xlfn.IFNA((VLOOKUP($A172,HN!$A:$M,12,FALSE)/12),0)</f>
        <v>8166.666666666667</v>
      </c>
      <c r="FV172" s="294">
        <f>_xlfn.IFNA((VLOOKUP($A172,HN!$A:$M,9,FALSE)/12),0)</f>
        <v>0</v>
      </c>
      <c r="FW172" s="294">
        <f>_xlfn.IFNA((VLOOKUP($A172,'Post 16'!$A:$AG,33,FALSE)/8),0)</f>
        <v>0</v>
      </c>
      <c r="FX172" s="294"/>
      <c r="FY172" s="294">
        <f>_xlfn.IFNA(((VLOOKUP($A172,HN!$A:$M,10,FALSE)-$U172-$AK172)/10),0)</f>
        <v>0</v>
      </c>
      <c r="FZ172" s="294">
        <f>_xlfn.IFNA(((VLOOKUP($A172,HN!$A:$M,13,FALSE)-$V172-$AL172)/10),0)</f>
        <v>25384.46908333333</v>
      </c>
      <c r="GA172" s="293">
        <f t="shared" si="313"/>
        <v>-1718.0999999999997</v>
      </c>
      <c r="GB172" s="293">
        <f t="shared" si="314"/>
        <v>-1680.88375</v>
      </c>
      <c r="GC172" s="294"/>
      <c r="GD172" s="294"/>
      <c r="GE172" s="294"/>
      <c r="GF172" s="293">
        <f t="shared" si="315"/>
        <v>449535.46746561781</v>
      </c>
      <c r="GG172" s="300">
        <f t="shared" si="316"/>
        <v>419383.31546561775</v>
      </c>
      <c r="GH172" s="300"/>
      <c r="GI172" s="300"/>
      <c r="GJ172" s="301">
        <f>_xlfn.IFNA((VLOOKUP($A172,HN!$A:$M,8,FALSE)/12),0)</f>
        <v>0</v>
      </c>
      <c r="GK172" s="301">
        <f>_xlfn.IFNA((VLOOKUP($A172,HN!$A:$M,12,FALSE)/12),0)</f>
        <v>8166.666666666667</v>
      </c>
      <c r="GL172" s="301">
        <f>_xlfn.IFNA((VLOOKUP($A172,HN!$A:$M,9,FALSE)/12),0)</f>
        <v>0</v>
      </c>
      <c r="GM172" s="301">
        <f>_xlfn.IFNA((VLOOKUP($A172,'Post 16'!$A:$AG,33,FALSE)/8),0)</f>
        <v>0</v>
      </c>
      <c r="GN172" s="301"/>
      <c r="GO172" s="301">
        <f>_xlfn.IFNA(((VLOOKUP($A172,HN!$A:$M,10,FALSE)-$U172-$AK172)/10),0)</f>
        <v>0</v>
      </c>
      <c r="GP172" s="301">
        <f>_xlfn.IFNA(((VLOOKUP($A172,HN!$A:$M,13,FALSE)-$V172-$AL172)/10),0)</f>
        <v>25384.46908333333</v>
      </c>
      <c r="GQ172" s="300">
        <f t="shared" si="317"/>
        <v>-1718.0999999999997</v>
      </c>
      <c r="GR172" s="300">
        <f t="shared" si="318"/>
        <v>-1680.88375</v>
      </c>
      <c r="GS172" s="301"/>
      <c r="GT172" s="301"/>
      <c r="GU172" s="301"/>
      <c r="GV172" s="300">
        <f t="shared" si="319"/>
        <v>449535.46746561781</v>
      </c>
      <c r="GX172" s="146">
        <f t="shared" si="320"/>
        <v>5228283.3133713473</v>
      </c>
      <c r="GY172" s="146">
        <f t="shared" si="320"/>
        <v>0</v>
      </c>
      <c r="GZ172" s="146">
        <f t="shared" si="320"/>
        <v>297704.99999999994</v>
      </c>
      <c r="HA172" s="146">
        <f t="shared" si="320"/>
        <v>-20617.199999999997</v>
      </c>
      <c r="HB172" s="146">
        <f t="shared" si="320"/>
        <v>-20170.605000000007</v>
      </c>
      <c r="HC172" s="146">
        <f t="shared" si="320"/>
        <v>0</v>
      </c>
      <c r="HE172" s="146">
        <f t="shared" si="321"/>
        <v>1338750.1141807868</v>
      </c>
      <c r="HF172" s="146">
        <f t="shared" si="321"/>
        <v>0</v>
      </c>
      <c r="HG172" s="146">
        <f t="shared" si="321"/>
        <v>69244.778250000003</v>
      </c>
      <c r="HH172" s="146">
        <f t="shared" si="321"/>
        <v>-5154.2999999999993</v>
      </c>
      <c r="HI172" s="146">
        <f t="shared" si="321"/>
        <v>-5042.6512499999999</v>
      </c>
      <c r="HJ172" s="146">
        <f t="shared" si="321"/>
        <v>0</v>
      </c>
      <c r="HL172" s="146"/>
      <c r="HM172" s="57"/>
    </row>
    <row r="173" spans="1:221">
      <c r="A173" s="185">
        <v>1019</v>
      </c>
      <c r="B173" s="185">
        <v>103132</v>
      </c>
      <c r="C173" s="185" t="s">
        <v>373</v>
      </c>
      <c r="D173" s="2" t="s">
        <v>374</v>
      </c>
      <c r="E173" s="190" t="s">
        <v>36</v>
      </c>
      <c r="F173" s="190" t="s">
        <v>890</v>
      </c>
      <c r="H173" s="271">
        <f>_xlfn.IFNA(VLOOKUP($A173,ISB!$A$4:$BY$441,67,FALSE),0)</f>
        <v>0</v>
      </c>
      <c r="I173" s="271">
        <f>_xlfn.IFNA(VLOOKUP($A173,ISB!$A$4:$BY$441,72,FALSE),0)</f>
        <v>0</v>
      </c>
      <c r="J173" s="271">
        <f>-_xlfn.IFNA(VLOOKUP($A173,ISB!$A$4:$BY$441,76,FALSE),0)</f>
        <v>0</v>
      </c>
      <c r="K173" s="271">
        <f>_xlfn.IFNA(VLOOKUP($A173,ISB!$A$4:$BY$441,77,FALSE),0)</f>
        <v>0</v>
      </c>
      <c r="M173" s="279">
        <f t="shared" si="272"/>
        <v>0</v>
      </c>
      <c r="N173" s="279"/>
      <c r="O173" s="279">
        <f>_xlfn.IFNA(VLOOKUP($A173,EY!$A:$H,8,FALSE)+(VLOOKUP($A173,EY!$A:$R,18,FALSE)-$T173),0)</f>
        <v>381165.15130487212</v>
      </c>
      <c r="P173" s="280">
        <f>_xlfn.IFNA((VLOOKUP($A173,HN!$A:$M,8,FALSE)/12),0)</f>
        <v>0</v>
      </c>
      <c r="Q173" s="280">
        <f>_xlfn.IFNA((VLOOKUP($A173,HN!$A:$M,12,FALSE)/12),0)</f>
        <v>0</v>
      </c>
      <c r="R173" s="280">
        <f>_xlfn.IFNA((VLOOKUP($A173,HN!$A:$M,9,FALSE)/12),0)</f>
        <v>0</v>
      </c>
      <c r="S173" s="280">
        <f>_xlfn.IFNA((VLOOKUP($A173,'Post 16'!$A:$AR,22,FALSE)/4),0)</f>
        <v>0</v>
      </c>
      <c r="T173" s="280">
        <f>_xlfn.IFNA((VLOOKUP($A173,EY!$A:$R,16,FALSE)*80%),0)</f>
        <v>780</v>
      </c>
      <c r="U173" s="280">
        <v>1607.5</v>
      </c>
      <c r="V173" s="280">
        <v>0</v>
      </c>
      <c r="W173" s="279">
        <f t="shared" si="273"/>
        <v>0</v>
      </c>
      <c r="X173" s="279">
        <f t="shared" si="274"/>
        <v>0</v>
      </c>
      <c r="Y173" s="280"/>
      <c r="Z173" s="280"/>
      <c r="AA173" s="280"/>
      <c r="AB173" s="279">
        <f t="shared" si="275"/>
        <v>383552.65130487212</v>
      </c>
      <c r="AC173" s="293">
        <f t="shared" si="276"/>
        <v>0</v>
      </c>
      <c r="AD173" s="293"/>
      <c r="AE173" s="293"/>
      <c r="AF173" s="294">
        <f>_xlfn.IFNA((VLOOKUP($A173,HN!$A:$M,8,FALSE)/12),0)</f>
        <v>0</v>
      </c>
      <c r="AG173" s="294">
        <f>_xlfn.IFNA((VLOOKUP($A173,HN!$A:$M,12,FALSE)/12),0)+_xlfn.IFNA(VLOOKUP($A173,HN!$A:$Q,17,FALSE),0)</f>
        <v>0</v>
      </c>
      <c r="AH173" s="294">
        <f>_xlfn.IFNA((VLOOKUP($A173,HN!$A:$M,9,FALSE)/12),0)</f>
        <v>0</v>
      </c>
      <c r="AI173" s="294">
        <f>_xlfn.IFNA((VLOOKUP($A173,'Post 16'!$A:$AR,22,FALSE)/4),0)</f>
        <v>0</v>
      </c>
      <c r="AJ173" s="294"/>
      <c r="AK173" s="294">
        <v>-1607.5</v>
      </c>
      <c r="AL173" s="294">
        <f>_xlfn.IFNA((VLOOKUP($A173,HN!$A:$M,13,FALSE)/12),0)</f>
        <v>0</v>
      </c>
      <c r="AM173" s="293">
        <f t="shared" si="277"/>
        <v>0</v>
      </c>
      <c r="AN173" s="293">
        <f t="shared" si="278"/>
        <v>0</v>
      </c>
      <c r="AO173" s="294"/>
      <c r="AP173" s="294"/>
      <c r="AQ173" s="294"/>
      <c r="AR173" s="293">
        <f t="shared" si="279"/>
        <v>-1607.5</v>
      </c>
      <c r="AS173" s="286">
        <f t="shared" si="280"/>
        <v>0</v>
      </c>
      <c r="AT173" s="286"/>
      <c r="AU173" s="286">
        <f>_xlfn.IFNA(VLOOKUP(A173,EY!A:AO,40,FALSE),0)</f>
        <v>24080.836371191133</v>
      </c>
      <c r="AV173" s="287">
        <f>_xlfn.IFNA((VLOOKUP($A173,HN!$A:$M,8,FALSE)/12),0)</f>
        <v>0</v>
      </c>
      <c r="AW173" s="287">
        <f>_xlfn.IFNA((VLOOKUP($A173,HN!$A:$M,12,FALSE)/12),0)+_xlfn.IFNA(VLOOKUP($A173,HN!$A$8:$AU$200,19,FALSE),0)</f>
        <v>0</v>
      </c>
      <c r="AX173" s="287">
        <f>_xlfn.IFNA((VLOOKUP($A173,HN!$A:$M,9,FALSE)/12),0)</f>
        <v>0</v>
      </c>
      <c r="AY173" s="287">
        <f>_xlfn.IFNA((VLOOKUP($A173,'Post 16'!$A:$AR,22,FALSE)/4),0)</f>
        <v>0</v>
      </c>
      <c r="AZ173" s="287">
        <f>_xlfn.IFNA(VLOOKUP(A173,EY!A:AO,41,FALSE),0)</f>
        <v>1726.3357340720222</v>
      </c>
      <c r="BA173" s="287">
        <f>_xlfn.IFNA(((VLOOKUP($A173,HN!$A:$M,10,FALSE)-$U173-$AK173)/10),0)+_xlfn.IFNA(VLOOKUP($A173,HN!$A:$R,18,FALSE),0)</f>
        <v>0</v>
      </c>
      <c r="BB173" s="287">
        <f>_xlfn.IFNA(((VLOOKUP($A173,HN!$A:$M,13,FALSE)-$V173-$AL173)/10),0)+_xlfn.IFNA(VLOOKUP($A173,HN!$A$8:$AU$200,20,FALSE),0)</f>
        <v>0</v>
      </c>
      <c r="BC173" s="286">
        <f t="shared" si="281"/>
        <v>0</v>
      </c>
      <c r="BD173" s="286">
        <f t="shared" si="282"/>
        <v>0</v>
      </c>
      <c r="BE173" s="287"/>
      <c r="BF173" s="287"/>
      <c r="BG173" s="287"/>
      <c r="BH173" s="286">
        <f t="shared" si="283"/>
        <v>25807.172105263155</v>
      </c>
      <c r="BI173" s="307">
        <f t="shared" si="284"/>
        <v>0</v>
      </c>
      <c r="BJ173" s="307">
        <f>_xlfn.IFNA(VLOOKUP(A173,'LA Deductions'!A:AH,34,FALSE),0)</f>
        <v>0</v>
      </c>
      <c r="BK173" s="307"/>
      <c r="BL173" s="308">
        <f>_xlfn.IFNA((VLOOKUP($A173,HN!$A:$M,8,FALSE)/12),0)</f>
        <v>0</v>
      </c>
      <c r="BM173" s="308">
        <f>_xlfn.IFNA((VLOOKUP($A173,HN!$A:$M,12,FALSE)/12),0)</f>
        <v>0</v>
      </c>
      <c r="BN173" s="308">
        <f>_xlfn.IFNA((VLOOKUP($A173,HN!$A:$M,9,FALSE)/12),0)</f>
        <v>0</v>
      </c>
      <c r="BO173" s="308">
        <f>_xlfn.IFNA((VLOOKUP($A173,'Post 16'!$A:$AR,22,FALSE)/4),0)</f>
        <v>0</v>
      </c>
      <c r="BP173" s="308"/>
      <c r="BQ173" s="308">
        <f>_xlfn.IFNA(((VLOOKUP($A173,HN!$A:$M,10,FALSE)-$U173-$AK173)/10),0)</f>
        <v>0</v>
      </c>
      <c r="BR173" s="308">
        <f>_xlfn.IFNA(((VLOOKUP($A173,HN!$A:$M,13,FALSE)-$V173-$AL173)/10),0)</f>
        <v>0</v>
      </c>
      <c r="BS173" s="307">
        <f t="shared" si="285"/>
        <v>0</v>
      </c>
      <c r="BT173" s="307">
        <f t="shared" si="286"/>
        <v>0</v>
      </c>
      <c r="BU173" s="308"/>
      <c r="BV173" s="308"/>
      <c r="BW173" s="308"/>
      <c r="BX173" s="307">
        <f t="shared" si="287"/>
        <v>0</v>
      </c>
      <c r="BY173" s="300">
        <f t="shared" si="288"/>
        <v>0</v>
      </c>
      <c r="BZ173" s="300"/>
      <c r="CA173" s="300"/>
      <c r="CB173" s="301">
        <f>_xlfn.IFNA((VLOOKUP($A173,HN!$A:$M,8,FALSE)/12),0)</f>
        <v>0</v>
      </c>
      <c r="CC173" s="301">
        <f>_xlfn.IFNA((VLOOKUP($A173,HN!$A:$M,12,FALSE)/12),0)</f>
        <v>0</v>
      </c>
      <c r="CD173" s="301">
        <f>_xlfn.IFNA((VLOOKUP($A173,HN!$A:$M,9,FALSE)/12),0)</f>
        <v>0</v>
      </c>
      <c r="CE173" s="301">
        <f>_xlfn.IFNA((VLOOKUP($A173,'Post 16'!$A:$AG,33,FALSE)/8),0)</f>
        <v>0</v>
      </c>
      <c r="CF173" s="301"/>
      <c r="CG173" s="301">
        <f>_xlfn.IFNA(((VLOOKUP($A173,HN!$A:$M,10,FALSE)-$U173-$AK173)/10),0)</f>
        <v>0</v>
      </c>
      <c r="CH173" s="301">
        <f>_xlfn.IFNA(((VLOOKUP($A173,HN!$A:$M,13,FALSE)-$V173-$AL173)/10),0)</f>
        <v>0</v>
      </c>
      <c r="CI173" s="300">
        <f t="shared" si="289"/>
        <v>0</v>
      </c>
      <c r="CJ173" s="300">
        <f t="shared" si="290"/>
        <v>0</v>
      </c>
      <c r="CK173" s="301"/>
      <c r="CL173" s="301"/>
      <c r="CM173" s="301"/>
      <c r="CN173" s="300">
        <f t="shared" si="291"/>
        <v>0</v>
      </c>
      <c r="CO173" s="332">
        <f t="shared" si="292"/>
        <v>0</v>
      </c>
      <c r="CP173" s="332"/>
      <c r="CQ173" s="332">
        <f>_xlfn.IFNA((VLOOKUP($A173,EY!$A:$AB,28,FALSE)-$CV173),0)</f>
        <v>37267.797894736847</v>
      </c>
      <c r="CR173" s="333">
        <f>_xlfn.IFNA((VLOOKUP($A173,HN!$A:$M,8,FALSE)/12),0)</f>
        <v>0</v>
      </c>
      <c r="CS173" s="333">
        <f>_xlfn.IFNA((VLOOKUP($A173,HN!$A:$M,12,FALSE)/12),0)</f>
        <v>0</v>
      </c>
      <c r="CT173" s="333">
        <f>_xlfn.IFNA((VLOOKUP($A173,HN!$A:$M,9,FALSE)/12),0)</f>
        <v>0</v>
      </c>
      <c r="CU173" s="333">
        <f>_xlfn.IFNA((VLOOKUP($A173,'Post 16'!$A:$AG,33,FALSE)/8),0)</f>
        <v>0</v>
      </c>
      <c r="CV173" s="333">
        <f>_xlfn.IFNA((VLOOKUP($A173,EY!$A:$AB,26,FALSE)*80%),0)</f>
        <v>0</v>
      </c>
      <c r="CW173" s="333">
        <f>_xlfn.IFNA(((VLOOKUP($A173,HN!$A:$M,10,FALSE)-$U173-$AK173)/10),0)</f>
        <v>0</v>
      </c>
      <c r="CX173" s="333">
        <f>_xlfn.IFNA(((VLOOKUP($A173,HN!$A:$M,13,FALSE)-$V173-$AL173)/10),0)</f>
        <v>0</v>
      </c>
      <c r="CY173" s="332">
        <f t="shared" si="293"/>
        <v>0</v>
      </c>
      <c r="CZ173" s="332">
        <f t="shared" si="294"/>
        <v>0</v>
      </c>
      <c r="DA173" s="333"/>
      <c r="DB173" s="333"/>
      <c r="DC173" s="333"/>
      <c r="DD173" s="332">
        <f t="shared" si="295"/>
        <v>37267.797894736847</v>
      </c>
      <c r="DE173" s="314">
        <f t="shared" si="296"/>
        <v>0</v>
      </c>
      <c r="DF173" s="314"/>
      <c r="DG173" s="314"/>
      <c r="DH173" s="315">
        <f>_xlfn.IFNA((VLOOKUP($A173,HN!$A:$M,8,FALSE)/12),0)</f>
        <v>0</v>
      </c>
      <c r="DI173" s="315">
        <f>_xlfn.IFNA((VLOOKUP($A173,HN!$A:$M,12,FALSE)/12),0)</f>
        <v>0</v>
      </c>
      <c r="DJ173" s="315">
        <f>_xlfn.IFNA((VLOOKUP($A173,HN!$A:$M,9,FALSE)/12),0)</f>
        <v>0</v>
      </c>
      <c r="DK173" s="315">
        <f>_xlfn.IFNA((VLOOKUP($A173,'Post 16'!$A:$AG,33,FALSE)/8),0)</f>
        <v>0</v>
      </c>
      <c r="DL173" s="315"/>
      <c r="DM173" s="315">
        <f>_xlfn.IFNA(((VLOOKUP($A173,HN!$A:$M,10,FALSE)-$U173-$AK173)/10),0)</f>
        <v>0</v>
      </c>
      <c r="DN173" s="315">
        <f>_xlfn.IFNA(((VLOOKUP($A173,HN!$A:$M,13,FALSE)-$V173-$AL173)/10),0)</f>
        <v>0</v>
      </c>
      <c r="DO173" s="314">
        <f t="shared" si="297"/>
        <v>0</v>
      </c>
      <c r="DP173" s="314">
        <f t="shared" si="298"/>
        <v>0</v>
      </c>
      <c r="DQ173" s="315"/>
      <c r="DR173" s="315"/>
      <c r="DS173" s="315"/>
      <c r="DT173" s="314">
        <f t="shared" si="299"/>
        <v>0</v>
      </c>
      <c r="DU173" s="307">
        <f t="shared" si="300"/>
        <v>0</v>
      </c>
      <c r="DV173" s="307"/>
      <c r="DW173" s="307"/>
      <c r="DX173" s="308">
        <f>_xlfn.IFNA((VLOOKUP($A173,HN!$A:$M,8,FALSE)/12),0)</f>
        <v>0</v>
      </c>
      <c r="DY173" s="308">
        <f>_xlfn.IFNA((VLOOKUP($A173,HN!$A:$M,12,FALSE)/12),0)</f>
        <v>0</v>
      </c>
      <c r="DZ173" s="308">
        <f>_xlfn.IFNA((VLOOKUP($A173,HN!$A:$M,9,FALSE)/12),0)</f>
        <v>0</v>
      </c>
      <c r="EA173" s="308">
        <f>_xlfn.IFNA((VLOOKUP($A173,'Post 16'!$A:$AG,33,FALSE)/8),0)</f>
        <v>0</v>
      </c>
      <c r="EB173" s="308"/>
      <c r="EC173" s="308">
        <f>_xlfn.IFNA(((VLOOKUP($A173,HN!$A:$M,10,FALSE)-$U173-$AK173)/10),0)</f>
        <v>0</v>
      </c>
      <c r="ED173" s="308">
        <f>_xlfn.IFNA(((VLOOKUP($A173,HN!$A:$M,13,FALSE)-$V173-$AL173)/10),0)</f>
        <v>0</v>
      </c>
      <c r="EE173" s="307">
        <f t="shared" si="301"/>
        <v>0</v>
      </c>
      <c r="EF173" s="307">
        <f t="shared" si="302"/>
        <v>0</v>
      </c>
      <c r="EG173" s="308"/>
      <c r="EH173" s="308"/>
      <c r="EI173" s="308"/>
      <c r="EJ173" s="307">
        <f t="shared" si="303"/>
        <v>0</v>
      </c>
      <c r="EK173" s="320">
        <f t="shared" si="304"/>
        <v>0</v>
      </c>
      <c r="EL173" s="320"/>
      <c r="EM173" s="320"/>
      <c r="EN173" s="321">
        <f>_xlfn.IFNA((VLOOKUP($A173,HN!$A:$M,8,FALSE)/12),0)</f>
        <v>0</v>
      </c>
      <c r="EO173" s="321">
        <f>_xlfn.IFNA((VLOOKUP($A173,HN!$A:$M,12,FALSE)/12),0)</f>
        <v>0</v>
      </c>
      <c r="EP173" s="321">
        <f>_xlfn.IFNA((VLOOKUP($A173,HN!$A:$M,9,FALSE)/12),0)</f>
        <v>0</v>
      </c>
      <c r="EQ173" s="321">
        <f>_xlfn.IFNA((VLOOKUP($A173,'Post 16'!$A:$AG,33,FALSE)/8),0)</f>
        <v>0</v>
      </c>
      <c r="ER173" s="321"/>
      <c r="ES173" s="321">
        <f>_xlfn.IFNA(((VLOOKUP($A173,HN!$A:$M,10,FALSE)-$U173-$AK173)/10),0)</f>
        <v>0</v>
      </c>
      <c r="ET173" s="321">
        <f>_xlfn.IFNA(((VLOOKUP($A173,HN!$A:$M,13,FALSE)-$V173-$AL173)/10),0)</f>
        <v>0</v>
      </c>
      <c r="EU173" s="320">
        <f t="shared" si="305"/>
        <v>0</v>
      </c>
      <c r="EV173" s="320">
        <f t="shared" si="306"/>
        <v>0</v>
      </c>
      <c r="EW173" s="321"/>
      <c r="EX173" s="321"/>
      <c r="EY173" s="321"/>
      <c r="EZ173" s="320">
        <f t="shared" si="307"/>
        <v>0</v>
      </c>
      <c r="FA173" s="286">
        <f t="shared" si="308"/>
        <v>0</v>
      </c>
      <c r="FB173" s="286"/>
      <c r="FC173" s="286"/>
      <c r="FD173" s="287">
        <f>_xlfn.IFNA((VLOOKUP($A173,HN!$A:$M,8,FALSE)/12),0)</f>
        <v>0</v>
      </c>
      <c r="FE173" s="287">
        <f>_xlfn.IFNA((VLOOKUP($A173,HN!$A:$M,12,FALSE)/12),0)</f>
        <v>0</v>
      </c>
      <c r="FF173" s="287">
        <f>_xlfn.IFNA((VLOOKUP($A173,HN!$A:$M,9,FALSE)/12),0)</f>
        <v>0</v>
      </c>
      <c r="FG173" s="287">
        <f>_xlfn.IFNA((VLOOKUP($A173,'Post 16'!$A:$AG,33,FALSE)/8),0)</f>
        <v>0</v>
      </c>
      <c r="FH173" s="287"/>
      <c r="FI173" s="287">
        <f>_xlfn.IFNA(((VLOOKUP($A173,HN!$A:$M,10,FALSE)-$U173-$AK173)/10),0)</f>
        <v>0</v>
      </c>
      <c r="FJ173" s="287">
        <f>_xlfn.IFNA(((VLOOKUP($A173,HN!$A:$M,13,FALSE)-$V173-$AL173)/10),0)</f>
        <v>0</v>
      </c>
      <c r="FK173" s="286">
        <f t="shared" si="309"/>
        <v>0</v>
      </c>
      <c r="FL173" s="286">
        <f t="shared" si="310"/>
        <v>0</v>
      </c>
      <c r="FM173" s="287"/>
      <c r="FN173" s="287"/>
      <c r="FO173" s="287"/>
      <c r="FP173" s="286">
        <f t="shared" si="311"/>
        <v>0</v>
      </c>
      <c r="FQ173" s="293">
        <f t="shared" si="312"/>
        <v>0</v>
      </c>
      <c r="FR173" s="293"/>
      <c r="FS173" s="293"/>
      <c r="FT173" s="294">
        <f>_xlfn.IFNA((VLOOKUP($A173,HN!$A:$M,8,FALSE)/12),0)</f>
        <v>0</v>
      </c>
      <c r="FU173" s="294">
        <f>_xlfn.IFNA((VLOOKUP($A173,HN!$A:$M,12,FALSE)/12),0)</f>
        <v>0</v>
      </c>
      <c r="FV173" s="294">
        <f>_xlfn.IFNA((VLOOKUP($A173,HN!$A:$M,9,FALSE)/12),0)</f>
        <v>0</v>
      </c>
      <c r="FW173" s="294">
        <f>_xlfn.IFNA((VLOOKUP($A173,'Post 16'!$A:$AG,33,FALSE)/8),0)</f>
        <v>0</v>
      </c>
      <c r="FX173" s="294"/>
      <c r="FY173" s="294">
        <f>_xlfn.IFNA(((VLOOKUP($A173,HN!$A:$M,10,FALSE)-$U173-$AK173)/10),0)</f>
        <v>0</v>
      </c>
      <c r="FZ173" s="294">
        <f>_xlfn.IFNA(((VLOOKUP($A173,HN!$A:$M,13,FALSE)-$V173-$AL173)/10),0)</f>
        <v>0</v>
      </c>
      <c r="GA173" s="293">
        <f t="shared" si="313"/>
        <v>0</v>
      </c>
      <c r="GB173" s="293">
        <f t="shared" si="314"/>
        <v>0</v>
      </c>
      <c r="GC173" s="294"/>
      <c r="GD173" s="294"/>
      <c r="GE173" s="294"/>
      <c r="GF173" s="293">
        <f t="shared" si="315"/>
        <v>0</v>
      </c>
      <c r="GG173" s="300">
        <f t="shared" si="316"/>
        <v>0</v>
      </c>
      <c r="GH173" s="300"/>
      <c r="GI173" s="300"/>
      <c r="GJ173" s="301">
        <f>_xlfn.IFNA((VLOOKUP($A173,HN!$A:$M,8,FALSE)/12),0)</f>
        <v>0</v>
      </c>
      <c r="GK173" s="301">
        <f>_xlfn.IFNA((VLOOKUP($A173,HN!$A:$M,12,FALSE)/12),0)</f>
        <v>0</v>
      </c>
      <c r="GL173" s="301">
        <f>_xlfn.IFNA((VLOOKUP($A173,HN!$A:$M,9,FALSE)/12),0)</f>
        <v>0</v>
      </c>
      <c r="GM173" s="301">
        <f>_xlfn.IFNA((VLOOKUP($A173,'Post 16'!$A:$AG,33,FALSE)/8),0)</f>
        <v>0</v>
      </c>
      <c r="GN173" s="301"/>
      <c r="GO173" s="301">
        <f>_xlfn.IFNA(((VLOOKUP($A173,HN!$A:$M,10,FALSE)-$U173-$AK173)/10),0)</f>
        <v>0</v>
      </c>
      <c r="GP173" s="301">
        <f>_xlfn.IFNA(((VLOOKUP($A173,HN!$A:$M,13,FALSE)-$V173-$AL173)/10),0)</f>
        <v>0</v>
      </c>
      <c r="GQ173" s="300">
        <f t="shared" si="317"/>
        <v>0</v>
      </c>
      <c r="GR173" s="300">
        <f t="shared" si="318"/>
        <v>0</v>
      </c>
      <c r="GS173" s="301"/>
      <c r="GT173" s="301"/>
      <c r="GU173" s="301"/>
      <c r="GV173" s="300">
        <f t="shared" si="319"/>
        <v>0</v>
      </c>
      <c r="GX173" s="146">
        <f t="shared" si="320"/>
        <v>442513.78557080013</v>
      </c>
      <c r="GY173" s="146">
        <f t="shared" si="320"/>
        <v>0</v>
      </c>
      <c r="GZ173" s="146">
        <f t="shared" si="320"/>
        <v>2506.3357340720222</v>
      </c>
      <c r="HA173" s="146">
        <f t="shared" si="320"/>
        <v>0</v>
      </c>
      <c r="HB173" s="146">
        <f t="shared" si="320"/>
        <v>0</v>
      </c>
      <c r="HC173" s="146">
        <f t="shared" si="320"/>
        <v>0</v>
      </c>
      <c r="HE173" s="146">
        <f t="shared" si="321"/>
        <v>405245.98767606326</v>
      </c>
      <c r="HF173" s="146">
        <f t="shared" si="321"/>
        <v>0</v>
      </c>
      <c r="HG173" s="146">
        <f t="shared" si="321"/>
        <v>2506.3357340720222</v>
      </c>
      <c r="HH173" s="146">
        <f t="shared" si="321"/>
        <v>0</v>
      </c>
      <c r="HI173" s="146">
        <f t="shared" si="321"/>
        <v>0</v>
      </c>
      <c r="HJ173" s="146">
        <f t="shared" si="321"/>
        <v>0</v>
      </c>
      <c r="HL173" s="146"/>
      <c r="HM173" s="57"/>
    </row>
    <row r="174" spans="1:221">
      <c r="A174" s="185">
        <v>2306</v>
      </c>
      <c r="B174" s="185">
        <v>103326</v>
      </c>
      <c r="C174" s="185" t="s">
        <v>375</v>
      </c>
      <c r="D174" s="2" t="s">
        <v>376</v>
      </c>
      <c r="E174" s="190" t="s">
        <v>39</v>
      </c>
      <c r="F174" s="190" t="s">
        <v>890</v>
      </c>
      <c r="H174" s="271">
        <f>_xlfn.IFNA(VLOOKUP($A174,ISB!$A$4:$BY$441,67,FALSE),0)</f>
        <v>1357444.647980911</v>
      </c>
      <c r="I174" s="271">
        <f>_xlfn.IFNA(VLOOKUP($A174,ISB!$A$4:$BY$441,72,FALSE),0)</f>
        <v>-5229</v>
      </c>
      <c r="J174" s="271">
        <f>-_xlfn.IFNA(VLOOKUP($A174,ISB!$A$4:$BY$441,76,FALSE),0)</f>
        <v>-20146.064600000002</v>
      </c>
      <c r="K174" s="271">
        <f>_xlfn.IFNA(VLOOKUP($A174,ISB!$A$4:$BY$441,77,FALSE),0)</f>
        <v>1332069.583380911</v>
      </c>
      <c r="M174" s="279">
        <f t="shared" si="272"/>
        <v>113120.38733174258</v>
      </c>
      <c r="N174" s="279"/>
      <c r="O174" s="279">
        <f>_xlfn.IFNA(VLOOKUP($A174,EY!$A:$H,8,FALSE)+(VLOOKUP($A174,EY!$A:$R,18,FALSE)-$T174),0)</f>
        <v>0</v>
      </c>
      <c r="P174" s="280">
        <f>_xlfn.IFNA((VLOOKUP($A174,HN!$A:$M,8,FALSE)/12),0)</f>
        <v>0</v>
      </c>
      <c r="Q174" s="280">
        <f>_xlfn.IFNA((VLOOKUP($A174,HN!$A:$M,12,FALSE)/12),0)</f>
        <v>0</v>
      </c>
      <c r="R174" s="280">
        <f>_xlfn.IFNA((VLOOKUP($A174,HN!$A:$M,9,FALSE)/12),0)</f>
        <v>0</v>
      </c>
      <c r="S174" s="280">
        <f>_xlfn.IFNA((VLOOKUP($A174,'Post 16'!$A:$AR,22,FALSE)/4),0)</f>
        <v>0</v>
      </c>
      <c r="T174" s="280">
        <f>_xlfn.IFNA((VLOOKUP($A174,EY!$A:$R,16,FALSE)*80%),0)</f>
        <v>0</v>
      </c>
      <c r="U174" s="280">
        <v>4893.4025000000001</v>
      </c>
      <c r="V174" s="280">
        <v>0</v>
      </c>
      <c r="W174" s="279">
        <f t="shared" si="273"/>
        <v>-435.75</v>
      </c>
      <c r="X174" s="279">
        <f t="shared" si="274"/>
        <v>-1678.8387166666669</v>
      </c>
      <c r="Y174" s="280"/>
      <c r="Z174" s="280"/>
      <c r="AA174" s="280"/>
      <c r="AB174" s="279">
        <f t="shared" si="275"/>
        <v>115899.20111507591</v>
      </c>
      <c r="AC174" s="293">
        <f t="shared" si="276"/>
        <v>113120.38733174258</v>
      </c>
      <c r="AD174" s="293"/>
      <c r="AE174" s="293"/>
      <c r="AF174" s="294">
        <f>_xlfn.IFNA((VLOOKUP($A174,HN!$A:$M,8,FALSE)/12),0)</f>
        <v>0</v>
      </c>
      <c r="AG174" s="294">
        <f>_xlfn.IFNA((VLOOKUP($A174,HN!$A:$M,12,FALSE)/12),0)+_xlfn.IFNA(VLOOKUP($A174,HN!$A:$Q,17,FALSE),0)</f>
        <v>0</v>
      </c>
      <c r="AH174" s="294">
        <f>_xlfn.IFNA((VLOOKUP($A174,HN!$A:$M,9,FALSE)/12),0)</f>
        <v>0</v>
      </c>
      <c r="AI174" s="294">
        <f>_xlfn.IFNA((VLOOKUP($A174,'Post 16'!$A:$AR,22,FALSE)/4),0)</f>
        <v>0</v>
      </c>
      <c r="AJ174" s="294"/>
      <c r="AK174" s="294">
        <f>_xlfn.IFNA((VLOOKUP($A174,HN!$A:$M,10,FALSE)/12),0)</f>
        <v>1107.5</v>
      </c>
      <c r="AL174" s="294">
        <f>_xlfn.IFNA((VLOOKUP($A174,HN!$A:$M,13,FALSE)/12),0)</f>
        <v>0</v>
      </c>
      <c r="AM174" s="293">
        <f t="shared" si="277"/>
        <v>-435.75</v>
      </c>
      <c r="AN174" s="293">
        <f t="shared" si="278"/>
        <v>-1678.8387166666669</v>
      </c>
      <c r="AO174" s="294"/>
      <c r="AP174" s="294"/>
      <c r="AQ174" s="294"/>
      <c r="AR174" s="293">
        <f t="shared" si="279"/>
        <v>112113.29861507591</v>
      </c>
      <c r="AS174" s="286">
        <f t="shared" si="280"/>
        <v>113120.38733174258</v>
      </c>
      <c r="AT174" s="286"/>
      <c r="AU174" s="286">
        <f>_xlfn.IFNA(VLOOKUP(A174,EY!A:AO,40,FALSE),0)</f>
        <v>0</v>
      </c>
      <c r="AV174" s="287">
        <f>_xlfn.IFNA((VLOOKUP($A174,HN!$A:$M,8,FALSE)/12),0)</f>
        <v>0</v>
      </c>
      <c r="AW174" s="287">
        <f>_xlfn.IFNA((VLOOKUP($A174,HN!$A:$M,12,FALSE)/12),0)+_xlfn.IFNA(VLOOKUP($A174,HN!$A$8:$AU$200,19,FALSE),0)</f>
        <v>0</v>
      </c>
      <c r="AX174" s="287">
        <f>_xlfn.IFNA((VLOOKUP($A174,HN!$A:$M,9,FALSE)/12),0)</f>
        <v>0</v>
      </c>
      <c r="AY174" s="287">
        <f>_xlfn.IFNA((VLOOKUP($A174,'Post 16'!$A:$AR,22,FALSE)/4),0)</f>
        <v>0</v>
      </c>
      <c r="AZ174" s="287">
        <f>_xlfn.IFNA(VLOOKUP(A174,EY!A:AO,41,FALSE),0)</f>
        <v>0</v>
      </c>
      <c r="BA174" s="287">
        <f>_xlfn.IFNA(((VLOOKUP($A174,HN!$A:$M,10,FALSE)-$U174-$AK174)/10),0)+_xlfn.IFNA(VLOOKUP($A174,HN!$A:$R,18,FALSE),0)</f>
        <v>728.90975000000003</v>
      </c>
      <c r="BB174" s="287">
        <f>_xlfn.IFNA(((VLOOKUP($A174,HN!$A:$M,13,FALSE)-$V174-$AL174)/10),0)+_xlfn.IFNA(VLOOKUP($A174,HN!$A$8:$AU$200,20,FALSE),0)</f>
        <v>0</v>
      </c>
      <c r="BC174" s="286">
        <f t="shared" si="281"/>
        <v>-435.75</v>
      </c>
      <c r="BD174" s="286">
        <f t="shared" si="282"/>
        <v>-1678.8387166666669</v>
      </c>
      <c r="BE174" s="287"/>
      <c r="BF174" s="287"/>
      <c r="BG174" s="287"/>
      <c r="BH174" s="286">
        <f t="shared" si="283"/>
        <v>111734.70836507592</v>
      </c>
      <c r="BI174" s="307">
        <f t="shared" si="284"/>
        <v>113120.38733174258</v>
      </c>
      <c r="BJ174" s="307">
        <f>_xlfn.IFNA(VLOOKUP(A174,'LA Deductions'!A:AH,34,FALSE),0)</f>
        <v>0</v>
      </c>
      <c r="BK174" s="307"/>
      <c r="BL174" s="308">
        <f>_xlfn.IFNA((VLOOKUP($A174,HN!$A:$M,8,FALSE)/12),0)</f>
        <v>0</v>
      </c>
      <c r="BM174" s="308">
        <f>_xlfn.IFNA((VLOOKUP($A174,HN!$A:$M,12,FALSE)/12),0)</f>
        <v>0</v>
      </c>
      <c r="BN174" s="308">
        <f>_xlfn.IFNA((VLOOKUP($A174,HN!$A:$M,9,FALSE)/12),0)</f>
        <v>0</v>
      </c>
      <c r="BO174" s="308">
        <f>_xlfn.IFNA((VLOOKUP($A174,'Post 16'!$A:$AR,22,FALSE)/4),0)</f>
        <v>0</v>
      </c>
      <c r="BP174" s="308"/>
      <c r="BQ174" s="308">
        <f>_xlfn.IFNA(((VLOOKUP($A174,HN!$A:$M,10,FALSE)-$U174-$AK174)/10),0)</f>
        <v>728.90975000000003</v>
      </c>
      <c r="BR174" s="308">
        <f>_xlfn.IFNA(((VLOOKUP($A174,HN!$A:$M,13,FALSE)-$V174-$AL174)/10),0)</f>
        <v>0</v>
      </c>
      <c r="BS174" s="307">
        <f t="shared" si="285"/>
        <v>-435.75</v>
      </c>
      <c r="BT174" s="307">
        <f t="shared" si="286"/>
        <v>-1678.8387166666669</v>
      </c>
      <c r="BU174" s="308"/>
      <c r="BV174" s="308"/>
      <c r="BW174" s="308"/>
      <c r="BX174" s="307">
        <f t="shared" si="287"/>
        <v>111734.70836507592</v>
      </c>
      <c r="BY174" s="300">
        <f t="shared" si="288"/>
        <v>113120.38733174258</v>
      </c>
      <c r="BZ174" s="300"/>
      <c r="CA174" s="300"/>
      <c r="CB174" s="301">
        <f>_xlfn.IFNA((VLOOKUP($A174,HN!$A:$M,8,FALSE)/12),0)</f>
        <v>0</v>
      </c>
      <c r="CC174" s="301">
        <f>_xlfn.IFNA((VLOOKUP($A174,HN!$A:$M,12,FALSE)/12),0)</f>
        <v>0</v>
      </c>
      <c r="CD174" s="301">
        <f>_xlfn.IFNA((VLOOKUP($A174,HN!$A:$M,9,FALSE)/12),0)</f>
        <v>0</v>
      </c>
      <c r="CE174" s="301">
        <f>_xlfn.IFNA((VLOOKUP($A174,'Post 16'!$A:$AG,33,FALSE)/8),0)</f>
        <v>0</v>
      </c>
      <c r="CF174" s="301"/>
      <c r="CG174" s="301">
        <f>_xlfn.IFNA(((VLOOKUP($A174,HN!$A:$M,10,FALSE)-$U174-$AK174)/10),0)</f>
        <v>728.90975000000003</v>
      </c>
      <c r="CH174" s="301">
        <f>_xlfn.IFNA(((VLOOKUP($A174,HN!$A:$M,13,FALSE)-$V174-$AL174)/10),0)</f>
        <v>0</v>
      </c>
      <c r="CI174" s="300">
        <f t="shared" si="289"/>
        <v>-435.75</v>
      </c>
      <c r="CJ174" s="300">
        <f t="shared" si="290"/>
        <v>-1678.8387166666669</v>
      </c>
      <c r="CK174" s="301"/>
      <c r="CL174" s="301"/>
      <c r="CM174" s="301"/>
      <c r="CN174" s="300">
        <f t="shared" si="291"/>
        <v>111734.70836507592</v>
      </c>
      <c r="CO174" s="332">
        <f t="shared" si="292"/>
        <v>113120.38733174258</v>
      </c>
      <c r="CP174" s="332"/>
      <c r="CQ174" s="332">
        <f>_xlfn.IFNA((VLOOKUP($A174,EY!$A:$AB,28,FALSE)-$CV174),0)</f>
        <v>0</v>
      </c>
      <c r="CR174" s="333">
        <f>_xlfn.IFNA((VLOOKUP($A174,HN!$A:$M,8,FALSE)/12),0)</f>
        <v>0</v>
      </c>
      <c r="CS174" s="333">
        <f>_xlfn.IFNA((VLOOKUP($A174,HN!$A:$M,12,FALSE)/12),0)</f>
        <v>0</v>
      </c>
      <c r="CT174" s="333">
        <f>_xlfn.IFNA((VLOOKUP($A174,HN!$A:$M,9,FALSE)/12),0)</f>
        <v>0</v>
      </c>
      <c r="CU174" s="333">
        <f>_xlfn.IFNA((VLOOKUP($A174,'Post 16'!$A:$AG,33,FALSE)/8),0)</f>
        <v>0</v>
      </c>
      <c r="CV174" s="333">
        <f>_xlfn.IFNA((VLOOKUP($A174,EY!$A:$AB,26,FALSE)*80%),0)</f>
        <v>0</v>
      </c>
      <c r="CW174" s="333">
        <f>_xlfn.IFNA(((VLOOKUP($A174,HN!$A:$M,10,FALSE)-$U174-$AK174)/10),0)</f>
        <v>728.90975000000003</v>
      </c>
      <c r="CX174" s="333">
        <f>_xlfn.IFNA(((VLOOKUP($A174,HN!$A:$M,13,FALSE)-$V174-$AL174)/10),0)</f>
        <v>0</v>
      </c>
      <c r="CY174" s="332">
        <f t="shared" si="293"/>
        <v>-435.75</v>
      </c>
      <c r="CZ174" s="332">
        <f t="shared" si="294"/>
        <v>-1678.8387166666669</v>
      </c>
      <c r="DA174" s="333"/>
      <c r="DB174" s="333"/>
      <c r="DC174" s="333"/>
      <c r="DD174" s="332">
        <f t="shared" si="295"/>
        <v>111734.70836507592</v>
      </c>
      <c r="DE174" s="314">
        <f t="shared" si="296"/>
        <v>113120.38733174258</v>
      </c>
      <c r="DF174" s="314"/>
      <c r="DG174" s="314"/>
      <c r="DH174" s="315">
        <f>_xlfn.IFNA((VLOOKUP($A174,HN!$A:$M,8,FALSE)/12),0)</f>
        <v>0</v>
      </c>
      <c r="DI174" s="315">
        <f>_xlfn.IFNA((VLOOKUP($A174,HN!$A:$M,12,FALSE)/12),0)</f>
        <v>0</v>
      </c>
      <c r="DJ174" s="315">
        <f>_xlfn.IFNA((VLOOKUP($A174,HN!$A:$M,9,FALSE)/12),0)</f>
        <v>0</v>
      </c>
      <c r="DK174" s="315">
        <f>_xlfn.IFNA((VLOOKUP($A174,'Post 16'!$A:$AG,33,FALSE)/8),0)</f>
        <v>0</v>
      </c>
      <c r="DL174" s="315"/>
      <c r="DM174" s="315">
        <f>_xlfn.IFNA(((VLOOKUP($A174,HN!$A:$M,10,FALSE)-$U174-$AK174)/10),0)</f>
        <v>728.90975000000003</v>
      </c>
      <c r="DN174" s="315">
        <f>_xlfn.IFNA(((VLOOKUP($A174,HN!$A:$M,13,FALSE)-$V174-$AL174)/10),0)</f>
        <v>0</v>
      </c>
      <c r="DO174" s="314">
        <f t="shared" si="297"/>
        <v>-435.75</v>
      </c>
      <c r="DP174" s="314">
        <f t="shared" si="298"/>
        <v>-1678.8387166666669</v>
      </c>
      <c r="DQ174" s="315"/>
      <c r="DR174" s="315"/>
      <c r="DS174" s="315"/>
      <c r="DT174" s="314">
        <f t="shared" si="299"/>
        <v>111734.70836507592</v>
      </c>
      <c r="DU174" s="307">
        <f t="shared" si="300"/>
        <v>113120.38733174258</v>
      </c>
      <c r="DV174" s="307"/>
      <c r="DW174" s="307"/>
      <c r="DX174" s="308">
        <f>_xlfn.IFNA((VLOOKUP($A174,HN!$A:$M,8,FALSE)/12),0)</f>
        <v>0</v>
      </c>
      <c r="DY174" s="308">
        <f>_xlfn.IFNA((VLOOKUP($A174,HN!$A:$M,12,FALSE)/12),0)</f>
        <v>0</v>
      </c>
      <c r="DZ174" s="308">
        <f>_xlfn.IFNA((VLOOKUP($A174,HN!$A:$M,9,FALSE)/12),0)</f>
        <v>0</v>
      </c>
      <c r="EA174" s="308">
        <f>_xlfn.IFNA((VLOOKUP($A174,'Post 16'!$A:$AG,33,FALSE)/8),0)</f>
        <v>0</v>
      </c>
      <c r="EB174" s="308"/>
      <c r="EC174" s="308">
        <f>_xlfn.IFNA(((VLOOKUP($A174,HN!$A:$M,10,FALSE)-$U174-$AK174)/10),0)</f>
        <v>728.90975000000003</v>
      </c>
      <c r="ED174" s="308">
        <f>_xlfn.IFNA(((VLOOKUP($A174,HN!$A:$M,13,FALSE)-$V174-$AL174)/10),0)</f>
        <v>0</v>
      </c>
      <c r="EE174" s="307">
        <f t="shared" si="301"/>
        <v>-435.75</v>
      </c>
      <c r="EF174" s="307">
        <f t="shared" si="302"/>
        <v>-1678.8387166666669</v>
      </c>
      <c r="EG174" s="308"/>
      <c r="EH174" s="308"/>
      <c r="EI174" s="308"/>
      <c r="EJ174" s="307">
        <f t="shared" si="303"/>
        <v>111734.70836507592</v>
      </c>
      <c r="EK174" s="320">
        <f t="shared" si="304"/>
        <v>113120.38733174258</v>
      </c>
      <c r="EL174" s="320"/>
      <c r="EM174" s="320"/>
      <c r="EN174" s="321">
        <f>_xlfn.IFNA((VLOOKUP($A174,HN!$A:$M,8,FALSE)/12),0)</f>
        <v>0</v>
      </c>
      <c r="EO174" s="321">
        <f>_xlfn.IFNA((VLOOKUP($A174,HN!$A:$M,12,FALSE)/12),0)</f>
        <v>0</v>
      </c>
      <c r="EP174" s="321">
        <f>_xlfn.IFNA((VLOOKUP($A174,HN!$A:$M,9,FALSE)/12),0)</f>
        <v>0</v>
      </c>
      <c r="EQ174" s="321">
        <f>_xlfn.IFNA((VLOOKUP($A174,'Post 16'!$A:$AG,33,FALSE)/8),0)</f>
        <v>0</v>
      </c>
      <c r="ER174" s="321"/>
      <c r="ES174" s="321">
        <f>_xlfn.IFNA(((VLOOKUP($A174,HN!$A:$M,10,FALSE)-$U174-$AK174)/10),0)</f>
        <v>728.90975000000003</v>
      </c>
      <c r="ET174" s="321">
        <f>_xlfn.IFNA(((VLOOKUP($A174,HN!$A:$M,13,FALSE)-$V174-$AL174)/10),0)</f>
        <v>0</v>
      </c>
      <c r="EU174" s="320">
        <f t="shared" si="305"/>
        <v>-435.75</v>
      </c>
      <c r="EV174" s="320">
        <f t="shared" si="306"/>
        <v>-1678.8387166666669</v>
      </c>
      <c r="EW174" s="321"/>
      <c r="EX174" s="321"/>
      <c r="EY174" s="321"/>
      <c r="EZ174" s="320">
        <f t="shared" si="307"/>
        <v>111734.70836507592</v>
      </c>
      <c r="FA174" s="286">
        <f t="shared" si="308"/>
        <v>113120.38733174258</v>
      </c>
      <c r="FB174" s="286"/>
      <c r="FC174" s="286"/>
      <c r="FD174" s="287">
        <f>_xlfn.IFNA((VLOOKUP($A174,HN!$A:$M,8,FALSE)/12),0)</f>
        <v>0</v>
      </c>
      <c r="FE174" s="287">
        <f>_xlfn.IFNA((VLOOKUP($A174,HN!$A:$M,12,FALSE)/12),0)</f>
        <v>0</v>
      </c>
      <c r="FF174" s="287">
        <f>_xlfn.IFNA((VLOOKUP($A174,HN!$A:$M,9,FALSE)/12),0)</f>
        <v>0</v>
      </c>
      <c r="FG174" s="287">
        <f>_xlfn.IFNA((VLOOKUP($A174,'Post 16'!$A:$AG,33,FALSE)/8),0)</f>
        <v>0</v>
      </c>
      <c r="FH174" s="287"/>
      <c r="FI174" s="287">
        <f>_xlfn.IFNA(((VLOOKUP($A174,HN!$A:$M,10,FALSE)-$U174-$AK174)/10),0)</f>
        <v>728.90975000000003</v>
      </c>
      <c r="FJ174" s="287">
        <f>_xlfn.IFNA(((VLOOKUP($A174,HN!$A:$M,13,FALSE)-$V174-$AL174)/10),0)</f>
        <v>0</v>
      </c>
      <c r="FK174" s="286">
        <f t="shared" si="309"/>
        <v>-435.75</v>
      </c>
      <c r="FL174" s="286">
        <f t="shared" si="310"/>
        <v>-1678.8387166666669</v>
      </c>
      <c r="FM174" s="287"/>
      <c r="FN174" s="287"/>
      <c r="FO174" s="287"/>
      <c r="FP174" s="286">
        <f t="shared" si="311"/>
        <v>111734.70836507592</v>
      </c>
      <c r="FQ174" s="293">
        <f t="shared" si="312"/>
        <v>113120.38733174258</v>
      </c>
      <c r="FR174" s="293"/>
      <c r="FS174" s="293"/>
      <c r="FT174" s="294">
        <f>_xlfn.IFNA((VLOOKUP($A174,HN!$A:$M,8,FALSE)/12),0)</f>
        <v>0</v>
      </c>
      <c r="FU174" s="294">
        <f>_xlfn.IFNA((VLOOKUP($A174,HN!$A:$M,12,FALSE)/12),0)</f>
        <v>0</v>
      </c>
      <c r="FV174" s="294">
        <f>_xlfn.IFNA((VLOOKUP($A174,HN!$A:$M,9,FALSE)/12),0)</f>
        <v>0</v>
      </c>
      <c r="FW174" s="294">
        <f>_xlfn.IFNA((VLOOKUP($A174,'Post 16'!$A:$AG,33,FALSE)/8),0)</f>
        <v>0</v>
      </c>
      <c r="FX174" s="294"/>
      <c r="FY174" s="294">
        <f>_xlfn.IFNA(((VLOOKUP($A174,HN!$A:$M,10,FALSE)-$U174-$AK174)/10),0)</f>
        <v>728.90975000000003</v>
      </c>
      <c r="FZ174" s="294">
        <f>_xlfn.IFNA(((VLOOKUP($A174,HN!$A:$M,13,FALSE)-$V174-$AL174)/10),0)</f>
        <v>0</v>
      </c>
      <c r="GA174" s="293">
        <f t="shared" si="313"/>
        <v>-435.75</v>
      </c>
      <c r="GB174" s="293">
        <f t="shared" si="314"/>
        <v>-1678.8387166666669</v>
      </c>
      <c r="GC174" s="294"/>
      <c r="GD174" s="294"/>
      <c r="GE174" s="294"/>
      <c r="GF174" s="293">
        <f t="shared" si="315"/>
        <v>111734.70836507592</v>
      </c>
      <c r="GG174" s="300">
        <f t="shared" si="316"/>
        <v>113120.38733174258</v>
      </c>
      <c r="GH174" s="300"/>
      <c r="GI174" s="300"/>
      <c r="GJ174" s="301">
        <f>_xlfn.IFNA((VLOOKUP($A174,HN!$A:$M,8,FALSE)/12),0)</f>
        <v>0</v>
      </c>
      <c r="GK174" s="301">
        <f>_xlfn.IFNA((VLOOKUP($A174,HN!$A:$M,12,FALSE)/12),0)</f>
        <v>0</v>
      </c>
      <c r="GL174" s="301">
        <f>_xlfn.IFNA((VLOOKUP($A174,HN!$A:$M,9,FALSE)/12),0)</f>
        <v>0</v>
      </c>
      <c r="GM174" s="301">
        <f>_xlfn.IFNA((VLOOKUP($A174,'Post 16'!$A:$AG,33,FALSE)/8),0)</f>
        <v>0</v>
      </c>
      <c r="GN174" s="301"/>
      <c r="GO174" s="301">
        <f>_xlfn.IFNA(((VLOOKUP($A174,HN!$A:$M,10,FALSE)-$U174-$AK174)/10),0)</f>
        <v>728.90975000000003</v>
      </c>
      <c r="GP174" s="301">
        <f>_xlfn.IFNA(((VLOOKUP($A174,HN!$A:$M,13,FALSE)-$V174-$AL174)/10),0)</f>
        <v>0</v>
      </c>
      <c r="GQ174" s="300">
        <f t="shared" si="317"/>
        <v>-435.75</v>
      </c>
      <c r="GR174" s="300">
        <f t="shared" si="318"/>
        <v>-1678.8387166666669</v>
      </c>
      <c r="GS174" s="301"/>
      <c r="GT174" s="301"/>
      <c r="GU174" s="301"/>
      <c r="GV174" s="300">
        <f t="shared" si="319"/>
        <v>111734.70836507592</v>
      </c>
      <c r="GX174" s="146">
        <f t="shared" si="320"/>
        <v>1357444.647980911</v>
      </c>
      <c r="GY174" s="146">
        <f t="shared" si="320"/>
        <v>0</v>
      </c>
      <c r="GZ174" s="146">
        <f t="shared" si="320"/>
        <v>13290.000000000004</v>
      </c>
      <c r="HA174" s="146">
        <f t="shared" si="320"/>
        <v>-5229</v>
      </c>
      <c r="HB174" s="146">
        <f t="shared" si="320"/>
        <v>-20146.064599999998</v>
      </c>
      <c r="HC174" s="146">
        <f t="shared" si="320"/>
        <v>0</v>
      </c>
      <c r="HE174" s="146">
        <f t="shared" si="321"/>
        <v>339361.16199522774</v>
      </c>
      <c r="HF174" s="146">
        <f t="shared" si="321"/>
        <v>0</v>
      </c>
      <c r="HG174" s="146">
        <f t="shared" si="321"/>
        <v>6729.8122499999999</v>
      </c>
      <c r="HH174" s="146">
        <f t="shared" si="321"/>
        <v>-1307.25</v>
      </c>
      <c r="HI174" s="146">
        <f t="shared" si="321"/>
        <v>-5036.5161500000004</v>
      </c>
      <c r="HJ174" s="146">
        <f t="shared" si="321"/>
        <v>0</v>
      </c>
      <c r="HL174" s="146"/>
      <c r="HM174" s="57"/>
    </row>
    <row r="175" spans="1:221">
      <c r="A175" s="185">
        <v>2308</v>
      </c>
      <c r="B175" s="185">
        <v>103328</v>
      </c>
      <c r="C175" s="185" t="s">
        <v>377</v>
      </c>
      <c r="D175" s="2" t="s">
        <v>378</v>
      </c>
      <c r="E175" s="190" t="s">
        <v>39</v>
      </c>
      <c r="F175" s="190" t="s">
        <v>890</v>
      </c>
      <c r="H175" s="271">
        <f>_xlfn.IFNA(VLOOKUP($A175,ISB!$A$4:$BY$441,67,FALSE),0)</f>
        <v>2479820.7192961075</v>
      </c>
      <c r="I175" s="271">
        <f>_xlfn.IFNA(VLOOKUP($A175,ISB!$A$4:$BY$441,72,FALSE),0)</f>
        <v>-9163.1999999999989</v>
      </c>
      <c r="J175" s="271">
        <f>-_xlfn.IFNA(VLOOKUP($A175,ISB!$A$4:$BY$441,76,FALSE),0)</f>
        <v>-35154.483</v>
      </c>
      <c r="K175" s="271">
        <f>_xlfn.IFNA(VLOOKUP($A175,ISB!$A$4:$BY$441,77,FALSE),0)</f>
        <v>2435503.0362961073</v>
      </c>
      <c r="M175" s="279">
        <f t="shared" si="272"/>
        <v>206651.72660800896</v>
      </c>
      <c r="N175" s="279"/>
      <c r="O175" s="279">
        <f>_xlfn.IFNA(VLOOKUP($A175,EY!$A:$H,8,FALSE)+(VLOOKUP($A175,EY!$A:$R,18,FALSE)-$T175),0)</f>
        <v>46770.360000000008</v>
      </c>
      <c r="P175" s="280">
        <f>_xlfn.IFNA((VLOOKUP($A175,HN!$A:$M,8,FALSE)/12),0)</f>
        <v>0</v>
      </c>
      <c r="Q175" s="280">
        <f>_xlfn.IFNA((VLOOKUP($A175,HN!$A:$M,12,FALSE)/12),0)</f>
        <v>0</v>
      </c>
      <c r="R175" s="280">
        <f>_xlfn.IFNA((VLOOKUP($A175,HN!$A:$M,9,FALSE)/12),0)</f>
        <v>0</v>
      </c>
      <c r="S175" s="280">
        <f>_xlfn.IFNA((VLOOKUP($A175,'Post 16'!$A:$AR,22,FALSE)/4),0)</f>
        <v>0</v>
      </c>
      <c r="T175" s="280">
        <f>_xlfn.IFNA((VLOOKUP($A175,EY!$A:$R,16,FALSE)*80%),0)</f>
        <v>0</v>
      </c>
      <c r="U175" s="280">
        <v>0</v>
      </c>
      <c r="V175" s="280">
        <v>25696.305833333332</v>
      </c>
      <c r="W175" s="279">
        <f t="shared" si="273"/>
        <v>-763.59999999999991</v>
      </c>
      <c r="X175" s="279">
        <f t="shared" si="274"/>
        <v>-2929.54025</v>
      </c>
      <c r="Y175" s="280"/>
      <c r="Z175" s="280"/>
      <c r="AA175" s="280"/>
      <c r="AB175" s="279">
        <f t="shared" si="275"/>
        <v>275425.2521913423</v>
      </c>
      <c r="AC175" s="293">
        <f t="shared" si="276"/>
        <v>206651.72660800896</v>
      </c>
      <c r="AD175" s="293"/>
      <c r="AE175" s="293"/>
      <c r="AF175" s="294">
        <f>_xlfn.IFNA((VLOOKUP($A175,HN!$A:$M,8,FALSE)/12),0)</f>
        <v>0</v>
      </c>
      <c r="AG175" s="294">
        <f>_xlfn.IFNA((VLOOKUP($A175,HN!$A:$M,12,FALSE)/12),0)+_xlfn.IFNA(VLOOKUP($A175,HN!$A:$Q,17,FALSE),0)</f>
        <v>0</v>
      </c>
      <c r="AH175" s="294">
        <f>_xlfn.IFNA((VLOOKUP($A175,HN!$A:$M,9,FALSE)/12),0)</f>
        <v>0</v>
      </c>
      <c r="AI175" s="294">
        <f>_xlfn.IFNA((VLOOKUP($A175,'Post 16'!$A:$AR,22,FALSE)/4),0)</f>
        <v>0</v>
      </c>
      <c r="AJ175" s="294"/>
      <c r="AK175" s="294">
        <f>_xlfn.IFNA((VLOOKUP($A175,HN!$A:$M,10,FALSE)/12),0)</f>
        <v>0</v>
      </c>
      <c r="AL175" s="294">
        <f>_xlfn.IFNA((VLOOKUP($A175,HN!$A:$M,13,FALSE)/12),0)</f>
        <v>11075</v>
      </c>
      <c r="AM175" s="293">
        <f t="shared" si="277"/>
        <v>-763.59999999999991</v>
      </c>
      <c r="AN175" s="293">
        <f t="shared" si="278"/>
        <v>-2929.54025</v>
      </c>
      <c r="AO175" s="294"/>
      <c r="AP175" s="294"/>
      <c r="AQ175" s="294"/>
      <c r="AR175" s="293">
        <f t="shared" si="279"/>
        <v>214033.58635800896</v>
      </c>
      <c r="AS175" s="286">
        <f t="shared" si="280"/>
        <v>206651.72660800896</v>
      </c>
      <c r="AT175" s="286"/>
      <c r="AU175" s="286">
        <f>_xlfn.IFNA(VLOOKUP(A175,EY!A:AO,40,FALSE),0)</f>
        <v>8066.4248199445938</v>
      </c>
      <c r="AV175" s="287">
        <f>_xlfn.IFNA((VLOOKUP($A175,HN!$A:$M,8,FALSE)/12),0)</f>
        <v>0</v>
      </c>
      <c r="AW175" s="287">
        <f>_xlfn.IFNA((VLOOKUP($A175,HN!$A:$M,12,FALSE)/12),0)+_xlfn.IFNA(VLOOKUP($A175,HN!$A$8:$AU$200,19,FALSE),0)</f>
        <v>0</v>
      </c>
      <c r="AX175" s="287">
        <f>_xlfn.IFNA((VLOOKUP($A175,HN!$A:$M,9,FALSE)/12),0)</f>
        <v>0</v>
      </c>
      <c r="AY175" s="287">
        <f>_xlfn.IFNA((VLOOKUP($A175,'Post 16'!$A:$AR,22,FALSE)/4),0)</f>
        <v>0</v>
      </c>
      <c r="AZ175" s="287">
        <f>_xlfn.IFNA(VLOOKUP(A175,EY!A:AO,41,FALSE),0)</f>
        <v>0</v>
      </c>
      <c r="BA175" s="287">
        <f>_xlfn.IFNA(((VLOOKUP($A175,HN!$A:$M,10,FALSE)-$U175-$AK175)/10),0)+_xlfn.IFNA(VLOOKUP($A175,HN!$A:$R,18,FALSE),0)</f>
        <v>0</v>
      </c>
      <c r="BB175" s="287">
        <f>_xlfn.IFNA(((VLOOKUP($A175,HN!$A:$M,13,FALSE)-$V175-$AL175)/10),0)+_xlfn.IFNA(VLOOKUP($A175,HN!$A$8:$AU$200,20,FALSE),0)</f>
        <v>9612.8694166666664</v>
      </c>
      <c r="BC175" s="286">
        <f t="shared" si="281"/>
        <v>-763.59999999999991</v>
      </c>
      <c r="BD175" s="286">
        <f t="shared" si="282"/>
        <v>-2929.54025</v>
      </c>
      <c r="BE175" s="287"/>
      <c r="BF175" s="287"/>
      <c r="BG175" s="287"/>
      <c r="BH175" s="286">
        <f t="shared" si="283"/>
        <v>220637.88059462022</v>
      </c>
      <c r="BI175" s="307">
        <f t="shared" si="284"/>
        <v>206651.72660800896</v>
      </c>
      <c r="BJ175" s="307">
        <f>_xlfn.IFNA(VLOOKUP(A175,'LA Deductions'!A:AH,34,FALSE),0)</f>
        <v>0</v>
      </c>
      <c r="BK175" s="307"/>
      <c r="BL175" s="308">
        <f>_xlfn.IFNA((VLOOKUP($A175,HN!$A:$M,8,FALSE)/12),0)</f>
        <v>0</v>
      </c>
      <c r="BM175" s="308">
        <f>_xlfn.IFNA((VLOOKUP($A175,HN!$A:$M,12,FALSE)/12),0)</f>
        <v>0</v>
      </c>
      <c r="BN175" s="308">
        <f>_xlfn.IFNA((VLOOKUP($A175,HN!$A:$M,9,FALSE)/12),0)</f>
        <v>0</v>
      </c>
      <c r="BO175" s="308">
        <f>_xlfn.IFNA((VLOOKUP($A175,'Post 16'!$A:$AR,22,FALSE)/4),0)</f>
        <v>0</v>
      </c>
      <c r="BP175" s="308"/>
      <c r="BQ175" s="308">
        <f>_xlfn.IFNA(((VLOOKUP($A175,HN!$A:$M,10,FALSE)-$U175-$AK175)/10),0)</f>
        <v>0</v>
      </c>
      <c r="BR175" s="308">
        <f>_xlfn.IFNA(((VLOOKUP($A175,HN!$A:$M,13,FALSE)-$V175-$AL175)/10),0)</f>
        <v>9612.8694166666664</v>
      </c>
      <c r="BS175" s="307">
        <f t="shared" si="285"/>
        <v>-763.59999999999991</v>
      </c>
      <c r="BT175" s="307">
        <f t="shared" si="286"/>
        <v>-2929.54025</v>
      </c>
      <c r="BU175" s="308"/>
      <c r="BV175" s="308"/>
      <c r="BW175" s="308"/>
      <c r="BX175" s="307">
        <f t="shared" si="287"/>
        <v>212571.45577467562</v>
      </c>
      <c r="BY175" s="300">
        <f t="shared" si="288"/>
        <v>206651.72660800896</v>
      </c>
      <c r="BZ175" s="300"/>
      <c r="CA175" s="300"/>
      <c r="CB175" s="301">
        <f>_xlfn.IFNA((VLOOKUP($A175,HN!$A:$M,8,FALSE)/12),0)</f>
        <v>0</v>
      </c>
      <c r="CC175" s="301">
        <f>_xlfn.IFNA((VLOOKUP($A175,HN!$A:$M,12,FALSE)/12),0)</f>
        <v>0</v>
      </c>
      <c r="CD175" s="301">
        <f>_xlfn.IFNA((VLOOKUP($A175,HN!$A:$M,9,FALSE)/12),0)</f>
        <v>0</v>
      </c>
      <c r="CE175" s="301">
        <f>_xlfn.IFNA((VLOOKUP($A175,'Post 16'!$A:$AG,33,FALSE)/8),0)</f>
        <v>0</v>
      </c>
      <c r="CF175" s="301"/>
      <c r="CG175" s="301">
        <f>_xlfn.IFNA(((VLOOKUP($A175,HN!$A:$M,10,FALSE)-$U175-$AK175)/10),0)</f>
        <v>0</v>
      </c>
      <c r="CH175" s="301">
        <f>_xlfn.IFNA(((VLOOKUP($A175,HN!$A:$M,13,FALSE)-$V175-$AL175)/10),0)</f>
        <v>9612.8694166666664</v>
      </c>
      <c r="CI175" s="300">
        <f t="shared" si="289"/>
        <v>-763.59999999999991</v>
      </c>
      <c r="CJ175" s="300">
        <f t="shared" si="290"/>
        <v>-2929.54025</v>
      </c>
      <c r="CK175" s="301"/>
      <c r="CL175" s="301"/>
      <c r="CM175" s="301"/>
      <c r="CN175" s="300">
        <f t="shared" si="291"/>
        <v>212571.45577467562</v>
      </c>
      <c r="CO175" s="332">
        <f t="shared" si="292"/>
        <v>206651.72660800896</v>
      </c>
      <c r="CP175" s="332"/>
      <c r="CQ175" s="332">
        <f>_xlfn.IFNA((VLOOKUP($A175,EY!$A:$AB,28,FALSE)-$CV175),0)</f>
        <v>33463.915789473685</v>
      </c>
      <c r="CR175" s="333">
        <f>_xlfn.IFNA((VLOOKUP($A175,HN!$A:$M,8,FALSE)/12),0)</f>
        <v>0</v>
      </c>
      <c r="CS175" s="333">
        <f>_xlfn.IFNA((VLOOKUP($A175,HN!$A:$M,12,FALSE)/12),0)</f>
        <v>0</v>
      </c>
      <c r="CT175" s="333">
        <f>_xlfn.IFNA((VLOOKUP($A175,HN!$A:$M,9,FALSE)/12),0)</f>
        <v>0</v>
      </c>
      <c r="CU175" s="333">
        <f>_xlfn.IFNA((VLOOKUP($A175,'Post 16'!$A:$AG,33,FALSE)/8),0)</f>
        <v>0</v>
      </c>
      <c r="CV175" s="333">
        <f>_xlfn.IFNA((VLOOKUP($A175,EY!$A:$AB,26,FALSE)*80%),0)</f>
        <v>0</v>
      </c>
      <c r="CW175" s="333">
        <f>_xlfn.IFNA(((VLOOKUP($A175,HN!$A:$M,10,FALSE)-$U175-$AK175)/10),0)</f>
        <v>0</v>
      </c>
      <c r="CX175" s="333">
        <f>_xlfn.IFNA(((VLOOKUP($A175,HN!$A:$M,13,FALSE)-$V175-$AL175)/10),0)</f>
        <v>9612.8694166666664</v>
      </c>
      <c r="CY175" s="332">
        <f t="shared" si="293"/>
        <v>-763.59999999999991</v>
      </c>
      <c r="CZ175" s="332">
        <f t="shared" si="294"/>
        <v>-2929.54025</v>
      </c>
      <c r="DA175" s="333"/>
      <c r="DB175" s="333"/>
      <c r="DC175" s="333"/>
      <c r="DD175" s="332">
        <f t="shared" si="295"/>
        <v>246035.3715641493</v>
      </c>
      <c r="DE175" s="314">
        <f t="shared" si="296"/>
        <v>206651.72660800896</v>
      </c>
      <c r="DF175" s="314"/>
      <c r="DG175" s="314"/>
      <c r="DH175" s="315">
        <f>_xlfn.IFNA((VLOOKUP($A175,HN!$A:$M,8,FALSE)/12),0)</f>
        <v>0</v>
      </c>
      <c r="DI175" s="315">
        <f>_xlfn.IFNA((VLOOKUP($A175,HN!$A:$M,12,FALSE)/12),0)</f>
        <v>0</v>
      </c>
      <c r="DJ175" s="315">
        <f>_xlfn.IFNA((VLOOKUP($A175,HN!$A:$M,9,FALSE)/12),0)</f>
        <v>0</v>
      </c>
      <c r="DK175" s="315">
        <f>_xlfn.IFNA((VLOOKUP($A175,'Post 16'!$A:$AG,33,FALSE)/8),0)</f>
        <v>0</v>
      </c>
      <c r="DL175" s="315"/>
      <c r="DM175" s="315">
        <f>_xlfn.IFNA(((VLOOKUP($A175,HN!$A:$M,10,FALSE)-$U175-$AK175)/10),0)</f>
        <v>0</v>
      </c>
      <c r="DN175" s="315">
        <f>_xlfn.IFNA(((VLOOKUP($A175,HN!$A:$M,13,FALSE)-$V175-$AL175)/10),0)</f>
        <v>9612.8694166666664</v>
      </c>
      <c r="DO175" s="314">
        <f t="shared" si="297"/>
        <v>-763.59999999999991</v>
      </c>
      <c r="DP175" s="314">
        <f t="shared" si="298"/>
        <v>-2929.54025</v>
      </c>
      <c r="DQ175" s="315"/>
      <c r="DR175" s="315"/>
      <c r="DS175" s="315"/>
      <c r="DT175" s="314">
        <f t="shared" si="299"/>
        <v>212571.45577467562</v>
      </c>
      <c r="DU175" s="307">
        <f t="shared" si="300"/>
        <v>206651.72660800896</v>
      </c>
      <c r="DV175" s="307"/>
      <c r="DW175" s="307"/>
      <c r="DX175" s="308">
        <f>_xlfn.IFNA((VLOOKUP($A175,HN!$A:$M,8,FALSE)/12),0)</f>
        <v>0</v>
      </c>
      <c r="DY175" s="308">
        <f>_xlfn.IFNA((VLOOKUP($A175,HN!$A:$M,12,FALSE)/12),0)</f>
        <v>0</v>
      </c>
      <c r="DZ175" s="308">
        <f>_xlfn.IFNA((VLOOKUP($A175,HN!$A:$M,9,FALSE)/12),0)</f>
        <v>0</v>
      </c>
      <c r="EA175" s="308">
        <f>_xlfn.IFNA((VLOOKUP($A175,'Post 16'!$A:$AG,33,FALSE)/8),0)</f>
        <v>0</v>
      </c>
      <c r="EB175" s="308"/>
      <c r="EC175" s="308">
        <f>_xlfn.IFNA(((VLOOKUP($A175,HN!$A:$M,10,FALSE)-$U175-$AK175)/10),0)</f>
        <v>0</v>
      </c>
      <c r="ED175" s="308">
        <f>_xlfn.IFNA(((VLOOKUP($A175,HN!$A:$M,13,FALSE)-$V175-$AL175)/10),0)</f>
        <v>9612.8694166666664</v>
      </c>
      <c r="EE175" s="307">
        <f t="shared" si="301"/>
        <v>-763.59999999999991</v>
      </c>
      <c r="EF175" s="307">
        <f t="shared" si="302"/>
        <v>-2929.54025</v>
      </c>
      <c r="EG175" s="308"/>
      <c r="EH175" s="308"/>
      <c r="EI175" s="308"/>
      <c r="EJ175" s="307">
        <f t="shared" si="303"/>
        <v>212571.45577467562</v>
      </c>
      <c r="EK175" s="320">
        <f t="shared" si="304"/>
        <v>206651.72660800896</v>
      </c>
      <c r="EL175" s="320"/>
      <c r="EM175" s="320"/>
      <c r="EN175" s="321">
        <f>_xlfn.IFNA((VLOOKUP($A175,HN!$A:$M,8,FALSE)/12),0)</f>
        <v>0</v>
      </c>
      <c r="EO175" s="321">
        <f>_xlfn.IFNA((VLOOKUP($A175,HN!$A:$M,12,FALSE)/12),0)</f>
        <v>0</v>
      </c>
      <c r="EP175" s="321">
        <f>_xlfn.IFNA((VLOOKUP($A175,HN!$A:$M,9,FALSE)/12),0)</f>
        <v>0</v>
      </c>
      <c r="EQ175" s="321">
        <f>_xlfn.IFNA((VLOOKUP($A175,'Post 16'!$A:$AG,33,FALSE)/8),0)</f>
        <v>0</v>
      </c>
      <c r="ER175" s="321"/>
      <c r="ES175" s="321">
        <f>_xlfn.IFNA(((VLOOKUP($A175,HN!$A:$M,10,FALSE)-$U175-$AK175)/10),0)</f>
        <v>0</v>
      </c>
      <c r="ET175" s="321">
        <f>_xlfn.IFNA(((VLOOKUP($A175,HN!$A:$M,13,FALSE)-$V175-$AL175)/10),0)</f>
        <v>9612.8694166666664</v>
      </c>
      <c r="EU175" s="320">
        <f t="shared" si="305"/>
        <v>-763.59999999999991</v>
      </c>
      <c r="EV175" s="320">
        <f t="shared" si="306"/>
        <v>-2929.54025</v>
      </c>
      <c r="EW175" s="321"/>
      <c r="EX175" s="321"/>
      <c r="EY175" s="321"/>
      <c r="EZ175" s="320">
        <f t="shared" si="307"/>
        <v>212571.45577467562</v>
      </c>
      <c r="FA175" s="286">
        <f t="shared" si="308"/>
        <v>206651.72660800896</v>
      </c>
      <c r="FB175" s="286"/>
      <c r="FC175" s="286"/>
      <c r="FD175" s="287">
        <f>_xlfn.IFNA((VLOOKUP($A175,HN!$A:$M,8,FALSE)/12),0)</f>
        <v>0</v>
      </c>
      <c r="FE175" s="287">
        <f>_xlfn.IFNA((VLOOKUP($A175,HN!$A:$M,12,FALSE)/12),0)</f>
        <v>0</v>
      </c>
      <c r="FF175" s="287">
        <f>_xlfn.IFNA((VLOOKUP($A175,HN!$A:$M,9,FALSE)/12),0)</f>
        <v>0</v>
      </c>
      <c r="FG175" s="287">
        <f>_xlfn.IFNA((VLOOKUP($A175,'Post 16'!$A:$AG,33,FALSE)/8),0)</f>
        <v>0</v>
      </c>
      <c r="FH175" s="287"/>
      <c r="FI175" s="287">
        <f>_xlfn.IFNA(((VLOOKUP($A175,HN!$A:$M,10,FALSE)-$U175-$AK175)/10),0)</f>
        <v>0</v>
      </c>
      <c r="FJ175" s="287">
        <f>_xlfn.IFNA(((VLOOKUP($A175,HN!$A:$M,13,FALSE)-$V175-$AL175)/10),0)</f>
        <v>9612.8694166666664</v>
      </c>
      <c r="FK175" s="286">
        <f t="shared" si="309"/>
        <v>-763.59999999999991</v>
      </c>
      <c r="FL175" s="286">
        <f t="shared" si="310"/>
        <v>-2929.54025</v>
      </c>
      <c r="FM175" s="287"/>
      <c r="FN175" s="287"/>
      <c r="FO175" s="287"/>
      <c r="FP175" s="286">
        <f t="shared" si="311"/>
        <v>212571.45577467562</v>
      </c>
      <c r="FQ175" s="293">
        <f t="shared" si="312"/>
        <v>206651.72660800896</v>
      </c>
      <c r="FR175" s="293"/>
      <c r="FS175" s="293"/>
      <c r="FT175" s="294">
        <f>_xlfn.IFNA((VLOOKUP($A175,HN!$A:$M,8,FALSE)/12),0)</f>
        <v>0</v>
      </c>
      <c r="FU175" s="294">
        <f>_xlfn.IFNA((VLOOKUP($A175,HN!$A:$M,12,FALSE)/12),0)</f>
        <v>0</v>
      </c>
      <c r="FV175" s="294">
        <f>_xlfn.IFNA((VLOOKUP($A175,HN!$A:$M,9,FALSE)/12),0)</f>
        <v>0</v>
      </c>
      <c r="FW175" s="294">
        <f>_xlfn.IFNA((VLOOKUP($A175,'Post 16'!$A:$AG,33,FALSE)/8),0)</f>
        <v>0</v>
      </c>
      <c r="FX175" s="294"/>
      <c r="FY175" s="294">
        <f>_xlfn.IFNA(((VLOOKUP($A175,HN!$A:$M,10,FALSE)-$U175-$AK175)/10),0)</f>
        <v>0</v>
      </c>
      <c r="FZ175" s="294">
        <f>_xlfn.IFNA(((VLOOKUP($A175,HN!$A:$M,13,FALSE)-$V175-$AL175)/10),0)</f>
        <v>9612.8694166666664</v>
      </c>
      <c r="GA175" s="293">
        <f t="shared" si="313"/>
        <v>-763.59999999999991</v>
      </c>
      <c r="GB175" s="293">
        <f t="shared" si="314"/>
        <v>-2929.54025</v>
      </c>
      <c r="GC175" s="294"/>
      <c r="GD175" s="294"/>
      <c r="GE175" s="294"/>
      <c r="GF175" s="293">
        <f t="shared" si="315"/>
        <v>212571.45577467562</v>
      </c>
      <c r="GG175" s="300">
        <f t="shared" si="316"/>
        <v>206651.72660800896</v>
      </c>
      <c r="GH175" s="300"/>
      <c r="GI175" s="300"/>
      <c r="GJ175" s="301">
        <f>_xlfn.IFNA((VLOOKUP($A175,HN!$A:$M,8,FALSE)/12),0)</f>
        <v>0</v>
      </c>
      <c r="GK175" s="301">
        <f>_xlfn.IFNA((VLOOKUP($A175,HN!$A:$M,12,FALSE)/12),0)</f>
        <v>0</v>
      </c>
      <c r="GL175" s="301">
        <f>_xlfn.IFNA((VLOOKUP($A175,HN!$A:$M,9,FALSE)/12),0)</f>
        <v>0</v>
      </c>
      <c r="GM175" s="301">
        <f>_xlfn.IFNA((VLOOKUP($A175,'Post 16'!$A:$AG,33,FALSE)/8),0)</f>
        <v>0</v>
      </c>
      <c r="GN175" s="301"/>
      <c r="GO175" s="301">
        <f>_xlfn.IFNA(((VLOOKUP($A175,HN!$A:$M,10,FALSE)-$U175-$AK175)/10),0)</f>
        <v>0</v>
      </c>
      <c r="GP175" s="301">
        <f>_xlfn.IFNA(((VLOOKUP($A175,HN!$A:$M,13,FALSE)-$V175-$AL175)/10),0)</f>
        <v>9612.8694166666664</v>
      </c>
      <c r="GQ175" s="300">
        <f t="shared" si="317"/>
        <v>-763.59999999999991</v>
      </c>
      <c r="GR175" s="300">
        <f t="shared" si="318"/>
        <v>-2929.54025</v>
      </c>
      <c r="GS175" s="301"/>
      <c r="GT175" s="301"/>
      <c r="GU175" s="301"/>
      <c r="GV175" s="300">
        <f t="shared" si="319"/>
        <v>212571.45577467562</v>
      </c>
      <c r="GX175" s="146">
        <f t="shared" si="320"/>
        <v>2568121.4199055266</v>
      </c>
      <c r="GY175" s="146">
        <f t="shared" si="320"/>
        <v>0</v>
      </c>
      <c r="GZ175" s="146">
        <f t="shared" si="320"/>
        <v>132900</v>
      </c>
      <c r="HA175" s="146">
        <f t="shared" si="320"/>
        <v>-9163.2000000000007</v>
      </c>
      <c r="HB175" s="146">
        <f t="shared" si="320"/>
        <v>-35154.482999999993</v>
      </c>
      <c r="HC175" s="146">
        <f t="shared" si="320"/>
        <v>0</v>
      </c>
      <c r="HE175" s="146">
        <f t="shared" si="321"/>
        <v>674791.96464397141</v>
      </c>
      <c r="HF175" s="146">
        <f t="shared" si="321"/>
        <v>0</v>
      </c>
      <c r="HG175" s="146">
        <f t="shared" si="321"/>
        <v>46384.17525</v>
      </c>
      <c r="HH175" s="146">
        <f t="shared" si="321"/>
        <v>-2290.7999999999997</v>
      </c>
      <c r="HI175" s="146">
        <f t="shared" si="321"/>
        <v>-8788.62075</v>
      </c>
      <c r="HJ175" s="146">
        <f t="shared" si="321"/>
        <v>0</v>
      </c>
      <c r="HL175" s="146"/>
      <c r="HM175" s="57"/>
    </row>
    <row r="176" spans="1:221">
      <c r="A176" s="185">
        <v>2245</v>
      </c>
      <c r="B176" s="185">
        <v>103295</v>
      </c>
      <c r="C176" s="185" t="s">
        <v>379</v>
      </c>
      <c r="D176" s="2" t="s">
        <v>380</v>
      </c>
      <c r="E176" s="190" t="s">
        <v>39</v>
      </c>
      <c r="F176" s="190" t="s">
        <v>890</v>
      </c>
      <c r="H176" s="271">
        <f>_xlfn.IFNA(VLOOKUP($A176,ISB!$A$4:$BY$441,67,FALSE),0)</f>
        <v>1446676.580786244</v>
      </c>
      <c r="I176" s="271">
        <f>_xlfn.IFNA(VLOOKUP($A176,ISB!$A$4:$BY$441,72,FALSE),0)</f>
        <v>-4755.8999999999996</v>
      </c>
      <c r="J176" s="271">
        <f>-_xlfn.IFNA(VLOOKUP($A176,ISB!$A$4:$BY$441,76,FALSE),0)</f>
        <v>-24886.3151</v>
      </c>
      <c r="K176" s="271">
        <f>_xlfn.IFNA(VLOOKUP($A176,ISB!$A$4:$BY$441,77,FALSE),0)</f>
        <v>1417034.3656862441</v>
      </c>
      <c r="M176" s="279">
        <f t="shared" si="272"/>
        <v>120556.381732187</v>
      </c>
      <c r="N176" s="279"/>
      <c r="O176" s="279">
        <f>_xlfn.IFNA(VLOOKUP($A176,EY!$A:$H,8,FALSE)+(VLOOKUP($A176,EY!$A:$R,18,FALSE)-$T176),0)</f>
        <v>27949.064000000002</v>
      </c>
      <c r="P176" s="280">
        <f>_xlfn.IFNA((VLOOKUP($A176,HN!$A:$M,8,FALSE)/12),0)</f>
        <v>0</v>
      </c>
      <c r="Q176" s="280">
        <f>_xlfn.IFNA((VLOOKUP($A176,HN!$A:$M,12,FALSE)/12),0)</f>
        <v>6666.666666666667</v>
      </c>
      <c r="R176" s="280">
        <f>_xlfn.IFNA((VLOOKUP($A176,HN!$A:$M,9,FALSE)/12),0)</f>
        <v>0</v>
      </c>
      <c r="S176" s="280">
        <f>_xlfn.IFNA((VLOOKUP($A176,'Post 16'!$A:$AR,22,FALSE)/4),0)</f>
        <v>0</v>
      </c>
      <c r="T176" s="280">
        <f>_xlfn.IFNA((VLOOKUP($A176,EY!$A:$R,16,FALSE)*80%),0)</f>
        <v>0</v>
      </c>
      <c r="U176" s="280">
        <v>0</v>
      </c>
      <c r="V176" s="280">
        <v>16827.483333333334</v>
      </c>
      <c r="W176" s="279">
        <f t="shared" si="273"/>
        <v>-396.32499999999999</v>
      </c>
      <c r="X176" s="279">
        <f t="shared" si="274"/>
        <v>-2073.8595916666668</v>
      </c>
      <c r="Y176" s="280"/>
      <c r="Z176" s="280"/>
      <c r="AA176" s="280"/>
      <c r="AB176" s="279">
        <f t="shared" si="275"/>
        <v>169529.41114052033</v>
      </c>
      <c r="AC176" s="293">
        <f t="shared" si="276"/>
        <v>120556.381732187</v>
      </c>
      <c r="AD176" s="293"/>
      <c r="AE176" s="293"/>
      <c r="AF176" s="294">
        <f>_xlfn.IFNA((VLOOKUP($A176,HN!$A:$M,8,FALSE)/12),0)</f>
        <v>0</v>
      </c>
      <c r="AG176" s="294">
        <f>_xlfn.IFNA((VLOOKUP($A176,HN!$A:$M,12,FALSE)/12),0)+_xlfn.IFNA(VLOOKUP($A176,HN!$A:$Q,17,FALSE),0)</f>
        <v>6666.666666666667</v>
      </c>
      <c r="AH176" s="294">
        <f>_xlfn.IFNA((VLOOKUP($A176,HN!$A:$M,9,FALSE)/12),0)</f>
        <v>0</v>
      </c>
      <c r="AI176" s="294">
        <f>_xlfn.IFNA((VLOOKUP($A176,'Post 16'!$A:$AR,22,FALSE)/4),0)</f>
        <v>0</v>
      </c>
      <c r="AJ176" s="294"/>
      <c r="AK176" s="294">
        <f>_xlfn.IFNA((VLOOKUP($A176,HN!$A:$M,10,FALSE)/12),0)</f>
        <v>0</v>
      </c>
      <c r="AL176" s="294">
        <f>_xlfn.IFNA((VLOOKUP($A176,HN!$A:$M,13,FALSE)/12),0)</f>
        <v>13138.566666666666</v>
      </c>
      <c r="AM176" s="293">
        <f t="shared" si="277"/>
        <v>-396.32499999999999</v>
      </c>
      <c r="AN176" s="293">
        <f t="shared" si="278"/>
        <v>-2073.8595916666668</v>
      </c>
      <c r="AO176" s="294"/>
      <c r="AP176" s="294"/>
      <c r="AQ176" s="294"/>
      <c r="AR176" s="293">
        <f t="shared" si="279"/>
        <v>137891.43047385366</v>
      </c>
      <c r="AS176" s="286">
        <f t="shared" si="280"/>
        <v>120556.381732187</v>
      </c>
      <c r="AT176" s="286"/>
      <c r="AU176" s="286">
        <f>_xlfn.IFNA(VLOOKUP(A176,EY!A:AO,40,FALSE),0)</f>
        <v>3205.7423268698076</v>
      </c>
      <c r="AV176" s="287">
        <f>_xlfn.IFNA((VLOOKUP($A176,HN!$A:$M,8,FALSE)/12),0)</f>
        <v>0</v>
      </c>
      <c r="AW176" s="287">
        <f>_xlfn.IFNA((VLOOKUP($A176,HN!$A:$M,12,FALSE)/12),0)+_xlfn.IFNA(VLOOKUP($A176,HN!$A$8:$AU$200,19,FALSE),0)</f>
        <v>6666.666666666667</v>
      </c>
      <c r="AX176" s="287">
        <f>_xlfn.IFNA((VLOOKUP($A176,HN!$A:$M,9,FALSE)/12),0)</f>
        <v>0</v>
      </c>
      <c r="AY176" s="287">
        <f>_xlfn.IFNA((VLOOKUP($A176,'Post 16'!$A:$AR,22,FALSE)/4),0)</f>
        <v>0</v>
      </c>
      <c r="AZ176" s="287">
        <f>_xlfn.IFNA(VLOOKUP(A176,EY!A:AO,41,FALSE),0)</f>
        <v>0</v>
      </c>
      <c r="BA176" s="287">
        <f>_xlfn.IFNA(((VLOOKUP($A176,HN!$A:$M,10,FALSE)-$U176-$AK176)/10),0)+_xlfn.IFNA(VLOOKUP($A176,HN!$A:$R,18,FALSE),0)</f>
        <v>0</v>
      </c>
      <c r="BB176" s="287">
        <f>_xlfn.IFNA(((VLOOKUP($A176,HN!$A:$M,13,FALSE)-$V176-$AL176)/10),0)+_xlfn.IFNA(VLOOKUP($A176,HN!$A$8:$AU$200,20,FALSE),0)</f>
        <v>12769.674999999999</v>
      </c>
      <c r="BC176" s="286">
        <f t="shared" si="281"/>
        <v>-396.32499999999999</v>
      </c>
      <c r="BD176" s="286">
        <f t="shared" si="282"/>
        <v>-2073.8595916666668</v>
      </c>
      <c r="BE176" s="287"/>
      <c r="BF176" s="287"/>
      <c r="BG176" s="287"/>
      <c r="BH176" s="286">
        <f t="shared" si="283"/>
        <v>140728.2811340568</v>
      </c>
      <c r="BI176" s="307">
        <f t="shared" si="284"/>
        <v>120556.381732187</v>
      </c>
      <c r="BJ176" s="307">
        <f>_xlfn.IFNA(VLOOKUP(A176,'LA Deductions'!A:AH,34,FALSE),0)</f>
        <v>-2800</v>
      </c>
      <c r="BK176" s="307"/>
      <c r="BL176" s="308">
        <f>_xlfn.IFNA((VLOOKUP($A176,HN!$A:$M,8,FALSE)/12),0)</f>
        <v>0</v>
      </c>
      <c r="BM176" s="308">
        <f>_xlfn.IFNA((VLOOKUP($A176,HN!$A:$M,12,FALSE)/12),0)</f>
        <v>6666.666666666667</v>
      </c>
      <c r="BN176" s="308">
        <f>_xlfn.IFNA((VLOOKUP($A176,HN!$A:$M,9,FALSE)/12),0)</f>
        <v>0</v>
      </c>
      <c r="BO176" s="308">
        <f>_xlfn.IFNA((VLOOKUP($A176,'Post 16'!$A:$AR,22,FALSE)/4),0)</f>
        <v>0</v>
      </c>
      <c r="BP176" s="308"/>
      <c r="BQ176" s="308">
        <f>_xlfn.IFNA(((VLOOKUP($A176,HN!$A:$M,10,FALSE)-$U176-$AK176)/10),0)</f>
        <v>0</v>
      </c>
      <c r="BR176" s="308">
        <f>_xlfn.IFNA(((VLOOKUP($A176,HN!$A:$M,13,FALSE)-$V176-$AL176)/10),0)</f>
        <v>12769.674999999999</v>
      </c>
      <c r="BS176" s="307">
        <f t="shared" si="285"/>
        <v>-396.32499999999999</v>
      </c>
      <c r="BT176" s="307">
        <f t="shared" si="286"/>
        <v>-2073.8595916666668</v>
      </c>
      <c r="BU176" s="308"/>
      <c r="BV176" s="308"/>
      <c r="BW176" s="308"/>
      <c r="BX176" s="307">
        <f t="shared" si="287"/>
        <v>134722.538807187</v>
      </c>
      <c r="BY176" s="300">
        <f t="shared" si="288"/>
        <v>120556.381732187</v>
      </c>
      <c r="BZ176" s="300"/>
      <c r="CA176" s="300"/>
      <c r="CB176" s="301">
        <f>_xlfn.IFNA((VLOOKUP($A176,HN!$A:$M,8,FALSE)/12),0)</f>
        <v>0</v>
      </c>
      <c r="CC176" s="301">
        <f>_xlfn.IFNA((VLOOKUP($A176,HN!$A:$M,12,FALSE)/12),0)</f>
        <v>6666.666666666667</v>
      </c>
      <c r="CD176" s="301">
        <f>_xlfn.IFNA((VLOOKUP($A176,HN!$A:$M,9,FALSE)/12),0)</f>
        <v>0</v>
      </c>
      <c r="CE176" s="301">
        <f>_xlfn.IFNA((VLOOKUP($A176,'Post 16'!$A:$AG,33,FALSE)/8),0)</f>
        <v>0</v>
      </c>
      <c r="CF176" s="301"/>
      <c r="CG176" s="301">
        <f>_xlfn.IFNA(((VLOOKUP($A176,HN!$A:$M,10,FALSE)-$U176-$AK176)/10),0)</f>
        <v>0</v>
      </c>
      <c r="CH176" s="301">
        <f>_xlfn.IFNA(((VLOOKUP($A176,HN!$A:$M,13,FALSE)-$V176-$AL176)/10),0)</f>
        <v>12769.674999999999</v>
      </c>
      <c r="CI176" s="300">
        <f t="shared" si="289"/>
        <v>-396.32499999999999</v>
      </c>
      <c r="CJ176" s="300">
        <f t="shared" si="290"/>
        <v>-2073.8595916666668</v>
      </c>
      <c r="CK176" s="301"/>
      <c r="CL176" s="301"/>
      <c r="CM176" s="301"/>
      <c r="CN176" s="300">
        <f t="shared" si="291"/>
        <v>137522.538807187</v>
      </c>
      <c r="CO176" s="332">
        <f t="shared" si="292"/>
        <v>120556.381732187</v>
      </c>
      <c r="CP176" s="332"/>
      <c r="CQ176" s="332">
        <f>_xlfn.IFNA((VLOOKUP($A176,EY!$A:$AB,28,FALSE)-$CV176),0)</f>
        <v>26670.904000000006</v>
      </c>
      <c r="CR176" s="333">
        <f>_xlfn.IFNA((VLOOKUP($A176,HN!$A:$M,8,FALSE)/12),0)</f>
        <v>0</v>
      </c>
      <c r="CS176" s="333">
        <f>_xlfn.IFNA((VLOOKUP($A176,HN!$A:$M,12,FALSE)/12),0)</f>
        <v>6666.666666666667</v>
      </c>
      <c r="CT176" s="333">
        <f>_xlfn.IFNA((VLOOKUP($A176,HN!$A:$M,9,FALSE)/12),0)</f>
        <v>0</v>
      </c>
      <c r="CU176" s="333">
        <f>_xlfn.IFNA((VLOOKUP($A176,'Post 16'!$A:$AG,33,FALSE)/8),0)</f>
        <v>0</v>
      </c>
      <c r="CV176" s="333">
        <f>_xlfn.IFNA((VLOOKUP($A176,EY!$A:$AB,26,FALSE)*80%),0)</f>
        <v>0</v>
      </c>
      <c r="CW176" s="333">
        <f>_xlfn.IFNA(((VLOOKUP($A176,HN!$A:$M,10,FALSE)-$U176-$AK176)/10),0)</f>
        <v>0</v>
      </c>
      <c r="CX176" s="333">
        <f>_xlfn.IFNA(((VLOOKUP($A176,HN!$A:$M,13,FALSE)-$V176-$AL176)/10),0)</f>
        <v>12769.674999999999</v>
      </c>
      <c r="CY176" s="332">
        <f t="shared" si="293"/>
        <v>-396.32499999999999</v>
      </c>
      <c r="CZ176" s="332">
        <f t="shared" si="294"/>
        <v>-2073.8595916666668</v>
      </c>
      <c r="DA176" s="333"/>
      <c r="DB176" s="333"/>
      <c r="DC176" s="333"/>
      <c r="DD176" s="332">
        <f t="shared" si="295"/>
        <v>164193.44280718698</v>
      </c>
      <c r="DE176" s="314">
        <f t="shared" si="296"/>
        <v>120556.381732187</v>
      </c>
      <c r="DF176" s="314"/>
      <c r="DG176" s="314"/>
      <c r="DH176" s="315">
        <f>_xlfn.IFNA((VLOOKUP($A176,HN!$A:$M,8,FALSE)/12),0)</f>
        <v>0</v>
      </c>
      <c r="DI176" s="315">
        <f>_xlfn.IFNA((VLOOKUP($A176,HN!$A:$M,12,FALSE)/12),0)</f>
        <v>6666.666666666667</v>
      </c>
      <c r="DJ176" s="315">
        <f>_xlfn.IFNA((VLOOKUP($A176,HN!$A:$M,9,FALSE)/12),0)</f>
        <v>0</v>
      </c>
      <c r="DK176" s="315">
        <f>_xlfn.IFNA((VLOOKUP($A176,'Post 16'!$A:$AG,33,FALSE)/8),0)</f>
        <v>0</v>
      </c>
      <c r="DL176" s="315"/>
      <c r="DM176" s="315">
        <f>_xlfn.IFNA(((VLOOKUP($A176,HN!$A:$M,10,FALSE)-$U176-$AK176)/10),0)</f>
        <v>0</v>
      </c>
      <c r="DN176" s="315">
        <f>_xlfn.IFNA(((VLOOKUP($A176,HN!$A:$M,13,FALSE)-$V176-$AL176)/10),0)</f>
        <v>12769.674999999999</v>
      </c>
      <c r="DO176" s="314">
        <f t="shared" si="297"/>
        <v>-396.32499999999999</v>
      </c>
      <c r="DP176" s="314">
        <f t="shared" si="298"/>
        <v>-2073.8595916666668</v>
      </c>
      <c r="DQ176" s="315"/>
      <c r="DR176" s="315"/>
      <c r="DS176" s="315"/>
      <c r="DT176" s="314">
        <f t="shared" si="299"/>
        <v>137522.538807187</v>
      </c>
      <c r="DU176" s="307">
        <f t="shared" si="300"/>
        <v>120556.381732187</v>
      </c>
      <c r="DV176" s="307"/>
      <c r="DW176" s="307"/>
      <c r="DX176" s="308">
        <f>_xlfn.IFNA((VLOOKUP($A176,HN!$A:$M,8,FALSE)/12),0)</f>
        <v>0</v>
      </c>
      <c r="DY176" s="308">
        <f>_xlfn.IFNA((VLOOKUP($A176,HN!$A:$M,12,FALSE)/12),0)</f>
        <v>6666.666666666667</v>
      </c>
      <c r="DZ176" s="308">
        <f>_xlfn.IFNA((VLOOKUP($A176,HN!$A:$M,9,FALSE)/12),0)</f>
        <v>0</v>
      </c>
      <c r="EA176" s="308">
        <f>_xlfn.IFNA((VLOOKUP($A176,'Post 16'!$A:$AG,33,FALSE)/8),0)</f>
        <v>0</v>
      </c>
      <c r="EB176" s="308"/>
      <c r="EC176" s="308">
        <f>_xlfn.IFNA(((VLOOKUP($A176,HN!$A:$M,10,FALSE)-$U176-$AK176)/10),0)</f>
        <v>0</v>
      </c>
      <c r="ED176" s="308">
        <f>_xlfn.IFNA(((VLOOKUP($A176,HN!$A:$M,13,FALSE)-$V176-$AL176)/10),0)</f>
        <v>12769.674999999999</v>
      </c>
      <c r="EE176" s="307">
        <f t="shared" si="301"/>
        <v>-396.32499999999999</v>
      </c>
      <c r="EF176" s="307">
        <f t="shared" si="302"/>
        <v>-2073.8595916666668</v>
      </c>
      <c r="EG176" s="308"/>
      <c r="EH176" s="308"/>
      <c r="EI176" s="308"/>
      <c r="EJ176" s="307">
        <f t="shared" si="303"/>
        <v>137522.538807187</v>
      </c>
      <c r="EK176" s="320">
        <f t="shared" si="304"/>
        <v>120556.381732187</v>
      </c>
      <c r="EL176" s="320"/>
      <c r="EM176" s="320"/>
      <c r="EN176" s="321">
        <f>_xlfn.IFNA((VLOOKUP($A176,HN!$A:$M,8,FALSE)/12),0)</f>
        <v>0</v>
      </c>
      <c r="EO176" s="321">
        <f>_xlfn.IFNA((VLOOKUP($A176,HN!$A:$M,12,FALSE)/12),0)</f>
        <v>6666.666666666667</v>
      </c>
      <c r="EP176" s="321">
        <f>_xlfn.IFNA((VLOOKUP($A176,HN!$A:$M,9,FALSE)/12),0)</f>
        <v>0</v>
      </c>
      <c r="EQ176" s="321">
        <f>_xlfn.IFNA((VLOOKUP($A176,'Post 16'!$A:$AG,33,FALSE)/8),0)</f>
        <v>0</v>
      </c>
      <c r="ER176" s="321"/>
      <c r="ES176" s="321">
        <f>_xlfn.IFNA(((VLOOKUP($A176,HN!$A:$M,10,FALSE)-$U176-$AK176)/10),0)</f>
        <v>0</v>
      </c>
      <c r="ET176" s="321">
        <f>_xlfn.IFNA(((VLOOKUP($A176,HN!$A:$M,13,FALSE)-$V176-$AL176)/10),0)</f>
        <v>12769.674999999999</v>
      </c>
      <c r="EU176" s="320">
        <f t="shared" si="305"/>
        <v>-396.32499999999999</v>
      </c>
      <c r="EV176" s="320">
        <f t="shared" si="306"/>
        <v>-2073.8595916666668</v>
      </c>
      <c r="EW176" s="321"/>
      <c r="EX176" s="321"/>
      <c r="EY176" s="321"/>
      <c r="EZ176" s="320">
        <f t="shared" si="307"/>
        <v>137522.538807187</v>
      </c>
      <c r="FA176" s="286">
        <f t="shared" si="308"/>
        <v>120556.381732187</v>
      </c>
      <c r="FB176" s="286"/>
      <c r="FC176" s="286"/>
      <c r="FD176" s="287">
        <f>_xlfn.IFNA((VLOOKUP($A176,HN!$A:$M,8,FALSE)/12),0)</f>
        <v>0</v>
      </c>
      <c r="FE176" s="287">
        <f>_xlfn.IFNA((VLOOKUP($A176,HN!$A:$M,12,FALSE)/12),0)</f>
        <v>6666.666666666667</v>
      </c>
      <c r="FF176" s="287">
        <f>_xlfn.IFNA((VLOOKUP($A176,HN!$A:$M,9,FALSE)/12),0)</f>
        <v>0</v>
      </c>
      <c r="FG176" s="287">
        <f>_xlfn.IFNA((VLOOKUP($A176,'Post 16'!$A:$AG,33,FALSE)/8),0)</f>
        <v>0</v>
      </c>
      <c r="FH176" s="287"/>
      <c r="FI176" s="287">
        <f>_xlfn.IFNA(((VLOOKUP($A176,HN!$A:$M,10,FALSE)-$U176-$AK176)/10),0)</f>
        <v>0</v>
      </c>
      <c r="FJ176" s="287">
        <f>_xlfn.IFNA(((VLOOKUP($A176,HN!$A:$M,13,FALSE)-$V176-$AL176)/10),0)</f>
        <v>12769.674999999999</v>
      </c>
      <c r="FK176" s="286">
        <f t="shared" si="309"/>
        <v>-396.32499999999999</v>
      </c>
      <c r="FL176" s="286">
        <f t="shared" si="310"/>
        <v>-2073.8595916666668</v>
      </c>
      <c r="FM176" s="287"/>
      <c r="FN176" s="287"/>
      <c r="FO176" s="287"/>
      <c r="FP176" s="286">
        <f t="shared" si="311"/>
        <v>137522.538807187</v>
      </c>
      <c r="FQ176" s="293">
        <f t="shared" si="312"/>
        <v>120556.381732187</v>
      </c>
      <c r="FR176" s="293"/>
      <c r="FS176" s="293"/>
      <c r="FT176" s="294">
        <f>_xlfn.IFNA((VLOOKUP($A176,HN!$A:$M,8,FALSE)/12),0)</f>
        <v>0</v>
      </c>
      <c r="FU176" s="294">
        <f>_xlfn.IFNA((VLOOKUP($A176,HN!$A:$M,12,FALSE)/12),0)</f>
        <v>6666.666666666667</v>
      </c>
      <c r="FV176" s="294">
        <f>_xlfn.IFNA((VLOOKUP($A176,HN!$A:$M,9,FALSE)/12),0)</f>
        <v>0</v>
      </c>
      <c r="FW176" s="294">
        <f>_xlfn.IFNA((VLOOKUP($A176,'Post 16'!$A:$AG,33,FALSE)/8),0)</f>
        <v>0</v>
      </c>
      <c r="FX176" s="294"/>
      <c r="FY176" s="294">
        <f>_xlfn.IFNA(((VLOOKUP($A176,HN!$A:$M,10,FALSE)-$U176-$AK176)/10),0)</f>
        <v>0</v>
      </c>
      <c r="FZ176" s="294">
        <f>_xlfn.IFNA(((VLOOKUP($A176,HN!$A:$M,13,FALSE)-$V176-$AL176)/10),0)</f>
        <v>12769.674999999999</v>
      </c>
      <c r="GA176" s="293">
        <f t="shared" si="313"/>
        <v>-396.32499999999999</v>
      </c>
      <c r="GB176" s="293">
        <f t="shared" si="314"/>
        <v>-2073.8595916666668</v>
      </c>
      <c r="GC176" s="294"/>
      <c r="GD176" s="294"/>
      <c r="GE176" s="294"/>
      <c r="GF176" s="293">
        <f t="shared" si="315"/>
        <v>137522.538807187</v>
      </c>
      <c r="GG176" s="300">
        <f t="shared" si="316"/>
        <v>120556.381732187</v>
      </c>
      <c r="GH176" s="300"/>
      <c r="GI176" s="300"/>
      <c r="GJ176" s="301">
        <f>_xlfn.IFNA((VLOOKUP($A176,HN!$A:$M,8,FALSE)/12),0)</f>
        <v>0</v>
      </c>
      <c r="GK176" s="301">
        <f>_xlfn.IFNA((VLOOKUP($A176,HN!$A:$M,12,FALSE)/12),0)</f>
        <v>6666.666666666667</v>
      </c>
      <c r="GL176" s="301">
        <f>_xlfn.IFNA((VLOOKUP($A176,HN!$A:$M,9,FALSE)/12),0)</f>
        <v>0</v>
      </c>
      <c r="GM176" s="301">
        <f>_xlfn.IFNA((VLOOKUP($A176,'Post 16'!$A:$AG,33,FALSE)/8),0)</f>
        <v>0</v>
      </c>
      <c r="GN176" s="301"/>
      <c r="GO176" s="301">
        <f>_xlfn.IFNA(((VLOOKUP($A176,HN!$A:$M,10,FALSE)-$U176-$AK176)/10),0)</f>
        <v>0</v>
      </c>
      <c r="GP176" s="301">
        <f>_xlfn.IFNA(((VLOOKUP($A176,HN!$A:$M,13,FALSE)-$V176-$AL176)/10),0)</f>
        <v>12769.674999999999</v>
      </c>
      <c r="GQ176" s="300">
        <f t="shared" si="317"/>
        <v>-396.32499999999999</v>
      </c>
      <c r="GR176" s="300">
        <f t="shared" si="318"/>
        <v>-2073.8595916666668</v>
      </c>
      <c r="GS176" s="301"/>
      <c r="GT176" s="301"/>
      <c r="GU176" s="301"/>
      <c r="GV176" s="300">
        <f t="shared" si="319"/>
        <v>137522.538807187</v>
      </c>
      <c r="GX176" s="146">
        <f t="shared" ref="GX176:HC185" si="322">SUMIFS($M176:$GV176,$M$7:$GV$7,GX$7)</f>
        <v>1581702.2911131142</v>
      </c>
      <c r="GY176" s="146">
        <f t="shared" si="322"/>
        <v>0</v>
      </c>
      <c r="GZ176" s="146">
        <f t="shared" si="322"/>
        <v>157662.79999999999</v>
      </c>
      <c r="HA176" s="146">
        <f t="shared" si="322"/>
        <v>-4755.8999999999987</v>
      </c>
      <c r="HB176" s="146">
        <f t="shared" si="322"/>
        <v>-24886.315100000003</v>
      </c>
      <c r="HC176" s="146">
        <f t="shared" si="322"/>
        <v>0</v>
      </c>
      <c r="HE176" s="146">
        <f t="shared" ref="HE176:HJ185" si="323">SUMIFS($M176:$GV176,$M$7:$GV$7,HE$7,$M$4:$GV$4,$HE$6)</f>
        <v>412823.95152343082</v>
      </c>
      <c r="HF176" s="146">
        <f t="shared" si="323"/>
        <v>0</v>
      </c>
      <c r="HG176" s="146">
        <f t="shared" si="323"/>
        <v>42735.724999999999</v>
      </c>
      <c r="HH176" s="146">
        <f t="shared" si="323"/>
        <v>-1188.9749999999999</v>
      </c>
      <c r="HI176" s="146">
        <f t="shared" si="323"/>
        <v>-6221.578775</v>
      </c>
      <c r="HJ176" s="146">
        <f t="shared" si="323"/>
        <v>0</v>
      </c>
      <c r="HL176" s="146"/>
      <c r="HM176" s="57"/>
    </row>
    <row r="177" spans="1:221">
      <c r="A177" s="185">
        <v>1020</v>
      </c>
      <c r="B177" s="185">
        <v>103133</v>
      </c>
      <c r="C177" s="185" t="s">
        <v>381</v>
      </c>
      <c r="D177" s="2" t="s">
        <v>382</v>
      </c>
      <c r="E177" s="190" t="s">
        <v>36</v>
      </c>
      <c r="F177" s="190" t="s">
        <v>890</v>
      </c>
      <c r="H177" s="271">
        <f>_xlfn.IFNA(VLOOKUP($A177,ISB!$A$4:$BY$441,67,FALSE),0)</f>
        <v>0</v>
      </c>
      <c r="I177" s="271">
        <f>_xlfn.IFNA(VLOOKUP($A177,ISB!$A$4:$BY$441,72,FALSE),0)</f>
        <v>0</v>
      </c>
      <c r="J177" s="271">
        <f>-_xlfn.IFNA(VLOOKUP($A177,ISB!$A$4:$BY$441,76,FALSE),0)</f>
        <v>0</v>
      </c>
      <c r="K177" s="271">
        <f>_xlfn.IFNA(VLOOKUP($A177,ISB!$A$4:$BY$441,77,FALSE),0)</f>
        <v>0</v>
      </c>
      <c r="M177" s="279">
        <f t="shared" si="272"/>
        <v>0</v>
      </c>
      <c r="N177" s="279"/>
      <c r="O177" s="279">
        <f>_xlfn.IFNA(VLOOKUP($A177,EY!$A:$H,8,FALSE)+(VLOOKUP($A177,EY!$A:$R,18,FALSE)-$T177),0)</f>
        <v>685286.83139543887</v>
      </c>
      <c r="P177" s="280">
        <f>_xlfn.IFNA((VLOOKUP($A177,HN!$A:$M,8,FALSE)/12),0)</f>
        <v>0</v>
      </c>
      <c r="Q177" s="280">
        <f>_xlfn.IFNA((VLOOKUP($A177,HN!$A:$M,12,FALSE)/12),0)</f>
        <v>0</v>
      </c>
      <c r="R177" s="280">
        <f>_xlfn.IFNA((VLOOKUP($A177,HN!$A:$M,9,FALSE)/12),0)</f>
        <v>0</v>
      </c>
      <c r="S177" s="280">
        <f>_xlfn.IFNA((VLOOKUP($A177,'Post 16'!$A:$AR,22,FALSE)/4),0)</f>
        <v>0</v>
      </c>
      <c r="T177" s="280">
        <f>_xlfn.IFNA((VLOOKUP($A177,EY!$A:$R,16,FALSE)*80%),0)</f>
        <v>8580</v>
      </c>
      <c r="U177" s="280">
        <v>13082.083333333334</v>
      </c>
      <c r="V177" s="280">
        <v>0</v>
      </c>
      <c r="W177" s="279">
        <f t="shared" si="273"/>
        <v>0</v>
      </c>
      <c r="X177" s="279">
        <f t="shared" si="274"/>
        <v>0</v>
      </c>
      <c r="Y177" s="280"/>
      <c r="Z177" s="280"/>
      <c r="AA177" s="280"/>
      <c r="AB177" s="279">
        <f t="shared" si="275"/>
        <v>706948.91472877224</v>
      </c>
      <c r="AC177" s="293">
        <f t="shared" si="276"/>
        <v>0</v>
      </c>
      <c r="AD177" s="293"/>
      <c r="AE177" s="293"/>
      <c r="AF177" s="294">
        <f>_xlfn.IFNA((VLOOKUP($A177,HN!$A:$M,8,FALSE)/12),0)</f>
        <v>0</v>
      </c>
      <c r="AG177" s="294">
        <f>_xlfn.IFNA((VLOOKUP($A177,HN!$A:$M,12,FALSE)/12),0)+_xlfn.IFNA(VLOOKUP($A177,HN!$A:$Q,17,FALSE),0)</f>
        <v>0</v>
      </c>
      <c r="AH177" s="294">
        <f>_xlfn.IFNA((VLOOKUP($A177,HN!$A:$M,9,FALSE)/12),0)</f>
        <v>0</v>
      </c>
      <c r="AI177" s="294">
        <f>_xlfn.IFNA((VLOOKUP($A177,'Post 16'!$A:$AR,22,FALSE)/4),0)</f>
        <v>0</v>
      </c>
      <c r="AJ177" s="294"/>
      <c r="AK177" s="294">
        <v>-13082.083333333334</v>
      </c>
      <c r="AL177" s="294">
        <f>_xlfn.IFNA((VLOOKUP($A177,HN!$A:$M,13,FALSE)/12),0)</f>
        <v>0</v>
      </c>
      <c r="AM177" s="293">
        <f t="shared" si="277"/>
        <v>0</v>
      </c>
      <c r="AN177" s="293">
        <f t="shared" si="278"/>
        <v>0</v>
      </c>
      <c r="AO177" s="294"/>
      <c r="AP177" s="294"/>
      <c r="AQ177" s="294"/>
      <c r="AR177" s="293">
        <f t="shared" si="279"/>
        <v>-13082.083333333334</v>
      </c>
      <c r="AS177" s="286">
        <f t="shared" si="280"/>
        <v>0</v>
      </c>
      <c r="AT177" s="286"/>
      <c r="AU177" s="286">
        <f>_xlfn.IFNA(VLOOKUP(A177,EY!A:AO,40,FALSE),0)</f>
        <v>45157.285013850407</v>
      </c>
      <c r="AV177" s="287">
        <f>_xlfn.IFNA((VLOOKUP($A177,HN!$A:$M,8,FALSE)/12),0)</f>
        <v>0</v>
      </c>
      <c r="AW177" s="287">
        <f>_xlfn.IFNA((VLOOKUP($A177,HN!$A:$M,12,FALSE)/12),0)+_xlfn.IFNA(VLOOKUP($A177,HN!$A$8:$AU$200,19,FALSE),0)</f>
        <v>0</v>
      </c>
      <c r="AX177" s="287">
        <f>_xlfn.IFNA((VLOOKUP($A177,HN!$A:$M,9,FALSE)/12),0)</f>
        <v>0</v>
      </c>
      <c r="AY177" s="287">
        <f>_xlfn.IFNA((VLOOKUP($A177,'Post 16'!$A:$AR,22,FALSE)/4),0)</f>
        <v>0</v>
      </c>
      <c r="AZ177" s="287">
        <f>_xlfn.IFNA(VLOOKUP(A177,EY!A:AO,41,FALSE),0)</f>
        <v>6571.1966759002771</v>
      </c>
      <c r="BA177" s="287">
        <f>_xlfn.IFNA(((VLOOKUP($A177,HN!$A:$M,10,FALSE)-$U177-$AK177)/10),0)+_xlfn.IFNA(VLOOKUP($A177,HN!$A:$R,18,FALSE),0)</f>
        <v>0</v>
      </c>
      <c r="BB177" s="287">
        <f>_xlfn.IFNA(((VLOOKUP($A177,HN!$A:$M,13,FALSE)-$V177-$AL177)/10),0)+_xlfn.IFNA(VLOOKUP($A177,HN!$A$8:$AU$200,20,FALSE),0)</f>
        <v>0</v>
      </c>
      <c r="BC177" s="286">
        <f t="shared" si="281"/>
        <v>0</v>
      </c>
      <c r="BD177" s="286">
        <f t="shared" si="282"/>
        <v>0</v>
      </c>
      <c r="BE177" s="287"/>
      <c r="BF177" s="287"/>
      <c r="BG177" s="287"/>
      <c r="BH177" s="286">
        <f t="shared" si="283"/>
        <v>51728.481689750683</v>
      </c>
      <c r="BI177" s="307">
        <f t="shared" si="284"/>
        <v>0</v>
      </c>
      <c r="BJ177" s="307">
        <f>_xlfn.IFNA(VLOOKUP(A177,'LA Deductions'!A:AH,34,FALSE),0)</f>
        <v>0</v>
      </c>
      <c r="BK177" s="307"/>
      <c r="BL177" s="308">
        <f>_xlfn.IFNA((VLOOKUP($A177,HN!$A:$M,8,FALSE)/12),0)</f>
        <v>0</v>
      </c>
      <c r="BM177" s="308">
        <f>_xlfn.IFNA((VLOOKUP($A177,HN!$A:$M,12,FALSE)/12),0)</f>
        <v>0</v>
      </c>
      <c r="BN177" s="308">
        <f>_xlfn.IFNA((VLOOKUP($A177,HN!$A:$M,9,FALSE)/12),0)</f>
        <v>0</v>
      </c>
      <c r="BO177" s="308">
        <f>_xlfn.IFNA((VLOOKUP($A177,'Post 16'!$A:$AR,22,FALSE)/4),0)</f>
        <v>0</v>
      </c>
      <c r="BP177" s="308"/>
      <c r="BQ177" s="308">
        <f>_xlfn.IFNA(((VLOOKUP($A177,HN!$A:$M,10,FALSE)-$U177-$AK177)/10),0)</f>
        <v>0</v>
      </c>
      <c r="BR177" s="308">
        <f>_xlfn.IFNA(((VLOOKUP($A177,HN!$A:$M,13,FALSE)-$V177-$AL177)/10),0)</f>
        <v>0</v>
      </c>
      <c r="BS177" s="307">
        <f t="shared" si="285"/>
        <v>0</v>
      </c>
      <c r="BT177" s="307">
        <f t="shared" si="286"/>
        <v>0</v>
      </c>
      <c r="BU177" s="308"/>
      <c r="BV177" s="308"/>
      <c r="BW177" s="308"/>
      <c r="BX177" s="307">
        <f t="shared" si="287"/>
        <v>0</v>
      </c>
      <c r="BY177" s="300">
        <f t="shared" si="288"/>
        <v>0</v>
      </c>
      <c r="BZ177" s="300"/>
      <c r="CA177" s="300"/>
      <c r="CB177" s="301">
        <f>_xlfn.IFNA((VLOOKUP($A177,HN!$A:$M,8,FALSE)/12),0)</f>
        <v>0</v>
      </c>
      <c r="CC177" s="301">
        <f>_xlfn.IFNA((VLOOKUP($A177,HN!$A:$M,12,FALSE)/12),0)</f>
        <v>0</v>
      </c>
      <c r="CD177" s="301">
        <f>_xlfn.IFNA((VLOOKUP($A177,HN!$A:$M,9,FALSE)/12),0)</f>
        <v>0</v>
      </c>
      <c r="CE177" s="301">
        <f>_xlfn.IFNA((VLOOKUP($A177,'Post 16'!$A:$AG,33,FALSE)/8),0)</f>
        <v>0</v>
      </c>
      <c r="CF177" s="301"/>
      <c r="CG177" s="301">
        <f>_xlfn.IFNA(((VLOOKUP($A177,HN!$A:$M,10,FALSE)-$U177-$AK177)/10),0)</f>
        <v>0</v>
      </c>
      <c r="CH177" s="301">
        <f>_xlfn.IFNA(((VLOOKUP($A177,HN!$A:$M,13,FALSE)-$V177-$AL177)/10),0)</f>
        <v>0</v>
      </c>
      <c r="CI177" s="300">
        <f t="shared" si="289"/>
        <v>0</v>
      </c>
      <c r="CJ177" s="300">
        <f t="shared" si="290"/>
        <v>0</v>
      </c>
      <c r="CK177" s="301"/>
      <c r="CL177" s="301"/>
      <c r="CM177" s="301"/>
      <c r="CN177" s="300">
        <f t="shared" si="291"/>
        <v>0</v>
      </c>
      <c r="CO177" s="332">
        <f t="shared" si="292"/>
        <v>0</v>
      </c>
      <c r="CP177" s="332"/>
      <c r="CQ177" s="332">
        <f>_xlfn.IFNA((VLOOKUP($A177,EY!$A:$AB,28,FALSE)-$CV177),0)</f>
        <v>244054.95326315789</v>
      </c>
      <c r="CR177" s="333">
        <f>_xlfn.IFNA((VLOOKUP($A177,HN!$A:$M,8,FALSE)/12),0)</f>
        <v>0</v>
      </c>
      <c r="CS177" s="333">
        <f>_xlfn.IFNA((VLOOKUP($A177,HN!$A:$M,12,FALSE)/12),0)</f>
        <v>0</v>
      </c>
      <c r="CT177" s="333">
        <f>_xlfn.IFNA((VLOOKUP($A177,HN!$A:$M,9,FALSE)/12),0)</f>
        <v>0</v>
      </c>
      <c r="CU177" s="333">
        <f>_xlfn.IFNA((VLOOKUP($A177,'Post 16'!$A:$AG,33,FALSE)/8),0)</f>
        <v>0</v>
      </c>
      <c r="CV177" s="333">
        <f>_xlfn.IFNA((VLOOKUP($A177,EY!$A:$AB,26,FALSE)*80%),0)</f>
        <v>0</v>
      </c>
      <c r="CW177" s="333">
        <f>_xlfn.IFNA(((VLOOKUP($A177,HN!$A:$M,10,FALSE)-$U177-$AK177)/10),0)</f>
        <v>0</v>
      </c>
      <c r="CX177" s="333">
        <f>_xlfn.IFNA(((VLOOKUP($A177,HN!$A:$M,13,FALSE)-$V177-$AL177)/10),0)</f>
        <v>0</v>
      </c>
      <c r="CY177" s="332">
        <f t="shared" si="293"/>
        <v>0</v>
      </c>
      <c r="CZ177" s="332">
        <f t="shared" si="294"/>
        <v>0</v>
      </c>
      <c r="DA177" s="333"/>
      <c r="DB177" s="333"/>
      <c r="DC177" s="333"/>
      <c r="DD177" s="332">
        <f t="shared" si="295"/>
        <v>244054.95326315789</v>
      </c>
      <c r="DE177" s="314">
        <f t="shared" si="296"/>
        <v>0</v>
      </c>
      <c r="DF177" s="314"/>
      <c r="DG177" s="314"/>
      <c r="DH177" s="315">
        <f>_xlfn.IFNA((VLOOKUP($A177,HN!$A:$M,8,FALSE)/12),0)</f>
        <v>0</v>
      </c>
      <c r="DI177" s="315">
        <f>_xlfn.IFNA((VLOOKUP($A177,HN!$A:$M,12,FALSE)/12),0)</f>
        <v>0</v>
      </c>
      <c r="DJ177" s="315">
        <f>_xlfn.IFNA((VLOOKUP($A177,HN!$A:$M,9,FALSE)/12),0)</f>
        <v>0</v>
      </c>
      <c r="DK177" s="315">
        <f>_xlfn.IFNA((VLOOKUP($A177,'Post 16'!$A:$AG,33,FALSE)/8),0)</f>
        <v>0</v>
      </c>
      <c r="DL177" s="315"/>
      <c r="DM177" s="315">
        <f>_xlfn.IFNA(((VLOOKUP($A177,HN!$A:$M,10,FALSE)-$U177-$AK177)/10),0)</f>
        <v>0</v>
      </c>
      <c r="DN177" s="315">
        <f>_xlfn.IFNA(((VLOOKUP($A177,HN!$A:$M,13,FALSE)-$V177-$AL177)/10),0)</f>
        <v>0</v>
      </c>
      <c r="DO177" s="314">
        <f t="shared" si="297"/>
        <v>0</v>
      </c>
      <c r="DP177" s="314">
        <f t="shared" si="298"/>
        <v>0</v>
      </c>
      <c r="DQ177" s="315"/>
      <c r="DR177" s="315"/>
      <c r="DS177" s="315"/>
      <c r="DT177" s="314">
        <f t="shared" si="299"/>
        <v>0</v>
      </c>
      <c r="DU177" s="307">
        <f t="shared" si="300"/>
        <v>0</v>
      </c>
      <c r="DV177" s="307"/>
      <c r="DW177" s="307"/>
      <c r="DX177" s="308">
        <f>_xlfn.IFNA((VLOOKUP($A177,HN!$A:$M,8,FALSE)/12),0)</f>
        <v>0</v>
      </c>
      <c r="DY177" s="308">
        <f>_xlfn.IFNA((VLOOKUP($A177,HN!$A:$M,12,FALSE)/12),0)</f>
        <v>0</v>
      </c>
      <c r="DZ177" s="308">
        <f>_xlfn.IFNA((VLOOKUP($A177,HN!$A:$M,9,FALSE)/12),0)</f>
        <v>0</v>
      </c>
      <c r="EA177" s="308">
        <f>_xlfn.IFNA((VLOOKUP($A177,'Post 16'!$A:$AG,33,FALSE)/8),0)</f>
        <v>0</v>
      </c>
      <c r="EB177" s="308"/>
      <c r="EC177" s="308">
        <f>_xlfn.IFNA(((VLOOKUP($A177,HN!$A:$M,10,FALSE)-$U177-$AK177)/10),0)</f>
        <v>0</v>
      </c>
      <c r="ED177" s="308">
        <f>_xlfn.IFNA(((VLOOKUP($A177,HN!$A:$M,13,FALSE)-$V177-$AL177)/10),0)</f>
        <v>0</v>
      </c>
      <c r="EE177" s="307">
        <f t="shared" si="301"/>
        <v>0</v>
      </c>
      <c r="EF177" s="307">
        <f t="shared" si="302"/>
        <v>0</v>
      </c>
      <c r="EG177" s="308"/>
      <c r="EH177" s="308"/>
      <c r="EI177" s="308"/>
      <c r="EJ177" s="307">
        <f t="shared" si="303"/>
        <v>0</v>
      </c>
      <c r="EK177" s="320">
        <f t="shared" si="304"/>
        <v>0</v>
      </c>
      <c r="EL177" s="320"/>
      <c r="EM177" s="320"/>
      <c r="EN177" s="321">
        <f>_xlfn.IFNA((VLOOKUP($A177,HN!$A:$M,8,FALSE)/12),0)</f>
        <v>0</v>
      </c>
      <c r="EO177" s="321">
        <f>_xlfn.IFNA((VLOOKUP($A177,HN!$A:$M,12,FALSE)/12),0)</f>
        <v>0</v>
      </c>
      <c r="EP177" s="321">
        <f>_xlfn.IFNA((VLOOKUP($A177,HN!$A:$M,9,FALSE)/12),0)</f>
        <v>0</v>
      </c>
      <c r="EQ177" s="321">
        <f>_xlfn.IFNA((VLOOKUP($A177,'Post 16'!$A:$AG,33,FALSE)/8),0)</f>
        <v>0</v>
      </c>
      <c r="ER177" s="321"/>
      <c r="ES177" s="321">
        <f>_xlfn.IFNA(((VLOOKUP($A177,HN!$A:$M,10,FALSE)-$U177-$AK177)/10),0)</f>
        <v>0</v>
      </c>
      <c r="ET177" s="321">
        <f>_xlfn.IFNA(((VLOOKUP($A177,HN!$A:$M,13,FALSE)-$V177-$AL177)/10),0)</f>
        <v>0</v>
      </c>
      <c r="EU177" s="320">
        <f t="shared" si="305"/>
        <v>0</v>
      </c>
      <c r="EV177" s="320">
        <f t="shared" si="306"/>
        <v>0</v>
      </c>
      <c r="EW177" s="321"/>
      <c r="EX177" s="321"/>
      <c r="EY177" s="321"/>
      <c r="EZ177" s="320">
        <f t="shared" si="307"/>
        <v>0</v>
      </c>
      <c r="FA177" s="286">
        <f t="shared" si="308"/>
        <v>0</v>
      </c>
      <c r="FB177" s="286"/>
      <c r="FC177" s="286"/>
      <c r="FD177" s="287">
        <f>_xlfn.IFNA((VLOOKUP($A177,HN!$A:$M,8,FALSE)/12),0)</f>
        <v>0</v>
      </c>
      <c r="FE177" s="287">
        <f>_xlfn.IFNA((VLOOKUP($A177,HN!$A:$M,12,FALSE)/12),0)</f>
        <v>0</v>
      </c>
      <c r="FF177" s="287">
        <f>_xlfn.IFNA((VLOOKUP($A177,HN!$A:$M,9,FALSE)/12),0)</f>
        <v>0</v>
      </c>
      <c r="FG177" s="287">
        <f>_xlfn.IFNA((VLOOKUP($A177,'Post 16'!$A:$AG,33,FALSE)/8),0)</f>
        <v>0</v>
      </c>
      <c r="FH177" s="287"/>
      <c r="FI177" s="287">
        <f>_xlfn.IFNA(((VLOOKUP($A177,HN!$A:$M,10,FALSE)-$U177-$AK177)/10),0)</f>
        <v>0</v>
      </c>
      <c r="FJ177" s="287">
        <f>_xlfn.IFNA(((VLOOKUP($A177,HN!$A:$M,13,FALSE)-$V177-$AL177)/10),0)</f>
        <v>0</v>
      </c>
      <c r="FK177" s="286">
        <f t="shared" si="309"/>
        <v>0</v>
      </c>
      <c r="FL177" s="286">
        <f t="shared" si="310"/>
        <v>0</v>
      </c>
      <c r="FM177" s="287"/>
      <c r="FN177" s="287"/>
      <c r="FO177" s="287"/>
      <c r="FP177" s="286">
        <f t="shared" si="311"/>
        <v>0</v>
      </c>
      <c r="FQ177" s="293">
        <f t="shared" si="312"/>
        <v>0</v>
      </c>
      <c r="FR177" s="293"/>
      <c r="FS177" s="293"/>
      <c r="FT177" s="294">
        <f>_xlfn.IFNA((VLOOKUP($A177,HN!$A:$M,8,FALSE)/12),0)</f>
        <v>0</v>
      </c>
      <c r="FU177" s="294">
        <f>_xlfn.IFNA((VLOOKUP($A177,HN!$A:$M,12,FALSE)/12),0)</f>
        <v>0</v>
      </c>
      <c r="FV177" s="294">
        <f>_xlfn.IFNA((VLOOKUP($A177,HN!$A:$M,9,FALSE)/12),0)</f>
        <v>0</v>
      </c>
      <c r="FW177" s="294">
        <f>_xlfn.IFNA((VLOOKUP($A177,'Post 16'!$A:$AG,33,FALSE)/8),0)</f>
        <v>0</v>
      </c>
      <c r="FX177" s="294"/>
      <c r="FY177" s="294">
        <f>_xlfn.IFNA(((VLOOKUP($A177,HN!$A:$M,10,FALSE)-$U177-$AK177)/10),0)</f>
        <v>0</v>
      </c>
      <c r="FZ177" s="294">
        <f>_xlfn.IFNA(((VLOOKUP($A177,HN!$A:$M,13,FALSE)-$V177-$AL177)/10),0)</f>
        <v>0</v>
      </c>
      <c r="GA177" s="293">
        <f t="shared" si="313"/>
        <v>0</v>
      </c>
      <c r="GB177" s="293">
        <f t="shared" si="314"/>
        <v>0</v>
      </c>
      <c r="GC177" s="294"/>
      <c r="GD177" s="294"/>
      <c r="GE177" s="294"/>
      <c r="GF177" s="293">
        <f t="shared" si="315"/>
        <v>0</v>
      </c>
      <c r="GG177" s="300">
        <f t="shared" si="316"/>
        <v>0</v>
      </c>
      <c r="GH177" s="300"/>
      <c r="GI177" s="300"/>
      <c r="GJ177" s="301">
        <f>_xlfn.IFNA((VLOOKUP($A177,HN!$A:$M,8,FALSE)/12),0)</f>
        <v>0</v>
      </c>
      <c r="GK177" s="301">
        <f>_xlfn.IFNA((VLOOKUP($A177,HN!$A:$M,12,FALSE)/12),0)</f>
        <v>0</v>
      </c>
      <c r="GL177" s="301">
        <f>_xlfn.IFNA((VLOOKUP($A177,HN!$A:$M,9,FALSE)/12),0)</f>
        <v>0</v>
      </c>
      <c r="GM177" s="301">
        <f>_xlfn.IFNA((VLOOKUP($A177,'Post 16'!$A:$AG,33,FALSE)/8),0)</f>
        <v>0</v>
      </c>
      <c r="GN177" s="301"/>
      <c r="GO177" s="301">
        <f>_xlfn.IFNA(((VLOOKUP($A177,HN!$A:$M,10,FALSE)-$U177-$AK177)/10),0)</f>
        <v>0</v>
      </c>
      <c r="GP177" s="301">
        <f>_xlfn.IFNA(((VLOOKUP($A177,HN!$A:$M,13,FALSE)-$V177-$AL177)/10),0)</f>
        <v>0</v>
      </c>
      <c r="GQ177" s="300">
        <f t="shared" si="317"/>
        <v>0</v>
      </c>
      <c r="GR177" s="300">
        <f t="shared" si="318"/>
        <v>0</v>
      </c>
      <c r="GS177" s="301"/>
      <c r="GT177" s="301"/>
      <c r="GU177" s="301"/>
      <c r="GV177" s="300">
        <f t="shared" si="319"/>
        <v>0</v>
      </c>
      <c r="GX177" s="146">
        <f t="shared" si="322"/>
        <v>974499.06967244716</v>
      </c>
      <c r="GY177" s="146">
        <f t="shared" si="322"/>
        <v>0</v>
      </c>
      <c r="GZ177" s="146">
        <f t="shared" si="322"/>
        <v>15151.196675900279</v>
      </c>
      <c r="HA177" s="146">
        <f t="shared" si="322"/>
        <v>0</v>
      </c>
      <c r="HB177" s="146">
        <f t="shared" si="322"/>
        <v>0</v>
      </c>
      <c r="HC177" s="146">
        <f t="shared" si="322"/>
        <v>0</v>
      </c>
      <c r="HE177" s="146">
        <f t="shared" si="323"/>
        <v>730444.1164092893</v>
      </c>
      <c r="HF177" s="146">
        <f t="shared" si="323"/>
        <v>0</v>
      </c>
      <c r="HG177" s="146">
        <f t="shared" si="323"/>
        <v>15151.196675900279</v>
      </c>
      <c r="HH177" s="146">
        <f t="shared" si="323"/>
        <v>0</v>
      </c>
      <c r="HI177" s="146">
        <f t="shared" si="323"/>
        <v>0</v>
      </c>
      <c r="HJ177" s="146">
        <f t="shared" si="323"/>
        <v>0</v>
      </c>
      <c r="HL177" s="146"/>
      <c r="HM177" s="57"/>
    </row>
    <row r="178" spans="1:221">
      <c r="A178" s="185">
        <v>1014</v>
      </c>
      <c r="B178" s="185">
        <v>103127</v>
      </c>
      <c r="C178" s="185" t="s">
        <v>383</v>
      </c>
      <c r="D178" s="2" t="s">
        <v>384</v>
      </c>
      <c r="E178" s="190" t="s">
        <v>36</v>
      </c>
      <c r="F178" s="190" t="s">
        <v>890</v>
      </c>
      <c r="H178" s="271">
        <f>_xlfn.IFNA(VLOOKUP($A178,ISB!$A$4:$BY$441,67,FALSE),0)</f>
        <v>0</v>
      </c>
      <c r="I178" s="271">
        <f>_xlfn.IFNA(VLOOKUP($A178,ISB!$A$4:$BY$441,72,FALSE),0)</f>
        <v>0</v>
      </c>
      <c r="J178" s="271">
        <f>-_xlfn.IFNA(VLOOKUP($A178,ISB!$A$4:$BY$441,76,FALSE),0)</f>
        <v>0</v>
      </c>
      <c r="K178" s="271">
        <f>_xlfn.IFNA(VLOOKUP($A178,ISB!$A$4:$BY$441,77,FALSE),0)</f>
        <v>0</v>
      </c>
      <c r="M178" s="279">
        <f t="shared" si="272"/>
        <v>0</v>
      </c>
      <c r="N178" s="279"/>
      <c r="O178" s="279">
        <f>_xlfn.IFNA(VLOOKUP($A178,EY!$A:$H,8,FALSE)+(VLOOKUP($A178,EY!$A:$R,18,FALSE)-$T178),0)</f>
        <v>412829.60850437882</v>
      </c>
      <c r="P178" s="280">
        <f>_xlfn.IFNA((VLOOKUP($A178,HN!$A:$M,8,FALSE)/12),0)</f>
        <v>0</v>
      </c>
      <c r="Q178" s="280">
        <f>_xlfn.IFNA((VLOOKUP($A178,HN!$A:$M,12,FALSE)/12),0)</f>
        <v>0</v>
      </c>
      <c r="R178" s="280">
        <f>_xlfn.IFNA((VLOOKUP($A178,HN!$A:$M,9,FALSE)/12),0)</f>
        <v>0</v>
      </c>
      <c r="S178" s="280">
        <f>_xlfn.IFNA((VLOOKUP($A178,'Post 16'!$A:$AR,22,FALSE)/4),0)</f>
        <v>0</v>
      </c>
      <c r="T178" s="280">
        <f>_xlfn.IFNA((VLOOKUP($A178,EY!$A:$R,16,FALSE)*80%),0)</f>
        <v>4680</v>
      </c>
      <c r="U178" s="280">
        <v>3302.5</v>
      </c>
      <c r="V178" s="280">
        <v>0</v>
      </c>
      <c r="W178" s="279">
        <f t="shared" si="273"/>
        <v>0</v>
      </c>
      <c r="X178" s="279">
        <f t="shared" si="274"/>
        <v>0</v>
      </c>
      <c r="Y178" s="280"/>
      <c r="Z178" s="280"/>
      <c r="AA178" s="280"/>
      <c r="AB178" s="279">
        <f t="shared" si="275"/>
        <v>420812.10850437882</v>
      </c>
      <c r="AC178" s="293">
        <f t="shared" si="276"/>
        <v>0</v>
      </c>
      <c r="AD178" s="293"/>
      <c r="AE178" s="293"/>
      <c r="AF178" s="294">
        <f>_xlfn.IFNA((VLOOKUP($A178,HN!$A:$M,8,FALSE)/12),0)</f>
        <v>0</v>
      </c>
      <c r="AG178" s="294">
        <f>_xlfn.IFNA((VLOOKUP($A178,HN!$A:$M,12,FALSE)/12),0)+_xlfn.IFNA(VLOOKUP($A178,HN!$A:$Q,17,FALSE),0)</f>
        <v>0</v>
      </c>
      <c r="AH178" s="294">
        <f>_xlfn.IFNA((VLOOKUP($A178,HN!$A:$M,9,FALSE)/12),0)</f>
        <v>0</v>
      </c>
      <c r="AI178" s="294">
        <f>_xlfn.IFNA((VLOOKUP($A178,'Post 16'!$A:$AR,22,FALSE)/4),0)</f>
        <v>0</v>
      </c>
      <c r="AJ178" s="294"/>
      <c r="AK178" s="294">
        <v>-3302.5</v>
      </c>
      <c r="AL178" s="294">
        <f>_xlfn.IFNA((VLOOKUP($A178,HN!$A:$M,13,FALSE)/12),0)</f>
        <v>0</v>
      </c>
      <c r="AM178" s="293">
        <f t="shared" si="277"/>
        <v>0</v>
      </c>
      <c r="AN178" s="293">
        <f t="shared" si="278"/>
        <v>0</v>
      </c>
      <c r="AO178" s="294"/>
      <c r="AP178" s="294"/>
      <c r="AQ178" s="294"/>
      <c r="AR178" s="293">
        <f t="shared" si="279"/>
        <v>-3302.5</v>
      </c>
      <c r="AS178" s="286">
        <f t="shared" si="280"/>
        <v>0</v>
      </c>
      <c r="AT178" s="286"/>
      <c r="AU178" s="286">
        <f>_xlfn.IFNA(VLOOKUP(A178,EY!A:AO,40,FALSE),0)</f>
        <v>35433.201108033245</v>
      </c>
      <c r="AV178" s="287">
        <f>_xlfn.IFNA((VLOOKUP($A178,HN!$A:$M,8,FALSE)/12),0)</f>
        <v>0</v>
      </c>
      <c r="AW178" s="287">
        <f>_xlfn.IFNA((VLOOKUP($A178,HN!$A:$M,12,FALSE)/12),0)+_xlfn.IFNA(VLOOKUP($A178,HN!$A$8:$AU$200,19,FALSE),0)</f>
        <v>0</v>
      </c>
      <c r="AX178" s="287">
        <f>_xlfn.IFNA((VLOOKUP($A178,HN!$A:$M,9,FALSE)/12),0)</f>
        <v>0</v>
      </c>
      <c r="AY178" s="287">
        <f>_xlfn.IFNA((VLOOKUP($A178,'Post 16'!$A:$AR,22,FALSE)/4),0)</f>
        <v>0</v>
      </c>
      <c r="AZ178" s="287">
        <f>_xlfn.IFNA(VLOOKUP(A178,EY!A:AO,41,FALSE),0)</f>
        <v>1691.5180055401663</v>
      </c>
      <c r="BA178" s="287">
        <f>_xlfn.IFNA(((VLOOKUP($A178,HN!$A:$M,10,FALSE)-$U178-$AK178)/10),0)+_xlfn.IFNA(VLOOKUP($A178,HN!$A:$R,18,FALSE),0)</f>
        <v>0</v>
      </c>
      <c r="BB178" s="287">
        <f>_xlfn.IFNA(((VLOOKUP($A178,HN!$A:$M,13,FALSE)-$V178-$AL178)/10),0)+_xlfn.IFNA(VLOOKUP($A178,HN!$A$8:$AU$200,20,FALSE),0)</f>
        <v>0</v>
      </c>
      <c r="BC178" s="286">
        <f t="shared" si="281"/>
        <v>0</v>
      </c>
      <c r="BD178" s="286">
        <f t="shared" si="282"/>
        <v>0</v>
      </c>
      <c r="BE178" s="287"/>
      <c r="BF178" s="287"/>
      <c r="BG178" s="287"/>
      <c r="BH178" s="286">
        <f t="shared" si="283"/>
        <v>37124.71911357341</v>
      </c>
      <c r="BI178" s="307">
        <f t="shared" si="284"/>
        <v>0</v>
      </c>
      <c r="BJ178" s="307">
        <f>_xlfn.IFNA(VLOOKUP(A178,'LA Deductions'!A:AH,34,FALSE),0)</f>
        <v>0</v>
      </c>
      <c r="BK178" s="307"/>
      <c r="BL178" s="308">
        <f>_xlfn.IFNA((VLOOKUP($A178,HN!$A:$M,8,FALSE)/12),0)</f>
        <v>0</v>
      </c>
      <c r="BM178" s="308">
        <f>_xlfn.IFNA((VLOOKUP($A178,HN!$A:$M,12,FALSE)/12),0)</f>
        <v>0</v>
      </c>
      <c r="BN178" s="308">
        <f>_xlfn.IFNA((VLOOKUP($A178,HN!$A:$M,9,FALSE)/12),0)</f>
        <v>0</v>
      </c>
      <c r="BO178" s="308">
        <f>_xlfn.IFNA((VLOOKUP($A178,'Post 16'!$A:$AR,22,FALSE)/4),0)</f>
        <v>0</v>
      </c>
      <c r="BP178" s="308"/>
      <c r="BQ178" s="308">
        <f>_xlfn.IFNA(((VLOOKUP($A178,HN!$A:$M,10,FALSE)-$U178-$AK178)/10),0)</f>
        <v>0</v>
      </c>
      <c r="BR178" s="308">
        <f>_xlfn.IFNA(((VLOOKUP($A178,HN!$A:$M,13,FALSE)-$V178-$AL178)/10),0)</f>
        <v>0</v>
      </c>
      <c r="BS178" s="307">
        <f t="shared" si="285"/>
        <v>0</v>
      </c>
      <c r="BT178" s="307">
        <f t="shared" si="286"/>
        <v>0</v>
      </c>
      <c r="BU178" s="308"/>
      <c r="BV178" s="308"/>
      <c r="BW178" s="308"/>
      <c r="BX178" s="307">
        <f t="shared" si="287"/>
        <v>0</v>
      </c>
      <c r="BY178" s="300">
        <f t="shared" si="288"/>
        <v>0</v>
      </c>
      <c r="BZ178" s="300"/>
      <c r="CA178" s="300"/>
      <c r="CB178" s="301">
        <f>_xlfn.IFNA((VLOOKUP($A178,HN!$A:$M,8,FALSE)/12),0)</f>
        <v>0</v>
      </c>
      <c r="CC178" s="301">
        <f>_xlfn.IFNA((VLOOKUP($A178,HN!$A:$M,12,FALSE)/12),0)</f>
        <v>0</v>
      </c>
      <c r="CD178" s="301">
        <f>_xlfn.IFNA((VLOOKUP($A178,HN!$A:$M,9,FALSE)/12),0)</f>
        <v>0</v>
      </c>
      <c r="CE178" s="301">
        <f>_xlfn.IFNA((VLOOKUP($A178,'Post 16'!$A:$AG,33,FALSE)/8),0)</f>
        <v>0</v>
      </c>
      <c r="CF178" s="301"/>
      <c r="CG178" s="301">
        <f>_xlfn.IFNA(((VLOOKUP($A178,HN!$A:$M,10,FALSE)-$U178-$AK178)/10),0)</f>
        <v>0</v>
      </c>
      <c r="CH178" s="301">
        <f>_xlfn.IFNA(((VLOOKUP($A178,HN!$A:$M,13,FALSE)-$V178-$AL178)/10),0)</f>
        <v>0</v>
      </c>
      <c r="CI178" s="300">
        <f t="shared" si="289"/>
        <v>0</v>
      </c>
      <c r="CJ178" s="300">
        <f t="shared" si="290"/>
        <v>0</v>
      </c>
      <c r="CK178" s="301"/>
      <c r="CL178" s="301"/>
      <c r="CM178" s="301"/>
      <c r="CN178" s="300">
        <f t="shared" si="291"/>
        <v>0</v>
      </c>
      <c r="CO178" s="332">
        <f t="shared" si="292"/>
        <v>0</v>
      </c>
      <c r="CP178" s="332"/>
      <c r="CQ178" s="332">
        <f>_xlfn.IFNA((VLOOKUP($A178,EY!$A:$AB,28,FALSE)-$CV178),0)</f>
        <v>147701.78905263159</v>
      </c>
      <c r="CR178" s="333">
        <f>_xlfn.IFNA((VLOOKUP($A178,HN!$A:$M,8,FALSE)/12),0)</f>
        <v>0</v>
      </c>
      <c r="CS178" s="333">
        <f>_xlfn.IFNA((VLOOKUP($A178,HN!$A:$M,12,FALSE)/12),0)</f>
        <v>0</v>
      </c>
      <c r="CT178" s="333">
        <f>_xlfn.IFNA((VLOOKUP($A178,HN!$A:$M,9,FALSE)/12),0)</f>
        <v>0</v>
      </c>
      <c r="CU178" s="333">
        <f>_xlfn.IFNA((VLOOKUP($A178,'Post 16'!$A:$AG,33,FALSE)/8),0)</f>
        <v>0</v>
      </c>
      <c r="CV178" s="333">
        <f>_xlfn.IFNA((VLOOKUP($A178,EY!$A:$AB,26,FALSE)*80%),0)</f>
        <v>1560</v>
      </c>
      <c r="CW178" s="333">
        <f>_xlfn.IFNA(((VLOOKUP($A178,HN!$A:$M,10,FALSE)-$U178-$AK178)/10),0)</f>
        <v>0</v>
      </c>
      <c r="CX178" s="333">
        <f>_xlfn.IFNA(((VLOOKUP($A178,HN!$A:$M,13,FALSE)-$V178-$AL178)/10),0)</f>
        <v>0</v>
      </c>
      <c r="CY178" s="332">
        <f t="shared" si="293"/>
        <v>0</v>
      </c>
      <c r="CZ178" s="332">
        <f t="shared" si="294"/>
        <v>0</v>
      </c>
      <c r="DA178" s="333"/>
      <c r="DB178" s="333"/>
      <c r="DC178" s="333"/>
      <c r="DD178" s="332">
        <f t="shared" si="295"/>
        <v>149261.78905263159</v>
      </c>
      <c r="DE178" s="314">
        <f t="shared" si="296"/>
        <v>0</v>
      </c>
      <c r="DF178" s="314"/>
      <c r="DG178" s="314"/>
      <c r="DH178" s="315">
        <f>_xlfn.IFNA((VLOOKUP($A178,HN!$A:$M,8,FALSE)/12),0)</f>
        <v>0</v>
      </c>
      <c r="DI178" s="315">
        <f>_xlfn.IFNA((VLOOKUP($A178,HN!$A:$M,12,FALSE)/12),0)</f>
        <v>0</v>
      </c>
      <c r="DJ178" s="315">
        <f>_xlfn.IFNA((VLOOKUP($A178,HN!$A:$M,9,FALSE)/12),0)</f>
        <v>0</v>
      </c>
      <c r="DK178" s="315">
        <f>_xlfn.IFNA((VLOOKUP($A178,'Post 16'!$A:$AG,33,FALSE)/8),0)</f>
        <v>0</v>
      </c>
      <c r="DL178" s="315"/>
      <c r="DM178" s="315">
        <f>_xlfn.IFNA(((VLOOKUP($A178,HN!$A:$M,10,FALSE)-$U178-$AK178)/10),0)</f>
        <v>0</v>
      </c>
      <c r="DN178" s="315">
        <f>_xlfn.IFNA(((VLOOKUP($A178,HN!$A:$M,13,FALSE)-$V178-$AL178)/10),0)</f>
        <v>0</v>
      </c>
      <c r="DO178" s="314">
        <f t="shared" si="297"/>
        <v>0</v>
      </c>
      <c r="DP178" s="314">
        <f t="shared" si="298"/>
        <v>0</v>
      </c>
      <c r="DQ178" s="315"/>
      <c r="DR178" s="315"/>
      <c r="DS178" s="315"/>
      <c r="DT178" s="314">
        <f t="shared" si="299"/>
        <v>0</v>
      </c>
      <c r="DU178" s="307">
        <f t="shared" si="300"/>
        <v>0</v>
      </c>
      <c r="DV178" s="307"/>
      <c r="DW178" s="307"/>
      <c r="DX178" s="308">
        <f>_xlfn.IFNA((VLOOKUP($A178,HN!$A:$M,8,FALSE)/12),0)</f>
        <v>0</v>
      </c>
      <c r="DY178" s="308">
        <f>_xlfn.IFNA((VLOOKUP($A178,HN!$A:$M,12,FALSE)/12),0)</f>
        <v>0</v>
      </c>
      <c r="DZ178" s="308">
        <f>_xlfn.IFNA((VLOOKUP($A178,HN!$A:$M,9,FALSE)/12),0)</f>
        <v>0</v>
      </c>
      <c r="EA178" s="308">
        <f>_xlfn.IFNA((VLOOKUP($A178,'Post 16'!$A:$AG,33,FALSE)/8),0)</f>
        <v>0</v>
      </c>
      <c r="EB178" s="308"/>
      <c r="EC178" s="308">
        <f>_xlfn.IFNA(((VLOOKUP($A178,HN!$A:$M,10,FALSE)-$U178-$AK178)/10),0)</f>
        <v>0</v>
      </c>
      <c r="ED178" s="308">
        <f>_xlfn.IFNA(((VLOOKUP($A178,HN!$A:$M,13,FALSE)-$V178-$AL178)/10),0)</f>
        <v>0</v>
      </c>
      <c r="EE178" s="307">
        <f t="shared" si="301"/>
        <v>0</v>
      </c>
      <c r="EF178" s="307">
        <f t="shared" si="302"/>
        <v>0</v>
      </c>
      <c r="EG178" s="308"/>
      <c r="EH178" s="308"/>
      <c r="EI178" s="308"/>
      <c r="EJ178" s="307">
        <f t="shared" si="303"/>
        <v>0</v>
      </c>
      <c r="EK178" s="320">
        <f t="shared" si="304"/>
        <v>0</v>
      </c>
      <c r="EL178" s="320"/>
      <c r="EM178" s="320"/>
      <c r="EN178" s="321">
        <f>_xlfn.IFNA((VLOOKUP($A178,HN!$A:$M,8,FALSE)/12),0)</f>
        <v>0</v>
      </c>
      <c r="EO178" s="321">
        <f>_xlfn.IFNA((VLOOKUP($A178,HN!$A:$M,12,FALSE)/12),0)</f>
        <v>0</v>
      </c>
      <c r="EP178" s="321">
        <f>_xlfn.IFNA((VLOOKUP($A178,HN!$A:$M,9,FALSE)/12),0)</f>
        <v>0</v>
      </c>
      <c r="EQ178" s="321">
        <f>_xlfn.IFNA((VLOOKUP($A178,'Post 16'!$A:$AG,33,FALSE)/8),0)</f>
        <v>0</v>
      </c>
      <c r="ER178" s="321"/>
      <c r="ES178" s="321">
        <f>_xlfn.IFNA(((VLOOKUP($A178,HN!$A:$M,10,FALSE)-$U178-$AK178)/10),0)</f>
        <v>0</v>
      </c>
      <c r="ET178" s="321">
        <f>_xlfn.IFNA(((VLOOKUP($A178,HN!$A:$M,13,FALSE)-$V178-$AL178)/10),0)</f>
        <v>0</v>
      </c>
      <c r="EU178" s="320">
        <f t="shared" si="305"/>
        <v>0</v>
      </c>
      <c r="EV178" s="320">
        <f t="shared" si="306"/>
        <v>0</v>
      </c>
      <c r="EW178" s="321"/>
      <c r="EX178" s="321"/>
      <c r="EY178" s="321"/>
      <c r="EZ178" s="320">
        <f t="shared" si="307"/>
        <v>0</v>
      </c>
      <c r="FA178" s="286">
        <f t="shared" si="308"/>
        <v>0</v>
      </c>
      <c r="FB178" s="286"/>
      <c r="FC178" s="286"/>
      <c r="FD178" s="287">
        <f>_xlfn.IFNA((VLOOKUP($A178,HN!$A:$M,8,FALSE)/12),0)</f>
        <v>0</v>
      </c>
      <c r="FE178" s="287">
        <f>_xlfn.IFNA((VLOOKUP($A178,HN!$A:$M,12,FALSE)/12),0)</f>
        <v>0</v>
      </c>
      <c r="FF178" s="287">
        <f>_xlfn.IFNA((VLOOKUP($A178,HN!$A:$M,9,FALSE)/12),0)</f>
        <v>0</v>
      </c>
      <c r="FG178" s="287">
        <f>_xlfn.IFNA((VLOOKUP($A178,'Post 16'!$A:$AG,33,FALSE)/8),0)</f>
        <v>0</v>
      </c>
      <c r="FH178" s="287"/>
      <c r="FI178" s="287">
        <f>_xlfn.IFNA(((VLOOKUP($A178,HN!$A:$M,10,FALSE)-$U178-$AK178)/10),0)</f>
        <v>0</v>
      </c>
      <c r="FJ178" s="287">
        <f>_xlfn.IFNA(((VLOOKUP($A178,HN!$A:$M,13,FALSE)-$V178-$AL178)/10),0)</f>
        <v>0</v>
      </c>
      <c r="FK178" s="286">
        <f t="shared" si="309"/>
        <v>0</v>
      </c>
      <c r="FL178" s="286">
        <f t="shared" si="310"/>
        <v>0</v>
      </c>
      <c r="FM178" s="287"/>
      <c r="FN178" s="287"/>
      <c r="FO178" s="287"/>
      <c r="FP178" s="286">
        <f t="shared" si="311"/>
        <v>0</v>
      </c>
      <c r="FQ178" s="293">
        <f t="shared" si="312"/>
        <v>0</v>
      </c>
      <c r="FR178" s="293"/>
      <c r="FS178" s="293"/>
      <c r="FT178" s="294">
        <f>_xlfn.IFNA((VLOOKUP($A178,HN!$A:$M,8,FALSE)/12),0)</f>
        <v>0</v>
      </c>
      <c r="FU178" s="294">
        <f>_xlfn.IFNA((VLOOKUP($A178,HN!$A:$M,12,FALSE)/12),0)</f>
        <v>0</v>
      </c>
      <c r="FV178" s="294">
        <f>_xlfn.IFNA((VLOOKUP($A178,HN!$A:$M,9,FALSE)/12),0)</f>
        <v>0</v>
      </c>
      <c r="FW178" s="294">
        <f>_xlfn.IFNA((VLOOKUP($A178,'Post 16'!$A:$AG,33,FALSE)/8),0)</f>
        <v>0</v>
      </c>
      <c r="FX178" s="294"/>
      <c r="FY178" s="294">
        <f>_xlfn.IFNA(((VLOOKUP($A178,HN!$A:$M,10,FALSE)-$U178-$AK178)/10),0)</f>
        <v>0</v>
      </c>
      <c r="FZ178" s="294">
        <f>_xlfn.IFNA(((VLOOKUP($A178,HN!$A:$M,13,FALSE)-$V178-$AL178)/10),0)</f>
        <v>0</v>
      </c>
      <c r="GA178" s="293">
        <f t="shared" si="313"/>
        <v>0</v>
      </c>
      <c r="GB178" s="293">
        <f t="shared" si="314"/>
        <v>0</v>
      </c>
      <c r="GC178" s="294"/>
      <c r="GD178" s="294"/>
      <c r="GE178" s="294"/>
      <c r="GF178" s="293">
        <f t="shared" si="315"/>
        <v>0</v>
      </c>
      <c r="GG178" s="300">
        <f t="shared" si="316"/>
        <v>0</v>
      </c>
      <c r="GH178" s="300"/>
      <c r="GI178" s="300"/>
      <c r="GJ178" s="301">
        <f>_xlfn.IFNA((VLOOKUP($A178,HN!$A:$M,8,FALSE)/12),0)</f>
        <v>0</v>
      </c>
      <c r="GK178" s="301">
        <f>_xlfn.IFNA((VLOOKUP($A178,HN!$A:$M,12,FALSE)/12),0)</f>
        <v>0</v>
      </c>
      <c r="GL178" s="301">
        <f>_xlfn.IFNA((VLOOKUP($A178,HN!$A:$M,9,FALSE)/12),0)</f>
        <v>0</v>
      </c>
      <c r="GM178" s="301">
        <f>_xlfn.IFNA((VLOOKUP($A178,'Post 16'!$A:$AG,33,FALSE)/8),0)</f>
        <v>0</v>
      </c>
      <c r="GN178" s="301"/>
      <c r="GO178" s="301">
        <f>_xlfn.IFNA(((VLOOKUP($A178,HN!$A:$M,10,FALSE)-$U178-$AK178)/10),0)</f>
        <v>0</v>
      </c>
      <c r="GP178" s="301">
        <f>_xlfn.IFNA(((VLOOKUP($A178,HN!$A:$M,13,FALSE)-$V178-$AL178)/10),0)</f>
        <v>0</v>
      </c>
      <c r="GQ178" s="300">
        <f t="shared" si="317"/>
        <v>0</v>
      </c>
      <c r="GR178" s="300">
        <f t="shared" si="318"/>
        <v>0</v>
      </c>
      <c r="GS178" s="301"/>
      <c r="GT178" s="301"/>
      <c r="GU178" s="301"/>
      <c r="GV178" s="300">
        <f t="shared" si="319"/>
        <v>0</v>
      </c>
      <c r="GX178" s="146">
        <f t="shared" si="322"/>
        <v>595964.59866504371</v>
      </c>
      <c r="GY178" s="146">
        <f t="shared" si="322"/>
        <v>0</v>
      </c>
      <c r="GZ178" s="146">
        <f t="shared" si="322"/>
        <v>7931.5180055401661</v>
      </c>
      <c r="HA178" s="146">
        <f t="shared" si="322"/>
        <v>0</v>
      </c>
      <c r="HB178" s="146">
        <f t="shared" si="322"/>
        <v>0</v>
      </c>
      <c r="HC178" s="146">
        <f t="shared" si="322"/>
        <v>0</v>
      </c>
      <c r="HE178" s="146">
        <f t="shared" si="323"/>
        <v>448262.80961241206</v>
      </c>
      <c r="HF178" s="146">
        <f t="shared" si="323"/>
        <v>0</v>
      </c>
      <c r="HG178" s="146">
        <f t="shared" si="323"/>
        <v>6371.5180055401661</v>
      </c>
      <c r="HH178" s="146">
        <f t="shared" si="323"/>
        <v>0</v>
      </c>
      <c r="HI178" s="146">
        <f t="shared" si="323"/>
        <v>0</v>
      </c>
      <c r="HJ178" s="146">
        <f t="shared" si="323"/>
        <v>0</v>
      </c>
      <c r="HL178" s="146"/>
      <c r="HM178" s="57"/>
    </row>
    <row r="179" spans="1:221">
      <c r="A179" s="185">
        <v>2019</v>
      </c>
      <c r="B179" s="185">
        <v>134279</v>
      </c>
      <c r="C179" s="185" t="s">
        <v>385</v>
      </c>
      <c r="D179" s="2" t="s">
        <v>386</v>
      </c>
      <c r="E179" s="190" t="s">
        <v>39</v>
      </c>
      <c r="F179" s="190" t="s">
        <v>890</v>
      </c>
      <c r="H179" s="271">
        <f>_xlfn.IFNA(VLOOKUP($A179,ISB!$A$4:$BY$441,67,FALSE),0)</f>
        <v>2551835.041346001</v>
      </c>
      <c r="I179" s="271">
        <f>_xlfn.IFNA(VLOOKUP($A179,ISB!$A$4:$BY$441,72,FALSE),0)</f>
        <v>-10159.199999999999</v>
      </c>
      <c r="J179" s="271">
        <f>-_xlfn.IFNA(VLOOKUP($A179,ISB!$A$4:$BY$441,76,FALSE),0)</f>
        <v>-84140.237999999998</v>
      </c>
      <c r="K179" s="271">
        <f>_xlfn.IFNA(VLOOKUP($A179,ISB!$A$4:$BY$441,77,FALSE),0)</f>
        <v>2457535.6033460009</v>
      </c>
      <c r="M179" s="279">
        <f t="shared" si="272"/>
        <v>212652.92011216676</v>
      </c>
      <c r="N179" s="279"/>
      <c r="O179" s="279">
        <f>_xlfn.IFNA(VLOOKUP($A179,EY!$A:$H,8,FALSE)+(VLOOKUP($A179,EY!$A:$R,18,FALSE)-$T179),0)</f>
        <v>0</v>
      </c>
      <c r="P179" s="280">
        <f>_xlfn.IFNA((VLOOKUP($A179,HN!$A:$M,8,FALSE)/12),0)</f>
        <v>0</v>
      </c>
      <c r="Q179" s="280">
        <f>_xlfn.IFNA((VLOOKUP($A179,HN!$A:$M,12,FALSE)/12),0)</f>
        <v>0</v>
      </c>
      <c r="R179" s="280">
        <f>_xlfn.IFNA((VLOOKUP($A179,HN!$A:$M,9,FALSE)/12),0)</f>
        <v>0</v>
      </c>
      <c r="S179" s="280">
        <f>_xlfn.IFNA((VLOOKUP($A179,'Post 16'!$A:$AR,22,FALSE)/4),0)</f>
        <v>0</v>
      </c>
      <c r="T179" s="280">
        <f>_xlfn.IFNA((VLOOKUP($A179,EY!$A:$R,16,FALSE)*80%),0)</f>
        <v>0</v>
      </c>
      <c r="U179" s="280">
        <v>34322.395833333336</v>
      </c>
      <c r="V179" s="280">
        <v>0</v>
      </c>
      <c r="W179" s="279">
        <f t="shared" si="273"/>
        <v>-846.59999999999991</v>
      </c>
      <c r="X179" s="279">
        <f t="shared" si="274"/>
        <v>-7011.6864999999998</v>
      </c>
      <c r="Y179" s="280"/>
      <c r="Z179" s="280"/>
      <c r="AA179" s="280"/>
      <c r="AB179" s="279">
        <f t="shared" si="275"/>
        <v>239117.02944550008</v>
      </c>
      <c r="AC179" s="293">
        <f t="shared" si="276"/>
        <v>212652.92011216676</v>
      </c>
      <c r="AD179" s="293"/>
      <c r="AE179" s="293"/>
      <c r="AF179" s="294">
        <f>_xlfn.IFNA((VLOOKUP($A179,HN!$A:$M,8,FALSE)/12),0)</f>
        <v>0</v>
      </c>
      <c r="AG179" s="294">
        <f>_xlfn.IFNA((VLOOKUP($A179,HN!$A:$M,12,FALSE)/12),0)+_xlfn.IFNA(VLOOKUP($A179,HN!$A:$Q,17,FALSE),0)</f>
        <v>0</v>
      </c>
      <c r="AH179" s="294">
        <f>_xlfn.IFNA((VLOOKUP($A179,HN!$A:$M,9,FALSE)/12),0)</f>
        <v>0</v>
      </c>
      <c r="AI179" s="294">
        <f>_xlfn.IFNA((VLOOKUP($A179,'Post 16'!$A:$AR,22,FALSE)/4),0)</f>
        <v>0</v>
      </c>
      <c r="AJ179" s="294"/>
      <c r="AK179" s="294">
        <f>_xlfn.IFNA((VLOOKUP($A179,HN!$A:$M,10,FALSE)/12),0)</f>
        <v>19104.375</v>
      </c>
      <c r="AL179" s="294">
        <f>_xlfn.IFNA((VLOOKUP($A179,HN!$A:$M,13,FALSE)/12),0)</f>
        <v>0</v>
      </c>
      <c r="AM179" s="293">
        <f t="shared" si="277"/>
        <v>-846.59999999999991</v>
      </c>
      <c r="AN179" s="293">
        <f t="shared" si="278"/>
        <v>-7011.6864999999998</v>
      </c>
      <c r="AO179" s="294"/>
      <c r="AP179" s="294"/>
      <c r="AQ179" s="294"/>
      <c r="AR179" s="293">
        <f t="shared" si="279"/>
        <v>223899.00861216674</v>
      </c>
      <c r="AS179" s="286">
        <f t="shared" si="280"/>
        <v>212652.92011216676</v>
      </c>
      <c r="AT179" s="286"/>
      <c r="AU179" s="286">
        <f>_xlfn.IFNA(VLOOKUP(A179,EY!A:AO,40,FALSE),0)</f>
        <v>0</v>
      </c>
      <c r="AV179" s="287">
        <f>_xlfn.IFNA((VLOOKUP($A179,HN!$A:$M,8,FALSE)/12),0)</f>
        <v>0</v>
      </c>
      <c r="AW179" s="287">
        <f>_xlfn.IFNA((VLOOKUP($A179,HN!$A:$M,12,FALSE)/12),0)+_xlfn.IFNA(VLOOKUP($A179,HN!$A$8:$AU$200,19,FALSE),0)</f>
        <v>0</v>
      </c>
      <c r="AX179" s="287">
        <f>_xlfn.IFNA((VLOOKUP($A179,HN!$A:$M,9,FALSE)/12),0)</f>
        <v>0</v>
      </c>
      <c r="AY179" s="287">
        <f>_xlfn.IFNA((VLOOKUP($A179,'Post 16'!$A:$AR,22,FALSE)/4),0)</f>
        <v>0</v>
      </c>
      <c r="AZ179" s="287">
        <f>_xlfn.IFNA(VLOOKUP(A179,EY!A:AO,41,FALSE),0)</f>
        <v>0</v>
      </c>
      <c r="BA179" s="287">
        <f>_xlfn.IFNA(((VLOOKUP($A179,HN!$A:$M,10,FALSE)-$U179-$AK179)/10),0)+_xlfn.IFNA(VLOOKUP($A179,HN!$A:$R,18,FALSE),0)</f>
        <v>17582.572916666664</v>
      </c>
      <c r="BB179" s="287">
        <f>_xlfn.IFNA(((VLOOKUP($A179,HN!$A:$M,13,FALSE)-$V179-$AL179)/10),0)+_xlfn.IFNA(VLOOKUP($A179,HN!$A$8:$AU$200,20,FALSE),0)</f>
        <v>0</v>
      </c>
      <c r="BC179" s="286">
        <f t="shared" si="281"/>
        <v>-846.59999999999991</v>
      </c>
      <c r="BD179" s="286">
        <f t="shared" si="282"/>
        <v>-7011.6864999999998</v>
      </c>
      <c r="BE179" s="287"/>
      <c r="BF179" s="287"/>
      <c r="BG179" s="287"/>
      <c r="BH179" s="286">
        <f t="shared" si="283"/>
        <v>222377.2065288334</v>
      </c>
      <c r="BI179" s="307">
        <f t="shared" si="284"/>
        <v>212652.92011216676</v>
      </c>
      <c r="BJ179" s="307">
        <f>_xlfn.IFNA(VLOOKUP(A179,'LA Deductions'!A:AH,34,FALSE),0)</f>
        <v>0</v>
      </c>
      <c r="BK179" s="307"/>
      <c r="BL179" s="308">
        <f>_xlfn.IFNA((VLOOKUP($A179,HN!$A:$M,8,FALSE)/12),0)</f>
        <v>0</v>
      </c>
      <c r="BM179" s="308">
        <f>_xlfn.IFNA((VLOOKUP($A179,HN!$A:$M,12,FALSE)/12),0)</f>
        <v>0</v>
      </c>
      <c r="BN179" s="308">
        <f>_xlfn.IFNA((VLOOKUP($A179,HN!$A:$M,9,FALSE)/12),0)</f>
        <v>0</v>
      </c>
      <c r="BO179" s="308">
        <f>_xlfn.IFNA((VLOOKUP($A179,'Post 16'!$A:$AR,22,FALSE)/4),0)</f>
        <v>0</v>
      </c>
      <c r="BP179" s="308"/>
      <c r="BQ179" s="308">
        <f>_xlfn.IFNA(((VLOOKUP($A179,HN!$A:$M,10,FALSE)-$U179-$AK179)/10),0)</f>
        <v>17582.572916666664</v>
      </c>
      <c r="BR179" s="308">
        <f>_xlfn.IFNA(((VLOOKUP($A179,HN!$A:$M,13,FALSE)-$V179-$AL179)/10),0)</f>
        <v>0</v>
      </c>
      <c r="BS179" s="307">
        <f t="shared" si="285"/>
        <v>-846.59999999999991</v>
      </c>
      <c r="BT179" s="307">
        <f t="shared" si="286"/>
        <v>-7011.6864999999998</v>
      </c>
      <c r="BU179" s="308"/>
      <c r="BV179" s="308"/>
      <c r="BW179" s="308"/>
      <c r="BX179" s="307">
        <f t="shared" si="287"/>
        <v>222377.2065288334</v>
      </c>
      <c r="BY179" s="300">
        <f t="shared" si="288"/>
        <v>212652.92011216676</v>
      </c>
      <c r="BZ179" s="300"/>
      <c r="CA179" s="300"/>
      <c r="CB179" s="301">
        <f>_xlfn.IFNA((VLOOKUP($A179,HN!$A:$M,8,FALSE)/12),0)</f>
        <v>0</v>
      </c>
      <c r="CC179" s="301">
        <f>_xlfn.IFNA((VLOOKUP($A179,HN!$A:$M,12,FALSE)/12),0)</f>
        <v>0</v>
      </c>
      <c r="CD179" s="301">
        <f>_xlfn.IFNA((VLOOKUP($A179,HN!$A:$M,9,FALSE)/12),0)</f>
        <v>0</v>
      </c>
      <c r="CE179" s="301">
        <f>_xlfn.IFNA((VLOOKUP($A179,'Post 16'!$A:$AG,33,FALSE)/8),0)</f>
        <v>0</v>
      </c>
      <c r="CF179" s="301"/>
      <c r="CG179" s="301">
        <f>_xlfn.IFNA(((VLOOKUP($A179,HN!$A:$M,10,FALSE)-$U179-$AK179)/10),0)</f>
        <v>17582.572916666664</v>
      </c>
      <c r="CH179" s="301">
        <f>_xlfn.IFNA(((VLOOKUP($A179,HN!$A:$M,13,FALSE)-$V179-$AL179)/10),0)</f>
        <v>0</v>
      </c>
      <c r="CI179" s="300">
        <f t="shared" si="289"/>
        <v>-846.59999999999991</v>
      </c>
      <c r="CJ179" s="300">
        <f t="shared" si="290"/>
        <v>-7011.6864999999998</v>
      </c>
      <c r="CK179" s="301"/>
      <c r="CL179" s="301"/>
      <c r="CM179" s="301"/>
      <c r="CN179" s="300">
        <f t="shared" si="291"/>
        <v>222377.2065288334</v>
      </c>
      <c r="CO179" s="332">
        <f t="shared" si="292"/>
        <v>212652.92011216676</v>
      </c>
      <c r="CP179" s="332"/>
      <c r="CQ179" s="332">
        <f>_xlfn.IFNA((VLOOKUP($A179,EY!$A:$AB,28,FALSE)-$CV179),0)</f>
        <v>0</v>
      </c>
      <c r="CR179" s="333">
        <f>_xlfn.IFNA((VLOOKUP($A179,HN!$A:$M,8,FALSE)/12),0)</f>
        <v>0</v>
      </c>
      <c r="CS179" s="333">
        <f>_xlfn.IFNA((VLOOKUP($A179,HN!$A:$M,12,FALSE)/12),0)</f>
        <v>0</v>
      </c>
      <c r="CT179" s="333">
        <f>_xlfn.IFNA((VLOOKUP($A179,HN!$A:$M,9,FALSE)/12),0)</f>
        <v>0</v>
      </c>
      <c r="CU179" s="333">
        <f>_xlfn.IFNA((VLOOKUP($A179,'Post 16'!$A:$AG,33,FALSE)/8),0)</f>
        <v>0</v>
      </c>
      <c r="CV179" s="333">
        <f>_xlfn.IFNA((VLOOKUP($A179,EY!$A:$AB,26,FALSE)*80%),0)</f>
        <v>0</v>
      </c>
      <c r="CW179" s="333">
        <f>_xlfn.IFNA(((VLOOKUP($A179,HN!$A:$M,10,FALSE)-$U179-$AK179)/10),0)</f>
        <v>17582.572916666664</v>
      </c>
      <c r="CX179" s="333">
        <f>_xlfn.IFNA(((VLOOKUP($A179,HN!$A:$M,13,FALSE)-$V179-$AL179)/10),0)</f>
        <v>0</v>
      </c>
      <c r="CY179" s="332">
        <f t="shared" si="293"/>
        <v>-846.59999999999991</v>
      </c>
      <c r="CZ179" s="332">
        <f t="shared" si="294"/>
        <v>-7011.6864999999998</v>
      </c>
      <c r="DA179" s="333"/>
      <c r="DB179" s="333"/>
      <c r="DC179" s="333"/>
      <c r="DD179" s="332">
        <f t="shared" si="295"/>
        <v>222377.2065288334</v>
      </c>
      <c r="DE179" s="314">
        <f t="shared" si="296"/>
        <v>212652.92011216676</v>
      </c>
      <c r="DF179" s="314"/>
      <c r="DG179" s="314"/>
      <c r="DH179" s="315">
        <f>_xlfn.IFNA((VLOOKUP($A179,HN!$A:$M,8,FALSE)/12),0)</f>
        <v>0</v>
      </c>
      <c r="DI179" s="315">
        <f>_xlfn.IFNA((VLOOKUP($A179,HN!$A:$M,12,FALSE)/12),0)</f>
        <v>0</v>
      </c>
      <c r="DJ179" s="315">
        <f>_xlfn.IFNA((VLOOKUP($A179,HN!$A:$M,9,FALSE)/12),0)</f>
        <v>0</v>
      </c>
      <c r="DK179" s="315">
        <f>_xlfn.IFNA((VLOOKUP($A179,'Post 16'!$A:$AG,33,FALSE)/8),0)</f>
        <v>0</v>
      </c>
      <c r="DL179" s="315"/>
      <c r="DM179" s="315">
        <f>_xlfn.IFNA(((VLOOKUP($A179,HN!$A:$M,10,FALSE)-$U179-$AK179)/10),0)</f>
        <v>17582.572916666664</v>
      </c>
      <c r="DN179" s="315">
        <f>_xlfn.IFNA(((VLOOKUP($A179,HN!$A:$M,13,FALSE)-$V179-$AL179)/10),0)</f>
        <v>0</v>
      </c>
      <c r="DO179" s="314">
        <f t="shared" si="297"/>
        <v>-846.59999999999991</v>
      </c>
      <c r="DP179" s="314">
        <f t="shared" si="298"/>
        <v>-7011.6864999999998</v>
      </c>
      <c r="DQ179" s="315"/>
      <c r="DR179" s="315"/>
      <c r="DS179" s="315"/>
      <c r="DT179" s="314">
        <f t="shared" si="299"/>
        <v>222377.2065288334</v>
      </c>
      <c r="DU179" s="307">
        <f t="shared" si="300"/>
        <v>212652.92011216676</v>
      </c>
      <c r="DV179" s="307"/>
      <c r="DW179" s="307"/>
      <c r="DX179" s="308">
        <f>_xlfn.IFNA((VLOOKUP($A179,HN!$A:$M,8,FALSE)/12),0)</f>
        <v>0</v>
      </c>
      <c r="DY179" s="308">
        <f>_xlfn.IFNA((VLOOKUP($A179,HN!$A:$M,12,FALSE)/12),0)</f>
        <v>0</v>
      </c>
      <c r="DZ179" s="308">
        <f>_xlfn.IFNA((VLOOKUP($A179,HN!$A:$M,9,FALSE)/12),0)</f>
        <v>0</v>
      </c>
      <c r="EA179" s="308">
        <f>_xlfn.IFNA((VLOOKUP($A179,'Post 16'!$A:$AG,33,FALSE)/8),0)</f>
        <v>0</v>
      </c>
      <c r="EB179" s="308"/>
      <c r="EC179" s="308">
        <f>_xlfn.IFNA(((VLOOKUP($A179,HN!$A:$M,10,FALSE)-$U179-$AK179)/10),0)</f>
        <v>17582.572916666664</v>
      </c>
      <c r="ED179" s="308">
        <f>_xlfn.IFNA(((VLOOKUP($A179,HN!$A:$M,13,FALSE)-$V179-$AL179)/10),0)</f>
        <v>0</v>
      </c>
      <c r="EE179" s="307">
        <f t="shared" si="301"/>
        <v>-846.59999999999991</v>
      </c>
      <c r="EF179" s="307">
        <f t="shared" si="302"/>
        <v>-7011.6864999999998</v>
      </c>
      <c r="EG179" s="308"/>
      <c r="EH179" s="308"/>
      <c r="EI179" s="308"/>
      <c r="EJ179" s="307">
        <f t="shared" si="303"/>
        <v>222377.2065288334</v>
      </c>
      <c r="EK179" s="320">
        <f t="shared" si="304"/>
        <v>212652.92011216676</v>
      </c>
      <c r="EL179" s="320"/>
      <c r="EM179" s="320"/>
      <c r="EN179" s="321">
        <f>_xlfn.IFNA((VLOOKUP($A179,HN!$A:$M,8,FALSE)/12),0)</f>
        <v>0</v>
      </c>
      <c r="EO179" s="321">
        <f>_xlfn.IFNA((VLOOKUP($A179,HN!$A:$M,12,FALSE)/12),0)</f>
        <v>0</v>
      </c>
      <c r="EP179" s="321">
        <f>_xlfn.IFNA((VLOOKUP($A179,HN!$A:$M,9,FALSE)/12),0)</f>
        <v>0</v>
      </c>
      <c r="EQ179" s="321">
        <f>_xlfn.IFNA((VLOOKUP($A179,'Post 16'!$A:$AG,33,FALSE)/8),0)</f>
        <v>0</v>
      </c>
      <c r="ER179" s="321"/>
      <c r="ES179" s="321">
        <f>_xlfn.IFNA(((VLOOKUP($A179,HN!$A:$M,10,FALSE)-$U179-$AK179)/10),0)</f>
        <v>17582.572916666664</v>
      </c>
      <c r="ET179" s="321">
        <f>_xlfn.IFNA(((VLOOKUP($A179,HN!$A:$M,13,FALSE)-$V179-$AL179)/10),0)</f>
        <v>0</v>
      </c>
      <c r="EU179" s="320">
        <f t="shared" si="305"/>
        <v>-846.59999999999991</v>
      </c>
      <c r="EV179" s="320">
        <f t="shared" si="306"/>
        <v>-7011.6864999999998</v>
      </c>
      <c r="EW179" s="321"/>
      <c r="EX179" s="321"/>
      <c r="EY179" s="321"/>
      <c r="EZ179" s="320">
        <f t="shared" si="307"/>
        <v>222377.2065288334</v>
      </c>
      <c r="FA179" s="286">
        <f t="shared" si="308"/>
        <v>212652.92011216676</v>
      </c>
      <c r="FB179" s="286"/>
      <c r="FC179" s="286"/>
      <c r="FD179" s="287">
        <f>_xlfn.IFNA((VLOOKUP($A179,HN!$A:$M,8,FALSE)/12),0)</f>
        <v>0</v>
      </c>
      <c r="FE179" s="287">
        <f>_xlfn.IFNA((VLOOKUP($A179,HN!$A:$M,12,FALSE)/12),0)</f>
        <v>0</v>
      </c>
      <c r="FF179" s="287">
        <f>_xlfn.IFNA((VLOOKUP($A179,HN!$A:$M,9,FALSE)/12),0)</f>
        <v>0</v>
      </c>
      <c r="FG179" s="287">
        <f>_xlfn.IFNA((VLOOKUP($A179,'Post 16'!$A:$AG,33,FALSE)/8),0)</f>
        <v>0</v>
      </c>
      <c r="FH179" s="287"/>
      <c r="FI179" s="287">
        <f>_xlfn.IFNA(((VLOOKUP($A179,HN!$A:$M,10,FALSE)-$U179-$AK179)/10),0)</f>
        <v>17582.572916666664</v>
      </c>
      <c r="FJ179" s="287">
        <f>_xlfn.IFNA(((VLOOKUP($A179,HN!$A:$M,13,FALSE)-$V179-$AL179)/10),0)</f>
        <v>0</v>
      </c>
      <c r="FK179" s="286">
        <f t="shared" si="309"/>
        <v>-846.59999999999991</v>
      </c>
      <c r="FL179" s="286">
        <f t="shared" si="310"/>
        <v>-7011.6864999999998</v>
      </c>
      <c r="FM179" s="287"/>
      <c r="FN179" s="287"/>
      <c r="FO179" s="287"/>
      <c r="FP179" s="286">
        <f t="shared" si="311"/>
        <v>222377.2065288334</v>
      </c>
      <c r="FQ179" s="293">
        <f t="shared" si="312"/>
        <v>212652.92011216676</v>
      </c>
      <c r="FR179" s="293"/>
      <c r="FS179" s="293"/>
      <c r="FT179" s="294">
        <f>_xlfn.IFNA((VLOOKUP($A179,HN!$A:$M,8,FALSE)/12),0)</f>
        <v>0</v>
      </c>
      <c r="FU179" s="294">
        <f>_xlfn.IFNA((VLOOKUP($A179,HN!$A:$M,12,FALSE)/12),0)</f>
        <v>0</v>
      </c>
      <c r="FV179" s="294">
        <f>_xlfn.IFNA((VLOOKUP($A179,HN!$A:$M,9,FALSE)/12),0)</f>
        <v>0</v>
      </c>
      <c r="FW179" s="294">
        <f>_xlfn.IFNA((VLOOKUP($A179,'Post 16'!$A:$AG,33,FALSE)/8),0)</f>
        <v>0</v>
      </c>
      <c r="FX179" s="294"/>
      <c r="FY179" s="294">
        <f>_xlfn.IFNA(((VLOOKUP($A179,HN!$A:$M,10,FALSE)-$U179-$AK179)/10),0)</f>
        <v>17582.572916666664</v>
      </c>
      <c r="FZ179" s="294">
        <f>_xlfn.IFNA(((VLOOKUP($A179,HN!$A:$M,13,FALSE)-$V179-$AL179)/10),0)</f>
        <v>0</v>
      </c>
      <c r="GA179" s="293">
        <f t="shared" si="313"/>
        <v>-846.59999999999991</v>
      </c>
      <c r="GB179" s="293">
        <f t="shared" si="314"/>
        <v>-7011.6864999999998</v>
      </c>
      <c r="GC179" s="294"/>
      <c r="GD179" s="294"/>
      <c r="GE179" s="294"/>
      <c r="GF179" s="293">
        <f t="shared" si="315"/>
        <v>222377.2065288334</v>
      </c>
      <c r="GG179" s="300">
        <f t="shared" si="316"/>
        <v>212652.92011216676</v>
      </c>
      <c r="GH179" s="300"/>
      <c r="GI179" s="300"/>
      <c r="GJ179" s="301">
        <f>_xlfn.IFNA((VLOOKUP($A179,HN!$A:$M,8,FALSE)/12),0)</f>
        <v>0</v>
      </c>
      <c r="GK179" s="301">
        <f>_xlfn.IFNA((VLOOKUP($A179,HN!$A:$M,12,FALSE)/12),0)</f>
        <v>0</v>
      </c>
      <c r="GL179" s="301">
        <f>_xlfn.IFNA((VLOOKUP($A179,HN!$A:$M,9,FALSE)/12),0)</f>
        <v>0</v>
      </c>
      <c r="GM179" s="301">
        <f>_xlfn.IFNA((VLOOKUP($A179,'Post 16'!$A:$AG,33,FALSE)/8),0)</f>
        <v>0</v>
      </c>
      <c r="GN179" s="301"/>
      <c r="GO179" s="301">
        <f>_xlfn.IFNA(((VLOOKUP($A179,HN!$A:$M,10,FALSE)-$U179-$AK179)/10),0)</f>
        <v>17582.572916666664</v>
      </c>
      <c r="GP179" s="301">
        <f>_xlfn.IFNA(((VLOOKUP($A179,HN!$A:$M,13,FALSE)-$V179-$AL179)/10),0)</f>
        <v>0</v>
      </c>
      <c r="GQ179" s="300">
        <f t="shared" si="317"/>
        <v>-846.59999999999991</v>
      </c>
      <c r="GR179" s="300">
        <f t="shared" si="318"/>
        <v>-7011.6864999999998</v>
      </c>
      <c r="GS179" s="301"/>
      <c r="GT179" s="301"/>
      <c r="GU179" s="301"/>
      <c r="GV179" s="300">
        <f t="shared" si="319"/>
        <v>222377.2065288334</v>
      </c>
      <c r="GX179" s="146">
        <f t="shared" si="322"/>
        <v>2551835.0413460005</v>
      </c>
      <c r="GY179" s="146">
        <f t="shared" si="322"/>
        <v>0</v>
      </c>
      <c r="GZ179" s="146">
        <f t="shared" si="322"/>
        <v>229252.49999999991</v>
      </c>
      <c r="HA179" s="146">
        <f t="shared" si="322"/>
        <v>-10159.200000000003</v>
      </c>
      <c r="HB179" s="146">
        <f t="shared" si="322"/>
        <v>-84140.237999999968</v>
      </c>
      <c r="HC179" s="146">
        <f t="shared" si="322"/>
        <v>0</v>
      </c>
      <c r="HE179" s="146">
        <f t="shared" si="323"/>
        <v>637958.76033650024</v>
      </c>
      <c r="HF179" s="146">
        <f t="shared" si="323"/>
        <v>0</v>
      </c>
      <c r="HG179" s="146">
        <f t="shared" si="323"/>
        <v>71009.34375</v>
      </c>
      <c r="HH179" s="146">
        <f t="shared" si="323"/>
        <v>-2539.7999999999997</v>
      </c>
      <c r="HI179" s="146">
        <f t="shared" si="323"/>
        <v>-21035.059499999999</v>
      </c>
      <c r="HJ179" s="146">
        <f t="shared" si="323"/>
        <v>0</v>
      </c>
      <c r="HL179" s="146"/>
      <c r="HM179" s="57"/>
    </row>
    <row r="180" spans="1:221">
      <c r="A180" s="185">
        <v>2011</v>
      </c>
      <c r="B180" s="185">
        <v>134099</v>
      </c>
      <c r="C180" s="185" t="s">
        <v>387</v>
      </c>
      <c r="D180" s="2" t="s">
        <v>388</v>
      </c>
      <c r="E180" s="190" t="s">
        <v>39</v>
      </c>
      <c r="F180" s="190" t="s">
        <v>890</v>
      </c>
      <c r="H180" s="271">
        <f>_xlfn.IFNA(VLOOKUP($A180,ISB!$A$4:$BY$441,67,FALSE),0)</f>
        <v>3686043.490512548</v>
      </c>
      <c r="I180" s="271">
        <f>_xlfn.IFNA(VLOOKUP($A180,ISB!$A$4:$BY$441,72,FALSE),0)</f>
        <v>-15338.4</v>
      </c>
      <c r="J180" s="271">
        <f>-_xlfn.IFNA(VLOOKUP($A180,ISB!$A$4:$BY$441,76,FALSE),0)</f>
        <v>-104887.14599999999</v>
      </c>
      <c r="K180" s="271">
        <f>_xlfn.IFNA(VLOOKUP($A180,ISB!$A$4:$BY$441,77,FALSE),0)</f>
        <v>3565817.9445125479</v>
      </c>
      <c r="M180" s="279">
        <f t="shared" si="272"/>
        <v>307170.29087604565</v>
      </c>
      <c r="N180" s="279"/>
      <c r="O180" s="279">
        <f>_xlfn.IFNA(VLOOKUP($A180,EY!$A:$H,8,FALSE)+(VLOOKUP($A180,EY!$A:$R,18,FALSE)-$T180),0)</f>
        <v>42252.600000000006</v>
      </c>
      <c r="P180" s="280">
        <f>_xlfn.IFNA((VLOOKUP($A180,HN!$A:$M,8,FALSE)/12),0)</f>
        <v>0</v>
      </c>
      <c r="Q180" s="280">
        <f>_xlfn.IFNA((VLOOKUP($A180,HN!$A:$M,12,FALSE)/12),0)</f>
        <v>0</v>
      </c>
      <c r="R180" s="280">
        <f>_xlfn.IFNA((VLOOKUP($A180,HN!$A:$M,9,FALSE)/12),0)</f>
        <v>0</v>
      </c>
      <c r="S180" s="280">
        <f>_xlfn.IFNA((VLOOKUP($A180,'Post 16'!$A:$AR,22,FALSE)/4),0)</f>
        <v>0</v>
      </c>
      <c r="T180" s="280">
        <f>_xlfn.IFNA((VLOOKUP($A180,EY!$A:$R,16,FALSE)*80%),0)</f>
        <v>0</v>
      </c>
      <c r="U180" s="280">
        <v>25323.402499999997</v>
      </c>
      <c r="V180" s="280">
        <v>0</v>
      </c>
      <c r="W180" s="279">
        <f t="shared" si="273"/>
        <v>-1278.2</v>
      </c>
      <c r="X180" s="279">
        <f t="shared" si="274"/>
        <v>-8740.5954999999994</v>
      </c>
      <c r="Y180" s="280"/>
      <c r="Z180" s="280"/>
      <c r="AA180" s="280"/>
      <c r="AB180" s="279">
        <f t="shared" si="275"/>
        <v>364727.49787604564</v>
      </c>
      <c r="AC180" s="293">
        <f t="shared" si="276"/>
        <v>307170.29087604565</v>
      </c>
      <c r="AD180" s="293"/>
      <c r="AE180" s="293"/>
      <c r="AF180" s="294">
        <f>_xlfn.IFNA((VLOOKUP($A180,HN!$A:$M,8,FALSE)/12),0)</f>
        <v>0</v>
      </c>
      <c r="AG180" s="294">
        <f>_xlfn.IFNA((VLOOKUP($A180,HN!$A:$M,12,FALSE)/12),0)+_xlfn.IFNA(VLOOKUP($A180,HN!$A:$Q,17,FALSE),0)</f>
        <v>0</v>
      </c>
      <c r="AH180" s="294">
        <f>_xlfn.IFNA((VLOOKUP($A180,HN!$A:$M,9,FALSE)/12),0)</f>
        <v>0</v>
      </c>
      <c r="AI180" s="294">
        <f>_xlfn.IFNA((VLOOKUP($A180,'Post 16'!$A:$AR,22,FALSE)/4),0)</f>
        <v>0</v>
      </c>
      <c r="AJ180" s="294"/>
      <c r="AK180" s="294">
        <f>_xlfn.IFNA((VLOOKUP($A180,HN!$A:$M,10,FALSE)/12),0)</f>
        <v>15597.291666666666</v>
      </c>
      <c r="AL180" s="294">
        <f>_xlfn.IFNA((VLOOKUP($A180,HN!$A:$M,13,FALSE)/12),0)</f>
        <v>0</v>
      </c>
      <c r="AM180" s="293">
        <f t="shared" si="277"/>
        <v>-1278.2</v>
      </c>
      <c r="AN180" s="293">
        <f t="shared" si="278"/>
        <v>-8740.5954999999994</v>
      </c>
      <c r="AO180" s="294"/>
      <c r="AP180" s="294"/>
      <c r="AQ180" s="294"/>
      <c r="AR180" s="293">
        <f t="shared" si="279"/>
        <v>312748.78704271233</v>
      </c>
      <c r="AS180" s="286">
        <f t="shared" si="280"/>
        <v>307170.29087604565</v>
      </c>
      <c r="AT180" s="286"/>
      <c r="AU180" s="286">
        <f>_xlfn.IFNA(VLOOKUP(A180,EY!A:AO,40,FALSE),0)</f>
        <v>5816.1154016620458</v>
      </c>
      <c r="AV180" s="287">
        <f>_xlfn.IFNA((VLOOKUP($A180,HN!$A:$M,8,FALSE)/12),0)</f>
        <v>0</v>
      </c>
      <c r="AW180" s="287">
        <f>_xlfn.IFNA((VLOOKUP($A180,HN!$A:$M,12,FALSE)/12),0)+_xlfn.IFNA(VLOOKUP($A180,HN!$A$8:$AU$200,19,FALSE),0)</f>
        <v>0</v>
      </c>
      <c r="AX180" s="287">
        <f>_xlfn.IFNA((VLOOKUP($A180,HN!$A:$M,9,FALSE)/12),0)</f>
        <v>0</v>
      </c>
      <c r="AY180" s="287">
        <f>_xlfn.IFNA((VLOOKUP($A180,'Post 16'!$A:$AR,22,FALSE)/4),0)</f>
        <v>0</v>
      </c>
      <c r="AZ180" s="287">
        <f>_xlfn.IFNA(VLOOKUP(A180,EY!A:AO,41,FALSE),0)</f>
        <v>0</v>
      </c>
      <c r="BA180" s="287">
        <f>_xlfn.IFNA(((VLOOKUP($A180,HN!$A:$M,10,FALSE)-$U180-$AK180)/10),0)+_xlfn.IFNA(VLOOKUP($A180,HN!$A:$R,18,FALSE),0)</f>
        <v>14624.680583333335</v>
      </c>
      <c r="BB180" s="287">
        <f>_xlfn.IFNA(((VLOOKUP($A180,HN!$A:$M,13,FALSE)-$V180-$AL180)/10),0)+_xlfn.IFNA(VLOOKUP($A180,HN!$A$8:$AU$200,20,FALSE),0)</f>
        <v>0</v>
      </c>
      <c r="BC180" s="286">
        <f t="shared" si="281"/>
        <v>-1278.2</v>
      </c>
      <c r="BD180" s="286">
        <f t="shared" si="282"/>
        <v>-8740.5954999999994</v>
      </c>
      <c r="BE180" s="287"/>
      <c r="BF180" s="287"/>
      <c r="BG180" s="287"/>
      <c r="BH180" s="286">
        <f t="shared" si="283"/>
        <v>317592.29136104102</v>
      </c>
      <c r="BI180" s="307">
        <f t="shared" si="284"/>
        <v>307170.29087604565</v>
      </c>
      <c r="BJ180" s="307">
        <f>_xlfn.IFNA(VLOOKUP(A180,'LA Deductions'!A:AH,34,FALSE),0)</f>
        <v>0</v>
      </c>
      <c r="BK180" s="307"/>
      <c r="BL180" s="308">
        <f>_xlfn.IFNA((VLOOKUP($A180,HN!$A:$M,8,FALSE)/12),0)</f>
        <v>0</v>
      </c>
      <c r="BM180" s="308">
        <f>_xlfn.IFNA((VLOOKUP($A180,HN!$A:$M,12,FALSE)/12),0)</f>
        <v>0</v>
      </c>
      <c r="BN180" s="308">
        <f>_xlfn.IFNA((VLOOKUP($A180,HN!$A:$M,9,FALSE)/12),0)</f>
        <v>0</v>
      </c>
      <c r="BO180" s="308">
        <f>_xlfn.IFNA((VLOOKUP($A180,'Post 16'!$A:$AR,22,FALSE)/4),0)</f>
        <v>0</v>
      </c>
      <c r="BP180" s="308"/>
      <c r="BQ180" s="308">
        <f>_xlfn.IFNA(((VLOOKUP($A180,HN!$A:$M,10,FALSE)-$U180-$AK180)/10),0)</f>
        <v>14624.680583333335</v>
      </c>
      <c r="BR180" s="308">
        <f>_xlfn.IFNA(((VLOOKUP($A180,HN!$A:$M,13,FALSE)-$V180-$AL180)/10),0)</f>
        <v>0</v>
      </c>
      <c r="BS180" s="307">
        <f t="shared" si="285"/>
        <v>-1278.2</v>
      </c>
      <c r="BT180" s="307">
        <f t="shared" si="286"/>
        <v>-8740.5954999999994</v>
      </c>
      <c r="BU180" s="308"/>
      <c r="BV180" s="308"/>
      <c r="BW180" s="308"/>
      <c r="BX180" s="307">
        <f t="shared" si="287"/>
        <v>311776.17595937895</v>
      </c>
      <c r="BY180" s="300">
        <f t="shared" si="288"/>
        <v>307170.29087604565</v>
      </c>
      <c r="BZ180" s="300"/>
      <c r="CA180" s="300"/>
      <c r="CB180" s="301">
        <f>_xlfn.IFNA((VLOOKUP($A180,HN!$A:$M,8,FALSE)/12),0)</f>
        <v>0</v>
      </c>
      <c r="CC180" s="301">
        <f>_xlfn.IFNA((VLOOKUP($A180,HN!$A:$M,12,FALSE)/12),0)</f>
        <v>0</v>
      </c>
      <c r="CD180" s="301">
        <f>_xlfn.IFNA((VLOOKUP($A180,HN!$A:$M,9,FALSE)/12),0)</f>
        <v>0</v>
      </c>
      <c r="CE180" s="301">
        <f>_xlfn.IFNA((VLOOKUP($A180,'Post 16'!$A:$AG,33,FALSE)/8),0)</f>
        <v>0</v>
      </c>
      <c r="CF180" s="301"/>
      <c r="CG180" s="301">
        <f>_xlfn.IFNA(((VLOOKUP($A180,HN!$A:$M,10,FALSE)-$U180-$AK180)/10),0)</f>
        <v>14624.680583333335</v>
      </c>
      <c r="CH180" s="301">
        <f>_xlfn.IFNA(((VLOOKUP($A180,HN!$A:$M,13,FALSE)-$V180-$AL180)/10),0)</f>
        <v>0</v>
      </c>
      <c r="CI180" s="300">
        <f t="shared" si="289"/>
        <v>-1278.2</v>
      </c>
      <c r="CJ180" s="300">
        <f t="shared" si="290"/>
        <v>-8740.5954999999994</v>
      </c>
      <c r="CK180" s="301"/>
      <c r="CL180" s="301"/>
      <c r="CM180" s="301"/>
      <c r="CN180" s="300">
        <f t="shared" si="291"/>
        <v>311776.17595937895</v>
      </c>
      <c r="CO180" s="332">
        <f t="shared" si="292"/>
        <v>307170.29087604565</v>
      </c>
      <c r="CP180" s="332"/>
      <c r="CQ180" s="332">
        <f>_xlfn.IFNA((VLOOKUP($A180,EY!$A:$AB,28,FALSE)-$CV180),0)</f>
        <v>39187.200000000004</v>
      </c>
      <c r="CR180" s="333">
        <f>_xlfn.IFNA((VLOOKUP($A180,HN!$A:$M,8,FALSE)/12),0)</f>
        <v>0</v>
      </c>
      <c r="CS180" s="333">
        <f>_xlfn.IFNA((VLOOKUP($A180,HN!$A:$M,12,FALSE)/12),0)</f>
        <v>0</v>
      </c>
      <c r="CT180" s="333">
        <f>_xlfn.IFNA((VLOOKUP($A180,HN!$A:$M,9,FALSE)/12),0)</f>
        <v>0</v>
      </c>
      <c r="CU180" s="333">
        <f>_xlfn.IFNA((VLOOKUP($A180,'Post 16'!$A:$AG,33,FALSE)/8),0)</f>
        <v>0</v>
      </c>
      <c r="CV180" s="333">
        <f>_xlfn.IFNA((VLOOKUP($A180,EY!$A:$AB,26,FALSE)*80%),0)</f>
        <v>0</v>
      </c>
      <c r="CW180" s="333">
        <f>_xlfn.IFNA(((VLOOKUP($A180,HN!$A:$M,10,FALSE)-$U180-$AK180)/10),0)</f>
        <v>14624.680583333335</v>
      </c>
      <c r="CX180" s="333">
        <f>_xlfn.IFNA(((VLOOKUP($A180,HN!$A:$M,13,FALSE)-$V180-$AL180)/10),0)</f>
        <v>0</v>
      </c>
      <c r="CY180" s="332">
        <f t="shared" si="293"/>
        <v>-1278.2</v>
      </c>
      <c r="CZ180" s="332">
        <f t="shared" si="294"/>
        <v>-8740.5954999999994</v>
      </c>
      <c r="DA180" s="333"/>
      <c r="DB180" s="333"/>
      <c r="DC180" s="333"/>
      <c r="DD180" s="332">
        <f t="shared" si="295"/>
        <v>350963.37595937902</v>
      </c>
      <c r="DE180" s="314">
        <f t="shared" si="296"/>
        <v>307170.29087604565</v>
      </c>
      <c r="DF180" s="314"/>
      <c r="DG180" s="314"/>
      <c r="DH180" s="315">
        <f>_xlfn.IFNA((VLOOKUP($A180,HN!$A:$M,8,FALSE)/12),0)</f>
        <v>0</v>
      </c>
      <c r="DI180" s="315">
        <f>_xlfn.IFNA((VLOOKUP($A180,HN!$A:$M,12,FALSE)/12),0)</f>
        <v>0</v>
      </c>
      <c r="DJ180" s="315">
        <f>_xlfn.IFNA((VLOOKUP($A180,HN!$A:$M,9,FALSE)/12),0)</f>
        <v>0</v>
      </c>
      <c r="DK180" s="315">
        <f>_xlfn.IFNA((VLOOKUP($A180,'Post 16'!$A:$AG,33,FALSE)/8),0)</f>
        <v>0</v>
      </c>
      <c r="DL180" s="315"/>
      <c r="DM180" s="315">
        <f>_xlfn.IFNA(((VLOOKUP($A180,HN!$A:$M,10,FALSE)-$U180-$AK180)/10),0)</f>
        <v>14624.680583333335</v>
      </c>
      <c r="DN180" s="315">
        <f>_xlfn.IFNA(((VLOOKUP($A180,HN!$A:$M,13,FALSE)-$V180-$AL180)/10),0)</f>
        <v>0</v>
      </c>
      <c r="DO180" s="314">
        <f t="shared" si="297"/>
        <v>-1278.2</v>
      </c>
      <c r="DP180" s="314">
        <f t="shared" si="298"/>
        <v>-8740.5954999999994</v>
      </c>
      <c r="DQ180" s="315"/>
      <c r="DR180" s="315"/>
      <c r="DS180" s="315"/>
      <c r="DT180" s="314">
        <f t="shared" si="299"/>
        <v>311776.17595937895</v>
      </c>
      <c r="DU180" s="307">
        <f t="shared" si="300"/>
        <v>307170.29087604565</v>
      </c>
      <c r="DV180" s="307"/>
      <c r="DW180" s="307"/>
      <c r="DX180" s="308">
        <f>_xlfn.IFNA((VLOOKUP($A180,HN!$A:$M,8,FALSE)/12),0)</f>
        <v>0</v>
      </c>
      <c r="DY180" s="308">
        <f>_xlfn.IFNA((VLOOKUP($A180,HN!$A:$M,12,FALSE)/12),0)</f>
        <v>0</v>
      </c>
      <c r="DZ180" s="308">
        <f>_xlfn.IFNA((VLOOKUP($A180,HN!$A:$M,9,FALSE)/12),0)</f>
        <v>0</v>
      </c>
      <c r="EA180" s="308">
        <f>_xlfn.IFNA((VLOOKUP($A180,'Post 16'!$A:$AG,33,FALSE)/8),0)</f>
        <v>0</v>
      </c>
      <c r="EB180" s="308"/>
      <c r="EC180" s="308">
        <f>_xlfn.IFNA(((VLOOKUP($A180,HN!$A:$M,10,FALSE)-$U180-$AK180)/10),0)</f>
        <v>14624.680583333335</v>
      </c>
      <c r="ED180" s="308">
        <f>_xlfn.IFNA(((VLOOKUP($A180,HN!$A:$M,13,FALSE)-$V180-$AL180)/10),0)</f>
        <v>0</v>
      </c>
      <c r="EE180" s="307">
        <f t="shared" si="301"/>
        <v>-1278.2</v>
      </c>
      <c r="EF180" s="307">
        <f t="shared" si="302"/>
        <v>-8740.5954999999994</v>
      </c>
      <c r="EG180" s="308"/>
      <c r="EH180" s="308"/>
      <c r="EI180" s="308"/>
      <c r="EJ180" s="307">
        <f t="shared" si="303"/>
        <v>311776.17595937895</v>
      </c>
      <c r="EK180" s="320">
        <f t="shared" si="304"/>
        <v>307170.29087604565</v>
      </c>
      <c r="EL180" s="320"/>
      <c r="EM180" s="320"/>
      <c r="EN180" s="321">
        <f>_xlfn.IFNA((VLOOKUP($A180,HN!$A:$M,8,FALSE)/12),0)</f>
        <v>0</v>
      </c>
      <c r="EO180" s="321">
        <f>_xlfn.IFNA((VLOOKUP($A180,HN!$A:$M,12,FALSE)/12),0)</f>
        <v>0</v>
      </c>
      <c r="EP180" s="321">
        <f>_xlfn.IFNA((VLOOKUP($A180,HN!$A:$M,9,FALSE)/12),0)</f>
        <v>0</v>
      </c>
      <c r="EQ180" s="321">
        <f>_xlfn.IFNA((VLOOKUP($A180,'Post 16'!$A:$AG,33,FALSE)/8),0)</f>
        <v>0</v>
      </c>
      <c r="ER180" s="321"/>
      <c r="ES180" s="321">
        <f>_xlfn.IFNA(((VLOOKUP($A180,HN!$A:$M,10,FALSE)-$U180-$AK180)/10),0)</f>
        <v>14624.680583333335</v>
      </c>
      <c r="ET180" s="321">
        <f>_xlfn.IFNA(((VLOOKUP($A180,HN!$A:$M,13,FALSE)-$V180-$AL180)/10),0)</f>
        <v>0</v>
      </c>
      <c r="EU180" s="320">
        <f t="shared" si="305"/>
        <v>-1278.2</v>
      </c>
      <c r="EV180" s="320">
        <f t="shared" si="306"/>
        <v>-8740.5954999999994</v>
      </c>
      <c r="EW180" s="321"/>
      <c r="EX180" s="321"/>
      <c r="EY180" s="321"/>
      <c r="EZ180" s="320">
        <f t="shared" si="307"/>
        <v>311776.17595937895</v>
      </c>
      <c r="FA180" s="286">
        <f t="shared" si="308"/>
        <v>307170.29087604565</v>
      </c>
      <c r="FB180" s="286"/>
      <c r="FC180" s="286"/>
      <c r="FD180" s="287">
        <f>_xlfn.IFNA((VLOOKUP($A180,HN!$A:$M,8,FALSE)/12),0)</f>
        <v>0</v>
      </c>
      <c r="FE180" s="287">
        <f>_xlfn.IFNA((VLOOKUP($A180,HN!$A:$M,12,FALSE)/12),0)</f>
        <v>0</v>
      </c>
      <c r="FF180" s="287">
        <f>_xlfn.IFNA((VLOOKUP($A180,HN!$A:$M,9,FALSE)/12),0)</f>
        <v>0</v>
      </c>
      <c r="FG180" s="287">
        <f>_xlfn.IFNA((VLOOKUP($A180,'Post 16'!$A:$AG,33,FALSE)/8),0)</f>
        <v>0</v>
      </c>
      <c r="FH180" s="287"/>
      <c r="FI180" s="287">
        <f>_xlfn.IFNA(((VLOOKUP($A180,HN!$A:$M,10,FALSE)-$U180-$AK180)/10),0)</f>
        <v>14624.680583333335</v>
      </c>
      <c r="FJ180" s="287">
        <f>_xlfn.IFNA(((VLOOKUP($A180,HN!$A:$M,13,FALSE)-$V180-$AL180)/10),0)</f>
        <v>0</v>
      </c>
      <c r="FK180" s="286">
        <f t="shared" si="309"/>
        <v>-1278.2</v>
      </c>
      <c r="FL180" s="286">
        <f t="shared" si="310"/>
        <v>-8740.5954999999994</v>
      </c>
      <c r="FM180" s="287"/>
      <c r="FN180" s="287"/>
      <c r="FO180" s="287"/>
      <c r="FP180" s="286">
        <f t="shared" si="311"/>
        <v>311776.17595937895</v>
      </c>
      <c r="FQ180" s="293">
        <f t="shared" si="312"/>
        <v>307170.29087604565</v>
      </c>
      <c r="FR180" s="293"/>
      <c r="FS180" s="293"/>
      <c r="FT180" s="294">
        <f>_xlfn.IFNA((VLOOKUP($A180,HN!$A:$M,8,FALSE)/12),0)</f>
        <v>0</v>
      </c>
      <c r="FU180" s="294">
        <f>_xlfn.IFNA((VLOOKUP($A180,HN!$A:$M,12,FALSE)/12),0)</f>
        <v>0</v>
      </c>
      <c r="FV180" s="294">
        <f>_xlfn.IFNA((VLOOKUP($A180,HN!$A:$M,9,FALSE)/12),0)</f>
        <v>0</v>
      </c>
      <c r="FW180" s="294">
        <f>_xlfn.IFNA((VLOOKUP($A180,'Post 16'!$A:$AG,33,FALSE)/8),0)</f>
        <v>0</v>
      </c>
      <c r="FX180" s="294"/>
      <c r="FY180" s="294">
        <f>_xlfn.IFNA(((VLOOKUP($A180,HN!$A:$M,10,FALSE)-$U180-$AK180)/10),0)</f>
        <v>14624.680583333335</v>
      </c>
      <c r="FZ180" s="294">
        <f>_xlfn.IFNA(((VLOOKUP($A180,HN!$A:$M,13,FALSE)-$V180-$AL180)/10),0)</f>
        <v>0</v>
      </c>
      <c r="GA180" s="293">
        <f t="shared" si="313"/>
        <v>-1278.2</v>
      </c>
      <c r="GB180" s="293">
        <f t="shared" si="314"/>
        <v>-8740.5954999999994</v>
      </c>
      <c r="GC180" s="294"/>
      <c r="GD180" s="294"/>
      <c r="GE180" s="294"/>
      <c r="GF180" s="293">
        <f t="shared" si="315"/>
        <v>311776.17595937895</v>
      </c>
      <c r="GG180" s="300">
        <f t="shared" si="316"/>
        <v>307170.29087604565</v>
      </c>
      <c r="GH180" s="300"/>
      <c r="GI180" s="300"/>
      <c r="GJ180" s="301">
        <f>_xlfn.IFNA((VLOOKUP($A180,HN!$A:$M,8,FALSE)/12),0)</f>
        <v>0</v>
      </c>
      <c r="GK180" s="301">
        <f>_xlfn.IFNA((VLOOKUP($A180,HN!$A:$M,12,FALSE)/12),0)</f>
        <v>0</v>
      </c>
      <c r="GL180" s="301">
        <f>_xlfn.IFNA((VLOOKUP($A180,HN!$A:$M,9,FALSE)/12),0)</f>
        <v>0</v>
      </c>
      <c r="GM180" s="301">
        <f>_xlfn.IFNA((VLOOKUP($A180,'Post 16'!$A:$AG,33,FALSE)/8),0)</f>
        <v>0</v>
      </c>
      <c r="GN180" s="301"/>
      <c r="GO180" s="301">
        <f>_xlfn.IFNA(((VLOOKUP($A180,HN!$A:$M,10,FALSE)-$U180-$AK180)/10),0)</f>
        <v>14624.680583333335</v>
      </c>
      <c r="GP180" s="301">
        <f>_xlfn.IFNA(((VLOOKUP($A180,HN!$A:$M,13,FALSE)-$V180-$AL180)/10),0)</f>
        <v>0</v>
      </c>
      <c r="GQ180" s="300">
        <f t="shared" si="317"/>
        <v>-1278.2</v>
      </c>
      <c r="GR180" s="300">
        <f t="shared" si="318"/>
        <v>-8740.5954999999994</v>
      </c>
      <c r="GS180" s="301"/>
      <c r="GT180" s="301"/>
      <c r="GU180" s="301"/>
      <c r="GV180" s="300">
        <f t="shared" si="319"/>
        <v>311776.17595937895</v>
      </c>
      <c r="GX180" s="146">
        <f t="shared" si="322"/>
        <v>3773299.4059142107</v>
      </c>
      <c r="GY180" s="146">
        <f t="shared" si="322"/>
        <v>0</v>
      </c>
      <c r="GZ180" s="146">
        <f t="shared" si="322"/>
        <v>187167.5</v>
      </c>
      <c r="HA180" s="146">
        <f t="shared" si="322"/>
        <v>-15338.400000000003</v>
      </c>
      <c r="HB180" s="146">
        <f t="shared" si="322"/>
        <v>-104887.14599999996</v>
      </c>
      <c r="HC180" s="146">
        <f t="shared" si="322"/>
        <v>0</v>
      </c>
      <c r="HE180" s="146">
        <f t="shared" si="323"/>
        <v>969579.58802979894</v>
      </c>
      <c r="HF180" s="146">
        <f t="shared" si="323"/>
        <v>0</v>
      </c>
      <c r="HG180" s="146">
        <f t="shared" si="323"/>
        <v>55545.374749999995</v>
      </c>
      <c r="HH180" s="146">
        <f t="shared" si="323"/>
        <v>-3834.6000000000004</v>
      </c>
      <c r="HI180" s="146">
        <f t="shared" si="323"/>
        <v>-26221.786499999998</v>
      </c>
      <c r="HJ180" s="146">
        <f t="shared" si="323"/>
        <v>0</v>
      </c>
      <c r="HL180" s="146"/>
      <c r="HM180" s="57"/>
    </row>
    <row r="181" spans="1:221">
      <c r="A181" s="185">
        <v>4193</v>
      </c>
      <c r="B181" s="185">
        <v>103501</v>
      </c>
      <c r="C181" s="185" t="s">
        <v>389</v>
      </c>
      <c r="D181" s="2" t="s">
        <v>390</v>
      </c>
      <c r="E181" s="190" t="s">
        <v>71</v>
      </c>
      <c r="F181" s="190" t="s">
        <v>890</v>
      </c>
      <c r="H181" s="271">
        <f>_xlfn.IFNA(VLOOKUP($A181,ISB!$A$4:$BY$441,67,FALSE),0)</f>
        <v>5499271.841727728</v>
      </c>
      <c r="I181" s="271">
        <f>_xlfn.IFNA(VLOOKUP($A181,ISB!$A$4:$BY$441,72,FALSE),0)</f>
        <v>-13143</v>
      </c>
      <c r="J181" s="271">
        <f>-_xlfn.IFNA(VLOOKUP($A181,ISB!$A$4:$BY$441,76,FALSE),0)</f>
        <v>-137736.41699999999</v>
      </c>
      <c r="K181" s="271">
        <f>_xlfn.IFNA(VLOOKUP($A181,ISB!$A$4:$BY$441,77,FALSE),0)</f>
        <v>5348392.4247277277</v>
      </c>
      <c r="M181" s="279">
        <f t="shared" si="272"/>
        <v>458272.65347731067</v>
      </c>
      <c r="N181" s="279"/>
      <c r="O181" s="279">
        <f>_xlfn.IFNA(VLOOKUP($A181,EY!$A:$H,8,FALSE)+(VLOOKUP($A181,EY!$A:$R,18,FALSE)-$T181),0)</f>
        <v>0</v>
      </c>
      <c r="P181" s="280">
        <f>_xlfn.IFNA((VLOOKUP($A181,HN!$A:$M,8,FALSE)/12),0)</f>
        <v>0</v>
      </c>
      <c r="Q181" s="280">
        <f>_xlfn.IFNA((VLOOKUP($A181,HN!$A:$M,12,FALSE)/12),0)</f>
        <v>0</v>
      </c>
      <c r="R181" s="280">
        <f>_xlfn.IFNA((VLOOKUP($A181,HN!$A:$M,9,FALSE)/12),0)</f>
        <v>0</v>
      </c>
      <c r="S181" s="280">
        <f>_xlfn.IFNA((VLOOKUP($A181,'Post 16'!$A:$AR,22,FALSE)/4),0)</f>
        <v>0</v>
      </c>
      <c r="T181" s="280">
        <f>_xlfn.IFNA((VLOOKUP($A181,EY!$A:$R,16,FALSE)*80%),0)</f>
        <v>0</v>
      </c>
      <c r="U181" s="280">
        <v>24798.305833333332</v>
      </c>
      <c r="V181" s="280">
        <v>0</v>
      </c>
      <c r="W181" s="279">
        <f t="shared" si="273"/>
        <v>-1095.25</v>
      </c>
      <c r="X181" s="279">
        <f t="shared" si="274"/>
        <v>-11478.034749999999</v>
      </c>
      <c r="Y181" s="280"/>
      <c r="Z181" s="280"/>
      <c r="AA181" s="280"/>
      <c r="AB181" s="279">
        <f t="shared" si="275"/>
        <v>470497.67456064402</v>
      </c>
      <c r="AC181" s="293">
        <f t="shared" si="276"/>
        <v>458272.65347731067</v>
      </c>
      <c r="AD181" s="293"/>
      <c r="AE181" s="293"/>
      <c r="AF181" s="294">
        <f>_xlfn.IFNA((VLOOKUP($A181,HN!$A:$M,8,FALSE)/12),0)</f>
        <v>0</v>
      </c>
      <c r="AG181" s="294">
        <f>_xlfn.IFNA((VLOOKUP($A181,HN!$A:$M,12,FALSE)/12),0)+_xlfn.IFNA(VLOOKUP($A181,HN!$A:$Q,17,FALSE),0)</f>
        <v>0</v>
      </c>
      <c r="AH181" s="294">
        <f>_xlfn.IFNA((VLOOKUP($A181,HN!$A:$M,9,FALSE)/12),0)</f>
        <v>0</v>
      </c>
      <c r="AI181" s="294">
        <f>_xlfn.IFNA((VLOOKUP($A181,'Post 16'!$A:$AR,22,FALSE)/4),0)</f>
        <v>0</v>
      </c>
      <c r="AJ181" s="294"/>
      <c r="AK181" s="294">
        <f>_xlfn.IFNA((VLOOKUP($A181,HN!$A:$M,10,FALSE)/12),0)</f>
        <v>14305.208333333334</v>
      </c>
      <c r="AL181" s="294">
        <f>_xlfn.IFNA((VLOOKUP($A181,HN!$A:$M,13,FALSE)/12),0)</f>
        <v>0</v>
      </c>
      <c r="AM181" s="293">
        <f t="shared" si="277"/>
        <v>-1095.25</v>
      </c>
      <c r="AN181" s="293">
        <f t="shared" si="278"/>
        <v>-11478.034749999999</v>
      </c>
      <c r="AO181" s="294"/>
      <c r="AP181" s="294"/>
      <c r="AQ181" s="294"/>
      <c r="AR181" s="293">
        <f t="shared" si="279"/>
        <v>460004.57706064399</v>
      </c>
      <c r="AS181" s="286">
        <f t="shared" si="280"/>
        <v>458272.65347731067</v>
      </c>
      <c r="AT181" s="286"/>
      <c r="AU181" s="286">
        <f>_xlfn.IFNA(VLOOKUP(A181,EY!A:AO,40,FALSE),0)</f>
        <v>0</v>
      </c>
      <c r="AV181" s="287">
        <f>_xlfn.IFNA((VLOOKUP($A181,HN!$A:$M,8,FALSE)/12),0)</f>
        <v>0</v>
      </c>
      <c r="AW181" s="287">
        <f>_xlfn.IFNA((VLOOKUP($A181,HN!$A:$M,12,FALSE)/12),0)+_xlfn.IFNA(VLOOKUP($A181,HN!$A$8:$AU$200,19,FALSE),0)</f>
        <v>0</v>
      </c>
      <c r="AX181" s="287">
        <f>_xlfn.IFNA((VLOOKUP($A181,HN!$A:$M,9,FALSE)/12),0)</f>
        <v>0</v>
      </c>
      <c r="AY181" s="287">
        <f>_xlfn.IFNA((VLOOKUP($A181,'Post 16'!$A:$AR,22,FALSE)/4),0)</f>
        <v>0</v>
      </c>
      <c r="AZ181" s="287">
        <f>_xlfn.IFNA(VLOOKUP(A181,EY!A:AO,41,FALSE),0)</f>
        <v>0</v>
      </c>
      <c r="BA181" s="287">
        <f>_xlfn.IFNA(((VLOOKUP($A181,HN!$A:$M,10,FALSE)-$U181-$AK181)/10),0)+_xlfn.IFNA(VLOOKUP($A181,HN!$A:$R,18,FALSE),0)</f>
        <v>13255.898583333332</v>
      </c>
      <c r="BB181" s="287">
        <f>_xlfn.IFNA(((VLOOKUP($A181,HN!$A:$M,13,FALSE)-$V181-$AL181)/10),0)+_xlfn.IFNA(VLOOKUP($A181,HN!$A$8:$AU$200,20,FALSE),0)</f>
        <v>0</v>
      </c>
      <c r="BC181" s="286">
        <f t="shared" si="281"/>
        <v>-1095.25</v>
      </c>
      <c r="BD181" s="286">
        <f t="shared" si="282"/>
        <v>-11478.034749999999</v>
      </c>
      <c r="BE181" s="287"/>
      <c r="BF181" s="287"/>
      <c r="BG181" s="287"/>
      <c r="BH181" s="286">
        <f t="shared" si="283"/>
        <v>458955.26731064403</v>
      </c>
      <c r="BI181" s="307">
        <f t="shared" si="284"/>
        <v>458272.65347731067</v>
      </c>
      <c r="BJ181" s="307">
        <f>_xlfn.IFNA(VLOOKUP(A181,'LA Deductions'!A:AH,34,FALSE),0)</f>
        <v>0</v>
      </c>
      <c r="BK181" s="307"/>
      <c r="BL181" s="308">
        <f>_xlfn.IFNA((VLOOKUP($A181,HN!$A:$M,8,FALSE)/12),0)</f>
        <v>0</v>
      </c>
      <c r="BM181" s="308">
        <f>_xlfn.IFNA((VLOOKUP($A181,HN!$A:$M,12,FALSE)/12),0)</f>
        <v>0</v>
      </c>
      <c r="BN181" s="308">
        <f>_xlfn.IFNA((VLOOKUP($A181,HN!$A:$M,9,FALSE)/12),0)</f>
        <v>0</v>
      </c>
      <c r="BO181" s="308">
        <f>_xlfn.IFNA((VLOOKUP($A181,'Post 16'!$A:$AR,22,FALSE)/4),0)</f>
        <v>0</v>
      </c>
      <c r="BP181" s="308"/>
      <c r="BQ181" s="308">
        <f>_xlfn.IFNA(((VLOOKUP($A181,HN!$A:$M,10,FALSE)-$U181-$AK181)/10),0)</f>
        <v>13255.898583333332</v>
      </c>
      <c r="BR181" s="308">
        <f>_xlfn.IFNA(((VLOOKUP($A181,HN!$A:$M,13,FALSE)-$V181-$AL181)/10),0)</f>
        <v>0</v>
      </c>
      <c r="BS181" s="307">
        <f t="shared" si="285"/>
        <v>-1095.25</v>
      </c>
      <c r="BT181" s="307">
        <f t="shared" si="286"/>
        <v>-11478.034749999999</v>
      </c>
      <c r="BU181" s="308"/>
      <c r="BV181" s="308"/>
      <c r="BW181" s="308"/>
      <c r="BX181" s="307">
        <f t="shared" si="287"/>
        <v>458955.26731064403</v>
      </c>
      <c r="BY181" s="300">
        <f t="shared" si="288"/>
        <v>458272.65347731067</v>
      </c>
      <c r="BZ181" s="300"/>
      <c r="CA181" s="300"/>
      <c r="CB181" s="301">
        <f>_xlfn.IFNA((VLOOKUP($A181,HN!$A:$M,8,FALSE)/12),0)</f>
        <v>0</v>
      </c>
      <c r="CC181" s="301">
        <f>_xlfn.IFNA((VLOOKUP($A181,HN!$A:$M,12,FALSE)/12),0)</f>
        <v>0</v>
      </c>
      <c r="CD181" s="301">
        <f>_xlfn.IFNA((VLOOKUP($A181,HN!$A:$M,9,FALSE)/12),0)</f>
        <v>0</v>
      </c>
      <c r="CE181" s="301">
        <f>_xlfn.IFNA((VLOOKUP($A181,'Post 16'!$A:$AG,33,FALSE)/8),0)</f>
        <v>0</v>
      </c>
      <c r="CF181" s="301"/>
      <c r="CG181" s="301">
        <f>_xlfn.IFNA(((VLOOKUP($A181,HN!$A:$M,10,FALSE)-$U181-$AK181)/10),0)</f>
        <v>13255.898583333332</v>
      </c>
      <c r="CH181" s="301">
        <f>_xlfn.IFNA(((VLOOKUP($A181,HN!$A:$M,13,FALSE)-$V181-$AL181)/10),0)</f>
        <v>0</v>
      </c>
      <c r="CI181" s="300">
        <f t="shared" si="289"/>
        <v>-1095.25</v>
      </c>
      <c r="CJ181" s="300">
        <f t="shared" si="290"/>
        <v>-11478.034749999999</v>
      </c>
      <c r="CK181" s="301"/>
      <c r="CL181" s="301"/>
      <c r="CM181" s="301"/>
      <c r="CN181" s="300">
        <f t="shared" si="291"/>
        <v>458955.26731064403</v>
      </c>
      <c r="CO181" s="332">
        <f t="shared" si="292"/>
        <v>458272.65347731067</v>
      </c>
      <c r="CP181" s="332"/>
      <c r="CQ181" s="332">
        <f>_xlfn.IFNA((VLOOKUP($A181,EY!$A:$AB,28,FALSE)-$CV181),0)</f>
        <v>0</v>
      </c>
      <c r="CR181" s="333">
        <f>_xlfn.IFNA((VLOOKUP($A181,HN!$A:$M,8,FALSE)/12),0)</f>
        <v>0</v>
      </c>
      <c r="CS181" s="333">
        <f>_xlfn.IFNA((VLOOKUP($A181,HN!$A:$M,12,FALSE)/12),0)</f>
        <v>0</v>
      </c>
      <c r="CT181" s="333">
        <f>_xlfn.IFNA((VLOOKUP($A181,HN!$A:$M,9,FALSE)/12),0)</f>
        <v>0</v>
      </c>
      <c r="CU181" s="333">
        <f>_xlfn.IFNA((VLOOKUP($A181,'Post 16'!$A:$AG,33,FALSE)/8),0)</f>
        <v>0</v>
      </c>
      <c r="CV181" s="333">
        <f>_xlfn.IFNA((VLOOKUP($A181,EY!$A:$AB,26,FALSE)*80%),0)</f>
        <v>0</v>
      </c>
      <c r="CW181" s="333">
        <f>_xlfn.IFNA(((VLOOKUP($A181,HN!$A:$M,10,FALSE)-$U181-$AK181)/10),0)</f>
        <v>13255.898583333332</v>
      </c>
      <c r="CX181" s="333">
        <f>_xlfn.IFNA(((VLOOKUP($A181,HN!$A:$M,13,FALSE)-$V181-$AL181)/10),0)</f>
        <v>0</v>
      </c>
      <c r="CY181" s="332">
        <f t="shared" si="293"/>
        <v>-1095.25</v>
      </c>
      <c r="CZ181" s="332">
        <f t="shared" si="294"/>
        <v>-11478.034749999999</v>
      </c>
      <c r="DA181" s="333"/>
      <c r="DB181" s="333"/>
      <c r="DC181" s="333"/>
      <c r="DD181" s="332">
        <f t="shared" si="295"/>
        <v>458955.26731064403</v>
      </c>
      <c r="DE181" s="314">
        <f t="shared" si="296"/>
        <v>458272.65347731067</v>
      </c>
      <c r="DF181" s="314"/>
      <c r="DG181" s="314"/>
      <c r="DH181" s="315">
        <f>_xlfn.IFNA((VLOOKUP($A181,HN!$A:$M,8,FALSE)/12),0)</f>
        <v>0</v>
      </c>
      <c r="DI181" s="315">
        <f>_xlfn.IFNA((VLOOKUP($A181,HN!$A:$M,12,FALSE)/12),0)</f>
        <v>0</v>
      </c>
      <c r="DJ181" s="315">
        <f>_xlfn.IFNA((VLOOKUP($A181,HN!$A:$M,9,FALSE)/12),0)</f>
        <v>0</v>
      </c>
      <c r="DK181" s="315">
        <f>_xlfn.IFNA((VLOOKUP($A181,'Post 16'!$A:$AG,33,FALSE)/8),0)</f>
        <v>0</v>
      </c>
      <c r="DL181" s="315"/>
      <c r="DM181" s="315">
        <f>_xlfn.IFNA(((VLOOKUP($A181,HN!$A:$M,10,FALSE)-$U181-$AK181)/10),0)</f>
        <v>13255.898583333332</v>
      </c>
      <c r="DN181" s="315">
        <f>_xlfn.IFNA(((VLOOKUP($A181,HN!$A:$M,13,FALSE)-$V181-$AL181)/10),0)</f>
        <v>0</v>
      </c>
      <c r="DO181" s="314">
        <f t="shared" si="297"/>
        <v>-1095.25</v>
      </c>
      <c r="DP181" s="314">
        <f t="shared" si="298"/>
        <v>-11478.034749999999</v>
      </c>
      <c r="DQ181" s="315"/>
      <c r="DR181" s="315"/>
      <c r="DS181" s="315"/>
      <c r="DT181" s="314">
        <f t="shared" si="299"/>
        <v>458955.26731064403</v>
      </c>
      <c r="DU181" s="307">
        <f t="shared" si="300"/>
        <v>458272.65347731067</v>
      </c>
      <c r="DV181" s="307"/>
      <c r="DW181" s="307"/>
      <c r="DX181" s="308">
        <f>_xlfn.IFNA((VLOOKUP($A181,HN!$A:$M,8,FALSE)/12),0)</f>
        <v>0</v>
      </c>
      <c r="DY181" s="308">
        <f>_xlfn.IFNA((VLOOKUP($A181,HN!$A:$M,12,FALSE)/12),0)</f>
        <v>0</v>
      </c>
      <c r="DZ181" s="308">
        <f>_xlfn.IFNA((VLOOKUP($A181,HN!$A:$M,9,FALSE)/12),0)</f>
        <v>0</v>
      </c>
      <c r="EA181" s="308">
        <f>_xlfn.IFNA((VLOOKUP($A181,'Post 16'!$A:$AG,33,FALSE)/8),0)</f>
        <v>0</v>
      </c>
      <c r="EB181" s="308"/>
      <c r="EC181" s="308">
        <f>_xlfn.IFNA(((VLOOKUP($A181,HN!$A:$M,10,FALSE)-$U181-$AK181)/10),0)</f>
        <v>13255.898583333332</v>
      </c>
      <c r="ED181" s="308">
        <f>_xlfn.IFNA(((VLOOKUP($A181,HN!$A:$M,13,FALSE)-$V181-$AL181)/10),0)</f>
        <v>0</v>
      </c>
      <c r="EE181" s="307">
        <f t="shared" si="301"/>
        <v>-1095.25</v>
      </c>
      <c r="EF181" s="307">
        <f t="shared" si="302"/>
        <v>-11478.034749999999</v>
      </c>
      <c r="EG181" s="308"/>
      <c r="EH181" s="308"/>
      <c r="EI181" s="308"/>
      <c r="EJ181" s="307">
        <f t="shared" si="303"/>
        <v>458955.26731064403</v>
      </c>
      <c r="EK181" s="320">
        <f t="shared" si="304"/>
        <v>458272.65347731067</v>
      </c>
      <c r="EL181" s="320"/>
      <c r="EM181" s="320"/>
      <c r="EN181" s="321">
        <f>_xlfn.IFNA((VLOOKUP($A181,HN!$A:$M,8,FALSE)/12),0)</f>
        <v>0</v>
      </c>
      <c r="EO181" s="321">
        <f>_xlfn.IFNA((VLOOKUP($A181,HN!$A:$M,12,FALSE)/12),0)</f>
        <v>0</v>
      </c>
      <c r="EP181" s="321">
        <f>_xlfn.IFNA((VLOOKUP($A181,HN!$A:$M,9,FALSE)/12),0)</f>
        <v>0</v>
      </c>
      <c r="EQ181" s="321">
        <f>_xlfn.IFNA((VLOOKUP($A181,'Post 16'!$A:$AG,33,FALSE)/8),0)</f>
        <v>0</v>
      </c>
      <c r="ER181" s="321"/>
      <c r="ES181" s="321">
        <f>_xlfn.IFNA(((VLOOKUP($A181,HN!$A:$M,10,FALSE)-$U181-$AK181)/10),0)</f>
        <v>13255.898583333332</v>
      </c>
      <c r="ET181" s="321">
        <f>_xlfn.IFNA(((VLOOKUP($A181,HN!$A:$M,13,FALSE)-$V181-$AL181)/10),0)</f>
        <v>0</v>
      </c>
      <c r="EU181" s="320">
        <f t="shared" si="305"/>
        <v>-1095.25</v>
      </c>
      <c r="EV181" s="320">
        <f t="shared" si="306"/>
        <v>-11478.034749999999</v>
      </c>
      <c r="EW181" s="321"/>
      <c r="EX181" s="321"/>
      <c r="EY181" s="321"/>
      <c r="EZ181" s="320">
        <f t="shared" si="307"/>
        <v>458955.26731064403</v>
      </c>
      <c r="FA181" s="286">
        <f t="shared" si="308"/>
        <v>458272.65347731067</v>
      </c>
      <c r="FB181" s="286"/>
      <c r="FC181" s="286"/>
      <c r="FD181" s="287">
        <f>_xlfn.IFNA((VLOOKUP($A181,HN!$A:$M,8,FALSE)/12),0)</f>
        <v>0</v>
      </c>
      <c r="FE181" s="287">
        <f>_xlfn.IFNA((VLOOKUP($A181,HN!$A:$M,12,FALSE)/12),0)</f>
        <v>0</v>
      </c>
      <c r="FF181" s="287">
        <f>_xlfn.IFNA((VLOOKUP($A181,HN!$A:$M,9,FALSE)/12),0)</f>
        <v>0</v>
      </c>
      <c r="FG181" s="287">
        <f>_xlfn.IFNA((VLOOKUP($A181,'Post 16'!$A:$AG,33,FALSE)/8),0)</f>
        <v>0</v>
      </c>
      <c r="FH181" s="287"/>
      <c r="FI181" s="287">
        <f>_xlfn.IFNA(((VLOOKUP($A181,HN!$A:$M,10,FALSE)-$U181-$AK181)/10),0)</f>
        <v>13255.898583333332</v>
      </c>
      <c r="FJ181" s="287">
        <f>_xlfn.IFNA(((VLOOKUP($A181,HN!$A:$M,13,FALSE)-$V181-$AL181)/10),0)</f>
        <v>0</v>
      </c>
      <c r="FK181" s="286">
        <f t="shared" si="309"/>
        <v>-1095.25</v>
      </c>
      <c r="FL181" s="286">
        <f t="shared" si="310"/>
        <v>-11478.034749999999</v>
      </c>
      <c r="FM181" s="287"/>
      <c r="FN181" s="287"/>
      <c r="FO181" s="287"/>
      <c r="FP181" s="286">
        <f t="shared" si="311"/>
        <v>458955.26731064403</v>
      </c>
      <c r="FQ181" s="293">
        <f t="shared" si="312"/>
        <v>458272.65347731067</v>
      </c>
      <c r="FR181" s="293"/>
      <c r="FS181" s="293"/>
      <c r="FT181" s="294">
        <f>_xlfn.IFNA((VLOOKUP($A181,HN!$A:$M,8,FALSE)/12),0)</f>
        <v>0</v>
      </c>
      <c r="FU181" s="294">
        <f>_xlfn.IFNA((VLOOKUP($A181,HN!$A:$M,12,FALSE)/12),0)</f>
        <v>0</v>
      </c>
      <c r="FV181" s="294">
        <f>_xlfn.IFNA((VLOOKUP($A181,HN!$A:$M,9,FALSE)/12),0)</f>
        <v>0</v>
      </c>
      <c r="FW181" s="294">
        <f>_xlfn.IFNA((VLOOKUP($A181,'Post 16'!$A:$AG,33,FALSE)/8),0)</f>
        <v>0</v>
      </c>
      <c r="FX181" s="294"/>
      <c r="FY181" s="294">
        <f>_xlfn.IFNA(((VLOOKUP($A181,HN!$A:$M,10,FALSE)-$U181-$AK181)/10),0)</f>
        <v>13255.898583333332</v>
      </c>
      <c r="FZ181" s="294">
        <f>_xlfn.IFNA(((VLOOKUP($A181,HN!$A:$M,13,FALSE)-$V181-$AL181)/10),0)</f>
        <v>0</v>
      </c>
      <c r="GA181" s="293">
        <f t="shared" si="313"/>
        <v>-1095.25</v>
      </c>
      <c r="GB181" s="293">
        <f t="shared" si="314"/>
        <v>-11478.034749999999</v>
      </c>
      <c r="GC181" s="294"/>
      <c r="GD181" s="294"/>
      <c r="GE181" s="294"/>
      <c r="GF181" s="293">
        <f t="shared" si="315"/>
        <v>458955.26731064403</v>
      </c>
      <c r="GG181" s="300">
        <f t="shared" si="316"/>
        <v>458272.65347731067</v>
      </c>
      <c r="GH181" s="300"/>
      <c r="GI181" s="300"/>
      <c r="GJ181" s="301">
        <f>_xlfn.IFNA((VLOOKUP($A181,HN!$A:$M,8,FALSE)/12),0)</f>
        <v>0</v>
      </c>
      <c r="GK181" s="301">
        <f>_xlfn.IFNA((VLOOKUP($A181,HN!$A:$M,12,FALSE)/12),0)</f>
        <v>0</v>
      </c>
      <c r="GL181" s="301">
        <f>_xlfn.IFNA((VLOOKUP($A181,HN!$A:$M,9,FALSE)/12),0)</f>
        <v>0</v>
      </c>
      <c r="GM181" s="301">
        <f>_xlfn.IFNA((VLOOKUP($A181,'Post 16'!$A:$AG,33,FALSE)/8),0)</f>
        <v>0</v>
      </c>
      <c r="GN181" s="301"/>
      <c r="GO181" s="301">
        <f>_xlfn.IFNA(((VLOOKUP($A181,HN!$A:$M,10,FALSE)-$U181-$AK181)/10),0)</f>
        <v>13255.898583333332</v>
      </c>
      <c r="GP181" s="301">
        <f>_xlfn.IFNA(((VLOOKUP($A181,HN!$A:$M,13,FALSE)-$V181-$AL181)/10),0)</f>
        <v>0</v>
      </c>
      <c r="GQ181" s="300">
        <f t="shared" si="317"/>
        <v>-1095.25</v>
      </c>
      <c r="GR181" s="300">
        <f t="shared" si="318"/>
        <v>-11478.034749999999</v>
      </c>
      <c r="GS181" s="301"/>
      <c r="GT181" s="301"/>
      <c r="GU181" s="301"/>
      <c r="GV181" s="300">
        <f t="shared" si="319"/>
        <v>458955.26731064403</v>
      </c>
      <c r="GX181" s="146">
        <f t="shared" si="322"/>
        <v>5499271.841727728</v>
      </c>
      <c r="GY181" s="146">
        <f t="shared" si="322"/>
        <v>0</v>
      </c>
      <c r="GZ181" s="146">
        <f t="shared" si="322"/>
        <v>171662.49999999997</v>
      </c>
      <c r="HA181" s="146">
        <f t="shared" si="322"/>
        <v>-13143</v>
      </c>
      <c r="HB181" s="146">
        <f t="shared" si="322"/>
        <v>-137736.41699999996</v>
      </c>
      <c r="HC181" s="146">
        <f t="shared" si="322"/>
        <v>0</v>
      </c>
      <c r="HE181" s="146">
        <f t="shared" si="323"/>
        <v>1374817.960431932</v>
      </c>
      <c r="HF181" s="146">
        <f t="shared" si="323"/>
        <v>0</v>
      </c>
      <c r="HG181" s="146">
        <f t="shared" si="323"/>
        <v>52359.412750000003</v>
      </c>
      <c r="HH181" s="146">
        <f t="shared" si="323"/>
        <v>-3285.75</v>
      </c>
      <c r="HI181" s="146">
        <f t="shared" si="323"/>
        <v>-34434.104249999997</v>
      </c>
      <c r="HJ181" s="146">
        <f t="shared" si="323"/>
        <v>0</v>
      </c>
      <c r="HL181" s="146"/>
      <c r="HM181" s="57"/>
    </row>
    <row r="182" spans="1:221">
      <c r="A182" s="185">
        <v>2478</v>
      </c>
      <c r="B182" s="185">
        <v>132007</v>
      </c>
      <c r="C182" s="185" t="s">
        <v>391</v>
      </c>
      <c r="D182" s="2" t="s">
        <v>392</v>
      </c>
      <c r="E182" s="190" t="s">
        <v>39</v>
      </c>
      <c r="F182" s="190" t="s">
        <v>890</v>
      </c>
      <c r="H182" s="271">
        <f>_xlfn.IFNA(VLOOKUP($A182,ISB!$A$4:$BY$441,67,FALSE),0)</f>
        <v>2189217.5130000003</v>
      </c>
      <c r="I182" s="271">
        <f>_xlfn.IFNA(VLOOKUP($A182,ISB!$A$4:$BY$441,72,FALSE),0)</f>
        <v>-10458</v>
      </c>
      <c r="J182" s="271">
        <f>-_xlfn.IFNA(VLOOKUP($A182,ISB!$A$4:$BY$441,76,FALSE),0)</f>
        <v>-40917.512999999999</v>
      </c>
      <c r="K182" s="271">
        <f>_xlfn.IFNA(VLOOKUP($A182,ISB!$A$4:$BY$441,77,FALSE),0)</f>
        <v>2137842.0000000005</v>
      </c>
      <c r="M182" s="279">
        <f t="shared" si="272"/>
        <v>182434.79275000002</v>
      </c>
      <c r="N182" s="279"/>
      <c r="O182" s="279">
        <f>_xlfn.IFNA(VLOOKUP($A182,EY!$A:$H,8,FALSE)+(VLOOKUP($A182,EY!$A:$R,18,FALSE)-$T182),0)</f>
        <v>43812.955789473694</v>
      </c>
      <c r="P182" s="280">
        <f>_xlfn.IFNA((VLOOKUP($A182,HN!$A:$M,8,FALSE)/12),0)</f>
        <v>0</v>
      </c>
      <c r="Q182" s="280">
        <f>_xlfn.IFNA((VLOOKUP($A182,HN!$A:$M,12,FALSE)/12),0)</f>
        <v>0</v>
      </c>
      <c r="R182" s="280">
        <f>_xlfn.IFNA((VLOOKUP($A182,HN!$A:$M,9,FALSE)/12),0)</f>
        <v>0</v>
      </c>
      <c r="S182" s="280">
        <f>_xlfn.IFNA((VLOOKUP($A182,'Post 16'!$A:$AR,22,FALSE)/4),0)</f>
        <v>0</v>
      </c>
      <c r="T182" s="280">
        <f>_xlfn.IFNA((VLOOKUP($A182,EY!$A:$R,16,FALSE)*80%),0)</f>
        <v>0</v>
      </c>
      <c r="U182" s="280">
        <v>5909.666666666667</v>
      </c>
      <c r="V182" s="280">
        <v>0</v>
      </c>
      <c r="W182" s="279">
        <f t="shared" si="273"/>
        <v>-871.5</v>
      </c>
      <c r="X182" s="279">
        <f t="shared" si="274"/>
        <v>-3409.7927500000001</v>
      </c>
      <c r="Y182" s="280"/>
      <c r="Z182" s="280"/>
      <c r="AA182" s="280"/>
      <c r="AB182" s="279">
        <f t="shared" si="275"/>
        <v>227876.12245614038</v>
      </c>
      <c r="AC182" s="293">
        <f t="shared" si="276"/>
        <v>182434.79275000002</v>
      </c>
      <c r="AD182" s="293"/>
      <c r="AE182" s="293"/>
      <c r="AF182" s="294">
        <f>_xlfn.IFNA((VLOOKUP($A182,HN!$A:$M,8,FALSE)/12),0)</f>
        <v>0</v>
      </c>
      <c r="AG182" s="294">
        <f>_xlfn.IFNA((VLOOKUP($A182,HN!$A:$M,12,FALSE)/12),0)+_xlfn.IFNA(VLOOKUP($A182,HN!$A:$Q,17,FALSE),0)</f>
        <v>0</v>
      </c>
      <c r="AH182" s="294">
        <f>_xlfn.IFNA((VLOOKUP($A182,HN!$A:$M,9,FALSE)/12),0)</f>
        <v>0</v>
      </c>
      <c r="AI182" s="294">
        <f>_xlfn.IFNA((VLOOKUP($A182,'Post 16'!$A:$AR,22,FALSE)/4),0)</f>
        <v>0</v>
      </c>
      <c r="AJ182" s="294"/>
      <c r="AK182" s="294">
        <f>_xlfn.IFNA((VLOOKUP($A182,HN!$A:$M,10,FALSE)/12),0)</f>
        <v>2215</v>
      </c>
      <c r="AL182" s="294">
        <f>_xlfn.IFNA((VLOOKUP($A182,HN!$A:$M,13,FALSE)/12),0)</f>
        <v>0</v>
      </c>
      <c r="AM182" s="293">
        <f t="shared" si="277"/>
        <v>-871.5</v>
      </c>
      <c r="AN182" s="293">
        <f t="shared" si="278"/>
        <v>-3409.7927500000001</v>
      </c>
      <c r="AO182" s="294"/>
      <c r="AP182" s="294"/>
      <c r="AQ182" s="294"/>
      <c r="AR182" s="293">
        <f t="shared" si="279"/>
        <v>180368.50000000003</v>
      </c>
      <c r="AS182" s="286">
        <f t="shared" si="280"/>
        <v>182434.79275000002</v>
      </c>
      <c r="AT182" s="286"/>
      <c r="AU182" s="286">
        <f>_xlfn.IFNA(VLOOKUP(A182,EY!A:AO,40,FALSE),0)</f>
        <v>5521.4073684210562</v>
      </c>
      <c r="AV182" s="287">
        <f>_xlfn.IFNA((VLOOKUP($A182,HN!$A:$M,8,FALSE)/12),0)</f>
        <v>0</v>
      </c>
      <c r="AW182" s="287">
        <f>_xlfn.IFNA((VLOOKUP($A182,HN!$A:$M,12,FALSE)/12),0)+_xlfn.IFNA(VLOOKUP($A182,HN!$A$8:$AU$200,19,FALSE),0)</f>
        <v>0</v>
      </c>
      <c r="AX182" s="287">
        <f>_xlfn.IFNA((VLOOKUP($A182,HN!$A:$M,9,FALSE)/12),0)</f>
        <v>0</v>
      </c>
      <c r="AY182" s="287">
        <f>_xlfn.IFNA((VLOOKUP($A182,'Post 16'!$A:$AR,22,FALSE)/4),0)</f>
        <v>0</v>
      </c>
      <c r="AZ182" s="287">
        <f>_xlfn.IFNA(VLOOKUP(A182,EY!A:AO,41,FALSE),0)</f>
        <v>0</v>
      </c>
      <c r="BA182" s="287">
        <f>_xlfn.IFNA(((VLOOKUP($A182,HN!$A:$M,10,FALSE)-$U182-$AK182)/10),0)+_xlfn.IFNA(VLOOKUP($A182,HN!$A:$R,18,FALSE),0)</f>
        <v>1845.5333333333333</v>
      </c>
      <c r="BB182" s="287">
        <f>_xlfn.IFNA(((VLOOKUP($A182,HN!$A:$M,13,FALSE)-$V182-$AL182)/10),0)+_xlfn.IFNA(VLOOKUP($A182,HN!$A$8:$AU$200,20,FALSE),0)</f>
        <v>0</v>
      </c>
      <c r="BC182" s="286">
        <f t="shared" si="281"/>
        <v>-871.5</v>
      </c>
      <c r="BD182" s="286">
        <f t="shared" si="282"/>
        <v>-3409.7927500000001</v>
      </c>
      <c r="BE182" s="287"/>
      <c r="BF182" s="287"/>
      <c r="BG182" s="287"/>
      <c r="BH182" s="286">
        <f t="shared" si="283"/>
        <v>185520.44070175441</v>
      </c>
      <c r="BI182" s="307">
        <f t="shared" si="284"/>
        <v>182434.79275000002</v>
      </c>
      <c r="BJ182" s="307">
        <f>_xlfn.IFNA(VLOOKUP(A182,'LA Deductions'!A:AH,34,FALSE),0)</f>
        <v>-3780</v>
      </c>
      <c r="BK182" s="307"/>
      <c r="BL182" s="308">
        <f>_xlfn.IFNA((VLOOKUP($A182,HN!$A:$M,8,FALSE)/12),0)</f>
        <v>0</v>
      </c>
      <c r="BM182" s="308">
        <f>_xlfn.IFNA((VLOOKUP($A182,HN!$A:$M,12,FALSE)/12),0)</f>
        <v>0</v>
      </c>
      <c r="BN182" s="308">
        <f>_xlfn.IFNA((VLOOKUP($A182,HN!$A:$M,9,FALSE)/12),0)</f>
        <v>0</v>
      </c>
      <c r="BO182" s="308">
        <f>_xlfn.IFNA((VLOOKUP($A182,'Post 16'!$A:$AR,22,FALSE)/4),0)</f>
        <v>0</v>
      </c>
      <c r="BP182" s="308"/>
      <c r="BQ182" s="308">
        <f>_xlfn.IFNA(((VLOOKUP($A182,HN!$A:$M,10,FALSE)-$U182-$AK182)/10),0)</f>
        <v>1845.5333333333333</v>
      </c>
      <c r="BR182" s="308">
        <f>_xlfn.IFNA(((VLOOKUP($A182,HN!$A:$M,13,FALSE)-$V182-$AL182)/10),0)</f>
        <v>0</v>
      </c>
      <c r="BS182" s="307">
        <f t="shared" si="285"/>
        <v>-871.5</v>
      </c>
      <c r="BT182" s="307">
        <f t="shared" si="286"/>
        <v>-3409.7927500000001</v>
      </c>
      <c r="BU182" s="308"/>
      <c r="BV182" s="308"/>
      <c r="BW182" s="308"/>
      <c r="BX182" s="307">
        <f t="shared" si="287"/>
        <v>176219.03333333335</v>
      </c>
      <c r="BY182" s="300">
        <f t="shared" si="288"/>
        <v>182434.79275000002</v>
      </c>
      <c r="BZ182" s="300"/>
      <c r="CA182" s="300"/>
      <c r="CB182" s="301">
        <f>_xlfn.IFNA((VLOOKUP($A182,HN!$A:$M,8,FALSE)/12),0)</f>
        <v>0</v>
      </c>
      <c r="CC182" s="301">
        <f>_xlfn.IFNA((VLOOKUP($A182,HN!$A:$M,12,FALSE)/12),0)</f>
        <v>0</v>
      </c>
      <c r="CD182" s="301">
        <f>_xlfn.IFNA((VLOOKUP($A182,HN!$A:$M,9,FALSE)/12),0)</f>
        <v>0</v>
      </c>
      <c r="CE182" s="301">
        <f>_xlfn.IFNA((VLOOKUP($A182,'Post 16'!$A:$AG,33,FALSE)/8),0)</f>
        <v>0</v>
      </c>
      <c r="CF182" s="301"/>
      <c r="CG182" s="301">
        <f>_xlfn.IFNA(((VLOOKUP($A182,HN!$A:$M,10,FALSE)-$U182-$AK182)/10),0)</f>
        <v>1845.5333333333333</v>
      </c>
      <c r="CH182" s="301">
        <f>_xlfn.IFNA(((VLOOKUP($A182,HN!$A:$M,13,FALSE)-$V182-$AL182)/10),0)</f>
        <v>0</v>
      </c>
      <c r="CI182" s="300">
        <f t="shared" si="289"/>
        <v>-871.5</v>
      </c>
      <c r="CJ182" s="300">
        <f t="shared" si="290"/>
        <v>-3409.7927500000001</v>
      </c>
      <c r="CK182" s="301"/>
      <c r="CL182" s="301"/>
      <c r="CM182" s="301"/>
      <c r="CN182" s="300">
        <f t="shared" si="291"/>
        <v>179999.03333333335</v>
      </c>
      <c r="CO182" s="332">
        <f t="shared" si="292"/>
        <v>182434.79275000002</v>
      </c>
      <c r="CP182" s="332"/>
      <c r="CQ182" s="332">
        <f>_xlfn.IFNA((VLOOKUP($A182,EY!$A:$AB,28,FALSE)-$CV182),0)</f>
        <v>36840.773894736849</v>
      </c>
      <c r="CR182" s="333">
        <f>_xlfn.IFNA((VLOOKUP($A182,HN!$A:$M,8,FALSE)/12),0)</f>
        <v>0</v>
      </c>
      <c r="CS182" s="333">
        <f>_xlfn.IFNA((VLOOKUP($A182,HN!$A:$M,12,FALSE)/12),0)</f>
        <v>0</v>
      </c>
      <c r="CT182" s="333">
        <f>_xlfn.IFNA((VLOOKUP($A182,HN!$A:$M,9,FALSE)/12),0)</f>
        <v>0</v>
      </c>
      <c r="CU182" s="333">
        <f>_xlfn.IFNA((VLOOKUP($A182,'Post 16'!$A:$AG,33,FALSE)/8),0)</f>
        <v>0</v>
      </c>
      <c r="CV182" s="333">
        <f>_xlfn.IFNA((VLOOKUP($A182,EY!$A:$AB,26,FALSE)*80%),0)</f>
        <v>0</v>
      </c>
      <c r="CW182" s="333">
        <f>_xlfn.IFNA(((VLOOKUP($A182,HN!$A:$M,10,FALSE)-$U182-$AK182)/10),0)</f>
        <v>1845.5333333333333</v>
      </c>
      <c r="CX182" s="333">
        <f>_xlfn.IFNA(((VLOOKUP($A182,HN!$A:$M,13,FALSE)-$V182-$AL182)/10),0)</f>
        <v>0</v>
      </c>
      <c r="CY182" s="332">
        <f t="shared" si="293"/>
        <v>-871.5</v>
      </c>
      <c r="CZ182" s="332">
        <f t="shared" si="294"/>
        <v>-3409.7927500000001</v>
      </c>
      <c r="DA182" s="333"/>
      <c r="DB182" s="333"/>
      <c r="DC182" s="333"/>
      <c r="DD182" s="332">
        <f t="shared" si="295"/>
        <v>216839.80722807019</v>
      </c>
      <c r="DE182" s="314">
        <f t="shared" si="296"/>
        <v>182434.79275000002</v>
      </c>
      <c r="DF182" s="314"/>
      <c r="DG182" s="314"/>
      <c r="DH182" s="315">
        <f>_xlfn.IFNA((VLOOKUP($A182,HN!$A:$M,8,FALSE)/12),0)</f>
        <v>0</v>
      </c>
      <c r="DI182" s="315">
        <f>_xlfn.IFNA((VLOOKUP($A182,HN!$A:$M,12,FALSE)/12),0)</f>
        <v>0</v>
      </c>
      <c r="DJ182" s="315">
        <f>_xlfn.IFNA((VLOOKUP($A182,HN!$A:$M,9,FALSE)/12),0)</f>
        <v>0</v>
      </c>
      <c r="DK182" s="315">
        <f>_xlfn.IFNA((VLOOKUP($A182,'Post 16'!$A:$AG,33,FALSE)/8),0)</f>
        <v>0</v>
      </c>
      <c r="DL182" s="315"/>
      <c r="DM182" s="315">
        <f>_xlfn.IFNA(((VLOOKUP($A182,HN!$A:$M,10,FALSE)-$U182-$AK182)/10),0)</f>
        <v>1845.5333333333333</v>
      </c>
      <c r="DN182" s="315">
        <f>_xlfn.IFNA(((VLOOKUP($A182,HN!$A:$M,13,FALSE)-$V182-$AL182)/10),0)</f>
        <v>0</v>
      </c>
      <c r="DO182" s="314">
        <f t="shared" si="297"/>
        <v>-871.5</v>
      </c>
      <c r="DP182" s="314">
        <f t="shared" si="298"/>
        <v>-3409.7927500000001</v>
      </c>
      <c r="DQ182" s="315"/>
      <c r="DR182" s="315"/>
      <c r="DS182" s="315"/>
      <c r="DT182" s="314">
        <f t="shared" si="299"/>
        <v>179999.03333333335</v>
      </c>
      <c r="DU182" s="307">
        <f t="shared" si="300"/>
        <v>182434.79275000002</v>
      </c>
      <c r="DV182" s="307"/>
      <c r="DW182" s="307"/>
      <c r="DX182" s="308">
        <f>_xlfn.IFNA((VLOOKUP($A182,HN!$A:$M,8,FALSE)/12),0)</f>
        <v>0</v>
      </c>
      <c r="DY182" s="308">
        <f>_xlfn.IFNA((VLOOKUP($A182,HN!$A:$M,12,FALSE)/12),0)</f>
        <v>0</v>
      </c>
      <c r="DZ182" s="308">
        <f>_xlfn.IFNA((VLOOKUP($A182,HN!$A:$M,9,FALSE)/12),0)</f>
        <v>0</v>
      </c>
      <c r="EA182" s="308">
        <f>_xlfn.IFNA((VLOOKUP($A182,'Post 16'!$A:$AG,33,FALSE)/8),0)</f>
        <v>0</v>
      </c>
      <c r="EB182" s="308"/>
      <c r="EC182" s="308">
        <f>_xlfn.IFNA(((VLOOKUP($A182,HN!$A:$M,10,FALSE)-$U182-$AK182)/10),0)</f>
        <v>1845.5333333333333</v>
      </c>
      <c r="ED182" s="308">
        <f>_xlfn.IFNA(((VLOOKUP($A182,HN!$A:$M,13,FALSE)-$V182-$AL182)/10),0)</f>
        <v>0</v>
      </c>
      <c r="EE182" s="307">
        <f t="shared" si="301"/>
        <v>-871.5</v>
      </c>
      <c r="EF182" s="307">
        <f t="shared" si="302"/>
        <v>-3409.7927500000001</v>
      </c>
      <c r="EG182" s="308"/>
      <c r="EH182" s="308"/>
      <c r="EI182" s="308"/>
      <c r="EJ182" s="307">
        <f t="shared" si="303"/>
        <v>179999.03333333335</v>
      </c>
      <c r="EK182" s="320">
        <f t="shared" si="304"/>
        <v>182434.79275000002</v>
      </c>
      <c r="EL182" s="320"/>
      <c r="EM182" s="320"/>
      <c r="EN182" s="321">
        <f>_xlfn.IFNA((VLOOKUP($A182,HN!$A:$M,8,FALSE)/12),0)</f>
        <v>0</v>
      </c>
      <c r="EO182" s="321">
        <f>_xlfn.IFNA((VLOOKUP($A182,HN!$A:$M,12,FALSE)/12),0)</f>
        <v>0</v>
      </c>
      <c r="EP182" s="321">
        <f>_xlfn.IFNA((VLOOKUP($A182,HN!$A:$M,9,FALSE)/12),0)</f>
        <v>0</v>
      </c>
      <c r="EQ182" s="321">
        <f>_xlfn.IFNA((VLOOKUP($A182,'Post 16'!$A:$AG,33,FALSE)/8),0)</f>
        <v>0</v>
      </c>
      <c r="ER182" s="321"/>
      <c r="ES182" s="321">
        <f>_xlfn.IFNA(((VLOOKUP($A182,HN!$A:$M,10,FALSE)-$U182-$AK182)/10),0)</f>
        <v>1845.5333333333333</v>
      </c>
      <c r="ET182" s="321">
        <f>_xlfn.IFNA(((VLOOKUP($A182,HN!$A:$M,13,FALSE)-$V182-$AL182)/10),0)</f>
        <v>0</v>
      </c>
      <c r="EU182" s="320">
        <f t="shared" si="305"/>
        <v>-871.5</v>
      </c>
      <c r="EV182" s="320">
        <f t="shared" si="306"/>
        <v>-3409.7927500000001</v>
      </c>
      <c r="EW182" s="321"/>
      <c r="EX182" s="321"/>
      <c r="EY182" s="321"/>
      <c r="EZ182" s="320">
        <f t="shared" si="307"/>
        <v>179999.03333333335</v>
      </c>
      <c r="FA182" s="286">
        <f t="shared" si="308"/>
        <v>182434.79275000002</v>
      </c>
      <c r="FB182" s="286"/>
      <c r="FC182" s="286"/>
      <c r="FD182" s="287">
        <f>_xlfn.IFNA((VLOOKUP($A182,HN!$A:$M,8,FALSE)/12),0)</f>
        <v>0</v>
      </c>
      <c r="FE182" s="287">
        <f>_xlfn.IFNA((VLOOKUP($A182,HN!$A:$M,12,FALSE)/12),0)</f>
        <v>0</v>
      </c>
      <c r="FF182" s="287">
        <f>_xlfn.IFNA((VLOOKUP($A182,HN!$A:$M,9,FALSE)/12),0)</f>
        <v>0</v>
      </c>
      <c r="FG182" s="287">
        <f>_xlfn.IFNA((VLOOKUP($A182,'Post 16'!$A:$AG,33,FALSE)/8),0)</f>
        <v>0</v>
      </c>
      <c r="FH182" s="287"/>
      <c r="FI182" s="287">
        <f>_xlfn.IFNA(((VLOOKUP($A182,HN!$A:$M,10,FALSE)-$U182-$AK182)/10),0)</f>
        <v>1845.5333333333333</v>
      </c>
      <c r="FJ182" s="287">
        <f>_xlfn.IFNA(((VLOOKUP($A182,HN!$A:$M,13,FALSE)-$V182-$AL182)/10),0)</f>
        <v>0</v>
      </c>
      <c r="FK182" s="286">
        <f t="shared" si="309"/>
        <v>-871.5</v>
      </c>
      <c r="FL182" s="286">
        <f t="shared" si="310"/>
        <v>-3409.7927500000001</v>
      </c>
      <c r="FM182" s="287"/>
      <c r="FN182" s="287"/>
      <c r="FO182" s="287"/>
      <c r="FP182" s="286">
        <f t="shared" si="311"/>
        <v>179999.03333333335</v>
      </c>
      <c r="FQ182" s="293">
        <f t="shared" si="312"/>
        <v>182434.79275000002</v>
      </c>
      <c r="FR182" s="293"/>
      <c r="FS182" s="293"/>
      <c r="FT182" s="294">
        <f>_xlfn.IFNA((VLOOKUP($A182,HN!$A:$M,8,FALSE)/12),0)</f>
        <v>0</v>
      </c>
      <c r="FU182" s="294">
        <f>_xlfn.IFNA((VLOOKUP($A182,HN!$A:$M,12,FALSE)/12),0)</f>
        <v>0</v>
      </c>
      <c r="FV182" s="294">
        <f>_xlfn.IFNA((VLOOKUP($A182,HN!$A:$M,9,FALSE)/12),0)</f>
        <v>0</v>
      </c>
      <c r="FW182" s="294">
        <f>_xlfn.IFNA((VLOOKUP($A182,'Post 16'!$A:$AG,33,FALSE)/8),0)</f>
        <v>0</v>
      </c>
      <c r="FX182" s="294"/>
      <c r="FY182" s="294">
        <f>_xlfn.IFNA(((VLOOKUP($A182,HN!$A:$M,10,FALSE)-$U182-$AK182)/10),0)</f>
        <v>1845.5333333333333</v>
      </c>
      <c r="FZ182" s="294">
        <f>_xlfn.IFNA(((VLOOKUP($A182,HN!$A:$M,13,FALSE)-$V182-$AL182)/10),0)</f>
        <v>0</v>
      </c>
      <c r="GA182" s="293">
        <f t="shared" si="313"/>
        <v>-871.5</v>
      </c>
      <c r="GB182" s="293">
        <f t="shared" si="314"/>
        <v>-3409.7927500000001</v>
      </c>
      <c r="GC182" s="294"/>
      <c r="GD182" s="294"/>
      <c r="GE182" s="294"/>
      <c r="GF182" s="293">
        <f t="shared" si="315"/>
        <v>179999.03333333335</v>
      </c>
      <c r="GG182" s="300">
        <f t="shared" si="316"/>
        <v>182434.79275000002</v>
      </c>
      <c r="GH182" s="300"/>
      <c r="GI182" s="300"/>
      <c r="GJ182" s="301">
        <f>_xlfn.IFNA((VLOOKUP($A182,HN!$A:$M,8,FALSE)/12),0)</f>
        <v>0</v>
      </c>
      <c r="GK182" s="301">
        <f>_xlfn.IFNA((VLOOKUP($A182,HN!$A:$M,12,FALSE)/12),0)</f>
        <v>0</v>
      </c>
      <c r="GL182" s="301">
        <f>_xlfn.IFNA((VLOOKUP($A182,HN!$A:$M,9,FALSE)/12),0)</f>
        <v>0</v>
      </c>
      <c r="GM182" s="301">
        <f>_xlfn.IFNA((VLOOKUP($A182,'Post 16'!$A:$AG,33,FALSE)/8),0)</f>
        <v>0</v>
      </c>
      <c r="GN182" s="301"/>
      <c r="GO182" s="301">
        <f>_xlfn.IFNA(((VLOOKUP($A182,HN!$A:$M,10,FALSE)-$U182-$AK182)/10),0)</f>
        <v>1845.5333333333333</v>
      </c>
      <c r="GP182" s="301">
        <f>_xlfn.IFNA(((VLOOKUP($A182,HN!$A:$M,13,FALSE)-$V182-$AL182)/10),0)</f>
        <v>0</v>
      </c>
      <c r="GQ182" s="300">
        <f t="shared" si="317"/>
        <v>-871.5</v>
      </c>
      <c r="GR182" s="300">
        <f t="shared" si="318"/>
        <v>-3409.7927500000001</v>
      </c>
      <c r="GS182" s="301"/>
      <c r="GT182" s="301"/>
      <c r="GU182" s="301"/>
      <c r="GV182" s="300">
        <f t="shared" si="319"/>
        <v>179999.03333333335</v>
      </c>
      <c r="GX182" s="146">
        <f t="shared" si="322"/>
        <v>2271612.6500526322</v>
      </c>
      <c r="GY182" s="146">
        <f t="shared" si="322"/>
        <v>0</v>
      </c>
      <c r="GZ182" s="146">
        <f t="shared" si="322"/>
        <v>26579.999999999996</v>
      </c>
      <c r="HA182" s="146">
        <f t="shared" si="322"/>
        <v>-10458</v>
      </c>
      <c r="HB182" s="146">
        <f t="shared" si="322"/>
        <v>-40917.512999999999</v>
      </c>
      <c r="HC182" s="146">
        <f t="shared" si="322"/>
        <v>0</v>
      </c>
      <c r="HE182" s="146">
        <f t="shared" si="323"/>
        <v>596638.74140789488</v>
      </c>
      <c r="HF182" s="146">
        <f t="shared" si="323"/>
        <v>0</v>
      </c>
      <c r="HG182" s="146">
        <f t="shared" si="323"/>
        <v>9970.2000000000007</v>
      </c>
      <c r="HH182" s="146">
        <f t="shared" si="323"/>
        <v>-2614.5</v>
      </c>
      <c r="HI182" s="146">
        <f t="shared" si="323"/>
        <v>-10229.37825</v>
      </c>
      <c r="HJ182" s="146">
        <f t="shared" si="323"/>
        <v>0</v>
      </c>
    </row>
    <row r="183" spans="1:221">
      <c r="A183" s="185">
        <v>2293</v>
      </c>
      <c r="B183" s="185">
        <v>103317</v>
      </c>
      <c r="C183" s="185" t="s">
        <v>393</v>
      </c>
      <c r="D183" s="2" t="s">
        <v>394</v>
      </c>
      <c r="E183" s="190" t="s">
        <v>39</v>
      </c>
      <c r="F183" s="190" t="s">
        <v>890</v>
      </c>
      <c r="H183" s="271">
        <f>_xlfn.IFNA(VLOOKUP($A183,ISB!$A$4:$BY$441,67,FALSE),0)</f>
        <v>3474179.0796479965</v>
      </c>
      <c r="I183" s="271">
        <f>_xlfn.IFNA(VLOOKUP($A183,ISB!$A$4:$BY$441,72,FALSE),0)</f>
        <v>-14043.599999999999</v>
      </c>
      <c r="J183" s="271">
        <f>-_xlfn.IFNA(VLOOKUP($A183,ISB!$A$4:$BY$441,76,FALSE),0)</f>
        <v>-9508.9994999999999</v>
      </c>
      <c r="K183" s="271">
        <f>_xlfn.IFNA(VLOOKUP($A183,ISB!$A$4:$BY$441,77,FALSE),0)</f>
        <v>3450626.4801479965</v>
      </c>
      <c r="M183" s="279">
        <f t="shared" si="272"/>
        <v>289514.92330399971</v>
      </c>
      <c r="N183" s="279"/>
      <c r="O183" s="279">
        <f>_xlfn.IFNA(VLOOKUP($A183,EY!$A:$H,8,FALSE)+(VLOOKUP($A183,EY!$A:$R,18,FALSE)-$T183),0)</f>
        <v>70086.12000000001</v>
      </c>
      <c r="P183" s="280">
        <f>_xlfn.IFNA((VLOOKUP($A183,HN!$A:$M,8,FALSE)/12),0)</f>
        <v>0</v>
      </c>
      <c r="Q183" s="280">
        <f>_xlfn.IFNA((VLOOKUP($A183,HN!$A:$M,12,FALSE)/12),0)</f>
        <v>0</v>
      </c>
      <c r="R183" s="280">
        <f>_xlfn.IFNA((VLOOKUP($A183,HN!$A:$M,9,FALSE)/12),0)</f>
        <v>0</v>
      </c>
      <c r="S183" s="280">
        <f>_xlfn.IFNA((VLOOKUP($A183,'Post 16'!$A:$AR,22,FALSE)/4),0)</f>
        <v>0</v>
      </c>
      <c r="T183" s="280">
        <f>_xlfn.IFNA((VLOOKUP($A183,EY!$A:$R,16,FALSE)*80%),0)</f>
        <v>0</v>
      </c>
      <c r="U183" s="280">
        <v>13963.208333333334</v>
      </c>
      <c r="V183" s="280">
        <v>0</v>
      </c>
      <c r="W183" s="279">
        <f t="shared" si="273"/>
        <v>-1170.3</v>
      </c>
      <c r="X183" s="279">
        <f t="shared" si="274"/>
        <v>-792.41662499999995</v>
      </c>
      <c r="Y183" s="280"/>
      <c r="Z183" s="280"/>
      <c r="AA183" s="280"/>
      <c r="AB183" s="279">
        <f t="shared" si="275"/>
        <v>371601.53501233301</v>
      </c>
      <c r="AC183" s="293">
        <f t="shared" si="276"/>
        <v>289514.92330399971</v>
      </c>
      <c r="AD183" s="293"/>
      <c r="AE183" s="293"/>
      <c r="AF183" s="294">
        <f>_xlfn.IFNA((VLOOKUP($A183,HN!$A:$M,8,FALSE)/12),0)</f>
        <v>0</v>
      </c>
      <c r="AG183" s="294">
        <f>_xlfn.IFNA((VLOOKUP($A183,HN!$A:$M,12,FALSE)/12),0)+_xlfn.IFNA(VLOOKUP($A183,HN!$A:$Q,17,FALSE),0)</f>
        <v>0</v>
      </c>
      <c r="AH183" s="294">
        <f>_xlfn.IFNA((VLOOKUP($A183,HN!$A:$M,9,FALSE)/12),0)</f>
        <v>0</v>
      </c>
      <c r="AI183" s="294">
        <f>_xlfn.IFNA((VLOOKUP($A183,'Post 16'!$A:$AR,22,FALSE)/4),0)</f>
        <v>0</v>
      </c>
      <c r="AJ183" s="294"/>
      <c r="AK183" s="294">
        <f>_xlfn.IFNA((VLOOKUP($A183,HN!$A:$M,10,FALSE)/12),0)</f>
        <v>9321.4583333333339</v>
      </c>
      <c r="AL183" s="294">
        <f>_xlfn.IFNA((VLOOKUP($A183,HN!$A:$M,13,FALSE)/12),0)</f>
        <v>0</v>
      </c>
      <c r="AM183" s="293">
        <f t="shared" si="277"/>
        <v>-1170.3</v>
      </c>
      <c r="AN183" s="293">
        <f t="shared" si="278"/>
        <v>-792.41662499999995</v>
      </c>
      <c r="AO183" s="294"/>
      <c r="AP183" s="294"/>
      <c r="AQ183" s="294"/>
      <c r="AR183" s="293">
        <f t="shared" si="279"/>
        <v>296873.66501233302</v>
      </c>
      <c r="AS183" s="286">
        <f t="shared" si="280"/>
        <v>289514.92330399971</v>
      </c>
      <c r="AT183" s="286"/>
      <c r="AU183" s="286">
        <f>_xlfn.IFNA(VLOOKUP(A183,EY!A:AO,40,FALSE),0)</f>
        <v>-15324.932105263151</v>
      </c>
      <c r="AV183" s="287">
        <f>_xlfn.IFNA((VLOOKUP($A183,HN!$A:$M,8,FALSE)/12),0)</f>
        <v>0</v>
      </c>
      <c r="AW183" s="287">
        <f>_xlfn.IFNA((VLOOKUP($A183,HN!$A:$M,12,FALSE)/12),0)+_xlfn.IFNA(VLOOKUP($A183,HN!$A$8:$AU$200,19,FALSE),0)</f>
        <v>0</v>
      </c>
      <c r="AX183" s="287">
        <f>_xlfn.IFNA((VLOOKUP($A183,HN!$A:$M,9,FALSE)/12),0)</f>
        <v>0</v>
      </c>
      <c r="AY183" s="287">
        <f>_xlfn.IFNA((VLOOKUP($A183,'Post 16'!$A:$AR,22,FALSE)/4),0)</f>
        <v>0</v>
      </c>
      <c r="AZ183" s="287">
        <f>_xlfn.IFNA(VLOOKUP(A183,EY!A:AO,41,FALSE),0)</f>
        <v>0</v>
      </c>
      <c r="BA183" s="287">
        <f>_xlfn.IFNA(((VLOOKUP($A183,HN!$A:$M,10,FALSE)-$U183-$AK183)/10),0)+_xlfn.IFNA(VLOOKUP($A183,HN!$A:$R,18,FALSE),0)</f>
        <v>8857.2833333333347</v>
      </c>
      <c r="BB183" s="287">
        <f>_xlfn.IFNA(((VLOOKUP($A183,HN!$A:$M,13,FALSE)-$V183-$AL183)/10),0)+_xlfn.IFNA(VLOOKUP($A183,HN!$A$8:$AU$200,20,FALSE),0)</f>
        <v>0</v>
      </c>
      <c r="BC183" s="286">
        <f t="shared" si="281"/>
        <v>-1170.3</v>
      </c>
      <c r="BD183" s="286">
        <f t="shared" si="282"/>
        <v>-792.41662499999995</v>
      </c>
      <c r="BE183" s="287"/>
      <c r="BF183" s="287"/>
      <c r="BG183" s="287"/>
      <c r="BH183" s="286">
        <f t="shared" si="283"/>
        <v>281084.55790706986</v>
      </c>
      <c r="BI183" s="307">
        <f t="shared" si="284"/>
        <v>289514.92330399971</v>
      </c>
      <c r="BJ183" s="307">
        <f>_xlfn.IFNA(VLOOKUP(A183,'LA Deductions'!A:AH,34,FALSE),0)</f>
        <v>0</v>
      </c>
      <c r="BK183" s="307"/>
      <c r="BL183" s="308">
        <f>_xlfn.IFNA((VLOOKUP($A183,HN!$A:$M,8,FALSE)/12),0)</f>
        <v>0</v>
      </c>
      <c r="BM183" s="308">
        <f>_xlfn.IFNA((VLOOKUP($A183,HN!$A:$M,12,FALSE)/12),0)</f>
        <v>0</v>
      </c>
      <c r="BN183" s="308">
        <f>_xlfn.IFNA((VLOOKUP($A183,HN!$A:$M,9,FALSE)/12),0)</f>
        <v>0</v>
      </c>
      <c r="BO183" s="308">
        <f>_xlfn.IFNA((VLOOKUP($A183,'Post 16'!$A:$AR,22,FALSE)/4),0)</f>
        <v>0</v>
      </c>
      <c r="BP183" s="308"/>
      <c r="BQ183" s="308">
        <f>_xlfn.IFNA(((VLOOKUP($A183,HN!$A:$M,10,FALSE)-$U183-$AK183)/10),0)</f>
        <v>8857.2833333333347</v>
      </c>
      <c r="BR183" s="308">
        <f>_xlfn.IFNA(((VLOOKUP($A183,HN!$A:$M,13,FALSE)-$V183-$AL183)/10),0)</f>
        <v>0</v>
      </c>
      <c r="BS183" s="307">
        <f t="shared" si="285"/>
        <v>-1170.3</v>
      </c>
      <c r="BT183" s="307">
        <f t="shared" si="286"/>
        <v>-792.41662499999995</v>
      </c>
      <c r="BU183" s="308"/>
      <c r="BV183" s="308"/>
      <c r="BW183" s="308"/>
      <c r="BX183" s="307">
        <f t="shared" si="287"/>
        <v>296409.49001233303</v>
      </c>
      <c r="BY183" s="300">
        <f t="shared" si="288"/>
        <v>289514.92330399971</v>
      </c>
      <c r="BZ183" s="300"/>
      <c r="CA183" s="300"/>
      <c r="CB183" s="301">
        <f>_xlfn.IFNA((VLOOKUP($A183,HN!$A:$M,8,FALSE)/12),0)</f>
        <v>0</v>
      </c>
      <c r="CC183" s="301">
        <f>_xlfn.IFNA((VLOOKUP($A183,HN!$A:$M,12,FALSE)/12),0)</f>
        <v>0</v>
      </c>
      <c r="CD183" s="301">
        <f>_xlfn.IFNA((VLOOKUP($A183,HN!$A:$M,9,FALSE)/12),0)</f>
        <v>0</v>
      </c>
      <c r="CE183" s="301">
        <f>_xlfn.IFNA((VLOOKUP($A183,'Post 16'!$A:$AG,33,FALSE)/8),0)</f>
        <v>0</v>
      </c>
      <c r="CF183" s="301"/>
      <c r="CG183" s="301">
        <f>_xlfn.IFNA(((VLOOKUP($A183,HN!$A:$M,10,FALSE)-$U183-$AK183)/10),0)</f>
        <v>8857.2833333333347</v>
      </c>
      <c r="CH183" s="301">
        <f>_xlfn.IFNA(((VLOOKUP($A183,HN!$A:$M,13,FALSE)-$V183-$AL183)/10),0)</f>
        <v>0</v>
      </c>
      <c r="CI183" s="300">
        <f t="shared" si="289"/>
        <v>-1170.3</v>
      </c>
      <c r="CJ183" s="300">
        <f t="shared" si="290"/>
        <v>-792.41662499999995</v>
      </c>
      <c r="CK183" s="301"/>
      <c r="CL183" s="301"/>
      <c r="CM183" s="301"/>
      <c r="CN183" s="300">
        <f t="shared" si="291"/>
        <v>296409.49001233303</v>
      </c>
      <c r="CO183" s="332">
        <f t="shared" si="292"/>
        <v>289514.92330399971</v>
      </c>
      <c r="CP183" s="332"/>
      <c r="CQ183" s="332">
        <f>_xlfn.IFNA((VLOOKUP($A183,EY!$A:$AB,28,FALSE)-$CV183),0)</f>
        <v>33129.72</v>
      </c>
      <c r="CR183" s="333">
        <f>_xlfn.IFNA((VLOOKUP($A183,HN!$A:$M,8,FALSE)/12),0)</f>
        <v>0</v>
      </c>
      <c r="CS183" s="333">
        <f>_xlfn.IFNA((VLOOKUP($A183,HN!$A:$M,12,FALSE)/12),0)</f>
        <v>0</v>
      </c>
      <c r="CT183" s="333">
        <f>_xlfn.IFNA((VLOOKUP($A183,HN!$A:$M,9,FALSE)/12),0)</f>
        <v>0</v>
      </c>
      <c r="CU183" s="333">
        <f>_xlfn.IFNA((VLOOKUP($A183,'Post 16'!$A:$AG,33,FALSE)/8),0)</f>
        <v>0</v>
      </c>
      <c r="CV183" s="333">
        <f>_xlfn.IFNA((VLOOKUP($A183,EY!$A:$AB,26,FALSE)*80%),0)</f>
        <v>0</v>
      </c>
      <c r="CW183" s="333">
        <f>_xlfn.IFNA(((VLOOKUP($A183,HN!$A:$M,10,FALSE)-$U183-$AK183)/10),0)</f>
        <v>8857.2833333333347</v>
      </c>
      <c r="CX183" s="333">
        <f>_xlfn.IFNA(((VLOOKUP($A183,HN!$A:$M,13,FALSE)-$V183-$AL183)/10),0)</f>
        <v>0</v>
      </c>
      <c r="CY183" s="332">
        <f t="shared" si="293"/>
        <v>-1170.3</v>
      </c>
      <c r="CZ183" s="332">
        <f t="shared" si="294"/>
        <v>-792.41662499999995</v>
      </c>
      <c r="DA183" s="333"/>
      <c r="DB183" s="333"/>
      <c r="DC183" s="333"/>
      <c r="DD183" s="332">
        <f t="shared" si="295"/>
        <v>329539.210012333</v>
      </c>
      <c r="DE183" s="314">
        <f t="shared" si="296"/>
        <v>289514.92330399971</v>
      </c>
      <c r="DF183" s="314"/>
      <c r="DG183" s="314"/>
      <c r="DH183" s="315">
        <f>_xlfn.IFNA((VLOOKUP($A183,HN!$A:$M,8,FALSE)/12),0)</f>
        <v>0</v>
      </c>
      <c r="DI183" s="315">
        <f>_xlfn.IFNA((VLOOKUP($A183,HN!$A:$M,12,FALSE)/12),0)</f>
        <v>0</v>
      </c>
      <c r="DJ183" s="315">
        <f>_xlfn.IFNA((VLOOKUP($A183,HN!$A:$M,9,FALSE)/12),0)</f>
        <v>0</v>
      </c>
      <c r="DK183" s="315">
        <f>_xlfn.IFNA((VLOOKUP($A183,'Post 16'!$A:$AG,33,FALSE)/8),0)</f>
        <v>0</v>
      </c>
      <c r="DL183" s="315"/>
      <c r="DM183" s="315">
        <f>_xlfn.IFNA(((VLOOKUP($A183,HN!$A:$M,10,FALSE)-$U183-$AK183)/10),0)</f>
        <v>8857.2833333333347</v>
      </c>
      <c r="DN183" s="315">
        <f>_xlfn.IFNA(((VLOOKUP($A183,HN!$A:$M,13,FALSE)-$V183-$AL183)/10),0)</f>
        <v>0</v>
      </c>
      <c r="DO183" s="314">
        <f t="shared" si="297"/>
        <v>-1170.3</v>
      </c>
      <c r="DP183" s="314">
        <f t="shared" si="298"/>
        <v>-792.41662499999995</v>
      </c>
      <c r="DQ183" s="315"/>
      <c r="DR183" s="315"/>
      <c r="DS183" s="315"/>
      <c r="DT183" s="314">
        <f t="shared" si="299"/>
        <v>296409.49001233303</v>
      </c>
      <c r="DU183" s="307">
        <f t="shared" si="300"/>
        <v>289514.92330399971</v>
      </c>
      <c r="DV183" s="307"/>
      <c r="DW183" s="307"/>
      <c r="DX183" s="308">
        <f>_xlfn.IFNA((VLOOKUP($A183,HN!$A:$M,8,FALSE)/12),0)</f>
        <v>0</v>
      </c>
      <c r="DY183" s="308">
        <f>_xlfn.IFNA((VLOOKUP($A183,HN!$A:$M,12,FALSE)/12),0)</f>
        <v>0</v>
      </c>
      <c r="DZ183" s="308">
        <f>_xlfn.IFNA((VLOOKUP($A183,HN!$A:$M,9,FALSE)/12),0)</f>
        <v>0</v>
      </c>
      <c r="EA183" s="308">
        <f>_xlfn.IFNA((VLOOKUP($A183,'Post 16'!$A:$AG,33,FALSE)/8),0)</f>
        <v>0</v>
      </c>
      <c r="EB183" s="308"/>
      <c r="EC183" s="308">
        <f>_xlfn.IFNA(((VLOOKUP($A183,HN!$A:$M,10,FALSE)-$U183-$AK183)/10),0)</f>
        <v>8857.2833333333347</v>
      </c>
      <c r="ED183" s="308">
        <f>_xlfn.IFNA(((VLOOKUP($A183,HN!$A:$M,13,FALSE)-$V183-$AL183)/10),0)</f>
        <v>0</v>
      </c>
      <c r="EE183" s="307">
        <f t="shared" si="301"/>
        <v>-1170.3</v>
      </c>
      <c r="EF183" s="307">
        <f t="shared" si="302"/>
        <v>-792.41662499999995</v>
      </c>
      <c r="EG183" s="308"/>
      <c r="EH183" s="308"/>
      <c r="EI183" s="308"/>
      <c r="EJ183" s="307">
        <f t="shared" si="303"/>
        <v>296409.49001233303</v>
      </c>
      <c r="EK183" s="320">
        <f t="shared" si="304"/>
        <v>289514.92330399971</v>
      </c>
      <c r="EL183" s="320"/>
      <c r="EM183" s="320"/>
      <c r="EN183" s="321">
        <f>_xlfn.IFNA((VLOOKUP($A183,HN!$A:$M,8,FALSE)/12),0)</f>
        <v>0</v>
      </c>
      <c r="EO183" s="321">
        <f>_xlfn.IFNA((VLOOKUP($A183,HN!$A:$M,12,FALSE)/12),0)</f>
        <v>0</v>
      </c>
      <c r="EP183" s="321">
        <f>_xlfn.IFNA((VLOOKUP($A183,HN!$A:$M,9,FALSE)/12),0)</f>
        <v>0</v>
      </c>
      <c r="EQ183" s="321">
        <f>_xlfn.IFNA((VLOOKUP($A183,'Post 16'!$A:$AG,33,FALSE)/8),0)</f>
        <v>0</v>
      </c>
      <c r="ER183" s="321"/>
      <c r="ES183" s="321">
        <f>_xlfn.IFNA(((VLOOKUP($A183,HN!$A:$M,10,FALSE)-$U183-$AK183)/10),0)</f>
        <v>8857.2833333333347</v>
      </c>
      <c r="ET183" s="321">
        <f>_xlfn.IFNA(((VLOOKUP($A183,HN!$A:$M,13,FALSE)-$V183-$AL183)/10),0)</f>
        <v>0</v>
      </c>
      <c r="EU183" s="320">
        <f t="shared" si="305"/>
        <v>-1170.3</v>
      </c>
      <c r="EV183" s="320">
        <f t="shared" si="306"/>
        <v>-792.41662499999995</v>
      </c>
      <c r="EW183" s="321"/>
      <c r="EX183" s="321"/>
      <c r="EY183" s="321"/>
      <c r="EZ183" s="320">
        <f t="shared" si="307"/>
        <v>296409.49001233303</v>
      </c>
      <c r="FA183" s="286">
        <f t="shared" si="308"/>
        <v>289514.92330399971</v>
      </c>
      <c r="FB183" s="286"/>
      <c r="FC183" s="286"/>
      <c r="FD183" s="287">
        <f>_xlfn.IFNA((VLOOKUP($A183,HN!$A:$M,8,FALSE)/12),0)</f>
        <v>0</v>
      </c>
      <c r="FE183" s="287">
        <f>_xlfn.IFNA((VLOOKUP($A183,HN!$A:$M,12,FALSE)/12),0)</f>
        <v>0</v>
      </c>
      <c r="FF183" s="287">
        <f>_xlfn.IFNA((VLOOKUP($A183,HN!$A:$M,9,FALSE)/12),0)</f>
        <v>0</v>
      </c>
      <c r="FG183" s="287">
        <f>_xlfn.IFNA((VLOOKUP($A183,'Post 16'!$A:$AG,33,FALSE)/8),0)</f>
        <v>0</v>
      </c>
      <c r="FH183" s="287"/>
      <c r="FI183" s="287">
        <f>_xlfn.IFNA(((VLOOKUP($A183,HN!$A:$M,10,FALSE)-$U183-$AK183)/10),0)</f>
        <v>8857.2833333333347</v>
      </c>
      <c r="FJ183" s="287">
        <f>_xlfn.IFNA(((VLOOKUP($A183,HN!$A:$M,13,FALSE)-$V183-$AL183)/10),0)</f>
        <v>0</v>
      </c>
      <c r="FK183" s="286">
        <f t="shared" si="309"/>
        <v>-1170.3</v>
      </c>
      <c r="FL183" s="286">
        <f t="shared" si="310"/>
        <v>-792.41662499999995</v>
      </c>
      <c r="FM183" s="287"/>
      <c r="FN183" s="287"/>
      <c r="FO183" s="287"/>
      <c r="FP183" s="286">
        <f t="shared" si="311"/>
        <v>296409.49001233303</v>
      </c>
      <c r="FQ183" s="293">
        <f t="shared" si="312"/>
        <v>289514.92330399971</v>
      </c>
      <c r="FR183" s="293"/>
      <c r="FS183" s="293"/>
      <c r="FT183" s="294">
        <f>_xlfn.IFNA((VLOOKUP($A183,HN!$A:$M,8,FALSE)/12),0)</f>
        <v>0</v>
      </c>
      <c r="FU183" s="294">
        <f>_xlfn.IFNA((VLOOKUP($A183,HN!$A:$M,12,FALSE)/12),0)</f>
        <v>0</v>
      </c>
      <c r="FV183" s="294">
        <f>_xlfn.IFNA((VLOOKUP($A183,HN!$A:$M,9,FALSE)/12),0)</f>
        <v>0</v>
      </c>
      <c r="FW183" s="294">
        <f>_xlfn.IFNA((VLOOKUP($A183,'Post 16'!$A:$AG,33,FALSE)/8),0)</f>
        <v>0</v>
      </c>
      <c r="FX183" s="294"/>
      <c r="FY183" s="294">
        <f>_xlfn.IFNA(((VLOOKUP($A183,HN!$A:$M,10,FALSE)-$U183-$AK183)/10),0)</f>
        <v>8857.2833333333347</v>
      </c>
      <c r="FZ183" s="294">
        <f>_xlfn.IFNA(((VLOOKUP($A183,HN!$A:$M,13,FALSE)-$V183-$AL183)/10),0)</f>
        <v>0</v>
      </c>
      <c r="GA183" s="293">
        <f t="shared" si="313"/>
        <v>-1170.3</v>
      </c>
      <c r="GB183" s="293">
        <f t="shared" si="314"/>
        <v>-792.41662499999995</v>
      </c>
      <c r="GC183" s="294"/>
      <c r="GD183" s="294"/>
      <c r="GE183" s="294"/>
      <c r="GF183" s="293">
        <f t="shared" si="315"/>
        <v>296409.49001233303</v>
      </c>
      <c r="GG183" s="300">
        <f t="shared" si="316"/>
        <v>289514.92330399971</v>
      </c>
      <c r="GH183" s="300"/>
      <c r="GI183" s="300"/>
      <c r="GJ183" s="301">
        <f>_xlfn.IFNA((VLOOKUP($A183,HN!$A:$M,8,FALSE)/12),0)</f>
        <v>0</v>
      </c>
      <c r="GK183" s="301">
        <f>_xlfn.IFNA((VLOOKUP($A183,HN!$A:$M,12,FALSE)/12),0)</f>
        <v>0</v>
      </c>
      <c r="GL183" s="301">
        <f>_xlfn.IFNA((VLOOKUP($A183,HN!$A:$M,9,FALSE)/12),0)</f>
        <v>0</v>
      </c>
      <c r="GM183" s="301">
        <f>_xlfn.IFNA((VLOOKUP($A183,'Post 16'!$A:$AG,33,FALSE)/8),0)</f>
        <v>0</v>
      </c>
      <c r="GN183" s="301"/>
      <c r="GO183" s="301">
        <f>_xlfn.IFNA(((VLOOKUP($A183,HN!$A:$M,10,FALSE)-$U183-$AK183)/10),0)</f>
        <v>8857.2833333333347</v>
      </c>
      <c r="GP183" s="301">
        <f>_xlfn.IFNA(((VLOOKUP($A183,HN!$A:$M,13,FALSE)-$V183-$AL183)/10),0)</f>
        <v>0</v>
      </c>
      <c r="GQ183" s="300">
        <f t="shared" si="317"/>
        <v>-1170.3</v>
      </c>
      <c r="GR183" s="300">
        <f t="shared" si="318"/>
        <v>-792.41662499999995</v>
      </c>
      <c r="GS183" s="301"/>
      <c r="GT183" s="301"/>
      <c r="GU183" s="301"/>
      <c r="GV183" s="300">
        <f t="shared" si="319"/>
        <v>296409.49001233303</v>
      </c>
      <c r="GX183" s="146">
        <f t="shared" si="322"/>
        <v>3562069.9875427345</v>
      </c>
      <c r="GY183" s="146">
        <f t="shared" si="322"/>
        <v>0</v>
      </c>
      <c r="GZ183" s="146">
        <f t="shared" si="322"/>
        <v>111857.50000000004</v>
      </c>
      <c r="HA183" s="146">
        <f t="shared" si="322"/>
        <v>-14043.599999999997</v>
      </c>
      <c r="HB183" s="146">
        <f t="shared" si="322"/>
        <v>-9508.9994999999999</v>
      </c>
      <c r="HC183" s="146">
        <f t="shared" si="322"/>
        <v>0</v>
      </c>
      <c r="HE183" s="146">
        <f t="shared" si="323"/>
        <v>923305.957806736</v>
      </c>
      <c r="HF183" s="146">
        <f t="shared" si="323"/>
        <v>0</v>
      </c>
      <c r="HG183" s="146">
        <f t="shared" si="323"/>
        <v>32141.950000000004</v>
      </c>
      <c r="HH183" s="146">
        <f t="shared" si="323"/>
        <v>-3510.8999999999996</v>
      </c>
      <c r="HI183" s="146">
        <f t="shared" si="323"/>
        <v>-2377.249875</v>
      </c>
      <c r="HJ183" s="146">
        <f t="shared" si="323"/>
        <v>0</v>
      </c>
    </row>
    <row r="184" spans="1:221">
      <c r="A184" s="185">
        <v>2445</v>
      </c>
      <c r="B184" s="185">
        <v>103372</v>
      </c>
      <c r="C184" s="185" t="s">
        <v>395</v>
      </c>
      <c r="D184" s="2" t="s">
        <v>396</v>
      </c>
      <c r="E184" s="190" t="s">
        <v>39</v>
      </c>
      <c r="F184" s="190" t="s">
        <v>890</v>
      </c>
      <c r="H184" s="271">
        <f>_xlfn.IFNA(VLOOKUP($A184,ISB!$A$4:$BY$441,67,FALSE),0)</f>
        <v>1407084.5693453136</v>
      </c>
      <c r="I184" s="271">
        <f>_xlfn.IFNA(VLOOKUP($A184,ISB!$A$4:$BY$441,72,FALSE),0)</f>
        <v>-4955.0999999999995</v>
      </c>
      <c r="J184" s="271">
        <f>-_xlfn.IFNA(VLOOKUP($A184,ISB!$A$4:$BY$441,76,FALSE),0)</f>
        <v>-18697.6548</v>
      </c>
      <c r="K184" s="271">
        <f>_xlfn.IFNA(VLOOKUP($A184,ISB!$A$4:$BY$441,77,FALSE),0)</f>
        <v>1383431.8145453136</v>
      </c>
      <c r="M184" s="279">
        <f t="shared" si="272"/>
        <v>117257.0474454428</v>
      </c>
      <c r="N184" s="279"/>
      <c r="O184" s="279">
        <f>_xlfn.IFNA(VLOOKUP($A184,EY!$A:$H,8,FALSE)+(VLOOKUP($A184,EY!$A:$R,18,FALSE)-$T184),0)</f>
        <v>0</v>
      </c>
      <c r="P184" s="280">
        <f>_xlfn.IFNA((VLOOKUP($A184,HN!$A:$M,8,FALSE)/12),0)</f>
        <v>0</v>
      </c>
      <c r="Q184" s="280">
        <f>_xlfn.IFNA((VLOOKUP($A184,HN!$A:$M,12,FALSE)/12),0)</f>
        <v>0</v>
      </c>
      <c r="R184" s="280">
        <f>_xlfn.IFNA((VLOOKUP($A184,HN!$A:$M,9,FALSE)/12),0)</f>
        <v>0</v>
      </c>
      <c r="S184" s="280">
        <f>_xlfn.IFNA((VLOOKUP($A184,'Post 16'!$A:$AR,22,FALSE)/4),0)</f>
        <v>0</v>
      </c>
      <c r="T184" s="280">
        <f>_xlfn.IFNA((VLOOKUP($A184,EY!$A:$R,16,FALSE)*80%),0)</f>
        <v>0</v>
      </c>
      <c r="U184" s="280">
        <v>13912.375</v>
      </c>
      <c r="V184" s="280">
        <v>0</v>
      </c>
      <c r="W184" s="279">
        <f t="shared" si="273"/>
        <v>-412.92499999999995</v>
      </c>
      <c r="X184" s="279">
        <f t="shared" si="274"/>
        <v>-1558.1378999999999</v>
      </c>
      <c r="Y184" s="280"/>
      <c r="Z184" s="280"/>
      <c r="AA184" s="280"/>
      <c r="AB184" s="279">
        <f t="shared" si="275"/>
        <v>129198.35954544281</v>
      </c>
      <c r="AC184" s="293">
        <f t="shared" si="276"/>
        <v>117257.0474454428</v>
      </c>
      <c r="AD184" s="293"/>
      <c r="AE184" s="293"/>
      <c r="AF184" s="294">
        <f>_xlfn.IFNA((VLOOKUP($A184,HN!$A:$M,8,FALSE)/12),0)</f>
        <v>0</v>
      </c>
      <c r="AG184" s="294">
        <f>_xlfn.IFNA((VLOOKUP($A184,HN!$A:$M,12,FALSE)/12),0)+_xlfn.IFNA(VLOOKUP($A184,HN!$A:$Q,17,FALSE),0)</f>
        <v>0</v>
      </c>
      <c r="AH184" s="294">
        <f>_xlfn.IFNA((VLOOKUP($A184,HN!$A:$M,9,FALSE)/12),0)</f>
        <v>0</v>
      </c>
      <c r="AI184" s="294">
        <f>_xlfn.IFNA((VLOOKUP($A184,'Post 16'!$A:$AR,22,FALSE)/4),0)</f>
        <v>0</v>
      </c>
      <c r="AJ184" s="294"/>
      <c r="AK184" s="294">
        <f>_xlfn.IFNA((VLOOKUP($A184,HN!$A:$M,10,FALSE)/12),0)</f>
        <v>7106.458333333333</v>
      </c>
      <c r="AL184" s="294">
        <f>_xlfn.IFNA((VLOOKUP($A184,HN!$A:$M,13,FALSE)/12),0)</f>
        <v>0</v>
      </c>
      <c r="AM184" s="293">
        <f t="shared" si="277"/>
        <v>-412.92499999999995</v>
      </c>
      <c r="AN184" s="293">
        <f t="shared" si="278"/>
        <v>-1558.1378999999999</v>
      </c>
      <c r="AO184" s="294"/>
      <c r="AP184" s="294"/>
      <c r="AQ184" s="294"/>
      <c r="AR184" s="293">
        <f t="shared" si="279"/>
        <v>122392.44287877613</v>
      </c>
      <c r="AS184" s="286">
        <f t="shared" si="280"/>
        <v>117257.0474454428</v>
      </c>
      <c r="AT184" s="286"/>
      <c r="AU184" s="286">
        <f>_xlfn.IFNA(VLOOKUP(A184,EY!A:AO,40,FALSE),0)</f>
        <v>0</v>
      </c>
      <c r="AV184" s="287">
        <f>_xlfn.IFNA((VLOOKUP($A184,HN!$A:$M,8,FALSE)/12),0)</f>
        <v>0</v>
      </c>
      <c r="AW184" s="287">
        <f>_xlfn.IFNA((VLOOKUP($A184,HN!$A:$M,12,FALSE)/12),0)+_xlfn.IFNA(VLOOKUP($A184,HN!$A$8:$AU$200,19,FALSE),0)</f>
        <v>0</v>
      </c>
      <c r="AX184" s="287">
        <f>_xlfn.IFNA((VLOOKUP($A184,HN!$A:$M,9,FALSE)/12),0)</f>
        <v>0</v>
      </c>
      <c r="AY184" s="287">
        <f>_xlfn.IFNA((VLOOKUP($A184,'Post 16'!$A:$AR,22,FALSE)/4),0)</f>
        <v>0</v>
      </c>
      <c r="AZ184" s="287">
        <f>_xlfn.IFNA(VLOOKUP(A184,EY!A:AO,41,FALSE),0)</f>
        <v>0</v>
      </c>
      <c r="BA184" s="287">
        <f>_xlfn.IFNA(((VLOOKUP($A184,HN!$A:$M,10,FALSE)-$U184-$AK184)/10),0)+_xlfn.IFNA(VLOOKUP($A184,HN!$A:$R,18,FALSE),0)</f>
        <v>6425.8666666666668</v>
      </c>
      <c r="BB184" s="287">
        <f>_xlfn.IFNA(((VLOOKUP($A184,HN!$A:$M,13,FALSE)-$V184-$AL184)/10),0)+_xlfn.IFNA(VLOOKUP($A184,HN!$A$8:$AU$200,20,FALSE),0)</f>
        <v>0</v>
      </c>
      <c r="BC184" s="286">
        <f t="shared" si="281"/>
        <v>-412.92499999999995</v>
      </c>
      <c r="BD184" s="286">
        <f t="shared" si="282"/>
        <v>-1558.1378999999999</v>
      </c>
      <c r="BE184" s="287"/>
      <c r="BF184" s="287"/>
      <c r="BG184" s="287"/>
      <c r="BH184" s="286">
        <f t="shared" si="283"/>
        <v>121711.85121210947</v>
      </c>
      <c r="BI184" s="307">
        <f t="shared" si="284"/>
        <v>117257.0474454428</v>
      </c>
      <c r="BJ184" s="307">
        <f>_xlfn.IFNA(VLOOKUP(A184,'LA Deductions'!A:AH,34,FALSE),0)</f>
        <v>0</v>
      </c>
      <c r="BK184" s="307"/>
      <c r="BL184" s="308">
        <f>_xlfn.IFNA((VLOOKUP($A184,HN!$A:$M,8,FALSE)/12),0)</f>
        <v>0</v>
      </c>
      <c r="BM184" s="308">
        <f>_xlfn.IFNA((VLOOKUP($A184,HN!$A:$M,12,FALSE)/12),0)</f>
        <v>0</v>
      </c>
      <c r="BN184" s="308">
        <f>_xlfn.IFNA((VLOOKUP($A184,HN!$A:$M,9,FALSE)/12),0)</f>
        <v>0</v>
      </c>
      <c r="BO184" s="308">
        <f>_xlfn.IFNA((VLOOKUP($A184,'Post 16'!$A:$AR,22,FALSE)/4),0)</f>
        <v>0</v>
      </c>
      <c r="BP184" s="308"/>
      <c r="BQ184" s="308">
        <f>_xlfn.IFNA(((VLOOKUP($A184,HN!$A:$M,10,FALSE)-$U184-$AK184)/10),0)</f>
        <v>6425.8666666666668</v>
      </c>
      <c r="BR184" s="308">
        <f>_xlfn.IFNA(((VLOOKUP($A184,HN!$A:$M,13,FALSE)-$V184-$AL184)/10),0)</f>
        <v>0</v>
      </c>
      <c r="BS184" s="307">
        <f t="shared" si="285"/>
        <v>-412.92499999999995</v>
      </c>
      <c r="BT184" s="307">
        <f t="shared" si="286"/>
        <v>-1558.1378999999999</v>
      </c>
      <c r="BU184" s="308"/>
      <c r="BV184" s="308"/>
      <c r="BW184" s="308"/>
      <c r="BX184" s="307">
        <f t="shared" si="287"/>
        <v>121711.85121210947</v>
      </c>
      <c r="BY184" s="300">
        <f t="shared" si="288"/>
        <v>117257.0474454428</v>
      </c>
      <c r="BZ184" s="300"/>
      <c r="CA184" s="300"/>
      <c r="CB184" s="301">
        <f>_xlfn.IFNA((VLOOKUP($A184,HN!$A:$M,8,FALSE)/12),0)</f>
        <v>0</v>
      </c>
      <c r="CC184" s="301">
        <f>_xlfn.IFNA((VLOOKUP($A184,HN!$A:$M,12,FALSE)/12),0)</f>
        <v>0</v>
      </c>
      <c r="CD184" s="301">
        <f>_xlfn.IFNA((VLOOKUP($A184,HN!$A:$M,9,FALSE)/12),0)</f>
        <v>0</v>
      </c>
      <c r="CE184" s="301">
        <f>_xlfn.IFNA((VLOOKUP($A184,'Post 16'!$A:$AG,33,FALSE)/8),0)</f>
        <v>0</v>
      </c>
      <c r="CF184" s="301"/>
      <c r="CG184" s="301">
        <f>_xlfn.IFNA(((VLOOKUP($A184,HN!$A:$M,10,FALSE)-$U184-$AK184)/10),0)</f>
        <v>6425.8666666666668</v>
      </c>
      <c r="CH184" s="301">
        <f>_xlfn.IFNA(((VLOOKUP($A184,HN!$A:$M,13,FALSE)-$V184-$AL184)/10),0)</f>
        <v>0</v>
      </c>
      <c r="CI184" s="300">
        <f t="shared" si="289"/>
        <v>-412.92499999999995</v>
      </c>
      <c r="CJ184" s="300">
        <f t="shared" si="290"/>
        <v>-1558.1378999999999</v>
      </c>
      <c r="CK184" s="301"/>
      <c r="CL184" s="301"/>
      <c r="CM184" s="301"/>
      <c r="CN184" s="300">
        <f t="shared" si="291"/>
        <v>121711.85121210947</v>
      </c>
      <c r="CO184" s="332">
        <f t="shared" si="292"/>
        <v>117257.0474454428</v>
      </c>
      <c r="CP184" s="332"/>
      <c r="CQ184" s="332">
        <f>_xlfn.IFNA((VLOOKUP($A184,EY!$A:$AB,28,FALSE)-$CV184),0)</f>
        <v>0</v>
      </c>
      <c r="CR184" s="333">
        <f>_xlfn.IFNA((VLOOKUP($A184,HN!$A:$M,8,FALSE)/12),0)</f>
        <v>0</v>
      </c>
      <c r="CS184" s="333">
        <f>_xlfn.IFNA((VLOOKUP($A184,HN!$A:$M,12,FALSE)/12),0)</f>
        <v>0</v>
      </c>
      <c r="CT184" s="333">
        <f>_xlfn.IFNA((VLOOKUP($A184,HN!$A:$M,9,FALSE)/12),0)</f>
        <v>0</v>
      </c>
      <c r="CU184" s="333">
        <f>_xlfn.IFNA((VLOOKUP($A184,'Post 16'!$A:$AG,33,FALSE)/8),0)</f>
        <v>0</v>
      </c>
      <c r="CV184" s="333">
        <f>_xlfn.IFNA((VLOOKUP($A184,EY!$A:$AB,26,FALSE)*80%),0)</f>
        <v>0</v>
      </c>
      <c r="CW184" s="333">
        <f>_xlfn.IFNA(((VLOOKUP($A184,HN!$A:$M,10,FALSE)-$U184-$AK184)/10),0)</f>
        <v>6425.8666666666668</v>
      </c>
      <c r="CX184" s="333">
        <f>_xlfn.IFNA(((VLOOKUP($A184,HN!$A:$M,13,FALSE)-$V184-$AL184)/10),0)</f>
        <v>0</v>
      </c>
      <c r="CY184" s="332">
        <f t="shared" si="293"/>
        <v>-412.92499999999995</v>
      </c>
      <c r="CZ184" s="332">
        <f t="shared" si="294"/>
        <v>-1558.1378999999999</v>
      </c>
      <c r="DA184" s="333"/>
      <c r="DB184" s="333"/>
      <c r="DC184" s="333"/>
      <c r="DD184" s="332">
        <f t="shared" si="295"/>
        <v>121711.85121210947</v>
      </c>
      <c r="DE184" s="314">
        <f t="shared" si="296"/>
        <v>117257.0474454428</v>
      </c>
      <c r="DF184" s="314"/>
      <c r="DG184" s="314"/>
      <c r="DH184" s="315">
        <f>_xlfn.IFNA((VLOOKUP($A184,HN!$A:$M,8,FALSE)/12),0)</f>
        <v>0</v>
      </c>
      <c r="DI184" s="315">
        <f>_xlfn.IFNA((VLOOKUP($A184,HN!$A:$M,12,FALSE)/12),0)</f>
        <v>0</v>
      </c>
      <c r="DJ184" s="315">
        <f>_xlfn.IFNA((VLOOKUP($A184,HN!$A:$M,9,FALSE)/12),0)</f>
        <v>0</v>
      </c>
      <c r="DK184" s="315">
        <f>_xlfn.IFNA((VLOOKUP($A184,'Post 16'!$A:$AG,33,FALSE)/8),0)</f>
        <v>0</v>
      </c>
      <c r="DL184" s="315"/>
      <c r="DM184" s="315">
        <f>_xlfn.IFNA(((VLOOKUP($A184,HN!$A:$M,10,FALSE)-$U184-$AK184)/10),0)</f>
        <v>6425.8666666666668</v>
      </c>
      <c r="DN184" s="315">
        <f>_xlfn.IFNA(((VLOOKUP($A184,HN!$A:$M,13,FALSE)-$V184-$AL184)/10),0)</f>
        <v>0</v>
      </c>
      <c r="DO184" s="314">
        <f t="shared" si="297"/>
        <v>-412.92499999999995</v>
      </c>
      <c r="DP184" s="314">
        <f t="shared" si="298"/>
        <v>-1558.1378999999999</v>
      </c>
      <c r="DQ184" s="315"/>
      <c r="DR184" s="315"/>
      <c r="DS184" s="315"/>
      <c r="DT184" s="314">
        <f t="shared" si="299"/>
        <v>121711.85121210947</v>
      </c>
      <c r="DU184" s="307">
        <f t="shared" si="300"/>
        <v>117257.0474454428</v>
      </c>
      <c r="DV184" s="307"/>
      <c r="DW184" s="307"/>
      <c r="DX184" s="308">
        <f>_xlfn.IFNA((VLOOKUP($A184,HN!$A:$M,8,FALSE)/12),0)</f>
        <v>0</v>
      </c>
      <c r="DY184" s="308">
        <f>_xlfn.IFNA((VLOOKUP($A184,HN!$A:$M,12,FALSE)/12),0)</f>
        <v>0</v>
      </c>
      <c r="DZ184" s="308">
        <f>_xlfn.IFNA((VLOOKUP($A184,HN!$A:$M,9,FALSE)/12),0)</f>
        <v>0</v>
      </c>
      <c r="EA184" s="308">
        <f>_xlfn.IFNA((VLOOKUP($A184,'Post 16'!$A:$AG,33,FALSE)/8),0)</f>
        <v>0</v>
      </c>
      <c r="EB184" s="308"/>
      <c r="EC184" s="308">
        <f>_xlfn.IFNA(((VLOOKUP($A184,HN!$A:$M,10,FALSE)-$U184-$AK184)/10),0)</f>
        <v>6425.8666666666668</v>
      </c>
      <c r="ED184" s="308">
        <f>_xlfn.IFNA(((VLOOKUP($A184,HN!$A:$M,13,FALSE)-$V184-$AL184)/10),0)</f>
        <v>0</v>
      </c>
      <c r="EE184" s="307">
        <f t="shared" si="301"/>
        <v>-412.92499999999995</v>
      </c>
      <c r="EF184" s="307">
        <f t="shared" si="302"/>
        <v>-1558.1378999999999</v>
      </c>
      <c r="EG184" s="308"/>
      <c r="EH184" s="308"/>
      <c r="EI184" s="308"/>
      <c r="EJ184" s="307">
        <f t="shared" si="303"/>
        <v>121711.85121210947</v>
      </c>
      <c r="EK184" s="320">
        <f t="shared" si="304"/>
        <v>117257.0474454428</v>
      </c>
      <c r="EL184" s="320"/>
      <c r="EM184" s="320"/>
      <c r="EN184" s="321">
        <f>_xlfn.IFNA((VLOOKUP($A184,HN!$A:$M,8,FALSE)/12),0)</f>
        <v>0</v>
      </c>
      <c r="EO184" s="321">
        <f>_xlfn.IFNA((VLOOKUP($A184,HN!$A:$M,12,FALSE)/12),0)</f>
        <v>0</v>
      </c>
      <c r="EP184" s="321">
        <f>_xlfn.IFNA((VLOOKUP($A184,HN!$A:$M,9,FALSE)/12),0)</f>
        <v>0</v>
      </c>
      <c r="EQ184" s="321">
        <f>_xlfn.IFNA((VLOOKUP($A184,'Post 16'!$A:$AG,33,FALSE)/8),0)</f>
        <v>0</v>
      </c>
      <c r="ER184" s="321"/>
      <c r="ES184" s="321">
        <f>_xlfn.IFNA(((VLOOKUP($A184,HN!$A:$M,10,FALSE)-$U184-$AK184)/10),0)</f>
        <v>6425.8666666666668</v>
      </c>
      <c r="ET184" s="321">
        <f>_xlfn.IFNA(((VLOOKUP($A184,HN!$A:$M,13,FALSE)-$V184-$AL184)/10),0)</f>
        <v>0</v>
      </c>
      <c r="EU184" s="320">
        <f t="shared" si="305"/>
        <v>-412.92499999999995</v>
      </c>
      <c r="EV184" s="320">
        <f t="shared" si="306"/>
        <v>-1558.1378999999999</v>
      </c>
      <c r="EW184" s="321"/>
      <c r="EX184" s="321"/>
      <c r="EY184" s="321"/>
      <c r="EZ184" s="320">
        <f t="shared" si="307"/>
        <v>121711.85121210947</v>
      </c>
      <c r="FA184" s="286">
        <f t="shared" si="308"/>
        <v>117257.0474454428</v>
      </c>
      <c r="FB184" s="286"/>
      <c r="FC184" s="286"/>
      <c r="FD184" s="287">
        <f>_xlfn.IFNA((VLOOKUP($A184,HN!$A:$M,8,FALSE)/12),0)</f>
        <v>0</v>
      </c>
      <c r="FE184" s="287">
        <f>_xlfn.IFNA((VLOOKUP($A184,HN!$A:$M,12,FALSE)/12),0)</f>
        <v>0</v>
      </c>
      <c r="FF184" s="287">
        <f>_xlfn.IFNA((VLOOKUP($A184,HN!$A:$M,9,FALSE)/12),0)</f>
        <v>0</v>
      </c>
      <c r="FG184" s="287">
        <f>_xlfn.IFNA((VLOOKUP($A184,'Post 16'!$A:$AG,33,FALSE)/8),0)</f>
        <v>0</v>
      </c>
      <c r="FH184" s="287"/>
      <c r="FI184" s="287">
        <f>_xlfn.IFNA(((VLOOKUP($A184,HN!$A:$M,10,FALSE)-$U184-$AK184)/10),0)</f>
        <v>6425.8666666666668</v>
      </c>
      <c r="FJ184" s="287">
        <f>_xlfn.IFNA(((VLOOKUP($A184,HN!$A:$M,13,FALSE)-$V184-$AL184)/10),0)</f>
        <v>0</v>
      </c>
      <c r="FK184" s="286">
        <f t="shared" si="309"/>
        <v>-412.92499999999995</v>
      </c>
      <c r="FL184" s="286">
        <f t="shared" si="310"/>
        <v>-1558.1378999999999</v>
      </c>
      <c r="FM184" s="287"/>
      <c r="FN184" s="287"/>
      <c r="FO184" s="287"/>
      <c r="FP184" s="286">
        <f t="shared" si="311"/>
        <v>121711.85121210947</v>
      </c>
      <c r="FQ184" s="293">
        <f t="shared" si="312"/>
        <v>117257.0474454428</v>
      </c>
      <c r="FR184" s="293"/>
      <c r="FS184" s="293"/>
      <c r="FT184" s="294">
        <f>_xlfn.IFNA((VLOOKUP($A184,HN!$A:$M,8,FALSE)/12),0)</f>
        <v>0</v>
      </c>
      <c r="FU184" s="294">
        <f>_xlfn.IFNA((VLOOKUP($A184,HN!$A:$M,12,FALSE)/12),0)</f>
        <v>0</v>
      </c>
      <c r="FV184" s="294">
        <f>_xlfn.IFNA((VLOOKUP($A184,HN!$A:$M,9,FALSE)/12),0)</f>
        <v>0</v>
      </c>
      <c r="FW184" s="294">
        <f>_xlfn.IFNA((VLOOKUP($A184,'Post 16'!$A:$AG,33,FALSE)/8),0)</f>
        <v>0</v>
      </c>
      <c r="FX184" s="294"/>
      <c r="FY184" s="294">
        <f>_xlfn.IFNA(((VLOOKUP($A184,HN!$A:$M,10,FALSE)-$U184-$AK184)/10),0)</f>
        <v>6425.8666666666668</v>
      </c>
      <c r="FZ184" s="294">
        <f>_xlfn.IFNA(((VLOOKUP($A184,HN!$A:$M,13,FALSE)-$V184-$AL184)/10),0)</f>
        <v>0</v>
      </c>
      <c r="GA184" s="293">
        <f t="shared" si="313"/>
        <v>-412.92499999999995</v>
      </c>
      <c r="GB184" s="293">
        <f t="shared" si="314"/>
        <v>-1558.1378999999999</v>
      </c>
      <c r="GC184" s="294"/>
      <c r="GD184" s="294"/>
      <c r="GE184" s="294"/>
      <c r="GF184" s="293">
        <f t="shared" si="315"/>
        <v>121711.85121210947</v>
      </c>
      <c r="GG184" s="300">
        <f t="shared" si="316"/>
        <v>117257.0474454428</v>
      </c>
      <c r="GH184" s="300"/>
      <c r="GI184" s="300"/>
      <c r="GJ184" s="301">
        <f>_xlfn.IFNA((VLOOKUP($A184,HN!$A:$M,8,FALSE)/12),0)</f>
        <v>0</v>
      </c>
      <c r="GK184" s="301">
        <f>_xlfn.IFNA((VLOOKUP($A184,HN!$A:$M,12,FALSE)/12),0)</f>
        <v>0</v>
      </c>
      <c r="GL184" s="301">
        <f>_xlfn.IFNA((VLOOKUP($A184,HN!$A:$M,9,FALSE)/12),0)</f>
        <v>0</v>
      </c>
      <c r="GM184" s="301">
        <f>_xlfn.IFNA((VLOOKUP($A184,'Post 16'!$A:$AG,33,FALSE)/8),0)</f>
        <v>0</v>
      </c>
      <c r="GN184" s="301"/>
      <c r="GO184" s="301">
        <f>_xlfn.IFNA(((VLOOKUP($A184,HN!$A:$M,10,FALSE)-$U184-$AK184)/10),0)</f>
        <v>6425.8666666666668</v>
      </c>
      <c r="GP184" s="301">
        <f>_xlfn.IFNA(((VLOOKUP($A184,HN!$A:$M,13,FALSE)-$V184-$AL184)/10),0)</f>
        <v>0</v>
      </c>
      <c r="GQ184" s="300">
        <f t="shared" si="317"/>
        <v>-412.92499999999995</v>
      </c>
      <c r="GR184" s="300">
        <f t="shared" si="318"/>
        <v>-1558.1378999999999</v>
      </c>
      <c r="GS184" s="301"/>
      <c r="GT184" s="301"/>
      <c r="GU184" s="301"/>
      <c r="GV184" s="300">
        <f t="shared" si="319"/>
        <v>121711.85121210947</v>
      </c>
      <c r="GX184" s="146">
        <f t="shared" si="322"/>
        <v>1407084.5693453134</v>
      </c>
      <c r="GY184" s="146">
        <f t="shared" si="322"/>
        <v>0</v>
      </c>
      <c r="GZ184" s="146">
        <f t="shared" si="322"/>
        <v>85277.500000000015</v>
      </c>
      <c r="HA184" s="146">
        <f t="shared" si="322"/>
        <v>-4955.1000000000013</v>
      </c>
      <c r="HB184" s="146">
        <f t="shared" si="322"/>
        <v>-18697.6548</v>
      </c>
      <c r="HC184" s="146">
        <f t="shared" si="322"/>
        <v>0</v>
      </c>
      <c r="HE184" s="146">
        <f t="shared" si="323"/>
        <v>351771.1423363284</v>
      </c>
      <c r="HF184" s="146">
        <f t="shared" si="323"/>
        <v>0</v>
      </c>
      <c r="HG184" s="146">
        <f t="shared" si="323"/>
        <v>27444.699999999997</v>
      </c>
      <c r="HH184" s="146">
        <f t="shared" si="323"/>
        <v>-1238.7749999999999</v>
      </c>
      <c r="HI184" s="146">
        <f t="shared" si="323"/>
        <v>-4674.4137000000001</v>
      </c>
      <c r="HJ184" s="146">
        <f t="shared" si="323"/>
        <v>0</v>
      </c>
    </row>
    <row r="185" spans="1:221">
      <c r="A185" s="185">
        <v>2278</v>
      </c>
      <c r="B185" s="185">
        <v>103310</v>
      </c>
      <c r="C185" s="185" t="s">
        <v>397</v>
      </c>
      <c r="D185" s="2" t="s">
        <v>398</v>
      </c>
      <c r="E185" s="190" t="s">
        <v>39</v>
      </c>
      <c r="F185" s="190" t="s">
        <v>890</v>
      </c>
      <c r="H185" s="271">
        <f>_xlfn.IFNA(VLOOKUP($A185,ISB!$A$4:$BY$441,67,FALSE),0)</f>
        <v>2606674.4469892322</v>
      </c>
      <c r="I185" s="271">
        <f>_xlfn.IFNA(VLOOKUP($A185,ISB!$A$4:$BY$441,72,FALSE),0)</f>
        <v>-9984.9</v>
      </c>
      <c r="J185" s="271">
        <f>-_xlfn.IFNA(VLOOKUP($A185,ISB!$A$4:$BY$441,76,FALSE),0)</f>
        <v>-35442.6345</v>
      </c>
      <c r="K185" s="271">
        <f>_xlfn.IFNA(VLOOKUP($A185,ISB!$A$4:$BY$441,77,FALSE),0)</f>
        <v>2561246.9124892321</v>
      </c>
      <c r="M185" s="279">
        <f t="shared" si="272"/>
        <v>217222.87058243601</v>
      </c>
      <c r="N185" s="279"/>
      <c r="O185" s="279">
        <f>_xlfn.IFNA(VLOOKUP($A185,EY!$A:$H,8,FALSE)+(VLOOKUP($A185,EY!$A:$R,18,FALSE)-$T185),0)</f>
        <v>0</v>
      </c>
      <c r="P185" s="280">
        <f>_xlfn.IFNA((VLOOKUP($A185,HN!$A:$M,8,FALSE)/12),0)</f>
        <v>0</v>
      </c>
      <c r="Q185" s="280">
        <f>_xlfn.IFNA((VLOOKUP($A185,HN!$A:$M,12,FALSE)/12),0)</f>
        <v>0</v>
      </c>
      <c r="R185" s="280">
        <f>_xlfn.IFNA((VLOOKUP($A185,HN!$A:$M,9,FALSE)/12),0)</f>
        <v>0</v>
      </c>
      <c r="S185" s="280">
        <f>_xlfn.IFNA((VLOOKUP($A185,'Post 16'!$A:$AR,22,FALSE)/4),0)</f>
        <v>0</v>
      </c>
      <c r="T185" s="280">
        <f>_xlfn.IFNA((VLOOKUP($A185,EY!$A:$R,16,FALSE)*80%),0)</f>
        <v>0</v>
      </c>
      <c r="U185" s="280">
        <v>35020.694166666668</v>
      </c>
      <c r="V185" s="280">
        <v>0</v>
      </c>
      <c r="W185" s="279">
        <f t="shared" si="273"/>
        <v>-832.07499999999993</v>
      </c>
      <c r="X185" s="279">
        <f t="shared" si="274"/>
        <v>-2953.5528749999999</v>
      </c>
      <c r="Y185" s="280"/>
      <c r="Z185" s="280"/>
      <c r="AA185" s="280"/>
      <c r="AB185" s="279">
        <f t="shared" si="275"/>
        <v>248457.93687410268</v>
      </c>
      <c r="AC185" s="293">
        <f t="shared" si="276"/>
        <v>217222.87058243601</v>
      </c>
      <c r="AD185" s="293"/>
      <c r="AE185" s="293"/>
      <c r="AF185" s="294">
        <f>_xlfn.IFNA((VLOOKUP($A185,HN!$A:$M,8,FALSE)/12),0)</f>
        <v>0</v>
      </c>
      <c r="AG185" s="294">
        <f>_xlfn.IFNA((VLOOKUP($A185,HN!$A:$M,12,FALSE)/12),0)+_xlfn.IFNA(VLOOKUP($A185,HN!$A:$Q,17,FALSE),0)</f>
        <v>0</v>
      </c>
      <c r="AH185" s="294">
        <f>_xlfn.IFNA((VLOOKUP($A185,HN!$A:$M,9,FALSE)/12),0)</f>
        <v>0</v>
      </c>
      <c r="AI185" s="294">
        <f>_xlfn.IFNA((VLOOKUP($A185,'Post 16'!$A:$AR,22,FALSE)/4),0)</f>
        <v>0</v>
      </c>
      <c r="AJ185" s="294"/>
      <c r="AK185" s="294">
        <f>_xlfn.IFNA((VLOOKUP($A185,HN!$A:$M,10,FALSE)/12),0)</f>
        <v>14212.916666666666</v>
      </c>
      <c r="AL185" s="294">
        <f>_xlfn.IFNA((VLOOKUP($A185,HN!$A:$M,13,FALSE)/12),0)</f>
        <v>0</v>
      </c>
      <c r="AM185" s="293">
        <f t="shared" si="277"/>
        <v>-832.07499999999993</v>
      </c>
      <c r="AN185" s="293">
        <f t="shared" si="278"/>
        <v>-2953.5528749999999</v>
      </c>
      <c r="AO185" s="294"/>
      <c r="AP185" s="294"/>
      <c r="AQ185" s="294"/>
      <c r="AR185" s="293">
        <f t="shared" si="279"/>
        <v>227650.15937410266</v>
      </c>
      <c r="AS185" s="286">
        <f t="shared" si="280"/>
        <v>217222.87058243601</v>
      </c>
      <c r="AT185" s="286"/>
      <c r="AU185" s="286">
        <f>_xlfn.IFNA(VLOOKUP(A185,EY!A:AO,40,FALSE),0)</f>
        <v>0</v>
      </c>
      <c r="AV185" s="287">
        <f>_xlfn.IFNA((VLOOKUP($A185,HN!$A:$M,8,FALSE)/12),0)</f>
        <v>0</v>
      </c>
      <c r="AW185" s="287">
        <f>_xlfn.IFNA((VLOOKUP($A185,HN!$A:$M,12,FALSE)/12),0)+_xlfn.IFNA(VLOOKUP($A185,HN!$A$8:$AU$200,19,FALSE),0)</f>
        <v>0</v>
      </c>
      <c r="AX185" s="287">
        <f>_xlfn.IFNA((VLOOKUP($A185,HN!$A:$M,9,FALSE)/12),0)</f>
        <v>0</v>
      </c>
      <c r="AY185" s="287">
        <f>_xlfn.IFNA((VLOOKUP($A185,'Post 16'!$A:$AR,22,FALSE)/4),0)</f>
        <v>0</v>
      </c>
      <c r="AZ185" s="287">
        <f>_xlfn.IFNA(VLOOKUP(A185,EY!A:AO,41,FALSE),0)</f>
        <v>0</v>
      </c>
      <c r="BA185" s="287">
        <f>_xlfn.IFNA(((VLOOKUP($A185,HN!$A:$M,10,FALSE)-$U185-$AK185)/10),0)+_xlfn.IFNA(VLOOKUP($A185,HN!$A:$R,18,FALSE),0)</f>
        <v>12132.138916666667</v>
      </c>
      <c r="BB185" s="287">
        <f>_xlfn.IFNA(((VLOOKUP($A185,HN!$A:$M,13,FALSE)-$V185-$AL185)/10),0)+_xlfn.IFNA(VLOOKUP($A185,HN!$A$8:$AU$200,20,FALSE),0)</f>
        <v>0</v>
      </c>
      <c r="BC185" s="286">
        <f t="shared" si="281"/>
        <v>-832.07499999999993</v>
      </c>
      <c r="BD185" s="286">
        <f t="shared" si="282"/>
        <v>-2953.5528749999999</v>
      </c>
      <c r="BE185" s="287"/>
      <c r="BF185" s="287"/>
      <c r="BG185" s="287"/>
      <c r="BH185" s="286">
        <f t="shared" si="283"/>
        <v>225569.38162410268</v>
      </c>
      <c r="BI185" s="307">
        <f t="shared" si="284"/>
        <v>217222.87058243601</v>
      </c>
      <c r="BJ185" s="307">
        <f>_xlfn.IFNA(VLOOKUP(A185,'LA Deductions'!A:AH,34,FALSE),0)</f>
        <v>0</v>
      </c>
      <c r="BK185" s="307"/>
      <c r="BL185" s="308">
        <f>_xlfn.IFNA((VLOOKUP($A185,HN!$A:$M,8,FALSE)/12),0)</f>
        <v>0</v>
      </c>
      <c r="BM185" s="308">
        <f>_xlfn.IFNA((VLOOKUP($A185,HN!$A:$M,12,FALSE)/12),0)</f>
        <v>0</v>
      </c>
      <c r="BN185" s="308">
        <f>_xlfn.IFNA((VLOOKUP($A185,HN!$A:$M,9,FALSE)/12),0)</f>
        <v>0</v>
      </c>
      <c r="BO185" s="308">
        <f>_xlfn.IFNA((VLOOKUP($A185,'Post 16'!$A:$AR,22,FALSE)/4),0)</f>
        <v>0</v>
      </c>
      <c r="BP185" s="308"/>
      <c r="BQ185" s="308">
        <f>_xlfn.IFNA(((VLOOKUP($A185,HN!$A:$M,10,FALSE)-$U185-$AK185)/10),0)</f>
        <v>12132.138916666667</v>
      </c>
      <c r="BR185" s="308">
        <f>_xlfn.IFNA(((VLOOKUP($A185,HN!$A:$M,13,FALSE)-$V185-$AL185)/10),0)</f>
        <v>0</v>
      </c>
      <c r="BS185" s="307">
        <f t="shared" si="285"/>
        <v>-832.07499999999993</v>
      </c>
      <c r="BT185" s="307">
        <f t="shared" si="286"/>
        <v>-2953.5528749999999</v>
      </c>
      <c r="BU185" s="308"/>
      <c r="BV185" s="308"/>
      <c r="BW185" s="308"/>
      <c r="BX185" s="307">
        <f t="shared" si="287"/>
        <v>225569.38162410268</v>
      </c>
      <c r="BY185" s="300">
        <f t="shared" si="288"/>
        <v>217222.87058243601</v>
      </c>
      <c r="BZ185" s="300"/>
      <c r="CA185" s="300"/>
      <c r="CB185" s="301">
        <f>_xlfn.IFNA((VLOOKUP($A185,HN!$A:$M,8,FALSE)/12),0)</f>
        <v>0</v>
      </c>
      <c r="CC185" s="301">
        <f>_xlfn.IFNA((VLOOKUP($A185,HN!$A:$M,12,FALSE)/12),0)</f>
        <v>0</v>
      </c>
      <c r="CD185" s="301">
        <f>_xlfn.IFNA((VLOOKUP($A185,HN!$A:$M,9,FALSE)/12),0)</f>
        <v>0</v>
      </c>
      <c r="CE185" s="301">
        <f>_xlfn.IFNA((VLOOKUP($A185,'Post 16'!$A:$AG,33,FALSE)/8),0)</f>
        <v>0</v>
      </c>
      <c r="CF185" s="301"/>
      <c r="CG185" s="301">
        <f>_xlfn.IFNA(((VLOOKUP($A185,HN!$A:$M,10,FALSE)-$U185-$AK185)/10),0)</f>
        <v>12132.138916666667</v>
      </c>
      <c r="CH185" s="301">
        <f>_xlfn.IFNA(((VLOOKUP($A185,HN!$A:$M,13,FALSE)-$V185-$AL185)/10),0)</f>
        <v>0</v>
      </c>
      <c r="CI185" s="300">
        <f t="shared" si="289"/>
        <v>-832.07499999999993</v>
      </c>
      <c r="CJ185" s="300">
        <f t="shared" si="290"/>
        <v>-2953.5528749999999</v>
      </c>
      <c r="CK185" s="301"/>
      <c r="CL185" s="301"/>
      <c r="CM185" s="301"/>
      <c r="CN185" s="300">
        <f t="shared" si="291"/>
        <v>225569.38162410268</v>
      </c>
      <c r="CO185" s="332">
        <f t="shared" si="292"/>
        <v>217222.87058243601</v>
      </c>
      <c r="CP185" s="332"/>
      <c r="CQ185" s="332">
        <f>_xlfn.IFNA((VLOOKUP($A185,EY!$A:$AB,28,FALSE)-$CV185),0)</f>
        <v>0</v>
      </c>
      <c r="CR185" s="333">
        <f>_xlfn.IFNA((VLOOKUP($A185,HN!$A:$M,8,FALSE)/12),0)</f>
        <v>0</v>
      </c>
      <c r="CS185" s="333">
        <f>_xlfn.IFNA((VLOOKUP($A185,HN!$A:$M,12,FALSE)/12),0)</f>
        <v>0</v>
      </c>
      <c r="CT185" s="333">
        <f>_xlfn.IFNA((VLOOKUP($A185,HN!$A:$M,9,FALSE)/12),0)</f>
        <v>0</v>
      </c>
      <c r="CU185" s="333">
        <f>_xlfn.IFNA((VLOOKUP($A185,'Post 16'!$A:$AG,33,FALSE)/8),0)</f>
        <v>0</v>
      </c>
      <c r="CV185" s="333">
        <f>_xlfn.IFNA((VLOOKUP($A185,EY!$A:$AB,26,FALSE)*80%),0)</f>
        <v>0</v>
      </c>
      <c r="CW185" s="333">
        <f>_xlfn.IFNA(((VLOOKUP($A185,HN!$A:$M,10,FALSE)-$U185-$AK185)/10),0)</f>
        <v>12132.138916666667</v>
      </c>
      <c r="CX185" s="333">
        <f>_xlfn.IFNA(((VLOOKUP($A185,HN!$A:$M,13,FALSE)-$V185-$AL185)/10),0)</f>
        <v>0</v>
      </c>
      <c r="CY185" s="332">
        <f t="shared" si="293"/>
        <v>-832.07499999999993</v>
      </c>
      <c r="CZ185" s="332">
        <f t="shared" si="294"/>
        <v>-2953.5528749999999</v>
      </c>
      <c r="DA185" s="333"/>
      <c r="DB185" s="333"/>
      <c r="DC185" s="333"/>
      <c r="DD185" s="332">
        <f t="shared" si="295"/>
        <v>225569.38162410268</v>
      </c>
      <c r="DE185" s="314">
        <f t="shared" si="296"/>
        <v>217222.87058243601</v>
      </c>
      <c r="DF185" s="314"/>
      <c r="DG185" s="314"/>
      <c r="DH185" s="315">
        <f>_xlfn.IFNA((VLOOKUP($A185,HN!$A:$M,8,FALSE)/12),0)</f>
        <v>0</v>
      </c>
      <c r="DI185" s="315">
        <f>_xlfn.IFNA((VLOOKUP($A185,HN!$A:$M,12,FALSE)/12),0)</f>
        <v>0</v>
      </c>
      <c r="DJ185" s="315">
        <f>_xlfn.IFNA((VLOOKUP($A185,HN!$A:$M,9,FALSE)/12),0)</f>
        <v>0</v>
      </c>
      <c r="DK185" s="315">
        <f>_xlfn.IFNA((VLOOKUP($A185,'Post 16'!$A:$AG,33,FALSE)/8),0)</f>
        <v>0</v>
      </c>
      <c r="DL185" s="315"/>
      <c r="DM185" s="315">
        <f>_xlfn.IFNA(((VLOOKUP($A185,HN!$A:$M,10,FALSE)-$U185-$AK185)/10),0)</f>
        <v>12132.138916666667</v>
      </c>
      <c r="DN185" s="315">
        <f>_xlfn.IFNA(((VLOOKUP($A185,HN!$A:$M,13,FALSE)-$V185-$AL185)/10),0)</f>
        <v>0</v>
      </c>
      <c r="DO185" s="314">
        <f t="shared" si="297"/>
        <v>-832.07499999999993</v>
      </c>
      <c r="DP185" s="314">
        <f t="shared" si="298"/>
        <v>-2953.5528749999999</v>
      </c>
      <c r="DQ185" s="315"/>
      <c r="DR185" s="315"/>
      <c r="DS185" s="315"/>
      <c r="DT185" s="314">
        <f t="shared" si="299"/>
        <v>225569.38162410268</v>
      </c>
      <c r="DU185" s="307">
        <f t="shared" si="300"/>
        <v>217222.87058243601</v>
      </c>
      <c r="DV185" s="307"/>
      <c r="DW185" s="307"/>
      <c r="DX185" s="308">
        <f>_xlfn.IFNA((VLOOKUP($A185,HN!$A:$M,8,FALSE)/12),0)</f>
        <v>0</v>
      </c>
      <c r="DY185" s="308">
        <f>_xlfn.IFNA((VLOOKUP($A185,HN!$A:$M,12,FALSE)/12),0)</f>
        <v>0</v>
      </c>
      <c r="DZ185" s="308">
        <f>_xlfn.IFNA((VLOOKUP($A185,HN!$A:$M,9,FALSE)/12),0)</f>
        <v>0</v>
      </c>
      <c r="EA185" s="308">
        <f>_xlfn.IFNA((VLOOKUP($A185,'Post 16'!$A:$AG,33,FALSE)/8),0)</f>
        <v>0</v>
      </c>
      <c r="EB185" s="308"/>
      <c r="EC185" s="308">
        <f>_xlfn.IFNA(((VLOOKUP($A185,HN!$A:$M,10,FALSE)-$U185-$AK185)/10),0)</f>
        <v>12132.138916666667</v>
      </c>
      <c r="ED185" s="308">
        <f>_xlfn.IFNA(((VLOOKUP($A185,HN!$A:$M,13,FALSE)-$V185-$AL185)/10),0)</f>
        <v>0</v>
      </c>
      <c r="EE185" s="307">
        <f t="shared" si="301"/>
        <v>-832.07499999999993</v>
      </c>
      <c r="EF185" s="307">
        <f t="shared" si="302"/>
        <v>-2953.5528749999999</v>
      </c>
      <c r="EG185" s="308"/>
      <c r="EH185" s="308"/>
      <c r="EI185" s="308"/>
      <c r="EJ185" s="307">
        <f t="shared" si="303"/>
        <v>225569.38162410268</v>
      </c>
      <c r="EK185" s="320">
        <f t="shared" si="304"/>
        <v>217222.87058243601</v>
      </c>
      <c r="EL185" s="320"/>
      <c r="EM185" s="320"/>
      <c r="EN185" s="321">
        <f>_xlfn.IFNA((VLOOKUP($A185,HN!$A:$M,8,FALSE)/12),0)</f>
        <v>0</v>
      </c>
      <c r="EO185" s="321">
        <f>_xlfn.IFNA((VLOOKUP($A185,HN!$A:$M,12,FALSE)/12),0)</f>
        <v>0</v>
      </c>
      <c r="EP185" s="321">
        <f>_xlfn.IFNA((VLOOKUP($A185,HN!$A:$M,9,FALSE)/12),0)</f>
        <v>0</v>
      </c>
      <c r="EQ185" s="321">
        <f>_xlfn.IFNA((VLOOKUP($A185,'Post 16'!$A:$AG,33,FALSE)/8),0)</f>
        <v>0</v>
      </c>
      <c r="ER185" s="321"/>
      <c r="ES185" s="321">
        <f>_xlfn.IFNA(((VLOOKUP($A185,HN!$A:$M,10,FALSE)-$U185-$AK185)/10),0)</f>
        <v>12132.138916666667</v>
      </c>
      <c r="ET185" s="321">
        <f>_xlfn.IFNA(((VLOOKUP($A185,HN!$A:$M,13,FALSE)-$V185-$AL185)/10),0)</f>
        <v>0</v>
      </c>
      <c r="EU185" s="320">
        <f t="shared" si="305"/>
        <v>-832.07499999999993</v>
      </c>
      <c r="EV185" s="320">
        <f t="shared" si="306"/>
        <v>-2953.5528749999999</v>
      </c>
      <c r="EW185" s="321"/>
      <c r="EX185" s="321"/>
      <c r="EY185" s="321"/>
      <c r="EZ185" s="320">
        <f t="shared" si="307"/>
        <v>225569.38162410268</v>
      </c>
      <c r="FA185" s="286">
        <f t="shared" si="308"/>
        <v>217222.87058243601</v>
      </c>
      <c r="FB185" s="286"/>
      <c r="FC185" s="286"/>
      <c r="FD185" s="287">
        <f>_xlfn.IFNA((VLOOKUP($A185,HN!$A:$M,8,FALSE)/12),0)</f>
        <v>0</v>
      </c>
      <c r="FE185" s="287">
        <f>_xlfn.IFNA((VLOOKUP($A185,HN!$A:$M,12,FALSE)/12),0)</f>
        <v>0</v>
      </c>
      <c r="FF185" s="287">
        <f>_xlfn.IFNA((VLOOKUP($A185,HN!$A:$M,9,FALSE)/12),0)</f>
        <v>0</v>
      </c>
      <c r="FG185" s="287">
        <f>_xlfn.IFNA((VLOOKUP($A185,'Post 16'!$A:$AG,33,FALSE)/8),0)</f>
        <v>0</v>
      </c>
      <c r="FH185" s="287"/>
      <c r="FI185" s="287">
        <f>_xlfn.IFNA(((VLOOKUP($A185,HN!$A:$M,10,FALSE)-$U185-$AK185)/10),0)</f>
        <v>12132.138916666667</v>
      </c>
      <c r="FJ185" s="287">
        <f>_xlfn.IFNA(((VLOOKUP($A185,HN!$A:$M,13,FALSE)-$V185-$AL185)/10),0)</f>
        <v>0</v>
      </c>
      <c r="FK185" s="286">
        <f t="shared" si="309"/>
        <v>-832.07499999999993</v>
      </c>
      <c r="FL185" s="286">
        <f t="shared" si="310"/>
        <v>-2953.5528749999999</v>
      </c>
      <c r="FM185" s="287"/>
      <c r="FN185" s="287"/>
      <c r="FO185" s="287"/>
      <c r="FP185" s="286">
        <f t="shared" si="311"/>
        <v>225569.38162410268</v>
      </c>
      <c r="FQ185" s="293">
        <f t="shared" si="312"/>
        <v>217222.87058243601</v>
      </c>
      <c r="FR185" s="293"/>
      <c r="FS185" s="293"/>
      <c r="FT185" s="294">
        <f>_xlfn.IFNA((VLOOKUP($A185,HN!$A:$M,8,FALSE)/12),0)</f>
        <v>0</v>
      </c>
      <c r="FU185" s="294">
        <f>_xlfn.IFNA((VLOOKUP($A185,HN!$A:$M,12,FALSE)/12),0)</f>
        <v>0</v>
      </c>
      <c r="FV185" s="294">
        <f>_xlfn.IFNA((VLOOKUP($A185,HN!$A:$M,9,FALSE)/12),0)</f>
        <v>0</v>
      </c>
      <c r="FW185" s="294">
        <f>_xlfn.IFNA((VLOOKUP($A185,'Post 16'!$A:$AG,33,FALSE)/8),0)</f>
        <v>0</v>
      </c>
      <c r="FX185" s="294"/>
      <c r="FY185" s="294">
        <f>_xlfn.IFNA(((VLOOKUP($A185,HN!$A:$M,10,FALSE)-$U185-$AK185)/10),0)</f>
        <v>12132.138916666667</v>
      </c>
      <c r="FZ185" s="294">
        <f>_xlfn.IFNA(((VLOOKUP($A185,HN!$A:$M,13,FALSE)-$V185-$AL185)/10),0)</f>
        <v>0</v>
      </c>
      <c r="GA185" s="293">
        <f t="shared" si="313"/>
        <v>-832.07499999999993</v>
      </c>
      <c r="GB185" s="293">
        <f t="shared" si="314"/>
        <v>-2953.5528749999999</v>
      </c>
      <c r="GC185" s="294"/>
      <c r="GD185" s="294"/>
      <c r="GE185" s="294"/>
      <c r="GF185" s="293">
        <f t="shared" si="315"/>
        <v>225569.38162410268</v>
      </c>
      <c r="GG185" s="300">
        <f t="shared" si="316"/>
        <v>217222.87058243601</v>
      </c>
      <c r="GH185" s="300"/>
      <c r="GI185" s="300"/>
      <c r="GJ185" s="301">
        <f>_xlfn.IFNA((VLOOKUP($A185,HN!$A:$M,8,FALSE)/12),0)</f>
        <v>0</v>
      </c>
      <c r="GK185" s="301">
        <f>_xlfn.IFNA((VLOOKUP($A185,HN!$A:$M,12,FALSE)/12),0)</f>
        <v>0</v>
      </c>
      <c r="GL185" s="301">
        <f>_xlfn.IFNA((VLOOKUP($A185,HN!$A:$M,9,FALSE)/12),0)</f>
        <v>0</v>
      </c>
      <c r="GM185" s="301">
        <f>_xlfn.IFNA((VLOOKUP($A185,'Post 16'!$A:$AG,33,FALSE)/8),0)</f>
        <v>0</v>
      </c>
      <c r="GN185" s="301"/>
      <c r="GO185" s="301">
        <f>_xlfn.IFNA(((VLOOKUP($A185,HN!$A:$M,10,FALSE)-$U185-$AK185)/10),0)</f>
        <v>12132.138916666667</v>
      </c>
      <c r="GP185" s="301">
        <f>_xlfn.IFNA(((VLOOKUP($A185,HN!$A:$M,13,FALSE)-$V185-$AL185)/10),0)</f>
        <v>0</v>
      </c>
      <c r="GQ185" s="300">
        <f t="shared" si="317"/>
        <v>-832.07499999999993</v>
      </c>
      <c r="GR185" s="300">
        <f t="shared" si="318"/>
        <v>-2953.5528749999999</v>
      </c>
      <c r="GS185" s="301"/>
      <c r="GT185" s="301"/>
      <c r="GU185" s="301"/>
      <c r="GV185" s="300">
        <f t="shared" si="319"/>
        <v>225569.38162410268</v>
      </c>
      <c r="GX185" s="146">
        <f t="shared" si="322"/>
        <v>2606674.4469892327</v>
      </c>
      <c r="GY185" s="146">
        <f t="shared" si="322"/>
        <v>0</v>
      </c>
      <c r="GZ185" s="146">
        <f t="shared" si="322"/>
        <v>170555.00000000003</v>
      </c>
      <c r="HA185" s="146">
        <f t="shared" si="322"/>
        <v>-9984.9000000000015</v>
      </c>
      <c r="HB185" s="146">
        <f t="shared" si="322"/>
        <v>-35442.634500000007</v>
      </c>
      <c r="HC185" s="146">
        <f t="shared" si="322"/>
        <v>0</v>
      </c>
      <c r="HE185" s="146">
        <f t="shared" si="323"/>
        <v>651668.61174730805</v>
      </c>
      <c r="HF185" s="146">
        <f t="shared" si="323"/>
        <v>0</v>
      </c>
      <c r="HG185" s="146">
        <f t="shared" si="323"/>
        <v>61365.749750000003</v>
      </c>
      <c r="HH185" s="146">
        <f t="shared" si="323"/>
        <v>-2496.2249999999999</v>
      </c>
      <c r="HI185" s="146">
        <f t="shared" si="323"/>
        <v>-8860.658625</v>
      </c>
      <c r="HJ185" s="146">
        <f t="shared" si="323"/>
        <v>0</v>
      </c>
      <c r="HL185" s="146"/>
      <c r="HM185" s="57"/>
    </row>
    <row r="186" spans="1:221">
      <c r="A186" s="185">
        <v>2317</v>
      </c>
      <c r="B186" s="185">
        <v>103337</v>
      </c>
      <c r="C186" s="185" t="s">
        <v>399</v>
      </c>
      <c r="D186" s="2" t="s">
        <v>400</v>
      </c>
      <c r="E186" s="190" t="s">
        <v>39</v>
      </c>
      <c r="F186" s="190" t="s">
        <v>890</v>
      </c>
      <c r="H186" s="271">
        <f>_xlfn.IFNA(VLOOKUP($A186,ISB!$A$4:$BY$441,67,FALSE),0)</f>
        <v>1496968.2546946702</v>
      </c>
      <c r="I186" s="271">
        <f>_xlfn.IFNA(VLOOKUP($A186,ISB!$A$4:$BY$441,72,FALSE),0)</f>
        <v>-5751.9</v>
      </c>
      <c r="J186" s="271">
        <f>-_xlfn.IFNA(VLOOKUP($A186,ISB!$A$4:$BY$441,76,FALSE),0)</f>
        <v>-16236.9148</v>
      </c>
      <c r="K186" s="271">
        <f>_xlfn.IFNA(VLOOKUP($A186,ISB!$A$4:$BY$441,77,FALSE),0)</f>
        <v>1474979.4398946704</v>
      </c>
      <c r="M186" s="279">
        <f t="shared" si="272"/>
        <v>124747.35455788918</v>
      </c>
      <c r="N186" s="279"/>
      <c r="O186" s="279">
        <f>_xlfn.IFNA(VLOOKUP($A186,EY!$A:$H,8,FALSE)+(VLOOKUP($A186,EY!$A:$R,18,FALSE)-$T186),0)</f>
        <v>86496.613894736845</v>
      </c>
      <c r="P186" s="280">
        <f>_xlfn.IFNA((VLOOKUP($A186,HN!$A:$M,8,FALSE)/12),0)</f>
        <v>0</v>
      </c>
      <c r="Q186" s="280">
        <f>_xlfn.IFNA((VLOOKUP($A186,HN!$A:$M,12,FALSE)/12),0)</f>
        <v>2166.6666666666665</v>
      </c>
      <c r="R186" s="280">
        <f>_xlfn.IFNA((VLOOKUP($A186,HN!$A:$M,9,FALSE)/12),0)</f>
        <v>0</v>
      </c>
      <c r="S186" s="280">
        <f>_xlfn.IFNA((VLOOKUP($A186,'Post 16'!$A:$AR,22,FALSE)/4),0)</f>
        <v>0</v>
      </c>
      <c r="T186" s="280">
        <f>_xlfn.IFNA((VLOOKUP($A186,EY!$A:$R,16,FALSE)*80%),0)</f>
        <v>0</v>
      </c>
      <c r="U186" s="280">
        <v>0</v>
      </c>
      <c r="V186" s="280">
        <v>13309.399166666668</v>
      </c>
      <c r="W186" s="279">
        <f t="shared" si="273"/>
        <v>-479.32499999999999</v>
      </c>
      <c r="X186" s="279">
        <f t="shared" si="274"/>
        <v>-1353.0762333333334</v>
      </c>
      <c r="Y186" s="280"/>
      <c r="Z186" s="280"/>
      <c r="AA186" s="280"/>
      <c r="AB186" s="279">
        <f t="shared" si="275"/>
        <v>224887.63305262601</v>
      </c>
      <c r="AC186" s="293">
        <f t="shared" si="276"/>
        <v>124747.35455788918</v>
      </c>
      <c r="AD186" s="293"/>
      <c r="AE186" s="293"/>
      <c r="AF186" s="294">
        <f>_xlfn.IFNA((VLOOKUP($A186,HN!$A:$M,8,FALSE)/12),0)</f>
        <v>0</v>
      </c>
      <c r="AG186" s="294">
        <f>_xlfn.IFNA((VLOOKUP($A186,HN!$A:$M,12,FALSE)/12),0)+_xlfn.IFNA(VLOOKUP($A186,HN!$A:$Q,17,FALSE),0)</f>
        <v>2166.6666666666665</v>
      </c>
      <c r="AH186" s="294">
        <f>_xlfn.IFNA((VLOOKUP($A186,HN!$A:$M,9,FALSE)/12),0)</f>
        <v>0</v>
      </c>
      <c r="AI186" s="294">
        <f>_xlfn.IFNA((VLOOKUP($A186,'Post 16'!$A:$AR,22,FALSE)/4),0)</f>
        <v>0</v>
      </c>
      <c r="AJ186" s="294"/>
      <c r="AK186" s="294">
        <f>_xlfn.IFNA((VLOOKUP($A186,HN!$A:$M,10,FALSE)/12),0)</f>
        <v>0</v>
      </c>
      <c r="AL186" s="294">
        <f>_xlfn.IFNA((VLOOKUP($A186,HN!$A:$M,13,FALSE)/12),0)</f>
        <v>14783.211666666668</v>
      </c>
      <c r="AM186" s="293">
        <f t="shared" si="277"/>
        <v>-479.32499999999999</v>
      </c>
      <c r="AN186" s="293">
        <f t="shared" si="278"/>
        <v>-1353.0762333333334</v>
      </c>
      <c r="AO186" s="294"/>
      <c r="AP186" s="294"/>
      <c r="AQ186" s="294"/>
      <c r="AR186" s="293">
        <f t="shared" si="279"/>
        <v>139864.83165788918</v>
      </c>
      <c r="AS186" s="286">
        <f t="shared" si="280"/>
        <v>124747.35455788918</v>
      </c>
      <c r="AT186" s="286"/>
      <c r="AU186" s="286">
        <f>_xlfn.IFNA(VLOOKUP(A186,EY!A:AO,40,FALSE),0)</f>
        <v>2254.2289750692444</v>
      </c>
      <c r="AV186" s="287">
        <f>_xlfn.IFNA((VLOOKUP($A186,HN!$A:$M,8,FALSE)/12),0)</f>
        <v>0</v>
      </c>
      <c r="AW186" s="287">
        <f>_xlfn.IFNA((VLOOKUP($A186,HN!$A:$M,12,FALSE)/12),0)+_xlfn.IFNA(VLOOKUP($A186,HN!$A$8:$AU$200,19,FALSE),0)</f>
        <v>2166.6666666666665</v>
      </c>
      <c r="AX186" s="287">
        <f>_xlfn.IFNA((VLOOKUP($A186,HN!$A:$M,9,FALSE)/12),0)</f>
        <v>0</v>
      </c>
      <c r="AY186" s="287">
        <f>_xlfn.IFNA((VLOOKUP($A186,'Post 16'!$A:$AR,22,FALSE)/4),0)</f>
        <v>0</v>
      </c>
      <c r="AZ186" s="287">
        <f>_xlfn.IFNA(VLOOKUP(A186,EY!A:AO,41,FALSE),0)</f>
        <v>0</v>
      </c>
      <c r="BA186" s="287">
        <f>_xlfn.IFNA(((VLOOKUP($A186,HN!$A:$M,10,FALSE)-$U186-$AK186)/10),0)+_xlfn.IFNA(VLOOKUP($A186,HN!$A:$R,18,FALSE),0)</f>
        <v>0</v>
      </c>
      <c r="BB186" s="287">
        <f>_xlfn.IFNA(((VLOOKUP($A186,HN!$A:$M,13,FALSE)-$V186-$AL186)/10),0)+_xlfn.IFNA(VLOOKUP($A186,HN!$A$8:$AU$200,20,FALSE),0)</f>
        <v>14930.592916666666</v>
      </c>
      <c r="BC186" s="286">
        <f t="shared" si="281"/>
        <v>-479.32499999999999</v>
      </c>
      <c r="BD186" s="286">
        <f t="shared" si="282"/>
        <v>-1353.0762333333334</v>
      </c>
      <c r="BE186" s="287"/>
      <c r="BF186" s="287"/>
      <c r="BG186" s="287"/>
      <c r="BH186" s="286">
        <f t="shared" si="283"/>
        <v>142266.44188295843</v>
      </c>
      <c r="BI186" s="307">
        <f t="shared" si="284"/>
        <v>124747.35455788918</v>
      </c>
      <c r="BJ186" s="307">
        <f>_xlfn.IFNA(VLOOKUP(A186,'LA Deductions'!A:AH,34,FALSE),0)</f>
        <v>0</v>
      </c>
      <c r="BK186" s="307"/>
      <c r="BL186" s="308">
        <f>_xlfn.IFNA((VLOOKUP($A186,HN!$A:$M,8,FALSE)/12),0)</f>
        <v>0</v>
      </c>
      <c r="BM186" s="308">
        <f>_xlfn.IFNA((VLOOKUP($A186,HN!$A:$M,12,FALSE)/12),0)</f>
        <v>2166.6666666666665</v>
      </c>
      <c r="BN186" s="308">
        <f>_xlfn.IFNA((VLOOKUP($A186,HN!$A:$M,9,FALSE)/12),0)</f>
        <v>0</v>
      </c>
      <c r="BO186" s="308">
        <f>_xlfn.IFNA((VLOOKUP($A186,'Post 16'!$A:$AR,22,FALSE)/4),0)</f>
        <v>0</v>
      </c>
      <c r="BP186" s="308"/>
      <c r="BQ186" s="308">
        <f>_xlfn.IFNA(((VLOOKUP($A186,HN!$A:$M,10,FALSE)-$U186-$AK186)/10),0)</f>
        <v>0</v>
      </c>
      <c r="BR186" s="308">
        <f>_xlfn.IFNA(((VLOOKUP($A186,HN!$A:$M,13,FALSE)-$V186-$AL186)/10),0)</f>
        <v>14930.592916666666</v>
      </c>
      <c r="BS186" s="307">
        <f t="shared" si="285"/>
        <v>-479.32499999999999</v>
      </c>
      <c r="BT186" s="307">
        <f t="shared" si="286"/>
        <v>-1353.0762333333334</v>
      </c>
      <c r="BU186" s="308"/>
      <c r="BV186" s="308"/>
      <c r="BW186" s="308"/>
      <c r="BX186" s="307">
        <f t="shared" si="287"/>
        <v>140012.21290788919</v>
      </c>
      <c r="BY186" s="300">
        <f t="shared" si="288"/>
        <v>124747.35455788918</v>
      </c>
      <c r="BZ186" s="300"/>
      <c r="CA186" s="300"/>
      <c r="CB186" s="301">
        <f>_xlfn.IFNA((VLOOKUP($A186,HN!$A:$M,8,FALSE)/12),0)</f>
        <v>0</v>
      </c>
      <c r="CC186" s="301">
        <f>_xlfn.IFNA((VLOOKUP($A186,HN!$A:$M,12,FALSE)/12),0)</f>
        <v>2166.6666666666665</v>
      </c>
      <c r="CD186" s="301">
        <f>_xlfn.IFNA((VLOOKUP($A186,HN!$A:$M,9,FALSE)/12),0)</f>
        <v>0</v>
      </c>
      <c r="CE186" s="301">
        <f>_xlfn.IFNA((VLOOKUP($A186,'Post 16'!$A:$AG,33,FALSE)/8),0)</f>
        <v>0</v>
      </c>
      <c r="CF186" s="301"/>
      <c r="CG186" s="301">
        <f>_xlfn.IFNA(((VLOOKUP($A186,HN!$A:$M,10,FALSE)-$U186-$AK186)/10),0)</f>
        <v>0</v>
      </c>
      <c r="CH186" s="301">
        <f>_xlfn.IFNA(((VLOOKUP($A186,HN!$A:$M,13,FALSE)-$V186-$AL186)/10),0)</f>
        <v>14930.592916666666</v>
      </c>
      <c r="CI186" s="300">
        <f t="shared" si="289"/>
        <v>-479.32499999999999</v>
      </c>
      <c r="CJ186" s="300">
        <f t="shared" si="290"/>
        <v>-1353.0762333333334</v>
      </c>
      <c r="CK186" s="301"/>
      <c r="CL186" s="301"/>
      <c r="CM186" s="301"/>
      <c r="CN186" s="300">
        <f t="shared" si="291"/>
        <v>140012.21290788919</v>
      </c>
      <c r="CO186" s="332">
        <f t="shared" si="292"/>
        <v>124747.35455788918</v>
      </c>
      <c r="CP186" s="332"/>
      <c r="CQ186" s="332">
        <f>_xlfn.IFNA((VLOOKUP($A186,EY!$A:$AB,28,FALSE)-$CV186),0)</f>
        <v>23442.120000000003</v>
      </c>
      <c r="CR186" s="333">
        <f>_xlfn.IFNA((VLOOKUP($A186,HN!$A:$M,8,FALSE)/12),0)</f>
        <v>0</v>
      </c>
      <c r="CS186" s="333">
        <f>_xlfn.IFNA((VLOOKUP($A186,HN!$A:$M,12,FALSE)/12),0)</f>
        <v>2166.6666666666665</v>
      </c>
      <c r="CT186" s="333">
        <f>_xlfn.IFNA((VLOOKUP($A186,HN!$A:$M,9,FALSE)/12),0)</f>
        <v>0</v>
      </c>
      <c r="CU186" s="333">
        <f>_xlfn.IFNA((VLOOKUP($A186,'Post 16'!$A:$AG,33,FALSE)/8),0)</f>
        <v>0</v>
      </c>
      <c r="CV186" s="333">
        <f>_xlfn.IFNA((VLOOKUP($A186,EY!$A:$AB,26,FALSE)*80%),0)</f>
        <v>0</v>
      </c>
      <c r="CW186" s="333">
        <f>_xlfn.IFNA(((VLOOKUP($A186,HN!$A:$M,10,FALSE)-$U186-$AK186)/10),0)</f>
        <v>0</v>
      </c>
      <c r="CX186" s="333">
        <f>_xlfn.IFNA(((VLOOKUP($A186,HN!$A:$M,13,FALSE)-$V186-$AL186)/10),0)</f>
        <v>14930.592916666666</v>
      </c>
      <c r="CY186" s="332">
        <f t="shared" si="293"/>
        <v>-479.32499999999999</v>
      </c>
      <c r="CZ186" s="332">
        <f t="shared" si="294"/>
        <v>-1353.0762333333334</v>
      </c>
      <c r="DA186" s="333"/>
      <c r="DB186" s="333"/>
      <c r="DC186" s="333"/>
      <c r="DD186" s="332">
        <f t="shared" si="295"/>
        <v>163454.33290788918</v>
      </c>
      <c r="DE186" s="314">
        <f t="shared" si="296"/>
        <v>124747.35455788918</v>
      </c>
      <c r="DF186" s="314"/>
      <c r="DG186" s="314"/>
      <c r="DH186" s="315">
        <f>_xlfn.IFNA((VLOOKUP($A186,HN!$A:$M,8,FALSE)/12),0)</f>
        <v>0</v>
      </c>
      <c r="DI186" s="315">
        <f>_xlfn.IFNA((VLOOKUP($A186,HN!$A:$M,12,FALSE)/12),0)</f>
        <v>2166.6666666666665</v>
      </c>
      <c r="DJ186" s="315">
        <f>_xlfn.IFNA((VLOOKUP($A186,HN!$A:$M,9,FALSE)/12),0)</f>
        <v>0</v>
      </c>
      <c r="DK186" s="315">
        <f>_xlfn.IFNA((VLOOKUP($A186,'Post 16'!$A:$AG,33,FALSE)/8),0)</f>
        <v>0</v>
      </c>
      <c r="DL186" s="315"/>
      <c r="DM186" s="315">
        <f>_xlfn.IFNA(((VLOOKUP($A186,HN!$A:$M,10,FALSE)-$U186-$AK186)/10),0)</f>
        <v>0</v>
      </c>
      <c r="DN186" s="315">
        <f>_xlfn.IFNA(((VLOOKUP($A186,HN!$A:$M,13,FALSE)-$V186-$AL186)/10),0)</f>
        <v>14930.592916666666</v>
      </c>
      <c r="DO186" s="314">
        <f t="shared" si="297"/>
        <v>-479.32499999999999</v>
      </c>
      <c r="DP186" s="314">
        <f t="shared" si="298"/>
        <v>-1353.0762333333334</v>
      </c>
      <c r="DQ186" s="315"/>
      <c r="DR186" s="315"/>
      <c r="DS186" s="315"/>
      <c r="DT186" s="314">
        <f t="shared" si="299"/>
        <v>140012.21290788919</v>
      </c>
      <c r="DU186" s="307">
        <f t="shared" si="300"/>
        <v>124747.35455788918</v>
      </c>
      <c r="DV186" s="307"/>
      <c r="DW186" s="307"/>
      <c r="DX186" s="308">
        <f>_xlfn.IFNA((VLOOKUP($A186,HN!$A:$M,8,FALSE)/12),0)</f>
        <v>0</v>
      </c>
      <c r="DY186" s="308">
        <f>_xlfn.IFNA((VLOOKUP($A186,HN!$A:$M,12,FALSE)/12),0)</f>
        <v>2166.6666666666665</v>
      </c>
      <c r="DZ186" s="308">
        <f>_xlfn.IFNA((VLOOKUP($A186,HN!$A:$M,9,FALSE)/12),0)</f>
        <v>0</v>
      </c>
      <c r="EA186" s="308">
        <f>_xlfn.IFNA((VLOOKUP($A186,'Post 16'!$A:$AG,33,FALSE)/8),0)</f>
        <v>0</v>
      </c>
      <c r="EB186" s="308"/>
      <c r="EC186" s="308">
        <f>_xlfn.IFNA(((VLOOKUP($A186,HN!$A:$M,10,FALSE)-$U186-$AK186)/10),0)</f>
        <v>0</v>
      </c>
      <c r="ED186" s="308">
        <f>_xlfn.IFNA(((VLOOKUP($A186,HN!$A:$M,13,FALSE)-$V186-$AL186)/10),0)</f>
        <v>14930.592916666666</v>
      </c>
      <c r="EE186" s="307">
        <f t="shared" si="301"/>
        <v>-479.32499999999999</v>
      </c>
      <c r="EF186" s="307">
        <f t="shared" si="302"/>
        <v>-1353.0762333333334</v>
      </c>
      <c r="EG186" s="308"/>
      <c r="EH186" s="308"/>
      <c r="EI186" s="308"/>
      <c r="EJ186" s="307">
        <f t="shared" si="303"/>
        <v>140012.21290788919</v>
      </c>
      <c r="EK186" s="320">
        <f t="shared" si="304"/>
        <v>124747.35455788918</v>
      </c>
      <c r="EL186" s="320"/>
      <c r="EM186" s="320"/>
      <c r="EN186" s="321">
        <f>_xlfn.IFNA((VLOOKUP($A186,HN!$A:$M,8,FALSE)/12),0)</f>
        <v>0</v>
      </c>
      <c r="EO186" s="321">
        <f>_xlfn.IFNA((VLOOKUP($A186,HN!$A:$M,12,FALSE)/12),0)</f>
        <v>2166.6666666666665</v>
      </c>
      <c r="EP186" s="321">
        <f>_xlfn.IFNA((VLOOKUP($A186,HN!$A:$M,9,FALSE)/12),0)</f>
        <v>0</v>
      </c>
      <c r="EQ186" s="321">
        <f>_xlfn.IFNA((VLOOKUP($A186,'Post 16'!$A:$AG,33,FALSE)/8),0)</f>
        <v>0</v>
      </c>
      <c r="ER186" s="321"/>
      <c r="ES186" s="321">
        <f>_xlfn.IFNA(((VLOOKUP($A186,HN!$A:$M,10,FALSE)-$U186-$AK186)/10),0)</f>
        <v>0</v>
      </c>
      <c r="ET186" s="321">
        <f>_xlfn.IFNA(((VLOOKUP($A186,HN!$A:$M,13,FALSE)-$V186-$AL186)/10),0)</f>
        <v>14930.592916666666</v>
      </c>
      <c r="EU186" s="320">
        <f t="shared" si="305"/>
        <v>-479.32499999999999</v>
      </c>
      <c r="EV186" s="320">
        <f t="shared" si="306"/>
        <v>-1353.0762333333334</v>
      </c>
      <c r="EW186" s="321"/>
      <c r="EX186" s="321"/>
      <c r="EY186" s="321"/>
      <c r="EZ186" s="320">
        <f t="shared" si="307"/>
        <v>140012.21290788919</v>
      </c>
      <c r="FA186" s="286">
        <f t="shared" si="308"/>
        <v>124747.35455788918</v>
      </c>
      <c r="FB186" s="286"/>
      <c r="FC186" s="286"/>
      <c r="FD186" s="287">
        <f>_xlfn.IFNA((VLOOKUP($A186,HN!$A:$M,8,FALSE)/12),0)</f>
        <v>0</v>
      </c>
      <c r="FE186" s="287">
        <f>_xlfn.IFNA((VLOOKUP($A186,HN!$A:$M,12,FALSE)/12),0)</f>
        <v>2166.6666666666665</v>
      </c>
      <c r="FF186" s="287">
        <f>_xlfn.IFNA((VLOOKUP($A186,HN!$A:$M,9,FALSE)/12),0)</f>
        <v>0</v>
      </c>
      <c r="FG186" s="287">
        <f>_xlfn.IFNA((VLOOKUP($A186,'Post 16'!$A:$AG,33,FALSE)/8),0)</f>
        <v>0</v>
      </c>
      <c r="FH186" s="287"/>
      <c r="FI186" s="287">
        <f>_xlfn.IFNA(((VLOOKUP($A186,HN!$A:$M,10,FALSE)-$U186-$AK186)/10),0)</f>
        <v>0</v>
      </c>
      <c r="FJ186" s="287">
        <f>_xlfn.IFNA(((VLOOKUP($A186,HN!$A:$M,13,FALSE)-$V186-$AL186)/10),0)</f>
        <v>14930.592916666666</v>
      </c>
      <c r="FK186" s="286">
        <f t="shared" si="309"/>
        <v>-479.32499999999999</v>
      </c>
      <c r="FL186" s="286">
        <f t="shared" si="310"/>
        <v>-1353.0762333333334</v>
      </c>
      <c r="FM186" s="287"/>
      <c r="FN186" s="287"/>
      <c r="FO186" s="287"/>
      <c r="FP186" s="286">
        <f t="shared" si="311"/>
        <v>140012.21290788919</v>
      </c>
      <c r="FQ186" s="293">
        <f t="shared" si="312"/>
        <v>124747.35455788918</v>
      </c>
      <c r="FR186" s="293"/>
      <c r="FS186" s="293"/>
      <c r="FT186" s="294">
        <f>_xlfn.IFNA((VLOOKUP($A186,HN!$A:$M,8,FALSE)/12),0)</f>
        <v>0</v>
      </c>
      <c r="FU186" s="294">
        <f>_xlfn.IFNA((VLOOKUP($A186,HN!$A:$M,12,FALSE)/12),0)</f>
        <v>2166.6666666666665</v>
      </c>
      <c r="FV186" s="294">
        <f>_xlfn.IFNA((VLOOKUP($A186,HN!$A:$M,9,FALSE)/12),0)</f>
        <v>0</v>
      </c>
      <c r="FW186" s="294">
        <f>_xlfn.IFNA((VLOOKUP($A186,'Post 16'!$A:$AG,33,FALSE)/8),0)</f>
        <v>0</v>
      </c>
      <c r="FX186" s="294"/>
      <c r="FY186" s="294">
        <f>_xlfn.IFNA(((VLOOKUP($A186,HN!$A:$M,10,FALSE)-$U186-$AK186)/10),0)</f>
        <v>0</v>
      </c>
      <c r="FZ186" s="294">
        <f>_xlfn.IFNA(((VLOOKUP($A186,HN!$A:$M,13,FALSE)-$V186-$AL186)/10),0)</f>
        <v>14930.592916666666</v>
      </c>
      <c r="GA186" s="293">
        <f t="shared" si="313"/>
        <v>-479.32499999999999</v>
      </c>
      <c r="GB186" s="293">
        <f t="shared" si="314"/>
        <v>-1353.0762333333334</v>
      </c>
      <c r="GC186" s="294"/>
      <c r="GD186" s="294"/>
      <c r="GE186" s="294"/>
      <c r="GF186" s="293">
        <f t="shared" si="315"/>
        <v>140012.21290788919</v>
      </c>
      <c r="GG186" s="300">
        <f t="shared" si="316"/>
        <v>124747.35455788918</v>
      </c>
      <c r="GH186" s="300"/>
      <c r="GI186" s="300"/>
      <c r="GJ186" s="301">
        <f>_xlfn.IFNA((VLOOKUP($A186,HN!$A:$M,8,FALSE)/12),0)</f>
        <v>0</v>
      </c>
      <c r="GK186" s="301">
        <f>_xlfn.IFNA((VLOOKUP($A186,HN!$A:$M,12,FALSE)/12),0)</f>
        <v>2166.6666666666665</v>
      </c>
      <c r="GL186" s="301">
        <f>_xlfn.IFNA((VLOOKUP($A186,HN!$A:$M,9,FALSE)/12),0)</f>
        <v>0</v>
      </c>
      <c r="GM186" s="301">
        <f>_xlfn.IFNA((VLOOKUP($A186,'Post 16'!$A:$AG,33,FALSE)/8),0)</f>
        <v>0</v>
      </c>
      <c r="GN186" s="301"/>
      <c r="GO186" s="301">
        <f>_xlfn.IFNA(((VLOOKUP($A186,HN!$A:$M,10,FALSE)-$U186-$AK186)/10),0)</f>
        <v>0</v>
      </c>
      <c r="GP186" s="301">
        <f>_xlfn.IFNA(((VLOOKUP($A186,HN!$A:$M,13,FALSE)-$V186-$AL186)/10),0)</f>
        <v>14930.592916666666</v>
      </c>
      <c r="GQ186" s="300">
        <f t="shared" si="317"/>
        <v>-479.32499999999999</v>
      </c>
      <c r="GR186" s="300">
        <f t="shared" si="318"/>
        <v>-1353.0762333333334</v>
      </c>
      <c r="GS186" s="301"/>
      <c r="GT186" s="301"/>
      <c r="GU186" s="301"/>
      <c r="GV186" s="300">
        <f t="shared" si="319"/>
        <v>140012.21290788919</v>
      </c>
      <c r="GX186" s="146">
        <f t="shared" ref="GX186:HC193" si="324">SUMIFS($M186:$GV186,$M$7:$GV$7,GX$7)</f>
        <v>1635161.2175644769</v>
      </c>
      <c r="GY186" s="146">
        <f t="shared" si="324"/>
        <v>0</v>
      </c>
      <c r="GZ186" s="146">
        <f t="shared" si="324"/>
        <v>177398.54</v>
      </c>
      <c r="HA186" s="146">
        <f t="shared" si="324"/>
        <v>-5751.8999999999987</v>
      </c>
      <c r="HB186" s="146">
        <f t="shared" si="324"/>
        <v>-16236.9148</v>
      </c>
      <c r="HC186" s="146">
        <f t="shared" si="324"/>
        <v>0</v>
      </c>
      <c r="HE186" s="146">
        <f t="shared" ref="HE186:HJ193" si="325">SUMIFS($M186:$GV186,$M$7:$GV$7,HE$7,$M$4:$GV$4,$HE$6)</f>
        <v>469492.90654347365</v>
      </c>
      <c r="HF186" s="146">
        <f t="shared" si="325"/>
        <v>0</v>
      </c>
      <c r="HG186" s="146">
        <f t="shared" si="325"/>
        <v>43023.203750000001</v>
      </c>
      <c r="HH186" s="146">
        <f t="shared" si="325"/>
        <v>-1437.9749999999999</v>
      </c>
      <c r="HI186" s="146">
        <f t="shared" si="325"/>
        <v>-4059.2287000000006</v>
      </c>
      <c r="HJ186" s="146">
        <f t="shared" si="325"/>
        <v>0</v>
      </c>
    </row>
    <row r="187" spans="1:221">
      <c r="A187" s="185">
        <v>2225</v>
      </c>
      <c r="B187" s="185">
        <v>103279</v>
      </c>
      <c r="C187" s="185" t="s">
        <v>401</v>
      </c>
      <c r="D187" s="2" t="s">
        <v>402</v>
      </c>
      <c r="E187" s="190" t="s">
        <v>39</v>
      </c>
      <c r="F187" s="190" t="s">
        <v>890</v>
      </c>
      <c r="H187" s="271">
        <f>_xlfn.IFNA(VLOOKUP($A187,ISB!$A$4:$BY$441,67,FALSE),0)</f>
        <v>2294846.2802144908</v>
      </c>
      <c r="I187" s="271">
        <f>_xlfn.IFNA(VLOOKUP($A187,ISB!$A$4:$BY$441,72,FALSE),0)</f>
        <v>-8964</v>
      </c>
      <c r="J187" s="271">
        <f>-_xlfn.IFNA(VLOOKUP($A187,ISB!$A$4:$BY$441,76,FALSE),0)</f>
        <v>-21523.3655</v>
      </c>
      <c r="K187" s="271">
        <f>_xlfn.IFNA(VLOOKUP($A187,ISB!$A$4:$BY$441,77,FALSE),0)</f>
        <v>2264358.914714491</v>
      </c>
      <c r="M187" s="279">
        <f t="shared" si="272"/>
        <v>191237.19001787424</v>
      </c>
      <c r="N187" s="279"/>
      <c r="O187" s="279">
        <f>_xlfn.IFNA(VLOOKUP($A187,EY!$A:$H,8,FALSE)+(VLOOKUP($A187,EY!$A:$R,18,FALSE)-$T187),0)</f>
        <v>0</v>
      </c>
      <c r="P187" s="280">
        <f>_xlfn.IFNA((VLOOKUP($A187,HN!$A:$M,8,FALSE)/12),0)</f>
        <v>0</v>
      </c>
      <c r="Q187" s="280">
        <f>_xlfn.IFNA((VLOOKUP($A187,HN!$A:$M,12,FALSE)/12),0)</f>
        <v>5000</v>
      </c>
      <c r="R187" s="280">
        <f>_xlfn.IFNA((VLOOKUP($A187,HN!$A:$M,9,FALSE)/12),0)</f>
        <v>0</v>
      </c>
      <c r="S187" s="280">
        <f>_xlfn.IFNA((VLOOKUP($A187,'Post 16'!$A:$AR,22,FALSE)/4),0)</f>
        <v>0</v>
      </c>
      <c r="T187" s="280">
        <f>_xlfn.IFNA((VLOOKUP($A187,EY!$A:$R,16,FALSE)*80%),0)</f>
        <v>0</v>
      </c>
      <c r="U187" s="280">
        <v>0</v>
      </c>
      <c r="V187" s="280">
        <v>23605.4575</v>
      </c>
      <c r="W187" s="279">
        <f t="shared" si="273"/>
        <v>-747</v>
      </c>
      <c r="X187" s="279">
        <f t="shared" si="274"/>
        <v>-1793.6137916666667</v>
      </c>
      <c r="Y187" s="280"/>
      <c r="Z187" s="280"/>
      <c r="AA187" s="280"/>
      <c r="AB187" s="279">
        <f t="shared" si="275"/>
        <v>217302.03372620756</v>
      </c>
      <c r="AC187" s="293">
        <f t="shared" si="276"/>
        <v>191237.19001787424</v>
      </c>
      <c r="AD187" s="293"/>
      <c r="AE187" s="293"/>
      <c r="AF187" s="294">
        <f>_xlfn.IFNA((VLOOKUP($A187,HN!$A:$M,8,FALSE)/12),0)</f>
        <v>0</v>
      </c>
      <c r="AG187" s="294">
        <f>_xlfn.IFNA((VLOOKUP($A187,HN!$A:$M,12,FALSE)/12),0)+_xlfn.IFNA(VLOOKUP($A187,HN!$A:$Q,17,FALSE),0)</f>
        <v>5000</v>
      </c>
      <c r="AH187" s="294">
        <f>_xlfn.IFNA((VLOOKUP($A187,HN!$A:$M,9,FALSE)/12),0)</f>
        <v>0</v>
      </c>
      <c r="AI187" s="294">
        <f>_xlfn.IFNA((VLOOKUP($A187,'Post 16'!$A:$AR,22,FALSE)/4),0)</f>
        <v>0</v>
      </c>
      <c r="AJ187" s="294"/>
      <c r="AK187" s="294">
        <f>_xlfn.IFNA((VLOOKUP($A187,HN!$A:$M,10,FALSE)/12),0)</f>
        <v>0</v>
      </c>
      <c r="AL187" s="294">
        <f>_xlfn.IFNA((VLOOKUP($A187,HN!$A:$M,13,FALSE)/12),0)</f>
        <v>15469.394999999999</v>
      </c>
      <c r="AM187" s="293">
        <f t="shared" si="277"/>
        <v>-747</v>
      </c>
      <c r="AN187" s="293">
        <f t="shared" si="278"/>
        <v>-1793.6137916666667</v>
      </c>
      <c r="AO187" s="294"/>
      <c r="AP187" s="294"/>
      <c r="AQ187" s="294"/>
      <c r="AR187" s="293">
        <f t="shared" si="279"/>
        <v>209165.97122620756</v>
      </c>
      <c r="AS187" s="286">
        <f t="shared" si="280"/>
        <v>191237.19001787424</v>
      </c>
      <c r="AT187" s="286"/>
      <c r="AU187" s="286">
        <f>_xlfn.IFNA(VLOOKUP(A187,EY!A:AO,40,FALSE),0)</f>
        <v>0</v>
      </c>
      <c r="AV187" s="287">
        <f>_xlfn.IFNA((VLOOKUP($A187,HN!$A:$M,8,FALSE)/12),0)</f>
        <v>0</v>
      </c>
      <c r="AW187" s="287">
        <f>_xlfn.IFNA((VLOOKUP($A187,HN!$A:$M,12,FALSE)/12),0)+_xlfn.IFNA(VLOOKUP($A187,HN!$A$8:$AU$200,19,FALSE),0)</f>
        <v>5000</v>
      </c>
      <c r="AX187" s="287">
        <f>_xlfn.IFNA((VLOOKUP($A187,HN!$A:$M,9,FALSE)/12),0)</f>
        <v>0</v>
      </c>
      <c r="AY187" s="287">
        <f>_xlfn.IFNA((VLOOKUP($A187,'Post 16'!$A:$AR,22,FALSE)/4),0)</f>
        <v>0</v>
      </c>
      <c r="AZ187" s="287">
        <f>_xlfn.IFNA(VLOOKUP(A187,EY!A:AO,41,FALSE),0)</f>
        <v>0</v>
      </c>
      <c r="BA187" s="287">
        <f>_xlfn.IFNA(((VLOOKUP($A187,HN!$A:$M,10,FALSE)-$U187-$AK187)/10),0)+_xlfn.IFNA(VLOOKUP($A187,HN!$A:$R,18,FALSE),0)</f>
        <v>0</v>
      </c>
      <c r="BB187" s="287">
        <f>_xlfn.IFNA(((VLOOKUP($A187,HN!$A:$M,13,FALSE)-$V187-$AL187)/10),0)+_xlfn.IFNA(VLOOKUP($A187,HN!$A$8:$AU$200,20,FALSE),0)</f>
        <v>14655.788750000002</v>
      </c>
      <c r="BC187" s="286">
        <f t="shared" si="281"/>
        <v>-747</v>
      </c>
      <c r="BD187" s="286">
        <f t="shared" si="282"/>
        <v>-1793.6137916666667</v>
      </c>
      <c r="BE187" s="287"/>
      <c r="BF187" s="287"/>
      <c r="BG187" s="287"/>
      <c r="BH187" s="286">
        <f t="shared" si="283"/>
        <v>208352.36497620758</v>
      </c>
      <c r="BI187" s="307">
        <f t="shared" si="284"/>
        <v>191237.19001787424</v>
      </c>
      <c r="BJ187" s="307">
        <f>_xlfn.IFNA(VLOOKUP(A187,'LA Deductions'!A:AH,34,FALSE),0)</f>
        <v>0</v>
      </c>
      <c r="BK187" s="307"/>
      <c r="BL187" s="308">
        <f>_xlfn.IFNA((VLOOKUP($A187,HN!$A:$M,8,FALSE)/12),0)</f>
        <v>0</v>
      </c>
      <c r="BM187" s="308">
        <f>_xlfn.IFNA((VLOOKUP($A187,HN!$A:$M,12,FALSE)/12),0)</f>
        <v>5000</v>
      </c>
      <c r="BN187" s="308">
        <f>_xlfn.IFNA((VLOOKUP($A187,HN!$A:$M,9,FALSE)/12),0)</f>
        <v>0</v>
      </c>
      <c r="BO187" s="308">
        <f>_xlfn.IFNA((VLOOKUP($A187,'Post 16'!$A:$AR,22,FALSE)/4),0)</f>
        <v>0</v>
      </c>
      <c r="BP187" s="308"/>
      <c r="BQ187" s="308">
        <f>_xlfn.IFNA(((VLOOKUP($A187,HN!$A:$M,10,FALSE)-$U187-$AK187)/10),0)</f>
        <v>0</v>
      </c>
      <c r="BR187" s="308">
        <f>_xlfn.IFNA(((VLOOKUP($A187,HN!$A:$M,13,FALSE)-$V187-$AL187)/10),0)</f>
        <v>14655.788750000002</v>
      </c>
      <c r="BS187" s="307">
        <f t="shared" si="285"/>
        <v>-747</v>
      </c>
      <c r="BT187" s="307">
        <f t="shared" si="286"/>
        <v>-1793.6137916666667</v>
      </c>
      <c r="BU187" s="308"/>
      <c r="BV187" s="308"/>
      <c r="BW187" s="308"/>
      <c r="BX187" s="307">
        <f t="shared" si="287"/>
        <v>208352.36497620758</v>
      </c>
      <c r="BY187" s="300">
        <f t="shared" si="288"/>
        <v>191237.19001787424</v>
      </c>
      <c r="BZ187" s="300"/>
      <c r="CA187" s="300"/>
      <c r="CB187" s="301">
        <f>_xlfn.IFNA((VLOOKUP($A187,HN!$A:$M,8,FALSE)/12),0)</f>
        <v>0</v>
      </c>
      <c r="CC187" s="301">
        <f>_xlfn.IFNA((VLOOKUP($A187,HN!$A:$M,12,FALSE)/12),0)</f>
        <v>5000</v>
      </c>
      <c r="CD187" s="301">
        <f>_xlfn.IFNA((VLOOKUP($A187,HN!$A:$M,9,FALSE)/12),0)</f>
        <v>0</v>
      </c>
      <c r="CE187" s="301">
        <f>_xlfn.IFNA((VLOOKUP($A187,'Post 16'!$A:$AG,33,FALSE)/8),0)</f>
        <v>0</v>
      </c>
      <c r="CF187" s="301"/>
      <c r="CG187" s="301">
        <f>_xlfn.IFNA(((VLOOKUP($A187,HN!$A:$M,10,FALSE)-$U187-$AK187)/10),0)</f>
        <v>0</v>
      </c>
      <c r="CH187" s="301">
        <f>_xlfn.IFNA(((VLOOKUP($A187,HN!$A:$M,13,FALSE)-$V187-$AL187)/10),0)</f>
        <v>14655.788750000002</v>
      </c>
      <c r="CI187" s="300">
        <f t="shared" si="289"/>
        <v>-747</v>
      </c>
      <c r="CJ187" s="300">
        <f t="shared" si="290"/>
        <v>-1793.6137916666667</v>
      </c>
      <c r="CK187" s="301"/>
      <c r="CL187" s="301"/>
      <c r="CM187" s="301"/>
      <c r="CN187" s="300">
        <f t="shared" si="291"/>
        <v>208352.36497620758</v>
      </c>
      <c r="CO187" s="332">
        <f t="shared" si="292"/>
        <v>191237.19001787424</v>
      </c>
      <c r="CP187" s="332"/>
      <c r="CQ187" s="332">
        <f>_xlfn.IFNA((VLOOKUP($A187,EY!$A:$AB,28,FALSE)-$CV187),0)</f>
        <v>0</v>
      </c>
      <c r="CR187" s="333">
        <f>_xlfn.IFNA((VLOOKUP($A187,HN!$A:$M,8,FALSE)/12),0)</f>
        <v>0</v>
      </c>
      <c r="CS187" s="333">
        <f>_xlfn.IFNA((VLOOKUP($A187,HN!$A:$M,12,FALSE)/12),0)</f>
        <v>5000</v>
      </c>
      <c r="CT187" s="333">
        <f>_xlfn.IFNA((VLOOKUP($A187,HN!$A:$M,9,FALSE)/12),0)</f>
        <v>0</v>
      </c>
      <c r="CU187" s="333">
        <f>_xlfn.IFNA((VLOOKUP($A187,'Post 16'!$A:$AG,33,FALSE)/8),0)</f>
        <v>0</v>
      </c>
      <c r="CV187" s="333">
        <f>_xlfn.IFNA((VLOOKUP($A187,EY!$A:$AB,26,FALSE)*80%),0)</f>
        <v>0</v>
      </c>
      <c r="CW187" s="333">
        <f>_xlfn.IFNA(((VLOOKUP($A187,HN!$A:$M,10,FALSE)-$U187-$AK187)/10),0)</f>
        <v>0</v>
      </c>
      <c r="CX187" s="333">
        <f>_xlfn.IFNA(((VLOOKUP($A187,HN!$A:$M,13,FALSE)-$V187-$AL187)/10),0)</f>
        <v>14655.788750000002</v>
      </c>
      <c r="CY187" s="332">
        <f t="shared" si="293"/>
        <v>-747</v>
      </c>
      <c r="CZ187" s="332">
        <f t="shared" si="294"/>
        <v>-1793.6137916666667</v>
      </c>
      <c r="DA187" s="333"/>
      <c r="DB187" s="333"/>
      <c r="DC187" s="333"/>
      <c r="DD187" s="332">
        <f t="shared" si="295"/>
        <v>208352.36497620758</v>
      </c>
      <c r="DE187" s="314">
        <f t="shared" si="296"/>
        <v>191237.19001787424</v>
      </c>
      <c r="DF187" s="314"/>
      <c r="DG187" s="314"/>
      <c r="DH187" s="315">
        <f>_xlfn.IFNA((VLOOKUP($A187,HN!$A:$M,8,FALSE)/12),0)</f>
        <v>0</v>
      </c>
      <c r="DI187" s="315">
        <f>_xlfn.IFNA((VLOOKUP($A187,HN!$A:$M,12,FALSE)/12),0)</f>
        <v>5000</v>
      </c>
      <c r="DJ187" s="315">
        <f>_xlfn.IFNA((VLOOKUP($A187,HN!$A:$M,9,FALSE)/12),0)</f>
        <v>0</v>
      </c>
      <c r="DK187" s="315">
        <f>_xlfn.IFNA((VLOOKUP($A187,'Post 16'!$A:$AG,33,FALSE)/8),0)</f>
        <v>0</v>
      </c>
      <c r="DL187" s="315"/>
      <c r="DM187" s="315">
        <f>_xlfn.IFNA(((VLOOKUP($A187,HN!$A:$M,10,FALSE)-$U187-$AK187)/10),0)</f>
        <v>0</v>
      </c>
      <c r="DN187" s="315">
        <f>_xlfn.IFNA(((VLOOKUP($A187,HN!$A:$M,13,FALSE)-$V187-$AL187)/10),0)</f>
        <v>14655.788750000002</v>
      </c>
      <c r="DO187" s="314">
        <f t="shared" si="297"/>
        <v>-747</v>
      </c>
      <c r="DP187" s="314">
        <f t="shared" si="298"/>
        <v>-1793.6137916666667</v>
      </c>
      <c r="DQ187" s="315"/>
      <c r="DR187" s="315"/>
      <c r="DS187" s="315"/>
      <c r="DT187" s="314">
        <f t="shared" si="299"/>
        <v>208352.36497620758</v>
      </c>
      <c r="DU187" s="307">
        <f t="shared" si="300"/>
        <v>191237.19001787424</v>
      </c>
      <c r="DV187" s="307"/>
      <c r="DW187" s="307"/>
      <c r="DX187" s="308">
        <f>_xlfn.IFNA((VLOOKUP($A187,HN!$A:$M,8,FALSE)/12),0)</f>
        <v>0</v>
      </c>
      <c r="DY187" s="308">
        <f>_xlfn.IFNA((VLOOKUP($A187,HN!$A:$M,12,FALSE)/12),0)</f>
        <v>5000</v>
      </c>
      <c r="DZ187" s="308">
        <f>_xlfn.IFNA((VLOOKUP($A187,HN!$A:$M,9,FALSE)/12),0)</f>
        <v>0</v>
      </c>
      <c r="EA187" s="308">
        <f>_xlfn.IFNA((VLOOKUP($A187,'Post 16'!$A:$AG,33,FALSE)/8),0)</f>
        <v>0</v>
      </c>
      <c r="EB187" s="308"/>
      <c r="EC187" s="308">
        <f>_xlfn.IFNA(((VLOOKUP($A187,HN!$A:$M,10,FALSE)-$U187-$AK187)/10),0)</f>
        <v>0</v>
      </c>
      <c r="ED187" s="308">
        <f>_xlfn.IFNA(((VLOOKUP($A187,HN!$A:$M,13,FALSE)-$V187-$AL187)/10),0)</f>
        <v>14655.788750000002</v>
      </c>
      <c r="EE187" s="307">
        <f t="shared" si="301"/>
        <v>-747</v>
      </c>
      <c r="EF187" s="307">
        <f t="shared" si="302"/>
        <v>-1793.6137916666667</v>
      </c>
      <c r="EG187" s="308"/>
      <c r="EH187" s="308"/>
      <c r="EI187" s="308"/>
      <c r="EJ187" s="307">
        <f t="shared" si="303"/>
        <v>208352.36497620758</v>
      </c>
      <c r="EK187" s="320">
        <f t="shared" si="304"/>
        <v>191237.19001787424</v>
      </c>
      <c r="EL187" s="320"/>
      <c r="EM187" s="320"/>
      <c r="EN187" s="321">
        <f>_xlfn.IFNA((VLOOKUP($A187,HN!$A:$M,8,FALSE)/12),0)</f>
        <v>0</v>
      </c>
      <c r="EO187" s="321">
        <f>_xlfn.IFNA((VLOOKUP($A187,HN!$A:$M,12,FALSE)/12),0)</f>
        <v>5000</v>
      </c>
      <c r="EP187" s="321">
        <f>_xlfn.IFNA((VLOOKUP($A187,HN!$A:$M,9,FALSE)/12),0)</f>
        <v>0</v>
      </c>
      <c r="EQ187" s="321">
        <f>_xlfn.IFNA((VLOOKUP($A187,'Post 16'!$A:$AG,33,FALSE)/8),0)</f>
        <v>0</v>
      </c>
      <c r="ER187" s="321"/>
      <c r="ES187" s="321">
        <f>_xlfn.IFNA(((VLOOKUP($A187,HN!$A:$M,10,FALSE)-$U187-$AK187)/10),0)</f>
        <v>0</v>
      </c>
      <c r="ET187" s="321">
        <f>_xlfn.IFNA(((VLOOKUP($A187,HN!$A:$M,13,FALSE)-$V187-$AL187)/10),0)</f>
        <v>14655.788750000002</v>
      </c>
      <c r="EU187" s="320">
        <f t="shared" si="305"/>
        <v>-747</v>
      </c>
      <c r="EV187" s="320">
        <f t="shared" si="306"/>
        <v>-1793.6137916666667</v>
      </c>
      <c r="EW187" s="321"/>
      <c r="EX187" s="321"/>
      <c r="EY187" s="321"/>
      <c r="EZ187" s="320">
        <f t="shared" si="307"/>
        <v>208352.36497620758</v>
      </c>
      <c r="FA187" s="286">
        <f t="shared" si="308"/>
        <v>191237.19001787424</v>
      </c>
      <c r="FB187" s="286"/>
      <c r="FC187" s="286"/>
      <c r="FD187" s="287">
        <f>_xlfn.IFNA((VLOOKUP($A187,HN!$A:$M,8,FALSE)/12),0)</f>
        <v>0</v>
      </c>
      <c r="FE187" s="287">
        <f>_xlfn.IFNA((VLOOKUP($A187,HN!$A:$M,12,FALSE)/12),0)</f>
        <v>5000</v>
      </c>
      <c r="FF187" s="287">
        <f>_xlfn.IFNA((VLOOKUP($A187,HN!$A:$M,9,FALSE)/12),0)</f>
        <v>0</v>
      </c>
      <c r="FG187" s="287">
        <f>_xlfn.IFNA((VLOOKUP($A187,'Post 16'!$A:$AG,33,FALSE)/8),0)</f>
        <v>0</v>
      </c>
      <c r="FH187" s="287"/>
      <c r="FI187" s="287">
        <f>_xlfn.IFNA(((VLOOKUP($A187,HN!$A:$M,10,FALSE)-$U187-$AK187)/10),0)</f>
        <v>0</v>
      </c>
      <c r="FJ187" s="287">
        <f>_xlfn.IFNA(((VLOOKUP($A187,HN!$A:$M,13,FALSE)-$V187-$AL187)/10),0)</f>
        <v>14655.788750000002</v>
      </c>
      <c r="FK187" s="286">
        <f t="shared" si="309"/>
        <v>-747</v>
      </c>
      <c r="FL187" s="286">
        <f t="shared" si="310"/>
        <v>-1793.6137916666667</v>
      </c>
      <c r="FM187" s="287"/>
      <c r="FN187" s="287"/>
      <c r="FO187" s="287"/>
      <c r="FP187" s="286">
        <f t="shared" si="311"/>
        <v>208352.36497620758</v>
      </c>
      <c r="FQ187" s="293">
        <f t="shared" si="312"/>
        <v>191237.19001787424</v>
      </c>
      <c r="FR187" s="293"/>
      <c r="FS187" s="293"/>
      <c r="FT187" s="294">
        <f>_xlfn.IFNA((VLOOKUP($A187,HN!$A:$M,8,FALSE)/12),0)</f>
        <v>0</v>
      </c>
      <c r="FU187" s="294">
        <f>_xlfn.IFNA((VLOOKUP($A187,HN!$A:$M,12,FALSE)/12),0)</f>
        <v>5000</v>
      </c>
      <c r="FV187" s="294">
        <f>_xlfn.IFNA((VLOOKUP($A187,HN!$A:$M,9,FALSE)/12),0)</f>
        <v>0</v>
      </c>
      <c r="FW187" s="294">
        <f>_xlfn.IFNA((VLOOKUP($A187,'Post 16'!$A:$AG,33,FALSE)/8),0)</f>
        <v>0</v>
      </c>
      <c r="FX187" s="294"/>
      <c r="FY187" s="294">
        <f>_xlfn.IFNA(((VLOOKUP($A187,HN!$A:$M,10,FALSE)-$U187-$AK187)/10),0)</f>
        <v>0</v>
      </c>
      <c r="FZ187" s="294">
        <f>_xlfn.IFNA(((VLOOKUP($A187,HN!$A:$M,13,FALSE)-$V187-$AL187)/10),0)</f>
        <v>14655.788750000002</v>
      </c>
      <c r="GA187" s="293">
        <f t="shared" si="313"/>
        <v>-747</v>
      </c>
      <c r="GB187" s="293">
        <f t="shared" si="314"/>
        <v>-1793.6137916666667</v>
      </c>
      <c r="GC187" s="294"/>
      <c r="GD187" s="294"/>
      <c r="GE187" s="294"/>
      <c r="GF187" s="293">
        <f t="shared" si="315"/>
        <v>208352.36497620758</v>
      </c>
      <c r="GG187" s="300">
        <f t="shared" si="316"/>
        <v>191237.19001787424</v>
      </c>
      <c r="GH187" s="300"/>
      <c r="GI187" s="300"/>
      <c r="GJ187" s="301">
        <f>_xlfn.IFNA((VLOOKUP($A187,HN!$A:$M,8,FALSE)/12),0)</f>
        <v>0</v>
      </c>
      <c r="GK187" s="301">
        <f>_xlfn.IFNA((VLOOKUP($A187,HN!$A:$M,12,FALSE)/12),0)</f>
        <v>5000</v>
      </c>
      <c r="GL187" s="301">
        <f>_xlfn.IFNA((VLOOKUP($A187,HN!$A:$M,9,FALSE)/12),0)</f>
        <v>0</v>
      </c>
      <c r="GM187" s="301">
        <f>_xlfn.IFNA((VLOOKUP($A187,'Post 16'!$A:$AG,33,FALSE)/8),0)</f>
        <v>0</v>
      </c>
      <c r="GN187" s="301"/>
      <c r="GO187" s="301">
        <f>_xlfn.IFNA(((VLOOKUP($A187,HN!$A:$M,10,FALSE)-$U187-$AK187)/10),0)</f>
        <v>0</v>
      </c>
      <c r="GP187" s="301">
        <f>_xlfn.IFNA(((VLOOKUP($A187,HN!$A:$M,13,FALSE)-$V187-$AL187)/10),0)</f>
        <v>14655.788750000002</v>
      </c>
      <c r="GQ187" s="300">
        <f t="shared" si="317"/>
        <v>-747</v>
      </c>
      <c r="GR187" s="300">
        <f t="shared" si="318"/>
        <v>-1793.6137916666667</v>
      </c>
      <c r="GS187" s="301"/>
      <c r="GT187" s="301"/>
      <c r="GU187" s="301"/>
      <c r="GV187" s="300">
        <f t="shared" si="319"/>
        <v>208352.36497620758</v>
      </c>
      <c r="GX187" s="146">
        <f t="shared" si="324"/>
        <v>2354846.2802144913</v>
      </c>
      <c r="GY187" s="146">
        <f t="shared" si="324"/>
        <v>0</v>
      </c>
      <c r="GZ187" s="146">
        <f t="shared" si="324"/>
        <v>185632.74000000005</v>
      </c>
      <c r="HA187" s="146">
        <f t="shared" si="324"/>
        <v>-8964</v>
      </c>
      <c r="HB187" s="146">
        <f t="shared" si="324"/>
        <v>-21523.3655</v>
      </c>
      <c r="HC187" s="146">
        <f t="shared" si="324"/>
        <v>0</v>
      </c>
      <c r="HE187" s="146">
        <f t="shared" si="325"/>
        <v>588711.57005362271</v>
      </c>
      <c r="HF187" s="146">
        <f t="shared" si="325"/>
        <v>0</v>
      </c>
      <c r="HG187" s="146">
        <f t="shared" si="325"/>
        <v>53730.641250000001</v>
      </c>
      <c r="HH187" s="146">
        <f t="shared" si="325"/>
        <v>-2241</v>
      </c>
      <c r="HI187" s="146">
        <f t="shared" si="325"/>
        <v>-5380.841375</v>
      </c>
      <c r="HJ187" s="146">
        <f t="shared" si="325"/>
        <v>0</v>
      </c>
    </row>
    <row r="188" spans="1:221">
      <c r="A188" s="185">
        <v>2412</v>
      </c>
      <c r="B188" s="185">
        <v>103349</v>
      </c>
      <c r="C188" s="185" t="s">
        <v>403</v>
      </c>
      <c r="D188" s="2" t="s">
        <v>404</v>
      </c>
      <c r="E188" s="190" t="s">
        <v>39</v>
      </c>
      <c r="F188" s="190" t="s">
        <v>890</v>
      </c>
      <c r="H188" s="271">
        <f>_xlfn.IFNA(VLOOKUP($A188,ISB!$A$4:$BY$441,67,FALSE),0)</f>
        <v>2372019.5335895955</v>
      </c>
      <c r="I188" s="271">
        <f>_xlfn.IFNA(VLOOKUP($A188,ISB!$A$4:$BY$441,72,FALSE),0)</f>
        <v>-10507.8</v>
      </c>
      <c r="J188" s="271">
        <f>-_xlfn.IFNA(VLOOKUP($A188,ISB!$A$4:$BY$441,76,FALSE),0)</f>
        <v>-43510.876499999998</v>
      </c>
      <c r="K188" s="271">
        <f>_xlfn.IFNA(VLOOKUP($A188,ISB!$A$4:$BY$441,77,FALSE),0)</f>
        <v>2318000.8570895959</v>
      </c>
      <c r="M188" s="279">
        <f t="shared" si="272"/>
        <v>197668.29446579961</v>
      </c>
      <c r="N188" s="279"/>
      <c r="O188" s="279">
        <f>_xlfn.IFNA(VLOOKUP($A188,EY!$A:$H,8,FALSE)+(VLOOKUP($A188,EY!$A:$R,18,FALSE)-$T188),0)</f>
        <v>0</v>
      </c>
      <c r="P188" s="280">
        <f>_xlfn.IFNA((VLOOKUP($A188,HN!$A:$M,8,FALSE)/12),0)</f>
        <v>0</v>
      </c>
      <c r="Q188" s="280">
        <f>_xlfn.IFNA((VLOOKUP($A188,HN!$A:$M,12,FALSE)/12),0)</f>
        <v>0</v>
      </c>
      <c r="R188" s="280">
        <f>_xlfn.IFNA((VLOOKUP($A188,HN!$A:$M,9,FALSE)/12),0)</f>
        <v>0</v>
      </c>
      <c r="S188" s="280">
        <f>_xlfn.IFNA((VLOOKUP($A188,'Post 16'!$A:$AR,22,FALSE)/4),0)</f>
        <v>0</v>
      </c>
      <c r="T188" s="280">
        <f>_xlfn.IFNA((VLOOKUP($A188,EY!$A:$R,16,FALSE)*80%),0)</f>
        <v>0</v>
      </c>
      <c r="U188" s="280">
        <v>14170.375</v>
      </c>
      <c r="V188" s="280">
        <v>0</v>
      </c>
      <c r="W188" s="279">
        <f t="shared" si="273"/>
        <v>-875.65</v>
      </c>
      <c r="X188" s="279">
        <f t="shared" si="274"/>
        <v>-3625.906375</v>
      </c>
      <c r="Y188" s="280"/>
      <c r="Z188" s="280"/>
      <c r="AA188" s="280"/>
      <c r="AB188" s="279">
        <f t="shared" si="275"/>
        <v>207337.11309079963</v>
      </c>
      <c r="AC188" s="293">
        <f t="shared" si="276"/>
        <v>197668.29446579961</v>
      </c>
      <c r="AD188" s="293"/>
      <c r="AE188" s="293"/>
      <c r="AF188" s="294">
        <f>_xlfn.IFNA((VLOOKUP($A188,HN!$A:$M,8,FALSE)/12),0)</f>
        <v>0</v>
      </c>
      <c r="AG188" s="294">
        <f>_xlfn.IFNA((VLOOKUP($A188,HN!$A:$M,12,FALSE)/12),0)+_xlfn.IFNA(VLOOKUP($A188,HN!$A:$Q,17,FALSE),0)</f>
        <v>0</v>
      </c>
      <c r="AH188" s="294">
        <f>_xlfn.IFNA((VLOOKUP($A188,HN!$A:$M,9,FALSE)/12),0)</f>
        <v>0</v>
      </c>
      <c r="AI188" s="294">
        <f>_xlfn.IFNA((VLOOKUP($A188,'Post 16'!$A:$AR,22,FALSE)/4),0)</f>
        <v>0</v>
      </c>
      <c r="AJ188" s="294"/>
      <c r="AK188" s="294">
        <f>_xlfn.IFNA((VLOOKUP($A188,HN!$A:$M,10,FALSE)/12),0)</f>
        <v>8675.4166666666661</v>
      </c>
      <c r="AL188" s="294">
        <f>_xlfn.IFNA((VLOOKUP($A188,HN!$A:$M,13,FALSE)/12),0)</f>
        <v>0</v>
      </c>
      <c r="AM188" s="293">
        <f t="shared" si="277"/>
        <v>-875.65</v>
      </c>
      <c r="AN188" s="293">
        <f t="shared" si="278"/>
        <v>-3625.906375</v>
      </c>
      <c r="AO188" s="294"/>
      <c r="AP188" s="294"/>
      <c r="AQ188" s="294"/>
      <c r="AR188" s="293">
        <f t="shared" si="279"/>
        <v>201842.15475746628</v>
      </c>
      <c r="AS188" s="286">
        <f t="shared" si="280"/>
        <v>197668.29446579961</v>
      </c>
      <c r="AT188" s="286"/>
      <c r="AU188" s="286">
        <f>_xlfn.IFNA(VLOOKUP(A188,EY!A:AO,40,FALSE),0)</f>
        <v>0</v>
      </c>
      <c r="AV188" s="287">
        <f>_xlfn.IFNA((VLOOKUP($A188,HN!$A:$M,8,FALSE)/12),0)</f>
        <v>0</v>
      </c>
      <c r="AW188" s="287">
        <f>_xlfn.IFNA((VLOOKUP($A188,HN!$A:$M,12,FALSE)/12),0)+_xlfn.IFNA(VLOOKUP($A188,HN!$A$8:$AU$200,19,FALSE),0)</f>
        <v>0</v>
      </c>
      <c r="AX188" s="287">
        <f>_xlfn.IFNA((VLOOKUP($A188,HN!$A:$M,9,FALSE)/12),0)</f>
        <v>0</v>
      </c>
      <c r="AY188" s="287">
        <f>_xlfn.IFNA((VLOOKUP($A188,'Post 16'!$A:$AR,22,FALSE)/4),0)</f>
        <v>0</v>
      </c>
      <c r="AZ188" s="287">
        <f>_xlfn.IFNA(VLOOKUP(A188,EY!A:AO,41,FALSE),0)</f>
        <v>0</v>
      </c>
      <c r="BA188" s="287">
        <f>_xlfn.IFNA(((VLOOKUP($A188,HN!$A:$M,10,FALSE)-$U188-$AK188)/10),0)+_xlfn.IFNA(VLOOKUP($A188,HN!$A:$R,18,FALSE),0)</f>
        <v>8125.9208333333327</v>
      </c>
      <c r="BB188" s="287">
        <f>_xlfn.IFNA(((VLOOKUP($A188,HN!$A:$M,13,FALSE)-$V188-$AL188)/10),0)+_xlfn.IFNA(VLOOKUP($A188,HN!$A$8:$AU$200,20,FALSE),0)</f>
        <v>0</v>
      </c>
      <c r="BC188" s="286">
        <f t="shared" si="281"/>
        <v>-875.65</v>
      </c>
      <c r="BD188" s="286">
        <f t="shared" si="282"/>
        <v>-3625.906375</v>
      </c>
      <c r="BE188" s="287"/>
      <c r="BF188" s="287"/>
      <c r="BG188" s="287"/>
      <c r="BH188" s="286">
        <f t="shared" si="283"/>
        <v>201292.65892413296</v>
      </c>
      <c r="BI188" s="307">
        <f t="shared" si="284"/>
        <v>197668.29446579961</v>
      </c>
      <c r="BJ188" s="307">
        <f>_xlfn.IFNA(VLOOKUP(A188,'LA Deductions'!A:AH,34,FALSE),0)</f>
        <v>0</v>
      </c>
      <c r="BK188" s="307"/>
      <c r="BL188" s="308">
        <f>_xlfn.IFNA((VLOOKUP($A188,HN!$A:$M,8,FALSE)/12),0)</f>
        <v>0</v>
      </c>
      <c r="BM188" s="308">
        <f>_xlfn.IFNA((VLOOKUP($A188,HN!$A:$M,12,FALSE)/12),0)</f>
        <v>0</v>
      </c>
      <c r="BN188" s="308">
        <f>_xlfn.IFNA((VLOOKUP($A188,HN!$A:$M,9,FALSE)/12),0)</f>
        <v>0</v>
      </c>
      <c r="BO188" s="308">
        <f>_xlfn.IFNA((VLOOKUP($A188,'Post 16'!$A:$AR,22,FALSE)/4),0)</f>
        <v>0</v>
      </c>
      <c r="BP188" s="308"/>
      <c r="BQ188" s="308">
        <f>_xlfn.IFNA(((VLOOKUP($A188,HN!$A:$M,10,FALSE)-$U188-$AK188)/10),0)</f>
        <v>8125.9208333333327</v>
      </c>
      <c r="BR188" s="308">
        <f>_xlfn.IFNA(((VLOOKUP($A188,HN!$A:$M,13,FALSE)-$V188-$AL188)/10),0)</f>
        <v>0</v>
      </c>
      <c r="BS188" s="307">
        <f t="shared" si="285"/>
        <v>-875.65</v>
      </c>
      <c r="BT188" s="307">
        <f t="shared" si="286"/>
        <v>-3625.906375</v>
      </c>
      <c r="BU188" s="308"/>
      <c r="BV188" s="308"/>
      <c r="BW188" s="308"/>
      <c r="BX188" s="307">
        <f t="shared" si="287"/>
        <v>201292.65892413296</v>
      </c>
      <c r="BY188" s="300">
        <f t="shared" si="288"/>
        <v>197668.29446579961</v>
      </c>
      <c r="BZ188" s="300"/>
      <c r="CA188" s="300"/>
      <c r="CB188" s="301">
        <f>_xlfn.IFNA((VLOOKUP($A188,HN!$A:$M,8,FALSE)/12),0)</f>
        <v>0</v>
      </c>
      <c r="CC188" s="301">
        <f>_xlfn.IFNA((VLOOKUP($A188,HN!$A:$M,12,FALSE)/12),0)</f>
        <v>0</v>
      </c>
      <c r="CD188" s="301">
        <f>_xlfn.IFNA((VLOOKUP($A188,HN!$A:$M,9,FALSE)/12),0)</f>
        <v>0</v>
      </c>
      <c r="CE188" s="301">
        <f>_xlfn.IFNA((VLOOKUP($A188,'Post 16'!$A:$AG,33,FALSE)/8),0)</f>
        <v>0</v>
      </c>
      <c r="CF188" s="301"/>
      <c r="CG188" s="301">
        <f>_xlfn.IFNA(((VLOOKUP($A188,HN!$A:$M,10,FALSE)-$U188-$AK188)/10),0)</f>
        <v>8125.9208333333327</v>
      </c>
      <c r="CH188" s="301">
        <f>_xlfn.IFNA(((VLOOKUP($A188,HN!$A:$M,13,FALSE)-$V188-$AL188)/10),0)</f>
        <v>0</v>
      </c>
      <c r="CI188" s="300">
        <f t="shared" si="289"/>
        <v>-875.65</v>
      </c>
      <c r="CJ188" s="300">
        <f t="shared" si="290"/>
        <v>-3625.906375</v>
      </c>
      <c r="CK188" s="301"/>
      <c r="CL188" s="301"/>
      <c r="CM188" s="301"/>
      <c r="CN188" s="300">
        <f t="shared" si="291"/>
        <v>201292.65892413296</v>
      </c>
      <c r="CO188" s="332">
        <f t="shared" si="292"/>
        <v>197668.29446579961</v>
      </c>
      <c r="CP188" s="332"/>
      <c r="CQ188" s="332">
        <f>_xlfn.IFNA((VLOOKUP($A188,EY!$A:$AB,28,FALSE)-$CV188),0)</f>
        <v>0</v>
      </c>
      <c r="CR188" s="333">
        <f>_xlfn.IFNA((VLOOKUP($A188,HN!$A:$M,8,FALSE)/12),0)</f>
        <v>0</v>
      </c>
      <c r="CS188" s="333">
        <f>_xlfn.IFNA((VLOOKUP($A188,HN!$A:$M,12,FALSE)/12),0)</f>
        <v>0</v>
      </c>
      <c r="CT188" s="333">
        <f>_xlfn.IFNA((VLOOKUP($A188,HN!$A:$M,9,FALSE)/12),0)</f>
        <v>0</v>
      </c>
      <c r="CU188" s="333">
        <f>_xlfn.IFNA((VLOOKUP($A188,'Post 16'!$A:$AG,33,FALSE)/8),0)</f>
        <v>0</v>
      </c>
      <c r="CV188" s="333">
        <f>_xlfn.IFNA((VLOOKUP($A188,EY!$A:$AB,26,FALSE)*80%),0)</f>
        <v>0</v>
      </c>
      <c r="CW188" s="333">
        <f>_xlfn.IFNA(((VLOOKUP($A188,HN!$A:$M,10,FALSE)-$U188-$AK188)/10),0)</f>
        <v>8125.9208333333327</v>
      </c>
      <c r="CX188" s="333">
        <f>_xlfn.IFNA(((VLOOKUP($A188,HN!$A:$M,13,FALSE)-$V188-$AL188)/10),0)</f>
        <v>0</v>
      </c>
      <c r="CY188" s="332">
        <f t="shared" si="293"/>
        <v>-875.65</v>
      </c>
      <c r="CZ188" s="332">
        <f t="shared" si="294"/>
        <v>-3625.906375</v>
      </c>
      <c r="DA188" s="333"/>
      <c r="DB188" s="333"/>
      <c r="DC188" s="333"/>
      <c r="DD188" s="332">
        <f t="shared" si="295"/>
        <v>201292.65892413296</v>
      </c>
      <c r="DE188" s="314">
        <f t="shared" si="296"/>
        <v>197668.29446579961</v>
      </c>
      <c r="DF188" s="314"/>
      <c r="DG188" s="314"/>
      <c r="DH188" s="315">
        <f>_xlfn.IFNA((VLOOKUP($A188,HN!$A:$M,8,FALSE)/12),0)</f>
        <v>0</v>
      </c>
      <c r="DI188" s="315">
        <f>_xlfn.IFNA((VLOOKUP($A188,HN!$A:$M,12,FALSE)/12),0)</f>
        <v>0</v>
      </c>
      <c r="DJ188" s="315">
        <f>_xlfn.IFNA((VLOOKUP($A188,HN!$A:$M,9,FALSE)/12),0)</f>
        <v>0</v>
      </c>
      <c r="DK188" s="315">
        <f>_xlfn.IFNA((VLOOKUP($A188,'Post 16'!$A:$AG,33,FALSE)/8),0)</f>
        <v>0</v>
      </c>
      <c r="DL188" s="315"/>
      <c r="DM188" s="315">
        <f>_xlfn.IFNA(((VLOOKUP($A188,HN!$A:$M,10,FALSE)-$U188-$AK188)/10),0)</f>
        <v>8125.9208333333327</v>
      </c>
      <c r="DN188" s="315">
        <f>_xlfn.IFNA(((VLOOKUP($A188,HN!$A:$M,13,FALSE)-$V188-$AL188)/10),0)</f>
        <v>0</v>
      </c>
      <c r="DO188" s="314">
        <f t="shared" si="297"/>
        <v>-875.65</v>
      </c>
      <c r="DP188" s="314">
        <f t="shared" si="298"/>
        <v>-3625.906375</v>
      </c>
      <c r="DQ188" s="315"/>
      <c r="DR188" s="315"/>
      <c r="DS188" s="315"/>
      <c r="DT188" s="314">
        <f t="shared" si="299"/>
        <v>201292.65892413296</v>
      </c>
      <c r="DU188" s="307">
        <f t="shared" si="300"/>
        <v>197668.29446579961</v>
      </c>
      <c r="DV188" s="307"/>
      <c r="DW188" s="307"/>
      <c r="DX188" s="308">
        <f>_xlfn.IFNA((VLOOKUP($A188,HN!$A:$M,8,FALSE)/12),0)</f>
        <v>0</v>
      </c>
      <c r="DY188" s="308">
        <f>_xlfn.IFNA((VLOOKUP($A188,HN!$A:$M,12,FALSE)/12),0)</f>
        <v>0</v>
      </c>
      <c r="DZ188" s="308">
        <f>_xlfn.IFNA((VLOOKUP($A188,HN!$A:$M,9,FALSE)/12),0)</f>
        <v>0</v>
      </c>
      <c r="EA188" s="308">
        <f>_xlfn.IFNA((VLOOKUP($A188,'Post 16'!$A:$AG,33,FALSE)/8),0)</f>
        <v>0</v>
      </c>
      <c r="EB188" s="308"/>
      <c r="EC188" s="308">
        <f>_xlfn.IFNA(((VLOOKUP($A188,HN!$A:$M,10,FALSE)-$U188-$AK188)/10),0)</f>
        <v>8125.9208333333327</v>
      </c>
      <c r="ED188" s="308">
        <f>_xlfn.IFNA(((VLOOKUP($A188,HN!$A:$M,13,FALSE)-$V188-$AL188)/10),0)</f>
        <v>0</v>
      </c>
      <c r="EE188" s="307">
        <f t="shared" si="301"/>
        <v>-875.65</v>
      </c>
      <c r="EF188" s="307">
        <f t="shared" si="302"/>
        <v>-3625.906375</v>
      </c>
      <c r="EG188" s="308"/>
      <c r="EH188" s="308"/>
      <c r="EI188" s="308"/>
      <c r="EJ188" s="307">
        <f t="shared" si="303"/>
        <v>201292.65892413296</v>
      </c>
      <c r="EK188" s="320">
        <f t="shared" si="304"/>
        <v>197668.29446579961</v>
      </c>
      <c r="EL188" s="320"/>
      <c r="EM188" s="320"/>
      <c r="EN188" s="321">
        <f>_xlfn.IFNA((VLOOKUP($A188,HN!$A:$M,8,FALSE)/12),0)</f>
        <v>0</v>
      </c>
      <c r="EO188" s="321">
        <f>_xlfn.IFNA((VLOOKUP($A188,HN!$A:$M,12,FALSE)/12),0)</f>
        <v>0</v>
      </c>
      <c r="EP188" s="321">
        <f>_xlfn.IFNA((VLOOKUP($A188,HN!$A:$M,9,FALSE)/12),0)</f>
        <v>0</v>
      </c>
      <c r="EQ188" s="321">
        <f>_xlfn.IFNA((VLOOKUP($A188,'Post 16'!$A:$AG,33,FALSE)/8),0)</f>
        <v>0</v>
      </c>
      <c r="ER188" s="321"/>
      <c r="ES188" s="321">
        <f>_xlfn.IFNA(((VLOOKUP($A188,HN!$A:$M,10,FALSE)-$U188-$AK188)/10),0)</f>
        <v>8125.9208333333327</v>
      </c>
      <c r="ET188" s="321">
        <f>_xlfn.IFNA(((VLOOKUP($A188,HN!$A:$M,13,FALSE)-$V188-$AL188)/10),0)</f>
        <v>0</v>
      </c>
      <c r="EU188" s="320">
        <f t="shared" si="305"/>
        <v>-875.65</v>
      </c>
      <c r="EV188" s="320">
        <f t="shared" si="306"/>
        <v>-3625.906375</v>
      </c>
      <c r="EW188" s="321"/>
      <c r="EX188" s="321"/>
      <c r="EY188" s="321"/>
      <c r="EZ188" s="320">
        <f t="shared" si="307"/>
        <v>201292.65892413296</v>
      </c>
      <c r="FA188" s="286">
        <f t="shared" si="308"/>
        <v>197668.29446579961</v>
      </c>
      <c r="FB188" s="286"/>
      <c r="FC188" s="286"/>
      <c r="FD188" s="287">
        <f>_xlfn.IFNA((VLOOKUP($A188,HN!$A:$M,8,FALSE)/12),0)</f>
        <v>0</v>
      </c>
      <c r="FE188" s="287">
        <f>_xlfn.IFNA((VLOOKUP($A188,HN!$A:$M,12,FALSE)/12),0)</f>
        <v>0</v>
      </c>
      <c r="FF188" s="287">
        <f>_xlfn.IFNA((VLOOKUP($A188,HN!$A:$M,9,FALSE)/12),0)</f>
        <v>0</v>
      </c>
      <c r="FG188" s="287">
        <f>_xlfn.IFNA((VLOOKUP($A188,'Post 16'!$A:$AG,33,FALSE)/8),0)</f>
        <v>0</v>
      </c>
      <c r="FH188" s="287"/>
      <c r="FI188" s="287">
        <f>_xlfn.IFNA(((VLOOKUP($A188,HN!$A:$M,10,FALSE)-$U188-$AK188)/10),0)</f>
        <v>8125.9208333333327</v>
      </c>
      <c r="FJ188" s="287">
        <f>_xlfn.IFNA(((VLOOKUP($A188,HN!$A:$M,13,FALSE)-$V188-$AL188)/10),0)</f>
        <v>0</v>
      </c>
      <c r="FK188" s="286">
        <f t="shared" si="309"/>
        <v>-875.65</v>
      </c>
      <c r="FL188" s="286">
        <f t="shared" si="310"/>
        <v>-3625.906375</v>
      </c>
      <c r="FM188" s="287"/>
      <c r="FN188" s="287"/>
      <c r="FO188" s="287"/>
      <c r="FP188" s="286">
        <f t="shared" si="311"/>
        <v>201292.65892413296</v>
      </c>
      <c r="FQ188" s="293">
        <f t="shared" si="312"/>
        <v>197668.29446579961</v>
      </c>
      <c r="FR188" s="293"/>
      <c r="FS188" s="293"/>
      <c r="FT188" s="294">
        <f>_xlfn.IFNA((VLOOKUP($A188,HN!$A:$M,8,FALSE)/12),0)</f>
        <v>0</v>
      </c>
      <c r="FU188" s="294">
        <f>_xlfn.IFNA((VLOOKUP($A188,HN!$A:$M,12,FALSE)/12),0)</f>
        <v>0</v>
      </c>
      <c r="FV188" s="294">
        <f>_xlfn.IFNA((VLOOKUP($A188,HN!$A:$M,9,FALSE)/12),0)</f>
        <v>0</v>
      </c>
      <c r="FW188" s="294">
        <f>_xlfn.IFNA((VLOOKUP($A188,'Post 16'!$A:$AG,33,FALSE)/8),0)</f>
        <v>0</v>
      </c>
      <c r="FX188" s="294"/>
      <c r="FY188" s="294">
        <f>_xlfn.IFNA(((VLOOKUP($A188,HN!$A:$M,10,FALSE)-$U188-$AK188)/10),0)</f>
        <v>8125.9208333333327</v>
      </c>
      <c r="FZ188" s="294">
        <f>_xlfn.IFNA(((VLOOKUP($A188,HN!$A:$M,13,FALSE)-$V188-$AL188)/10),0)</f>
        <v>0</v>
      </c>
      <c r="GA188" s="293">
        <f t="shared" si="313"/>
        <v>-875.65</v>
      </c>
      <c r="GB188" s="293">
        <f t="shared" si="314"/>
        <v>-3625.906375</v>
      </c>
      <c r="GC188" s="294"/>
      <c r="GD188" s="294"/>
      <c r="GE188" s="294"/>
      <c r="GF188" s="293">
        <f t="shared" si="315"/>
        <v>201292.65892413296</v>
      </c>
      <c r="GG188" s="300">
        <f t="shared" si="316"/>
        <v>197668.29446579961</v>
      </c>
      <c r="GH188" s="300"/>
      <c r="GI188" s="300"/>
      <c r="GJ188" s="301">
        <f>_xlfn.IFNA((VLOOKUP($A188,HN!$A:$M,8,FALSE)/12),0)</f>
        <v>0</v>
      </c>
      <c r="GK188" s="301">
        <f>_xlfn.IFNA((VLOOKUP($A188,HN!$A:$M,12,FALSE)/12),0)</f>
        <v>0</v>
      </c>
      <c r="GL188" s="301">
        <f>_xlfn.IFNA((VLOOKUP($A188,HN!$A:$M,9,FALSE)/12),0)</f>
        <v>0</v>
      </c>
      <c r="GM188" s="301">
        <f>_xlfn.IFNA((VLOOKUP($A188,'Post 16'!$A:$AG,33,FALSE)/8),0)</f>
        <v>0</v>
      </c>
      <c r="GN188" s="301"/>
      <c r="GO188" s="301">
        <f>_xlfn.IFNA(((VLOOKUP($A188,HN!$A:$M,10,FALSE)-$U188-$AK188)/10),0)</f>
        <v>8125.9208333333327</v>
      </c>
      <c r="GP188" s="301">
        <f>_xlfn.IFNA(((VLOOKUP($A188,HN!$A:$M,13,FALSE)-$V188-$AL188)/10),0)</f>
        <v>0</v>
      </c>
      <c r="GQ188" s="300">
        <f t="shared" si="317"/>
        <v>-875.65</v>
      </c>
      <c r="GR188" s="300">
        <f t="shared" si="318"/>
        <v>-3625.906375</v>
      </c>
      <c r="GS188" s="301"/>
      <c r="GT188" s="301"/>
      <c r="GU188" s="301"/>
      <c r="GV188" s="300">
        <f t="shared" si="319"/>
        <v>201292.65892413296</v>
      </c>
      <c r="GX188" s="146">
        <f t="shared" si="324"/>
        <v>2372019.5335895955</v>
      </c>
      <c r="GY188" s="146">
        <f t="shared" si="324"/>
        <v>0</v>
      </c>
      <c r="GZ188" s="146">
        <f t="shared" si="324"/>
        <v>104105</v>
      </c>
      <c r="HA188" s="146">
        <f t="shared" si="324"/>
        <v>-10507.799999999997</v>
      </c>
      <c r="HB188" s="146">
        <f t="shared" si="324"/>
        <v>-43510.876499999991</v>
      </c>
      <c r="HC188" s="146">
        <f t="shared" si="324"/>
        <v>0</v>
      </c>
      <c r="HE188" s="146">
        <f t="shared" si="325"/>
        <v>593004.88339739887</v>
      </c>
      <c r="HF188" s="146">
        <f t="shared" si="325"/>
        <v>0</v>
      </c>
      <c r="HG188" s="146">
        <f t="shared" si="325"/>
        <v>30971.712499999998</v>
      </c>
      <c r="HH188" s="146">
        <f t="shared" si="325"/>
        <v>-2626.95</v>
      </c>
      <c r="HI188" s="146">
        <f t="shared" si="325"/>
        <v>-10877.719125</v>
      </c>
      <c r="HJ188" s="146">
        <f t="shared" si="325"/>
        <v>0</v>
      </c>
      <c r="HL188" s="146"/>
      <c r="HM188" s="57"/>
    </row>
    <row r="189" spans="1:221">
      <c r="A189" s="185">
        <v>3421</v>
      </c>
      <c r="B189" s="185">
        <v>133996</v>
      </c>
      <c r="C189" s="185" t="s">
        <v>405</v>
      </c>
      <c r="D189" s="2" t="s">
        <v>406</v>
      </c>
      <c r="E189" s="190" t="s">
        <v>39</v>
      </c>
      <c r="F189" s="190" t="s">
        <v>890</v>
      </c>
      <c r="H189" s="271">
        <f>_xlfn.IFNA(VLOOKUP($A189,ISB!$A$4:$BY$441,67,FALSE),0)</f>
        <v>4650593.7225536881</v>
      </c>
      <c r="I189" s="271">
        <f>_xlfn.IFNA(VLOOKUP($A189,ISB!$A$4:$BY$441,72,FALSE),0)</f>
        <v>-20442.899999999998</v>
      </c>
      <c r="J189" s="271">
        <f>-_xlfn.IFNA(VLOOKUP($A189,ISB!$A$4:$BY$441,76,FALSE),0)</f>
        <v>-48121.300499999998</v>
      </c>
      <c r="K189" s="271">
        <f>_xlfn.IFNA(VLOOKUP($A189,ISB!$A$4:$BY$441,77,FALSE),0)</f>
        <v>4582029.5220536878</v>
      </c>
      <c r="M189" s="279">
        <f t="shared" si="272"/>
        <v>387549.47687947401</v>
      </c>
      <c r="N189" s="279"/>
      <c r="O189" s="279">
        <f>_xlfn.IFNA(VLOOKUP($A189,EY!$A:$H,8,FALSE)+(VLOOKUP($A189,EY!$A:$R,18,FALSE)-$T189),0)</f>
        <v>0</v>
      </c>
      <c r="P189" s="280">
        <f>_xlfn.IFNA((VLOOKUP($A189,HN!$A:$M,8,FALSE)/12),0)</f>
        <v>0</v>
      </c>
      <c r="Q189" s="280">
        <f>_xlfn.IFNA((VLOOKUP($A189,HN!$A:$M,12,FALSE)/12),0)</f>
        <v>0</v>
      </c>
      <c r="R189" s="280">
        <f>_xlfn.IFNA((VLOOKUP($A189,HN!$A:$M,9,FALSE)/12),0)</f>
        <v>0</v>
      </c>
      <c r="S189" s="280">
        <f>_xlfn.IFNA((VLOOKUP($A189,'Post 16'!$A:$AR,22,FALSE)/4),0)</f>
        <v>0</v>
      </c>
      <c r="T189" s="280">
        <f>_xlfn.IFNA((VLOOKUP($A189,EY!$A:$R,16,FALSE)*80%),0)</f>
        <v>0</v>
      </c>
      <c r="U189" s="280">
        <v>24922.9375</v>
      </c>
      <c r="V189" s="280">
        <v>0</v>
      </c>
      <c r="W189" s="279">
        <f t="shared" si="273"/>
        <v>-1703.5749999999998</v>
      </c>
      <c r="X189" s="279">
        <f t="shared" si="274"/>
        <v>-4010.1083749999998</v>
      </c>
      <c r="Y189" s="280"/>
      <c r="Z189" s="280"/>
      <c r="AA189" s="280"/>
      <c r="AB189" s="279">
        <f t="shared" si="275"/>
        <v>406758.73100447399</v>
      </c>
      <c r="AC189" s="293">
        <f t="shared" si="276"/>
        <v>387549.47687947401</v>
      </c>
      <c r="AD189" s="293"/>
      <c r="AE189" s="293"/>
      <c r="AF189" s="294">
        <f>_xlfn.IFNA((VLOOKUP($A189,HN!$A:$M,8,FALSE)/12),0)</f>
        <v>0</v>
      </c>
      <c r="AG189" s="294">
        <f>_xlfn.IFNA((VLOOKUP($A189,HN!$A:$M,12,FALSE)/12),0)+_xlfn.IFNA(VLOOKUP($A189,HN!$A:$Q,17,FALSE),0)</f>
        <v>0</v>
      </c>
      <c r="AH189" s="294">
        <f>_xlfn.IFNA((VLOOKUP($A189,HN!$A:$M,9,FALSE)/12),0)</f>
        <v>0</v>
      </c>
      <c r="AI189" s="294">
        <f>_xlfn.IFNA((VLOOKUP($A189,'Post 16'!$A:$AR,22,FALSE)/4),0)</f>
        <v>0</v>
      </c>
      <c r="AJ189" s="294"/>
      <c r="AK189" s="294">
        <f>_xlfn.IFNA((VLOOKUP($A189,HN!$A:$M,10,FALSE)/12),0)</f>
        <v>13105.416666666666</v>
      </c>
      <c r="AL189" s="294">
        <f>_xlfn.IFNA((VLOOKUP($A189,HN!$A:$M,13,FALSE)/12),0)</f>
        <v>0</v>
      </c>
      <c r="AM189" s="293">
        <f t="shared" si="277"/>
        <v>-1703.5749999999998</v>
      </c>
      <c r="AN189" s="293">
        <f t="shared" si="278"/>
        <v>-4010.1083749999998</v>
      </c>
      <c r="AO189" s="294"/>
      <c r="AP189" s="294"/>
      <c r="AQ189" s="294"/>
      <c r="AR189" s="293">
        <f t="shared" si="279"/>
        <v>394941.21017114067</v>
      </c>
      <c r="AS189" s="286">
        <f t="shared" si="280"/>
        <v>387549.47687947401</v>
      </c>
      <c r="AT189" s="286"/>
      <c r="AU189" s="286">
        <f>_xlfn.IFNA(VLOOKUP(A189,EY!A:AO,40,FALSE),0)</f>
        <v>0</v>
      </c>
      <c r="AV189" s="287">
        <f>_xlfn.IFNA((VLOOKUP($A189,HN!$A:$M,8,FALSE)/12),0)</f>
        <v>0</v>
      </c>
      <c r="AW189" s="287">
        <f>_xlfn.IFNA((VLOOKUP($A189,HN!$A:$M,12,FALSE)/12),0)+_xlfn.IFNA(VLOOKUP($A189,HN!$A$8:$AU$200,19,FALSE),0)</f>
        <v>0</v>
      </c>
      <c r="AX189" s="287">
        <f>_xlfn.IFNA((VLOOKUP($A189,HN!$A:$M,9,FALSE)/12),0)</f>
        <v>0</v>
      </c>
      <c r="AY189" s="287">
        <f>_xlfn.IFNA((VLOOKUP($A189,'Post 16'!$A:$AR,22,FALSE)/4),0)</f>
        <v>0</v>
      </c>
      <c r="AZ189" s="287">
        <f>_xlfn.IFNA(VLOOKUP(A189,EY!A:AO,41,FALSE),0)</f>
        <v>0</v>
      </c>
      <c r="BA189" s="287">
        <f>_xlfn.IFNA(((VLOOKUP($A189,HN!$A:$M,10,FALSE)-$U189-$AK189)/10),0)+_xlfn.IFNA(VLOOKUP($A189,HN!$A:$R,18,FALSE),0)</f>
        <v>11923.664583333333</v>
      </c>
      <c r="BB189" s="287">
        <f>_xlfn.IFNA(((VLOOKUP($A189,HN!$A:$M,13,FALSE)-$V189-$AL189)/10),0)+_xlfn.IFNA(VLOOKUP($A189,HN!$A$8:$AU$200,20,FALSE),0)</f>
        <v>0</v>
      </c>
      <c r="BC189" s="286">
        <f t="shared" si="281"/>
        <v>-1703.5749999999998</v>
      </c>
      <c r="BD189" s="286">
        <f t="shared" si="282"/>
        <v>-4010.1083749999998</v>
      </c>
      <c r="BE189" s="287"/>
      <c r="BF189" s="287"/>
      <c r="BG189" s="287"/>
      <c r="BH189" s="286">
        <f t="shared" si="283"/>
        <v>393759.45808780735</v>
      </c>
      <c r="BI189" s="307">
        <f t="shared" si="284"/>
        <v>387549.47687947401</v>
      </c>
      <c r="BJ189" s="307">
        <f>_xlfn.IFNA(VLOOKUP(A189,'LA Deductions'!A:AH,34,FALSE),0)</f>
        <v>0</v>
      </c>
      <c r="BK189" s="307"/>
      <c r="BL189" s="308">
        <f>_xlfn.IFNA((VLOOKUP($A189,HN!$A:$M,8,FALSE)/12),0)</f>
        <v>0</v>
      </c>
      <c r="BM189" s="308">
        <f>_xlfn.IFNA((VLOOKUP($A189,HN!$A:$M,12,FALSE)/12),0)</f>
        <v>0</v>
      </c>
      <c r="BN189" s="308">
        <f>_xlfn.IFNA((VLOOKUP($A189,HN!$A:$M,9,FALSE)/12),0)</f>
        <v>0</v>
      </c>
      <c r="BO189" s="308">
        <f>_xlfn.IFNA((VLOOKUP($A189,'Post 16'!$A:$AR,22,FALSE)/4),0)</f>
        <v>0</v>
      </c>
      <c r="BP189" s="308"/>
      <c r="BQ189" s="308">
        <f>_xlfn.IFNA(((VLOOKUP($A189,HN!$A:$M,10,FALSE)-$U189-$AK189)/10),0)</f>
        <v>11923.664583333333</v>
      </c>
      <c r="BR189" s="308">
        <f>_xlfn.IFNA(((VLOOKUP($A189,HN!$A:$M,13,FALSE)-$V189-$AL189)/10),0)</f>
        <v>0</v>
      </c>
      <c r="BS189" s="307">
        <f t="shared" si="285"/>
        <v>-1703.5749999999998</v>
      </c>
      <c r="BT189" s="307">
        <f t="shared" si="286"/>
        <v>-4010.1083749999998</v>
      </c>
      <c r="BU189" s="308"/>
      <c r="BV189" s="308"/>
      <c r="BW189" s="308"/>
      <c r="BX189" s="307">
        <f t="shared" si="287"/>
        <v>393759.45808780735</v>
      </c>
      <c r="BY189" s="300">
        <f t="shared" si="288"/>
        <v>387549.47687947401</v>
      </c>
      <c r="BZ189" s="300"/>
      <c r="CA189" s="300"/>
      <c r="CB189" s="301">
        <f>_xlfn.IFNA((VLOOKUP($A189,HN!$A:$M,8,FALSE)/12),0)</f>
        <v>0</v>
      </c>
      <c r="CC189" s="301">
        <f>_xlfn.IFNA((VLOOKUP($A189,HN!$A:$M,12,FALSE)/12),0)</f>
        <v>0</v>
      </c>
      <c r="CD189" s="301">
        <f>_xlfn.IFNA((VLOOKUP($A189,HN!$A:$M,9,FALSE)/12),0)</f>
        <v>0</v>
      </c>
      <c r="CE189" s="301">
        <f>_xlfn.IFNA((VLOOKUP($A189,'Post 16'!$A:$AG,33,FALSE)/8),0)</f>
        <v>0</v>
      </c>
      <c r="CF189" s="301"/>
      <c r="CG189" s="301">
        <f>_xlfn.IFNA(((VLOOKUP($A189,HN!$A:$M,10,FALSE)-$U189-$AK189)/10),0)</f>
        <v>11923.664583333333</v>
      </c>
      <c r="CH189" s="301">
        <f>_xlfn.IFNA(((VLOOKUP($A189,HN!$A:$M,13,FALSE)-$V189-$AL189)/10),0)</f>
        <v>0</v>
      </c>
      <c r="CI189" s="300">
        <f t="shared" si="289"/>
        <v>-1703.5749999999998</v>
      </c>
      <c r="CJ189" s="300">
        <f t="shared" si="290"/>
        <v>-4010.1083749999998</v>
      </c>
      <c r="CK189" s="301"/>
      <c r="CL189" s="301"/>
      <c r="CM189" s="301"/>
      <c r="CN189" s="300">
        <f t="shared" si="291"/>
        <v>393759.45808780735</v>
      </c>
      <c r="CO189" s="332">
        <f t="shared" si="292"/>
        <v>387549.47687947401</v>
      </c>
      <c r="CP189" s="332"/>
      <c r="CQ189" s="332">
        <f>_xlfn.IFNA((VLOOKUP($A189,EY!$A:$AB,28,FALSE)-$CV189),0)</f>
        <v>0</v>
      </c>
      <c r="CR189" s="333">
        <f>_xlfn.IFNA((VLOOKUP($A189,HN!$A:$M,8,FALSE)/12),0)</f>
        <v>0</v>
      </c>
      <c r="CS189" s="333">
        <f>_xlfn.IFNA((VLOOKUP($A189,HN!$A:$M,12,FALSE)/12),0)</f>
        <v>0</v>
      </c>
      <c r="CT189" s="333">
        <f>_xlfn.IFNA((VLOOKUP($A189,HN!$A:$M,9,FALSE)/12),0)</f>
        <v>0</v>
      </c>
      <c r="CU189" s="333">
        <f>_xlfn.IFNA((VLOOKUP($A189,'Post 16'!$A:$AG,33,FALSE)/8),0)</f>
        <v>0</v>
      </c>
      <c r="CV189" s="333">
        <f>_xlfn.IFNA((VLOOKUP($A189,EY!$A:$AB,26,FALSE)*80%),0)</f>
        <v>0</v>
      </c>
      <c r="CW189" s="333">
        <f>_xlfn.IFNA(((VLOOKUP($A189,HN!$A:$M,10,FALSE)-$U189-$AK189)/10),0)</f>
        <v>11923.664583333333</v>
      </c>
      <c r="CX189" s="333">
        <f>_xlfn.IFNA(((VLOOKUP($A189,HN!$A:$M,13,FALSE)-$V189-$AL189)/10),0)</f>
        <v>0</v>
      </c>
      <c r="CY189" s="332">
        <f t="shared" si="293"/>
        <v>-1703.5749999999998</v>
      </c>
      <c r="CZ189" s="332">
        <f t="shared" si="294"/>
        <v>-4010.1083749999998</v>
      </c>
      <c r="DA189" s="333"/>
      <c r="DB189" s="333"/>
      <c r="DC189" s="333"/>
      <c r="DD189" s="332">
        <f t="shared" si="295"/>
        <v>393759.45808780735</v>
      </c>
      <c r="DE189" s="314">
        <f t="shared" si="296"/>
        <v>387549.47687947401</v>
      </c>
      <c r="DF189" s="314"/>
      <c r="DG189" s="314"/>
      <c r="DH189" s="315">
        <f>_xlfn.IFNA((VLOOKUP($A189,HN!$A:$M,8,FALSE)/12),0)</f>
        <v>0</v>
      </c>
      <c r="DI189" s="315">
        <f>_xlfn.IFNA((VLOOKUP($A189,HN!$A:$M,12,FALSE)/12),0)</f>
        <v>0</v>
      </c>
      <c r="DJ189" s="315">
        <f>_xlfn.IFNA((VLOOKUP($A189,HN!$A:$M,9,FALSE)/12),0)</f>
        <v>0</v>
      </c>
      <c r="DK189" s="315">
        <f>_xlfn.IFNA((VLOOKUP($A189,'Post 16'!$A:$AG,33,FALSE)/8),0)</f>
        <v>0</v>
      </c>
      <c r="DL189" s="315"/>
      <c r="DM189" s="315">
        <f>_xlfn.IFNA(((VLOOKUP($A189,HN!$A:$M,10,FALSE)-$U189-$AK189)/10),0)</f>
        <v>11923.664583333333</v>
      </c>
      <c r="DN189" s="315">
        <f>_xlfn.IFNA(((VLOOKUP($A189,HN!$A:$M,13,FALSE)-$V189-$AL189)/10),0)</f>
        <v>0</v>
      </c>
      <c r="DO189" s="314">
        <f t="shared" si="297"/>
        <v>-1703.5749999999998</v>
      </c>
      <c r="DP189" s="314">
        <f t="shared" si="298"/>
        <v>-4010.1083749999998</v>
      </c>
      <c r="DQ189" s="315"/>
      <c r="DR189" s="315"/>
      <c r="DS189" s="315"/>
      <c r="DT189" s="314">
        <f t="shared" si="299"/>
        <v>393759.45808780735</v>
      </c>
      <c r="DU189" s="307">
        <f t="shared" si="300"/>
        <v>387549.47687947401</v>
      </c>
      <c r="DV189" s="307"/>
      <c r="DW189" s="307"/>
      <c r="DX189" s="308">
        <f>_xlfn.IFNA((VLOOKUP($A189,HN!$A:$M,8,FALSE)/12),0)</f>
        <v>0</v>
      </c>
      <c r="DY189" s="308">
        <f>_xlfn.IFNA((VLOOKUP($A189,HN!$A:$M,12,FALSE)/12),0)</f>
        <v>0</v>
      </c>
      <c r="DZ189" s="308">
        <f>_xlfn.IFNA((VLOOKUP($A189,HN!$A:$M,9,FALSE)/12),0)</f>
        <v>0</v>
      </c>
      <c r="EA189" s="308">
        <f>_xlfn.IFNA((VLOOKUP($A189,'Post 16'!$A:$AG,33,FALSE)/8),0)</f>
        <v>0</v>
      </c>
      <c r="EB189" s="308"/>
      <c r="EC189" s="308">
        <f>_xlfn.IFNA(((VLOOKUP($A189,HN!$A:$M,10,FALSE)-$U189-$AK189)/10),0)</f>
        <v>11923.664583333333</v>
      </c>
      <c r="ED189" s="308">
        <f>_xlfn.IFNA(((VLOOKUP($A189,HN!$A:$M,13,FALSE)-$V189-$AL189)/10),0)</f>
        <v>0</v>
      </c>
      <c r="EE189" s="307">
        <f t="shared" si="301"/>
        <v>-1703.5749999999998</v>
      </c>
      <c r="EF189" s="307">
        <f t="shared" si="302"/>
        <v>-4010.1083749999998</v>
      </c>
      <c r="EG189" s="308"/>
      <c r="EH189" s="308"/>
      <c r="EI189" s="308"/>
      <c r="EJ189" s="307">
        <f t="shared" si="303"/>
        <v>393759.45808780735</v>
      </c>
      <c r="EK189" s="320">
        <f t="shared" si="304"/>
        <v>387549.47687947401</v>
      </c>
      <c r="EL189" s="320"/>
      <c r="EM189" s="320"/>
      <c r="EN189" s="321">
        <f>_xlfn.IFNA((VLOOKUP($A189,HN!$A:$M,8,FALSE)/12),0)</f>
        <v>0</v>
      </c>
      <c r="EO189" s="321">
        <f>_xlfn.IFNA((VLOOKUP($A189,HN!$A:$M,12,FALSE)/12),0)</f>
        <v>0</v>
      </c>
      <c r="EP189" s="321">
        <f>_xlfn.IFNA((VLOOKUP($A189,HN!$A:$M,9,FALSE)/12),0)</f>
        <v>0</v>
      </c>
      <c r="EQ189" s="321">
        <f>_xlfn.IFNA((VLOOKUP($A189,'Post 16'!$A:$AG,33,FALSE)/8),0)</f>
        <v>0</v>
      </c>
      <c r="ER189" s="321"/>
      <c r="ES189" s="321">
        <f>_xlfn.IFNA(((VLOOKUP($A189,HN!$A:$M,10,FALSE)-$U189-$AK189)/10),0)</f>
        <v>11923.664583333333</v>
      </c>
      <c r="ET189" s="321">
        <f>_xlfn.IFNA(((VLOOKUP($A189,HN!$A:$M,13,FALSE)-$V189-$AL189)/10),0)</f>
        <v>0</v>
      </c>
      <c r="EU189" s="320">
        <f t="shared" si="305"/>
        <v>-1703.5749999999998</v>
      </c>
      <c r="EV189" s="320">
        <f t="shared" si="306"/>
        <v>-4010.1083749999998</v>
      </c>
      <c r="EW189" s="321"/>
      <c r="EX189" s="321"/>
      <c r="EY189" s="321"/>
      <c r="EZ189" s="320">
        <f t="shared" si="307"/>
        <v>393759.45808780735</v>
      </c>
      <c r="FA189" s="286">
        <f t="shared" si="308"/>
        <v>387549.47687947401</v>
      </c>
      <c r="FB189" s="286"/>
      <c r="FC189" s="286"/>
      <c r="FD189" s="287">
        <f>_xlfn.IFNA((VLOOKUP($A189,HN!$A:$M,8,FALSE)/12),0)</f>
        <v>0</v>
      </c>
      <c r="FE189" s="287">
        <f>_xlfn.IFNA((VLOOKUP($A189,HN!$A:$M,12,FALSE)/12),0)</f>
        <v>0</v>
      </c>
      <c r="FF189" s="287">
        <f>_xlfn.IFNA((VLOOKUP($A189,HN!$A:$M,9,FALSE)/12),0)</f>
        <v>0</v>
      </c>
      <c r="FG189" s="287">
        <f>_xlfn.IFNA((VLOOKUP($A189,'Post 16'!$A:$AG,33,FALSE)/8),0)</f>
        <v>0</v>
      </c>
      <c r="FH189" s="287"/>
      <c r="FI189" s="287">
        <f>_xlfn.IFNA(((VLOOKUP($A189,HN!$A:$M,10,FALSE)-$U189-$AK189)/10),0)</f>
        <v>11923.664583333333</v>
      </c>
      <c r="FJ189" s="287">
        <f>_xlfn.IFNA(((VLOOKUP($A189,HN!$A:$M,13,FALSE)-$V189-$AL189)/10),0)</f>
        <v>0</v>
      </c>
      <c r="FK189" s="286">
        <f t="shared" si="309"/>
        <v>-1703.5749999999998</v>
      </c>
      <c r="FL189" s="286">
        <f t="shared" si="310"/>
        <v>-4010.1083749999998</v>
      </c>
      <c r="FM189" s="287"/>
      <c r="FN189" s="287"/>
      <c r="FO189" s="287"/>
      <c r="FP189" s="286">
        <f t="shared" si="311"/>
        <v>393759.45808780735</v>
      </c>
      <c r="FQ189" s="293">
        <f t="shared" si="312"/>
        <v>387549.47687947401</v>
      </c>
      <c r="FR189" s="293"/>
      <c r="FS189" s="293"/>
      <c r="FT189" s="294">
        <f>_xlfn.IFNA((VLOOKUP($A189,HN!$A:$M,8,FALSE)/12),0)</f>
        <v>0</v>
      </c>
      <c r="FU189" s="294">
        <f>_xlfn.IFNA((VLOOKUP($A189,HN!$A:$M,12,FALSE)/12),0)</f>
        <v>0</v>
      </c>
      <c r="FV189" s="294">
        <f>_xlfn.IFNA((VLOOKUP($A189,HN!$A:$M,9,FALSE)/12),0)</f>
        <v>0</v>
      </c>
      <c r="FW189" s="294">
        <f>_xlfn.IFNA((VLOOKUP($A189,'Post 16'!$A:$AG,33,FALSE)/8),0)</f>
        <v>0</v>
      </c>
      <c r="FX189" s="294"/>
      <c r="FY189" s="294">
        <f>_xlfn.IFNA(((VLOOKUP($A189,HN!$A:$M,10,FALSE)-$U189-$AK189)/10),0)</f>
        <v>11923.664583333333</v>
      </c>
      <c r="FZ189" s="294">
        <f>_xlfn.IFNA(((VLOOKUP($A189,HN!$A:$M,13,FALSE)-$V189-$AL189)/10),0)</f>
        <v>0</v>
      </c>
      <c r="GA189" s="293">
        <f t="shared" si="313"/>
        <v>-1703.5749999999998</v>
      </c>
      <c r="GB189" s="293">
        <f t="shared" si="314"/>
        <v>-4010.1083749999998</v>
      </c>
      <c r="GC189" s="294"/>
      <c r="GD189" s="294"/>
      <c r="GE189" s="294"/>
      <c r="GF189" s="293">
        <f t="shared" si="315"/>
        <v>393759.45808780735</v>
      </c>
      <c r="GG189" s="300">
        <f t="shared" si="316"/>
        <v>387549.47687947401</v>
      </c>
      <c r="GH189" s="300"/>
      <c r="GI189" s="300"/>
      <c r="GJ189" s="301">
        <f>_xlfn.IFNA((VLOOKUP($A189,HN!$A:$M,8,FALSE)/12),0)</f>
        <v>0</v>
      </c>
      <c r="GK189" s="301">
        <f>_xlfn.IFNA((VLOOKUP($A189,HN!$A:$M,12,FALSE)/12),0)</f>
        <v>0</v>
      </c>
      <c r="GL189" s="301">
        <f>_xlfn.IFNA((VLOOKUP($A189,HN!$A:$M,9,FALSE)/12),0)</f>
        <v>0</v>
      </c>
      <c r="GM189" s="301">
        <f>_xlfn.IFNA((VLOOKUP($A189,'Post 16'!$A:$AG,33,FALSE)/8),0)</f>
        <v>0</v>
      </c>
      <c r="GN189" s="301"/>
      <c r="GO189" s="301">
        <f>_xlfn.IFNA(((VLOOKUP($A189,HN!$A:$M,10,FALSE)-$U189-$AK189)/10),0)</f>
        <v>11923.664583333333</v>
      </c>
      <c r="GP189" s="301">
        <f>_xlfn.IFNA(((VLOOKUP($A189,HN!$A:$M,13,FALSE)-$V189-$AL189)/10),0)</f>
        <v>0</v>
      </c>
      <c r="GQ189" s="300">
        <f t="shared" si="317"/>
        <v>-1703.5749999999998</v>
      </c>
      <c r="GR189" s="300">
        <f t="shared" si="318"/>
        <v>-4010.1083749999998</v>
      </c>
      <c r="GS189" s="301"/>
      <c r="GT189" s="301"/>
      <c r="GU189" s="301"/>
      <c r="GV189" s="300">
        <f t="shared" si="319"/>
        <v>393759.45808780735</v>
      </c>
      <c r="GX189" s="146">
        <f t="shared" si="324"/>
        <v>4650593.7225536872</v>
      </c>
      <c r="GY189" s="146">
        <f t="shared" si="324"/>
        <v>0</v>
      </c>
      <c r="GZ189" s="146">
        <f t="shared" si="324"/>
        <v>157265</v>
      </c>
      <c r="HA189" s="146">
        <f t="shared" si="324"/>
        <v>-20442.900000000005</v>
      </c>
      <c r="HB189" s="146">
        <f t="shared" si="324"/>
        <v>-48121.300499999983</v>
      </c>
      <c r="HC189" s="146">
        <f t="shared" si="324"/>
        <v>0</v>
      </c>
      <c r="HE189" s="146">
        <f t="shared" si="325"/>
        <v>1162648.430638422</v>
      </c>
      <c r="HF189" s="146">
        <f t="shared" si="325"/>
        <v>0</v>
      </c>
      <c r="HG189" s="146">
        <f t="shared" si="325"/>
        <v>49952.018749999996</v>
      </c>
      <c r="HH189" s="146">
        <f t="shared" si="325"/>
        <v>-5110.7249999999995</v>
      </c>
      <c r="HI189" s="146">
        <f t="shared" si="325"/>
        <v>-12030.325124999999</v>
      </c>
      <c r="HJ189" s="146">
        <f t="shared" si="325"/>
        <v>0</v>
      </c>
      <c r="HL189" s="146"/>
      <c r="HM189" s="57"/>
    </row>
    <row r="190" spans="1:221">
      <c r="A190" s="185">
        <v>2227</v>
      </c>
      <c r="B190" s="185">
        <v>103281</v>
      </c>
      <c r="C190" s="185" t="s">
        <v>407</v>
      </c>
      <c r="D190" s="2" t="s">
        <v>408</v>
      </c>
      <c r="E190" s="190" t="s">
        <v>39</v>
      </c>
      <c r="F190" s="190" t="s">
        <v>890</v>
      </c>
      <c r="H190" s="271">
        <f>_xlfn.IFNA(VLOOKUP($A190,ISB!$A$4:$BY$441,67,FALSE),0)</f>
        <v>2605002.9935452822</v>
      </c>
      <c r="I190" s="271">
        <f>_xlfn.IFNA(VLOOKUP($A190,ISB!$A$4:$BY$441,72,FALSE),0)</f>
        <v>-9611.4</v>
      </c>
      <c r="J190" s="271">
        <f>-_xlfn.IFNA(VLOOKUP($A190,ISB!$A$4:$BY$441,76,FALSE),0)</f>
        <v>-33764.030599999998</v>
      </c>
      <c r="K190" s="271">
        <f>_xlfn.IFNA(VLOOKUP($A190,ISB!$A$4:$BY$441,77,FALSE),0)</f>
        <v>2561627.5629452821</v>
      </c>
      <c r="M190" s="279">
        <f t="shared" si="272"/>
        <v>217083.58279544019</v>
      </c>
      <c r="N190" s="279"/>
      <c r="O190" s="279">
        <f>_xlfn.IFNA(VLOOKUP($A190,EY!$A:$H,8,FALSE)+(VLOOKUP($A190,EY!$A:$R,18,FALSE)-$T190),0)</f>
        <v>60577.213894736837</v>
      </c>
      <c r="P190" s="280">
        <f>_xlfn.IFNA((VLOOKUP($A190,HN!$A:$M,8,FALSE)/12),0)</f>
        <v>0</v>
      </c>
      <c r="Q190" s="280">
        <f>_xlfn.IFNA((VLOOKUP($A190,HN!$A:$M,12,FALSE)/12),0)</f>
        <v>0</v>
      </c>
      <c r="R190" s="280">
        <f>_xlfn.IFNA((VLOOKUP($A190,HN!$A:$M,9,FALSE)/12),0)</f>
        <v>0</v>
      </c>
      <c r="S190" s="280">
        <f>_xlfn.IFNA((VLOOKUP($A190,'Post 16'!$A:$AR,22,FALSE)/4),0)</f>
        <v>0</v>
      </c>
      <c r="T190" s="280">
        <f>_xlfn.IFNA((VLOOKUP($A190,EY!$A:$R,16,FALSE)*80%),0)</f>
        <v>780</v>
      </c>
      <c r="U190" s="280">
        <v>25192.631666666668</v>
      </c>
      <c r="V190" s="280">
        <v>0</v>
      </c>
      <c r="W190" s="279">
        <f t="shared" si="273"/>
        <v>-800.94999999999993</v>
      </c>
      <c r="X190" s="279">
        <f t="shared" si="274"/>
        <v>-2813.6692166666667</v>
      </c>
      <c r="Y190" s="280"/>
      <c r="Z190" s="280"/>
      <c r="AA190" s="280"/>
      <c r="AB190" s="279">
        <f t="shared" si="275"/>
        <v>300018.80914017704</v>
      </c>
      <c r="AC190" s="293">
        <f t="shared" si="276"/>
        <v>217083.58279544019</v>
      </c>
      <c r="AD190" s="293"/>
      <c r="AE190" s="293"/>
      <c r="AF190" s="294">
        <f>_xlfn.IFNA((VLOOKUP($A190,HN!$A:$M,8,FALSE)/12),0)</f>
        <v>0</v>
      </c>
      <c r="AG190" s="294">
        <f>_xlfn.IFNA((VLOOKUP($A190,HN!$A:$M,12,FALSE)/12),0)+_xlfn.IFNA(VLOOKUP($A190,HN!$A:$Q,17,FALSE),0)</f>
        <v>0</v>
      </c>
      <c r="AH190" s="294">
        <f>_xlfn.IFNA((VLOOKUP($A190,HN!$A:$M,9,FALSE)/12),0)</f>
        <v>0</v>
      </c>
      <c r="AI190" s="294">
        <f>_xlfn.IFNA((VLOOKUP($A190,'Post 16'!$A:$AR,22,FALSE)/4),0)</f>
        <v>0</v>
      </c>
      <c r="AJ190" s="294"/>
      <c r="AK190" s="294">
        <f>_xlfn.IFNA((VLOOKUP($A190,HN!$A:$M,10,FALSE)/12),0)</f>
        <v>10428.958333333334</v>
      </c>
      <c r="AL190" s="294">
        <f>_xlfn.IFNA((VLOOKUP($A190,HN!$A:$M,13,FALSE)/12),0)</f>
        <v>0</v>
      </c>
      <c r="AM190" s="293">
        <f t="shared" si="277"/>
        <v>-800.94999999999993</v>
      </c>
      <c r="AN190" s="293">
        <f t="shared" si="278"/>
        <v>-2813.6692166666667</v>
      </c>
      <c r="AO190" s="294"/>
      <c r="AP190" s="294"/>
      <c r="AQ190" s="294"/>
      <c r="AR190" s="293">
        <f t="shared" si="279"/>
        <v>223897.92191210686</v>
      </c>
      <c r="AS190" s="286">
        <f t="shared" si="280"/>
        <v>217083.58279544019</v>
      </c>
      <c r="AT190" s="286"/>
      <c r="AU190" s="286">
        <f>_xlfn.IFNA(VLOOKUP(A190,EY!A:AO,40,FALSE),0)</f>
        <v>15451.606869806095</v>
      </c>
      <c r="AV190" s="287">
        <f>_xlfn.IFNA((VLOOKUP($A190,HN!$A:$M,8,FALSE)/12),0)</f>
        <v>0</v>
      </c>
      <c r="AW190" s="287">
        <f>_xlfn.IFNA((VLOOKUP($A190,HN!$A:$M,12,FALSE)/12),0)+_xlfn.IFNA(VLOOKUP($A190,HN!$A$8:$AU$200,19,FALSE),0)</f>
        <v>0</v>
      </c>
      <c r="AX190" s="287">
        <f>_xlfn.IFNA((VLOOKUP($A190,HN!$A:$M,9,FALSE)/12),0)</f>
        <v>0</v>
      </c>
      <c r="AY190" s="287">
        <f>_xlfn.IFNA((VLOOKUP($A190,'Post 16'!$A:$AR,22,FALSE)/4),0)</f>
        <v>0</v>
      </c>
      <c r="AZ190" s="287">
        <f>_xlfn.IFNA(VLOOKUP(A190,EY!A:AO,41,FALSE),0)</f>
        <v>0</v>
      </c>
      <c r="BA190" s="287">
        <f>_xlfn.IFNA(((VLOOKUP($A190,HN!$A:$M,10,FALSE)-$U190-$AK190)/10),0)+_xlfn.IFNA(VLOOKUP($A190,HN!$A:$R,18,FALSE),0)</f>
        <v>8952.5910000000003</v>
      </c>
      <c r="BB190" s="287">
        <f>_xlfn.IFNA(((VLOOKUP($A190,HN!$A:$M,13,FALSE)-$V190-$AL190)/10),0)+_xlfn.IFNA(VLOOKUP($A190,HN!$A$8:$AU$200,20,FALSE),0)</f>
        <v>0</v>
      </c>
      <c r="BC190" s="286">
        <f t="shared" si="281"/>
        <v>-800.94999999999993</v>
      </c>
      <c r="BD190" s="286">
        <f t="shared" si="282"/>
        <v>-2813.6692166666667</v>
      </c>
      <c r="BE190" s="287"/>
      <c r="BF190" s="287"/>
      <c r="BG190" s="287"/>
      <c r="BH190" s="286">
        <f t="shared" si="283"/>
        <v>237873.16144857963</v>
      </c>
      <c r="BI190" s="307">
        <f t="shared" si="284"/>
        <v>217083.58279544019</v>
      </c>
      <c r="BJ190" s="307">
        <f>_xlfn.IFNA(VLOOKUP(A190,'LA Deductions'!A:AH,34,FALSE),0)</f>
        <v>0</v>
      </c>
      <c r="BK190" s="307"/>
      <c r="BL190" s="308">
        <f>_xlfn.IFNA((VLOOKUP($A190,HN!$A:$M,8,FALSE)/12),0)</f>
        <v>0</v>
      </c>
      <c r="BM190" s="308">
        <f>_xlfn.IFNA((VLOOKUP($A190,HN!$A:$M,12,FALSE)/12),0)</f>
        <v>0</v>
      </c>
      <c r="BN190" s="308">
        <f>_xlfn.IFNA((VLOOKUP($A190,HN!$A:$M,9,FALSE)/12),0)</f>
        <v>0</v>
      </c>
      <c r="BO190" s="308">
        <f>_xlfn.IFNA((VLOOKUP($A190,'Post 16'!$A:$AR,22,FALSE)/4),0)</f>
        <v>0</v>
      </c>
      <c r="BP190" s="308"/>
      <c r="BQ190" s="308">
        <f>_xlfn.IFNA(((VLOOKUP($A190,HN!$A:$M,10,FALSE)-$U190-$AK190)/10),0)</f>
        <v>8952.5910000000003</v>
      </c>
      <c r="BR190" s="308">
        <f>_xlfn.IFNA(((VLOOKUP($A190,HN!$A:$M,13,FALSE)-$V190-$AL190)/10),0)</f>
        <v>0</v>
      </c>
      <c r="BS190" s="307">
        <f t="shared" si="285"/>
        <v>-800.94999999999993</v>
      </c>
      <c r="BT190" s="307">
        <f t="shared" si="286"/>
        <v>-2813.6692166666667</v>
      </c>
      <c r="BU190" s="308"/>
      <c r="BV190" s="308"/>
      <c r="BW190" s="308"/>
      <c r="BX190" s="307">
        <f t="shared" si="287"/>
        <v>222421.5545787735</v>
      </c>
      <c r="BY190" s="300">
        <f t="shared" si="288"/>
        <v>217083.58279544019</v>
      </c>
      <c r="BZ190" s="300"/>
      <c r="CA190" s="300"/>
      <c r="CB190" s="301">
        <f>_xlfn.IFNA((VLOOKUP($A190,HN!$A:$M,8,FALSE)/12),0)</f>
        <v>0</v>
      </c>
      <c r="CC190" s="301">
        <f>_xlfn.IFNA((VLOOKUP($A190,HN!$A:$M,12,FALSE)/12),0)</f>
        <v>0</v>
      </c>
      <c r="CD190" s="301">
        <f>_xlfn.IFNA((VLOOKUP($A190,HN!$A:$M,9,FALSE)/12),0)</f>
        <v>0</v>
      </c>
      <c r="CE190" s="301">
        <f>_xlfn.IFNA((VLOOKUP($A190,'Post 16'!$A:$AG,33,FALSE)/8),0)</f>
        <v>0</v>
      </c>
      <c r="CF190" s="301"/>
      <c r="CG190" s="301">
        <f>_xlfn.IFNA(((VLOOKUP($A190,HN!$A:$M,10,FALSE)-$U190-$AK190)/10),0)</f>
        <v>8952.5910000000003</v>
      </c>
      <c r="CH190" s="301">
        <f>_xlfn.IFNA(((VLOOKUP($A190,HN!$A:$M,13,FALSE)-$V190-$AL190)/10),0)</f>
        <v>0</v>
      </c>
      <c r="CI190" s="300">
        <f t="shared" si="289"/>
        <v>-800.94999999999993</v>
      </c>
      <c r="CJ190" s="300">
        <f t="shared" si="290"/>
        <v>-2813.6692166666667</v>
      </c>
      <c r="CK190" s="301"/>
      <c r="CL190" s="301"/>
      <c r="CM190" s="301"/>
      <c r="CN190" s="300">
        <f t="shared" si="291"/>
        <v>222421.5545787735</v>
      </c>
      <c r="CO190" s="332">
        <f t="shared" si="292"/>
        <v>217083.58279544019</v>
      </c>
      <c r="CP190" s="332"/>
      <c r="CQ190" s="332">
        <f>_xlfn.IFNA((VLOOKUP($A190,EY!$A:$AB,28,FALSE)-$CV190),0)</f>
        <v>50388.437894736853</v>
      </c>
      <c r="CR190" s="333">
        <f>_xlfn.IFNA((VLOOKUP($A190,HN!$A:$M,8,FALSE)/12),0)</f>
        <v>0</v>
      </c>
      <c r="CS190" s="333">
        <f>_xlfn.IFNA((VLOOKUP($A190,HN!$A:$M,12,FALSE)/12),0)</f>
        <v>0</v>
      </c>
      <c r="CT190" s="333">
        <f>_xlfn.IFNA((VLOOKUP($A190,HN!$A:$M,9,FALSE)/12),0)</f>
        <v>0</v>
      </c>
      <c r="CU190" s="333">
        <f>_xlfn.IFNA((VLOOKUP($A190,'Post 16'!$A:$AG,33,FALSE)/8),0)</f>
        <v>0</v>
      </c>
      <c r="CV190" s="333">
        <f>_xlfn.IFNA((VLOOKUP($A190,EY!$A:$AB,26,FALSE)*80%),0)</f>
        <v>780</v>
      </c>
      <c r="CW190" s="333">
        <f>_xlfn.IFNA(((VLOOKUP($A190,HN!$A:$M,10,FALSE)-$U190-$AK190)/10),0)</f>
        <v>8952.5910000000003</v>
      </c>
      <c r="CX190" s="333">
        <f>_xlfn.IFNA(((VLOOKUP($A190,HN!$A:$M,13,FALSE)-$V190-$AL190)/10),0)</f>
        <v>0</v>
      </c>
      <c r="CY190" s="332">
        <f t="shared" si="293"/>
        <v>-800.94999999999993</v>
      </c>
      <c r="CZ190" s="332">
        <f t="shared" si="294"/>
        <v>-2813.6692166666667</v>
      </c>
      <c r="DA190" s="333"/>
      <c r="DB190" s="333"/>
      <c r="DC190" s="333"/>
      <c r="DD190" s="332">
        <f t="shared" si="295"/>
        <v>273589.99247351039</v>
      </c>
      <c r="DE190" s="314">
        <f t="shared" si="296"/>
        <v>217083.58279544019</v>
      </c>
      <c r="DF190" s="314"/>
      <c r="DG190" s="314"/>
      <c r="DH190" s="315">
        <f>_xlfn.IFNA((VLOOKUP($A190,HN!$A:$M,8,FALSE)/12),0)</f>
        <v>0</v>
      </c>
      <c r="DI190" s="315">
        <f>_xlfn.IFNA((VLOOKUP($A190,HN!$A:$M,12,FALSE)/12),0)</f>
        <v>0</v>
      </c>
      <c r="DJ190" s="315">
        <f>_xlfn.IFNA((VLOOKUP($A190,HN!$A:$M,9,FALSE)/12),0)</f>
        <v>0</v>
      </c>
      <c r="DK190" s="315">
        <f>_xlfn.IFNA((VLOOKUP($A190,'Post 16'!$A:$AG,33,FALSE)/8),0)</f>
        <v>0</v>
      </c>
      <c r="DL190" s="315"/>
      <c r="DM190" s="315">
        <f>_xlfn.IFNA(((VLOOKUP($A190,HN!$A:$M,10,FALSE)-$U190-$AK190)/10),0)</f>
        <v>8952.5910000000003</v>
      </c>
      <c r="DN190" s="315">
        <f>_xlfn.IFNA(((VLOOKUP($A190,HN!$A:$M,13,FALSE)-$V190-$AL190)/10),0)</f>
        <v>0</v>
      </c>
      <c r="DO190" s="314">
        <f t="shared" si="297"/>
        <v>-800.94999999999993</v>
      </c>
      <c r="DP190" s="314">
        <f t="shared" si="298"/>
        <v>-2813.6692166666667</v>
      </c>
      <c r="DQ190" s="315"/>
      <c r="DR190" s="315"/>
      <c r="DS190" s="315"/>
      <c r="DT190" s="314">
        <f t="shared" si="299"/>
        <v>222421.5545787735</v>
      </c>
      <c r="DU190" s="307">
        <f t="shared" si="300"/>
        <v>217083.58279544019</v>
      </c>
      <c r="DV190" s="307"/>
      <c r="DW190" s="307"/>
      <c r="DX190" s="308">
        <f>_xlfn.IFNA((VLOOKUP($A190,HN!$A:$M,8,FALSE)/12),0)</f>
        <v>0</v>
      </c>
      <c r="DY190" s="308">
        <f>_xlfn.IFNA((VLOOKUP($A190,HN!$A:$M,12,FALSE)/12),0)</f>
        <v>0</v>
      </c>
      <c r="DZ190" s="308">
        <f>_xlfn.IFNA((VLOOKUP($A190,HN!$A:$M,9,FALSE)/12),0)</f>
        <v>0</v>
      </c>
      <c r="EA190" s="308">
        <f>_xlfn.IFNA((VLOOKUP($A190,'Post 16'!$A:$AG,33,FALSE)/8),0)</f>
        <v>0</v>
      </c>
      <c r="EB190" s="308"/>
      <c r="EC190" s="308">
        <f>_xlfn.IFNA(((VLOOKUP($A190,HN!$A:$M,10,FALSE)-$U190-$AK190)/10),0)</f>
        <v>8952.5910000000003</v>
      </c>
      <c r="ED190" s="308">
        <f>_xlfn.IFNA(((VLOOKUP($A190,HN!$A:$M,13,FALSE)-$V190-$AL190)/10),0)</f>
        <v>0</v>
      </c>
      <c r="EE190" s="307">
        <f t="shared" si="301"/>
        <v>-800.94999999999993</v>
      </c>
      <c r="EF190" s="307">
        <f t="shared" si="302"/>
        <v>-2813.6692166666667</v>
      </c>
      <c r="EG190" s="308"/>
      <c r="EH190" s="308"/>
      <c r="EI190" s="308"/>
      <c r="EJ190" s="307">
        <f t="shared" si="303"/>
        <v>222421.5545787735</v>
      </c>
      <c r="EK190" s="320">
        <f t="shared" si="304"/>
        <v>217083.58279544019</v>
      </c>
      <c r="EL190" s="320"/>
      <c r="EM190" s="320"/>
      <c r="EN190" s="321">
        <f>_xlfn.IFNA((VLOOKUP($A190,HN!$A:$M,8,FALSE)/12),0)</f>
        <v>0</v>
      </c>
      <c r="EO190" s="321">
        <f>_xlfn.IFNA((VLOOKUP($A190,HN!$A:$M,12,FALSE)/12),0)</f>
        <v>0</v>
      </c>
      <c r="EP190" s="321">
        <f>_xlfn.IFNA((VLOOKUP($A190,HN!$A:$M,9,FALSE)/12),0)</f>
        <v>0</v>
      </c>
      <c r="EQ190" s="321">
        <f>_xlfn.IFNA((VLOOKUP($A190,'Post 16'!$A:$AG,33,FALSE)/8),0)</f>
        <v>0</v>
      </c>
      <c r="ER190" s="321"/>
      <c r="ES190" s="321">
        <f>_xlfn.IFNA(((VLOOKUP($A190,HN!$A:$M,10,FALSE)-$U190-$AK190)/10),0)</f>
        <v>8952.5910000000003</v>
      </c>
      <c r="ET190" s="321">
        <f>_xlfn.IFNA(((VLOOKUP($A190,HN!$A:$M,13,FALSE)-$V190-$AL190)/10),0)</f>
        <v>0</v>
      </c>
      <c r="EU190" s="320">
        <f t="shared" si="305"/>
        <v>-800.94999999999993</v>
      </c>
      <c r="EV190" s="320">
        <f t="shared" si="306"/>
        <v>-2813.6692166666667</v>
      </c>
      <c r="EW190" s="321"/>
      <c r="EX190" s="321"/>
      <c r="EY190" s="321"/>
      <c r="EZ190" s="320">
        <f t="shared" si="307"/>
        <v>222421.5545787735</v>
      </c>
      <c r="FA190" s="286">
        <f t="shared" si="308"/>
        <v>217083.58279544019</v>
      </c>
      <c r="FB190" s="286"/>
      <c r="FC190" s="286"/>
      <c r="FD190" s="287">
        <f>_xlfn.IFNA((VLOOKUP($A190,HN!$A:$M,8,FALSE)/12),0)</f>
        <v>0</v>
      </c>
      <c r="FE190" s="287">
        <f>_xlfn.IFNA((VLOOKUP($A190,HN!$A:$M,12,FALSE)/12),0)</f>
        <v>0</v>
      </c>
      <c r="FF190" s="287">
        <f>_xlfn.IFNA((VLOOKUP($A190,HN!$A:$M,9,FALSE)/12),0)</f>
        <v>0</v>
      </c>
      <c r="FG190" s="287">
        <f>_xlfn.IFNA((VLOOKUP($A190,'Post 16'!$A:$AG,33,FALSE)/8),0)</f>
        <v>0</v>
      </c>
      <c r="FH190" s="287"/>
      <c r="FI190" s="287">
        <f>_xlfn.IFNA(((VLOOKUP($A190,HN!$A:$M,10,FALSE)-$U190-$AK190)/10),0)</f>
        <v>8952.5910000000003</v>
      </c>
      <c r="FJ190" s="287">
        <f>_xlfn.IFNA(((VLOOKUP($A190,HN!$A:$M,13,FALSE)-$V190-$AL190)/10),0)</f>
        <v>0</v>
      </c>
      <c r="FK190" s="286">
        <f t="shared" si="309"/>
        <v>-800.94999999999993</v>
      </c>
      <c r="FL190" s="286">
        <f t="shared" si="310"/>
        <v>-2813.6692166666667</v>
      </c>
      <c r="FM190" s="287"/>
      <c r="FN190" s="287"/>
      <c r="FO190" s="287"/>
      <c r="FP190" s="286">
        <f t="shared" si="311"/>
        <v>222421.5545787735</v>
      </c>
      <c r="FQ190" s="293">
        <f t="shared" si="312"/>
        <v>217083.58279544019</v>
      </c>
      <c r="FR190" s="293"/>
      <c r="FS190" s="293"/>
      <c r="FT190" s="294">
        <f>_xlfn.IFNA((VLOOKUP($A190,HN!$A:$M,8,FALSE)/12),0)</f>
        <v>0</v>
      </c>
      <c r="FU190" s="294">
        <f>_xlfn.IFNA((VLOOKUP($A190,HN!$A:$M,12,FALSE)/12),0)</f>
        <v>0</v>
      </c>
      <c r="FV190" s="294">
        <f>_xlfn.IFNA((VLOOKUP($A190,HN!$A:$M,9,FALSE)/12),0)</f>
        <v>0</v>
      </c>
      <c r="FW190" s="294">
        <f>_xlfn.IFNA((VLOOKUP($A190,'Post 16'!$A:$AG,33,FALSE)/8),0)</f>
        <v>0</v>
      </c>
      <c r="FX190" s="294"/>
      <c r="FY190" s="294">
        <f>_xlfn.IFNA(((VLOOKUP($A190,HN!$A:$M,10,FALSE)-$U190-$AK190)/10),0)</f>
        <v>8952.5910000000003</v>
      </c>
      <c r="FZ190" s="294">
        <f>_xlfn.IFNA(((VLOOKUP($A190,HN!$A:$M,13,FALSE)-$V190-$AL190)/10),0)</f>
        <v>0</v>
      </c>
      <c r="GA190" s="293">
        <f t="shared" si="313"/>
        <v>-800.94999999999993</v>
      </c>
      <c r="GB190" s="293">
        <f t="shared" si="314"/>
        <v>-2813.6692166666667</v>
      </c>
      <c r="GC190" s="294"/>
      <c r="GD190" s="294"/>
      <c r="GE190" s="294"/>
      <c r="GF190" s="293">
        <f t="shared" si="315"/>
        <v>222421.5545787735</v>
      </c>
      <c r="GG190" s="300">
        <f t="shared" si="316"/>
        <v>217083.58279544019</v>
      </c>
      <c r="GH190" s="300"/>
      <c r="GI190" s="300"/>
      <c r="GJ190" s="301">
        <f>_xlfn.IFNA((VLOOKUP($A190,HN!$A:$M,8,FALSE)/12),0)</f>
        <v>0</v>
      </c>
      <c r="GK190" s="301">
        <f>_xlfn.IFNA((VLOOKUP($A190,HN!$A:$M,12,FALSE)/12),0)</f>
        <v>0</v>
      </c>
      <c r="GL190" s="301">
        <f>_xlfn.IFNA((VLOOKUP($A190,HN!$A:$M,9,FALSE)/12),0)</f>
        <v>0</v>
      </c>
      <c r="GM190" s="301">
        <f>_xlfn.IFNA((VLOOKUP($A190,'Post 16'!$A:$AG,33,FALSE)/8),0)</f>
        <v>0</v>
      </c>
      <c r="GN190" s="301"/>
      <c r="GO190" s="301">
        <f>_xlfn.IFNA(((VLOOKUP($A190,HN!$A:$M,10,FALSE)-$U190-$AK190)/10),0)</f>
        <v>8952.5910000000003</v>
      </c>
      <c r="GP190" s="301">
        <f>_xlfn.IFNA(((VLOOKUP($A190,HN!$A:$M,13,FALSE)-$V190-$AL190)/10),0)</f>
        <v>0</v>
      </c>
      <c r="GQ190" s="300">
        <f t="shared" si="317"/>
        <v>-800.94999999999993</v>
      </c>
      <c r="GR190" s="300">
        <f t="shared" si="318"/>
        <v>-2813.6692166666667</v>
      </c>
      <c r="GS190" s="301"/>
      <c r="GT190" s="301"/>
      <c r="GU190" s="301"/>
      <c r="GV190" s="300">
        <f t="shared" si="319"/>
        <v>222421.5545787735</v>
      </c>
      <c r="GX190" s="146">
        <f t="shared" si="324"/>
        <v>2731420.2522045621</v>
      </c>
      <c r="GY190" s="146">
        <f t="shared" si="324"/>
        <v>0</v>
      </c>
      <c r="GZ190" s="146">
        <f t="shared" si="324"/>
        <v>126707.5</v>
      </c>
      <c r="HA190" s="146">
        <f t="shared" si="324"/>
        <v>-9611.4</v>
      </c>
      <c r="HB190" s="146">
        <f t="shared" si="324"/>
        <v>-33764.030599999991</v>
      </c>
      <c r="HC190" s="146">
        <f t="shared" si="324"/>
        <v>0</v>
      </c>
      <c r="HE190" s="146">
        <f t="shared" si="325"/>
        <v>727279.56915086356</v>
      </c>
      <c r="HF190" s="146">
        <f t="shared" si="325"/>
        <v>0</v>
      </c>
      <c r="HG190" s="146">
        <f t="shared" si="325"/>
        <v>45354.181000000004</v>
      </c>
      <c r="HH190" s="146">
        <f t="shared" si="325"/>
        <v>-2402.85</v>
      </c>
      <c r="HI190" s="146">
        <f t="shared" si="325"/>
        <v>-8441.0076499999996</v>
      </c>
      <c r="HJ190" s="146">
        <f t="shared" si="325"/>
        <v>0</v>
      </c>
      <c r="HL190" s="146"/>
      <c r="HM190" s="57"/>
    </row>
    <row r="191" spans="1:221">
      <c r="A191" s="185">
        <v>3371</v>
      </c>
      <c r="B191" s="185">
        <v>103459</v>
      </c>
      <c r="C191" s="185" t="s">
        <v>327</v>
      </c>
      <c r="D191" s="2" t="s">
        <v>328</v>
      </c>
      <c r="E191" s="190" t="s">
        <v>39</v>
      </c>
      <c r="F191" s="190" t="s">
        <v>889</v>
      </c>
      <c r="H191" s="271">
        <f>_xlfn.IFNA(VLOOKUP($A191,ISB!$A$4:$BY$441,67,FALSE),0)-1465632.8</f>
        <v>19803.161589934258</v>
      </c>
      <c r="I191" s="271">
        <f>_xlfn.IFNA(VLOOKUP($A191,ISB!$A$4:$BY$441,72,FALSE),0)+6374.4</f>
        <v>0</v>
      </c>
      <c r="J191" s="271">
        <f>-_xlfn.IFNA(VLOOKUP($A191,ISB!$A$4:$BY$441,76,FALSE),0)</f>
        <v>-19803.1643</v>
      </c>
      <c r="K191" s="271">
        <f>SUM(H191:J191)</f>
        <v>-2.710065742576262E-3</v>
      </c>
      <c r="M191" s="279">
        <f>H191</f>
        <v>19803.161589934258</v>
      </c>
      <c r="N191" s="279"/>
      <c r="O191" s="279">
        <f>_xlfn.IFNA(VLOOKUP($A191,EY!$A:$H,8,FALSE)+(VLOOKUP($A191,EY!$A:$R,18,FALSE)-$T191),0)</f>
        <v>0</v>
      </c>
      <c r="P191" s="280">
        <f>_xlfn.IFNA((VLOOKUP($A191,HN!$A:$M,8,FALSE)/12),0)</f>
        <v>0</v>
      </c>
      <c r="Q191" s="280">
        <f>_xlfn.IFNA((VLOOKUP($A191,HN!$A:$M,12,FALSE)/12),0)</f>
        <v>0</v>
      </c>
      <c r="R191" s="280">
        <f>_xlfn.IFNA((VLOOKUP($A191,HN!$A:$M,9,FALSE)/12),0)</f>
        <v>0</v>
      </c>
      <c r="S191" s="280">
        <f>_xlfn.IFNA((VLOOKUP($A191,'Post 16'!$A:$AR,22,FALSE)/4),0)</f>
        <v>0</v>
      </c>
      <c r="T191" s="280">
        <f>_xlfn.IFNA((VLOOKUP($A191,EY!$A:$R,16,FALSE)*80%),0)</f>
        <v>0</v>
      </c>
      <c r="U191" s="280"/>
      <c r="V191" s="280">
        <v>0</v>
      </c>
      <c r="W191" s="279">
        <f>$I191/12</f>
        <v>0</v>
      </c>
      <c r="X191" s="279">
        <f>J191</f>
        <v>-19803.1643</v>
      </c>
      <c r="Y191" s="280"/>
      <c r="Z191" s="280"/>
      <c r="AA191" s="280"/>
      <c r="AB191" s="279">
        <f>SUM(M191:AA191)</f>
        <v>-2.710065742576262E-3</v>
      </c>
      <c r="AC191" s="293">
        <v>0</v>
      </c>
      <c r="AD191" s="293"/>
      <c r="AE191" s="293"/>
      <c r="AF191" s="294">
        <f>_xlfn.IFNA((VLOOKUP($A191,HN!$A:$M,8,FALSE)/12),0)</f>
        <v>0</v>
      </c>
      <c r="AG191" s="294">
        <f>_xlfn.IFNA((VLOOKUP($A191,HN!$A:$M,12,FALSE)/12),0)+_xlfn.IFNA(VLOOKUP($A191,HN!$A:$Q,17,FALSE),0)</f>
        <v>0</v>
      </c>
      <c r="AH191" s="294">
        <f>_xlfn.IFNA((VLOOKUP($A191,HN!$A:$M,9,FALSE)/12),0)</f>
        <v>0</v>
      </c>
      <c r="AI191" s="294">
        <f>_xlfn.IFNA((VLOOKUP($A191,'Post 16'!$A:$AR,22,FALSE)/4),0)</f>
        <v>0</v>
      </c>
      <c r="AJ191" s="294"/>
      <c r="AK191" s="294">
        <f>_xlfn.IFNA((VLOOKUP($A191,HN!$A:$M,10,FALSE)/12),0)</f>
        <v>0</v>
      </c>
      <c r="AL191" s="294">
        <f>_xlfn.IFNA((VLOOKUP($A191,HN!$A:$M,13,FALSE)/12),0)</f>
        <v>0</v>
      </c>
      <c r="AM191" s="293">
        <f>$I191/12</f>
        <v>0</v>
      </c>
      <c r="AN191" s="293">
        <v>0</v>
      </c>
      <c r="AO191" s="294"/>
      <c r="AP191" s="294"/>
      <c r="AQ191" s="294"/>
      <c r="AR191" s="293">
        <f>SUM(AC191:AQ191)</f>
        <v>0</v>
      </c>
      <c r="AS191" s="286">
        <v>0</v>
      </c>
      <c r="AT191" s="286"/>
      <c r="AU191" s="286">
        <f>_xlfn.IFNA(VLOOKUP(A191,EY!A:AO,40,FALSE),0)</f>
        <v>0</v>
      </c>
      <c r="AV191" s="287">
        <f>_xlfn.IFNA((VLOOKUP($A191,HN!$A:$M,8,FALSE)/12),0)</f>
        <v>0</v>
      </c>
      <c r="AW191" s="287">
        <f>_xlfn.IFNA((VLOOKUP($A191,HN!$A:$M,12,FALSE)/12),0)+_xlfn.IFNA(VLOOKUP($A191,HN!$A$8:$AU$200,19,FALSE),0)</f>
        <v>0</v>
      </c>
      <c r="AX191" s="287">
        <f>_xlfn.IFNA((VLOOKUP($A191,HN!$A:$M,9,FALSE)/12),0)</f>
        <v>0</v>
      </c>
      <c r="AY191" s="287">
        <f>_xlfn.IFNA((VLOOKUP($A191,'Post 16'!$A:$AR,22,FALSE)/4),0)</f>
        <v>0</v>
      </c>
      <c r="AZ191" s="287">
        <f>_xlfn.IFNA(VLOOKUP(A191,EY!A:AO,41,FALSE),0)</f>
        <v>0</v>
      </c>
      <c r="BA191" s="287">
        <f>_xlfn.IFNA(((VLOOKUP($A191,HN!$A:$M,10,FALSE)-$U191-$AK191)/10),0)+_xlfn.IFNA(VLOOKUP($A191,HN!$A:$R,18,FALSE),0)</f>
        <v>0</v>
      </c>
      <c r="BB191" s="287">
        <f>_xlfn.IFNA(((VLOOKUP($A191,HN!$A:$M,13,FALSE)-$V191-$AL191)/10),0)+_xlfn.IFNA(VLOOKUP($A191,HN!$A$8:$AU$200,20,FALSE),0)</f>
        <v>0</v>
      </c>
      <c r="BC191" s="286">
        <f>$I191/12</f>
        <v>0</v>
      </c>
      <c r="BD191" s="286">
        <v>0</v>
      </c>
      <c r="BE191" s="287"/>
      <c r="BF191" s="287"/>
      <c r="BG191" s="287"/>
      <c r="BH191" s="286">
        <f>SUM(AS191:BG191)</f>
        <v>0</v>
      </c>
      <c r="BI191" s="307">
        <v>0</v>
      </c>
      <c r="BJ191" s="307">
        <f>_xlfn.IFNA(VLOOKUP(A191,'LA Deductions'!A:AH,34,FALSE),0)</f>
        <v>0</v>
      </c>
      <c r="BK191" s="307"/>
      <c r="BL191" s="308">
        <f>_xlfn.IFNA((VLOOKUP($A191,HN!$A:$M,8,FALSE)/12),0)</f>
        <v>0</v>
      </c>
      <c r="BM191" s="308">
        <f>_xlfn.IFNA((VLOOKUP($A191,HN!$A:$M,12,FALSE)/12),0)</f>
        <v>0</v>
      </c>
      <c r="BN191" s="308">
        <f>_xlfn.IFNA((VLOOKUP($A191,HN!$A:$M,9,FALSE)/12),0)</f>
        <v>0</v>
      </c>
      <c r="BO191" s="308">
        <f>_xlfn.IFNA((VLOOKUP($A191,'Post 16'!$A:$AR,22,FALSE)/4),0)</f>
        <v>0</v>
      </c>
      <c r="BP191" s="308"/>
      <c r="BQ191" s="308">
        <f>_xlfn.IFNA(((VLOOKUP($A191,HN!$A:$M,10,FALSE)-$U191-$AK191)/10),0)</f>
        <v>0</v>
      </c>
      <c r="BR191" s="308">
        <f>_xlfn.IFNA(((VLOOKUP($A191,HN!$A:$M,13,FALSE)-$V191-$AL191)/10),0)</f>
        <v>0</v>
      </c>
      <c r="BS191" s="307">
        <f>$I191/12</f>
        <v>0</v>
      </c>
      <c r="BT191" s="307">
        <v>0</v>
      </c>
      <c r="BU191" s="308"/>
      <c r="BV191" s="308"/>
      <c r="BW191" s="308"/>
      <c r="BX191" s="307">
        <f>SUM(BI191:BW191)</f>
        <v>0</v>
      </c>
      <c r="BY191" s="300">
        <v>0</v>
      </c>
      <c r="BZ191" s="300"/>
      <c r="CA191" s="300"/>
      <c r="CB191" s="301">
        <f>_xlfn.IFNA((VLOOKUP($A191,HN!$A:$M,8,FALSE)/12),0)</f>
        <v>0</v>
      </c>
      <c r="CC191" s="301">
        <f>_xlfn.IFNA((VLOOKUP($A191,HN!$A:$M,12,FALSE)/12),0)</f>
        <v>0</v>
      </c>
      <c r="CD191" s="301">
        <f>_xlfn.IFNA((VLOOKUP($A191,HN!$A:$M,9,FALSE)/12),0)</f>
        <v>0</v>
      </c>
      <c r="CE191" s="301">
        <f>_xlfn.IFNA((VLOOKUP($A191,'Post 16'!$A:$AG,33,FALSE)/8),0)</f>
        <v>0</v>
      </c>
      <c r="CF191" s="301"/>
      <c r="CG191" s="301">
        <f>_xlfn.IFNA(((VLOOKUP($A191,HN!$A:$M,10,FALSE)-$U191-$AK191)/10),0)</f>
        <v>0</v>
      </c>
      <c r="CH191" s="301">
        <f>_xlfn.IFNA(((VLOOKUP($A191,HN!$A:$M,13,FALSE)-$V191-$AL191)/10),0)</f>
        <v>0</v>
      </c>
      <c r="CI191" s="300">
        <f>$I191/12</f>
        <v>0</v>
      </c>
      <c r="CJ191" s="300">
        <v>0</v>
      </c>
      <c r="CK191" s="301"/>
      <c r="CL191" s="301"/>
      <c r="CM191" s="301"/>
      <c r="CN191" s="300">
        <f>SUM(BY191:CM191)</f>
        <v>0</v>
      </c>
      <c r="CO191" s="332">
        <v>0</v>
      </c>
      <c r="CP191" s="332"/>
      <c r="CQ191" s="332">
        <f>_xlfn.IFNA((VLOOKUP($A191,EY!$A:$AB,28,FALSE)-$CV191),0)</f>
        <v>0</v>
      </c>
      <c r="CR191" s="333">
        <f>_xlfn.IFNA((VLOOKUP($A191,HN!$A:$M,8,FALSE)/12),0)</f>
        <v>0</v>
      </c>
      <c r="CS191" s="333">
        <f>_xlfn.IFNA((VLOOKUP($A191,HN!$A:$M,12,FALSE)/12),0)</f>
        <v>0</v>
      </c>
      <c r="CT191" s="333">
        <f>_xlfn.IFNA((VLOOKUP($A191,HN!$A:$M,9,FALSE)/12),0)</f>
        <v>0</v>
      </c>
      <c r="CU191" s="333">
        <f>_xlfn.IFNA((VLOOKUP($A191,'Post 16'!$A:$AG,33,FALSE)/8),0)</f>
        <v>0</v>
      </c>
      <c r="CV191" s="333">
        <f>_xlfn.IFNA((VLOOKUP($A191,EY!$A:$AB,26,FALSE)*80%),0)</f>
        <v>0</v>
      </c>
      <c r="CW191" s="333">
        <f>_xlfn.IFNA(((VLOOKUP($A191,HN!$A:$M,10,FALSE)-$U191-$AK191)/10),0)</f>
        <v>0</v>
      </c>
      <c r="CX191" s="333">
        <f>_xlfn.IFNA(((VLOOKUP($A191,HN!$A:$M,13,FALSE)-$V191-$AL191)/10),0)</f>
        <v>0</v>
      </c>
      <c r="CY191" s="332">
        <f>$I191/12</f>
        <v>0</v>
      </c>
      <c r="CZ191" s="332">
        <v>0</v>
      </c>
      <c r="DA191" s="333"/>
      <c r="DB191" s="333"/>
      <c r="DC191" s="333"/>
      <c r="DD191" s="332">
        <f>SUM(CO191:DC191)</f>
        <v>0</v>
      </c>
      <c r="DE191" s="314">
        <v>0</v>
      </c>
      <c r="DF191" s="314"/>
      <c r="DG191" s="314"/>
      <c r="DH191" s="315">
        <f>_xlfn.IFNA((VLOOKUP($A191,HN!$A:$M,8,FALSE)/12),0)</f>
        <v>0</v>
      </c>
      <c r="DI191" s="315">
        <f>_xlfn.IFNA((VLOOKUP($A191,HN!$A:$M,12,FALSE)/12),0)</f>
        <v>0</v>
      </c>
      <c r="DJ191" s="315">
        <f>_xlfn.IFNA((VLOOKUP($A191,HN!$A:$M,9,FALSE)/12),0)</f>
        <v>0</v>
      </c>
      <c r="DK191" s="315">
        <f>_xlfn.IFNA((VLOOKUP($A191,'Post 16'!$A:$AG,33,FALSE)/8),0)</f>
        <v>0</v>
      </c>
      <c r="DL191" s="315"/>
      <c r="DM191" s="315">
        <f>_xlfn.IFNA(((VLOOKUP($A191,HN!$A:$M,10,FALSE)-$U191-$AK191)/10),0)</f>
        <v>0</v>
      </c>
      <c r="DN191" s="315">
        <f>_xlfn.IFNA(((VLOOKUP($A191,HN!$A:$M,13,FALSE)-$V191-$AL191)/10),0)</f>
        <v>0</v>
      </c>
      <c r="DO191" s="314">
        <f>$I191/12</f>
        <v>0</v>
      </c>
      <c r="DP191" s="314">
        <v>0</v>
      </c>
      <c r="DQ191" s="315"/>
      <c r="DR191" s="315"/>
      <c r="DS191" s="315"/>
      <c r="DT191" s="314">
        <f>SUM(DE191:DS191)</f>
        <v>0</v>
      </c>
      <c r="DU191" s="307">
        <v>0</v>
      </c>
      <c r="DV191" s="307"/>
      <c r="DW191" s="307"/>
      <c r="DX191" s="308">
        <f>_xlfn.IFNA((VLOOKUP($A191,HN!$A:$M,8,FALSE)/12),0)</f>
        <v>0</v>
      </c>
      <c r="DY191" s="308">
        <f>_xlfn.IFNA((VLOOKUP($A191,HN!$A:$M,12,FALSE)/12),0)</f>
        <v>0</v>
      </c>
      <c r="DZ191" s="308">
        <f>_xlfn.IFNA((VLOOKUP($A191,HN!$A:$M,9,FALSE)/12),0)</f>
        <v>0</v>
      </c>
      <c r="EA191" s="308">
        <f>_xlfn.IFNA((VLOOKUP($A191,'Post 16'!$A:$AG,33,FALSE)/8),0)</f>
        <v>0</v>
      </c>
      <c r="EB191" s="308"/>
      <c r="EC191" s="308">
        <f>_xlfn.IFNA(((VLOOKUP($A191,HN!$A:$M,10,FALSE)-$U191-$AK191)/10),0)</f>
        <v>0</v>
      </c>
      <c r="ED191" s="308">
        <f>_xlfn.IFNA(((VLOOKUP($A191,HN!$A:$M,13,FALSE)-$V191-$AL191)/10),0)</f>
        <v>0</v>
      </c>
      <c r="EE191" s="307">
        <f>$I191/12</f>
        <v>0</v>
      </c>
      <c r="EF191" s="307">
        <v>0</v>
      </c>
      <c r="EG191" s="308"/>
      <c r="EH191" s="308"/>
      <c r="EI191" s="308"/>
      <c r="EJ191" s="307">
        <f>SUM(DU191:EH191)</f>
        <v>0</v>
      </c>
      <c r="EK191" s="320">
        <v>0</v>
      </c>
      <c r="EL191" s="320"/>
      <c r="EM191" s="320"/>
      <c r="EN191" s="321">
        <f>_xlfn.IFNA((VLOOKUP($A191,HN!$A:$M,8,FALSE)/12),0)</f>
        <v>0</v>
      </c>
      <c r="EO191" s="321">
        <f>_xlfn.IFNA((VLOOKUP($A191,HN!$A:$M,12,FALSE)/12),0)</f>
        <v>0</v>
      </c>
      <c r="EP191" s="321">
        <f>_xlfn.IFNA((VLOOKUP($A191,HN!$A:$M,9,FALSE)/12),0)</f>
        <v>0</v>
      </c>
      <c r="EQ191" s="321">
        <f>_xlfn.IFNA((VLOOKUP($A191,'Post 16'!$A:$AG,33,FALSE)/8),0)</f>
        <v>0</v>
      </c>
      <c r="ER191" s="321"/>
      <c r="ES191" s="321">
        <f>_xlfn.IFNA(((VLOOKUP($A191,HN!$A:$M,10,FALSE)-$U191-$AK191)/10),0)</f>
        <v>0</v>
      </c>
      <c r="ET191" s="321">
        <f>_xlfn.IFNA(((VLOOKUP($A191,HN!$A:$M,13,FALSE)-$V191-$AL191)/10),0)</f>
        <v>0</v>
      </c>
      <c r="EU191" s="320">
        <f>$I191/12</f>
        <v>0</v>
      </c>
      <c r="EV191" s="320">
        <v>0</v>
      </c>
      <c r="EW191" s="321"/>
      <c r="EX191" s="321"/>
      <c r="EY191" s="321"/>
      <c r="EZ191" s="320">
        <f>SUM(EK191:EY191)</f>
        <v>0</v>
      </c>
      <c r="FA191" s="286">
        <v>0</v>
      </c>
      <c r="FB191" s="286"/>
      <c r="FC191" s="286"/>
      <c r="FD191" s="287">
        <f>_xlfn.IFNA((VLOOKUP($A191,HN!$A:$M,8,FALSE)/12),0)</f>
        <v>0</v>
      </c>
      <c r="FE191" s="287">
        <f>_xlfn.IFNA((VLOOKUP($A191,HN!$A:$M,12,FALSE)/12),0)</f>
        <v>0</v>
      </c>
      <c r="FF191" s="287">
        <f>_xlfn.IFNA((VLOOKUP($A191,HN!$A:$M,9,FALSE)/12),0)</f>
        <v>0</v>
      </c>
      <c r="FG191" s="287">
        <f>_xlfn.IFNA((VLOOKUP($A191,'Post 16'!$A:$AG,33,FALSE)/8),0)</f>
        <v>0</v>
      </c>
      <c r="FH191" s="287"/>
      <c r="FI191" s="287">
        <f>_xlfn.IFNA(((VLOOKUP($A191,HN!$A:$M,10,FALSE)-$U191-$AK191)/10),0)</f>
        <v>0</v>
      </c>
      <c r="FJ191" s="287">
        <f>_xlfn.IFNA(((VLOOKUP($A191,HN!$A:$M,13,FALSE)-$V191-$AL191)/10),0)</f>
        <v>0</v>
      </c>
      <c r="FK191" s="286">
        <f>$I191/12</f>
        <v>0</v>
      </c>
      <c r="FL191" s="286">
        <v>0</v>
      </c>
      <c r="FM191" s="287"/>
      <c r="FN191" s="287"/>
      <c r="FO191" s="287"/>
      <c r="FP191" s="286">
        <f>SUM(FA191:FO191)</f>
        <v>0</v>
      </c>
      <c r="FQ191" s="293">
        <v>0</v>
      </c>
      <c r="FR191" s="293"/>
      <c r="FS191" s="293"/>
      <c r="FT191" s="294">
        <f>_xlfn.IFNA((VLOOKUP($A191,HN!$A:$M,8,FALSE)/12),0)</f>
        <v>0</v>
      </c>
      <c r="FU191" s="294">
        <f>_xlfn.IFNA((VLOOKUP($A191,HN!$A:$M,12,FALSE)/12),0)</f>
        <v>0</v>
      </c>
      <c r="FV191" s="294">
        <f>_xlfn.IFNA((VLOOKUP($A191,HN!$A:$M,9,FALSE)/12),0)</f>
        <v>0</v>
      </c>
      <c r="FW191" s="294">
        <f>_xlfn.IFNA((VLOOKUP($A191,'Post 16'!$A:$AG,33,FALSE)/8),0)</f>
        <v>0</v>
      </c>
      <c r="FX191" s="294"/>
      <c r="FY191" s="294">
        <f>_xlfn.IFNA(((VLOOKUP($A191,HN!$A:$M,10,FALSE)-$U191-$AK191)/10),0)</f>
        <v>0</v>
      </c>
      <c r="FZ191" s="294">
        <f>_xlfn.IFNA(((VLOOKUP($A191,HN!$A:$M,13,FALSE)-$V191-$AL191)/10),0)</f>
        <v>0</v>
      </c>
      <c r="GA191" s="293">
        <f>$I191/12</f>
        <v>0</v>
      </c>
      <c r="GB191" s="293">
        <v>0</v>
      </c>
      <c r="GC191" s="294"/>
      <c r="GD191" s="294"/>
      <c r="GE191" s="294"/>
      <c r="GF191" s="293">
        <f>SUM(FQ191:GE191)</f>
        <v>0</v>
      </c>
      <c r="GG191" s="300">
        <v>0</v>
      </c>
      <c r="GH191" s="300"/>
      <c r="GI191" s="300"/>
      <c r="GJ191" s="301">
        <f>_xlfn.IFNA((VLOOKUP($A191,HN!$A:$M,8,FALSE)/12),0)</f>
        <v>0</v>
      </c>
      <c r="GK191" s="301">
        <f>_xlfn.IFNA((VLOOKUP($A191,HN!$A:$M,12,FALSE)/12),0)</f>
        <v>0</v>
      </c>
      <c r="GL191" s="301">
        <f>_xlfn.IFNA((VLOOKUP($A191,HN!$A:$M,9,FALSE)/12),0)</f>
        <v>0</v>
      </c>
      <c r="GM191" s="301">
        <f>_xlfn.IFNA((VLOOKUP($A191,'Post 16'!$A:$AG,33,FALSE)/8),0)</f>
        <v>0</v>
      </c>
      <c r="GN191" s="301"/>
      <c r="GO191" s="301">
        <f>_xlfn.IFNA(((VLOOKUP($A191,HN!$A:$M,10,FALSE)-$U191-$AK191)/10),0)</f>
        <v>0</v>
      </c>
      <c r="GP191" s="301">
        <f>_xlfn.IFNA(((VLOOKUP($A191,HN!$A:$M,13,FALSE)-$V191-$AL191)/10),0)</f>
        <v>0</v>
      </c>
      <c r="GQ191" s="300">
        <f>$I191/12</f>
        <v>0</v>
      </c>
      <c r="GR191" s="300">
        <v>0</v>
      </c>
      <c r="GS191" s="301"/>
      <c r="GT191" s="301"/>
      <c r="GU191" s="301"/>
      <c r="GV191" s="300">
        <f>SUM(GG191:GU191)</f>
        <v>0</v>
      </c>
      <c r="GX191" s="146">
        <f t="shared" ref="GX191:HC192" si="326">SUMIFS($M191:$GV191,$M$7:$GV$7,GX$7)</f>
        <v>19803.161589934258</v>
      </c>
      <c r="GY191" s="146">
        <f t="shared" si="326"/>
        <v>0</v>
      </c>
      <c r="GZ191" s="146">
        <f t="shared" si="326"/>
        <v>0</v>
      </c>
      <c r="HA191" s="146">
        <f t="shared" si="326"/>
        <v>0</v>
      </c>
      <c r="HB191" s="146">
        <f t="shared" si="326"/>
        <v>-19803.1643</v>
      </c>
      <c r="HC191" s="146">
        <f t="shared" si="326"/>
        <v>0</v>
      </c>
      <c r="HE191" s="146">
        <f t="shared" ref="HE191:HJ192" si="327">SUMIFS($M191:$GV191,$M$7:$GV$7,HE$7,$M$4:$GV$4,$HE$6)</f>
        <v>19803.161589934258</v>
      </c>
      <c r="HF191" s="146">
        <f t="shared" si="327"/>
        <v>0</v>
      </c>
      <c r="HG191" s="146">
        <f t="shared" si="327"/>
        <v>0</v>
      </c>
      <c r="HH191" s="146">
        <f t="shared" si="327"/>
        <v>0</v>
      </c>
      <c r="HI191" s="146">
        <f t="shared" si="327"/>
        <v>-19803.1643</v>
      </c>
      <c r="HJ191" s="146">
        <f t="shared" si="327"/>
        <v>0</v>
      </c>
      <c r="HL191" s="146"/>
      <c r="HM191" s="57"/>
    </row>
    <row r="192" spans="1:221">
      <c r="A192" s="185">
        <v>3307</v>
      </c>
      <c r="B192" s="185">
        <v>103416</v>
      </c>
      <c r="C192" s="185" t="s">
        <v>329</v>
      </c>
      <c r="D192" s="2" t="s">
        <v>330</v>
      </c>
      <c r="E192" s="190" t="s">
        <v>39</v>
      </c>
      <c r="F192" s="190" t="s">
        <v>889</v>
      </c>
      <c r="H192" s="271">
        <f>_xlfn.IFNA(VLOOKUP($A192,ISB!$A$4:$BY$441,67,FALSE),0)-2021924.18</f>
        <v>10488.711585858138</v>
      </c>
      <c r="I192" s="271">
        <f>_xlfn.IFNA(VLOOKUP($A192,ISB!$A$4:$BY$441,72,FALSE),0)+8914.2</f>
        <v>0</v>
      </c>
      <c r="J192" s="271">
        <f>-_xlfn.IFNA(VLOOKUP($A192,ISB!$A$4:$BY$441,76,FALSE),0)</f>
        <v>-10488.714599999999</v>
      </c>
      <c r="K192" s="271">
        <f t="shared" ref="K192:K193" si="328">SUM(H192:J192)</f>
        <v>-3.0141418610583059E-3</v>
      </c>
      <c r="M192" s="279">
        <f t="shared" ref="M192:M193" si="329">H192</f>
        <v>10488.711585858138</v>
      </c>
      <c r="N192" s="279"/>
      <c r="O192" s="279">
        <f>_xlfn.IFNA(VLOOKUP($A192,EY!$A:$H,8,FALSE)+(VLOOKUP($A192,EY!$A:$R,18,FALSE)-$T192),0)</f>
        <v>0</v>
      </c>
      <c r="P192" s="280">
        <f>_xlfn.IFNA((VLOOKUP($A192,HN!$A:$M,8,FALSE)/12),0)</f>
        <v>0</v>
      </c>
      <c r="Q192" s="280">
        <f>_xlfn.IFNA((VLOOKUP($A192,HN!$A:$M,12,FALSE)/12),0)</f>
        <v>0</v>
      </c>
      <c r="R192" s="280">
        <f>_xlfn.IFNA((VLOOKUP($A192,HN!$A:$M,9,FALSE)/12),0)</f>
        <v>0</v>
      </c>
      <c r="S192" s="280">
        <f>_xlfn.IFNA((VLOOKUP($A192,'Post 16'!$A:$AR,22,FALSE)/4),0)</f>
        <v>0</v>
      </c>
      <c r="T192" s="280">
        <f>_xlfn.IFNA((VLOOKUP($A192,EY!$A:$R,16,FALSE)*80%),0)</f>
        <v>0</v>
      </c>
      <c r="U192" s="280"/>
      <c r="V192" s="280">
        <v>0</v>
      </c>
      <c r="W192" s="279">
        <f>$I192/12</f>
        <v>0</v>
      </c>
      <c r="X192" s="279">
        <f t="shared" ref="X192:X193" si="330">J192</f>
        <v>-10488.714599999999</v>
      </c>
      <c r="Y192" s="280"/>
      <c r="Z192" s="280"/>
      <c r="AA192" s="280"/>
      <c r="AB192" s="279">
        <f>SUM(M192:AA192)</f>
        <v>-3.0141418610583059E-3</v>
      </c>
      <c r="AC192" s="293">
        <v>0</v>
      </c>
      <c r="AD192" s="293"/>
      <c r="AE192" s="293"/>
      <c r="AF192" s="294">
        <f>_xlfn.IFNA((VLOOKUP($A192,HN!$A:$M,8,FALSE)/12),0)</f>
        <v>0</v>
      </c>
      <c r="AG192" s="294">
        <f>_xlfn.IFNA((VLOOKUP($A192,HN!$A:$M,12,FALSE)/12),0)+_xlfn.IFNA(VLOOKUP($A192,HN!$A:$Q,17,FALSE),0)</f>
        <v>0</v>
      </c>
      <c r="AH192" s="294">
        <f>_xlfn.IFNA((VLOOKUP($A192,HN!$A:$M,9,FALSE)/12),0)</f>
        <v>0</v>
      </c>
      <c r="AI192" s="294">
        <f>_xlfn.IFNA((VLOOKUP($A192,'Post 16'!$A:$AR,22,FALSE)/4),0)</f>
        <v>0</v>
      </c>
      <c r="AJ192" s="294"/>
      <c r="AK192" s="294">
        <f>_xlfn.IFNA((VLOOKUP($A192,HN!$A:$M,10,FALSE)/12),0)</f>
        <v>0</v>
      </c>
      <c r="AL192" s="294">
        <f>_xlfn.IFNA((VLOOKUP($A192,HN!$A:$M,13,FALSE)/12),0)</f>
        <v>0</v>
      </c>
      <c r="AM192" s="293">
        <f>$I192/12</f>
        <v>0</v>
      </c>
      <c r="AN192" s="293">
        <v>0</v>
      </c>
      <c r="AO192" s="294"/>
      <c r="AP192" s="294"/>
      <c r="AQ192" s="294"/>
      <c r="AR192" s="293">
        <f>SUM(AC192:AQ192)</f>
        <v>0</v>
      </c>
      <c r="AS192" s="286">
        <v>0</v>
      </c>
      <c r="AT192" s="286"/>
      <c r="AU192" s="286">
        <f>_xlfn.IFNA(VLOOKUP(A192,EY!A:AO,40,FALSE),0)</f>
        <v>0</v>
      </c>
      <c r="AV192" s="287">
        <f>_xlfn.IFNA((VLOOKUP($A192,HN!$A:$M,8,FALSE)/12),0)</f>
        <v>0</v>
      </c>
      <c r="AW192" s="287">
        <f>_xlfn.IFNA((VLOOKUP($A192,HN!$A:$M,12,FALSE)/12),0)+_xlfn.IFNA(VLOOKUP($A192,HN!$A$8:$AU$200,19,FALSE),0)</f>
        <v>0</v>
      </c>
      <c r="AX192" s="287">
        <f>_xlfn.IFNA((VLOOKUP($A192,HN!$A:$M,9,FALSE)/12),0)</f>
        <v>0</v>
      </c>
      <c r="AY192" s="287">
        <f>_xlfn.IFNA((VLOOKUP($A192,'Post 16'!$A:$AR,22,FALSE)/4),0)</f>
        <v>0</v>
      </c>
      <c r="AZ192" s="287">
        <f>_xlfn.IFNA(VLOOKUP(A192,EY!A:AO,41,FALSE),0)</f>
        <v>0</v>
      </c>
      <c r="BA192" s="287">
        <f>_xlfn.IFNA(((VLOOKUP($A192,HN!$A:$M,10,FALSE)-$U192-$AK192)/10),0)+_xlfn.IFNA(VLOOKUP($A192,HN!$A:$R,18,FALSE),0)</f>
        <v>0</v>
      </c>
      <c r="BB192" s="287">
        <f>_xlfn.IFNA(((VLOOKUP($A192,HN!$A:$M,13,FALSE)-$V192-$AL192)/10),0)+_xlfn.IFNA(VLOOKUP($A192,HN!$A$8:$AU$200,20,FALSE),0)</f>
        <v>0</v>
      </c>
      <c r="BC192" s="286">
        <f>$I192/12</f>
        <v>0</v>
      </c>
      <c r="BD192" s="286">
        <v>0</v>
      </c>
      <c r="BE192" s="287"/>
      <c r="BF192" s="287"/>
      <c r="BG192" s="287"/>
      <c r="BH192" s="286">
        <f>SUM(AS192:BG192)</f>
        <v>0</v>
      </c>
      <c r="BI192" s="307">
        <v>0</v>
      </c>
      <c r="BJ192" s="307">
        <f>_xlfn.IFNA(VLOOKUP(A192,'LA Deductions'!A:AH,34,FALSE),0)</f>
        <v>0</v>
      </c>
      <c r="BK192" s="307"/>
      <c r="BL192" s="308">
        <f>_xlfn.IFNA((VLOOKUP($A192,HN!$A:$M,8,FALSE)/12),0)</f>
        <v>0</v>
      </c>
      <c r="BM192" s="308">
        <f>_xlfn.IFNA((VLOOKUP($A192,HN!$A:$M,12,FALSE)/12),0)</f>
        <v>0</v>
      </c>
      <c r="BN192" s="308">
        <f>_xlfn.IFNA((VLOOKUP($A192,HN!$A:$M,9,FALSE)/12),0)</f>
        <v>0</v>
      </c>
      <c r="BO192" s="308">
        <f>_xlfn.IFNA((VLOOKUP($A192,'Post 16'!$A:$AR,22,FALSE)/4),0)</f>
        <v>0</v>
      </c>
      <c r="BP192" s="308"/>
      <c r="BQ192" s="308">
        <f>_xlfn.IFNA(((VLOOKUP($A192,HN!$A:$M,10,FALSE)-$U192-$AK192)/10),0)</f>
        <v>0</v>
      </c>
      <c r="BR192" s="308">
        <f>_xlfn.IFNA(((VLOOKUP($A192,HN!$A:$M,13,FALSE)-$V192-$AL192)/10),0)</f>
        <v>0</v>
      </c>
      <c r="BS192" s="307">
        <f>$I192/12</f>
        <v>0</v>
      </c>
      <c r="BT192" s="307">
        <v>0</v>
      </c>
      <c r="BU192" s="308"/>
      <c r="BV192" s="308"/>
      <c r="BW192" s="308"/>
      <c r="BX192" s="307">
        <f>SUM(BI192:BW192)</f>
        <v>0</v>
      </c>
      <c r="BY192" s="300">
        <v>0</v>
      </c>
      <c r="BZ192" s="300"/>
      <c r="CA192" s="300"/>
      <c r="CB192" s="301">
        <f>_xlfn.IFNA((VLOOKUP($A192,HN!$A:$M,8,FALSE)/12),0)</f>
        <v>0</v>
      </c>
      <c r="CC192" s="301">
        <f>_xlfn.IFNA((VLOOKUP($A192,HN!$A:$M,12,FALSE)/12),0)</f>
        <v>0</v>
      </c>
      <c r="CD192" s="301">
        <f>_xlfn.IFNA((VLOOKUP($A192,HN!$A:$M,9,FALSE)/12),0)</f>
        <v>0</v>
      </c>
      <c r="CE192" s="301">
        <f>_xlfn.IFNA((VLOOKUP($A192,'Post 16'!$A:$AG,33,FALSE)/8),0)</f>
        <v>0</v>
      </c>
      <c r="CF192" s="301"/>
      <c r="CG192" s="301">
        <f>_xlfn.IFNA(((VLOOKUP($A192,HN!$A:$M,10,FALSE)-$U192-$AK192)/10),0)</f>
        <v>0</v>
      </c>
      <c r="CH192" s="301">
        <f>_xlfn.IFNA(((VLOOKUP($A192,HN!$A:$M,13,FALSE)-$V192-$AL192)/10),0)</f>
        <v>0</v>
      </c>
      <c r="CI192" s="300">
        <f>$I192/12</f>
        <v>0</v>
      </c>
      <c r="CJ192" s="300">
        <v>0</v>
      </c>
      <c r="CK192" s="301"/>
      <c r="CL192" s="301"/>
      <c r="CM192" s="301"/>
      <c r="CN192" s="300">
        <f>SUM(BY192:CM192)</f>
        <v>0</v>
      </c>
      <c r="CO192" s="332">
        <v>0</v>
      </c>
      <c r="CP192" s="332"/>
      <c r="CQ192" s="332">
        <f>_xlfn.IFNA((VLOOKUP($A192,EY!$A:$AB,28,FALSE)-$CV192),0)</f>
        <v>0</v>
      </c>
      <c r="CR192" s="333">
        <f>_xlfn.IFNA((VLOOKUP($A192,HN!$A:$M,8,FALSE)/12),0)</f>
        <v>0</v>
      </c>
      <c r="CS192" s="333">
        <f>_xlfn.IFNA((VLOOKUP($A192,HN!$A:$M,12,FALSE)/12),0)</f>
        <v>0</v>
      </c>
      <c r="CT192" s="333">
        <f>_xlfn.IFNA((VLOOKUP($A192,HN!$A:$M,9,FALSE)/12),0)</f>
        <v>0</v>
      </c>
      <c r="CU192" s="333">
        <f>_xlfn.IFNA((VLOOKUP($A192,'Post 16'!$A:$AG,33,FALSE)/8),0)</f>
        <v>0</v>
      </c>
      <c r="CV192" s="333">
        <f>_xlfn.IFNA((VLOOKUP($A192,EY!$A:$AB,26,FALSE)*80%),0)</f>
        <v>0</v>
      </c>
      <c r="CW192" s="333">
        <f>_xlfn.IFNA(((VLOOKUP($A192,HN!$A:$M,10,FALSE)-$U192-$AK192)/10),0)</f>
        <v>0</v>
      </c>
      <c r="CX192" s="333">
        <f>_xlfn.IFNA(((VLOOKUP($A192,HN!$A:$M,13,FALSE)-$V192-$AL192)/10),0)</f>
        <v>0</v>
      </c>
      <c r="CY192" s="332">
        <f>$I192/12</f>
        <v>0</v>
      </c>
      <c r="CZ192" s="332">
        <v>0</v>
      </c>
      <c r="DA192" s="333"/>
      <c r="DB192" s="333"/>
      <c r="DC192" s="333"/>
      <c r="DD192" s="332">
        <f>SUM(CO192:DC192)</f>
        <v>0</v>
      </c>
      <c r="DE192" s="314">
        <v>0</v>
      </c>
      <c r="DF192" s="314"/>
      <c r="DG192" s="314"/>
      <c r="DH192" s="315">
        <f>_xlfn.IFNA((VLOOKUP($A192,HN!$A:$M,8,FALSE)/12),0)</f>
        <v>0</v>
      </c>
      <c r="DI192" s="315">
        <f>_xlfn.IFNA((VLOOKUP($A192,HN!$A:$M,12,FALSE)/12),0)</f>
        <v>0</v>
      </c>
      <c r="DJ192" s="315">
        <f>_xlfn.IFNA((VLOOKUP($A192,HN!$A:$M,9,FALSE)/12),0)</f>
        <v>0</v>
      </c>
      <c r="DK192" s="315">
        <f>_xlfn.IFNA((VLOOKUP($A192,'Post 16'!$A:$AG,33,FALSE)/8),0)</f>
        <v>0</v>
      </c>
      <c r="DL192" s="315"/>
      <c r="DM192" s="315">
        <f>_xlfn.IFNA(((VLOOKUP($A192,HN!$A:$M,10,FALSE)-$U192-$AK192)/10),0)</f>
        <v>0</v>
      </c>
      <c r="DN192" s="315">
        <f>_xlfn.IFNA(((VLOOKUP($A192,HN!$A:$M,13,FALSE)-$V192-$AL192)/10),0)</f>
        <v>0</v>
      </c>
      <c r="DO192" s="314">
        <f>$I192/12</f>
        <v>0</v>
      </c>
      <c r="DP192" s="314">
        <v>0</v>
      </c>
      <c r="DQ192" s="315"/>
      <c r="DR192" s="315"/>
      <c r="DS192" s="315"/>
      <c r="DT192" s="314">
        <f>SUM(DE192:DS192)</f>
        <v>0</v>
      </c>
      <c r="DU192" s="307">
        <v>0</v>
      </c>
      <c r="DV192" s="307"/>
      <c r="DW192" s="307"/>
      <c r="DX192" s="308">
        <f>_xlfn.IFNA((VLOOKUP($A192,HN!$A:$M,8,FALSE)/12),0)</f>
        <v>0</v>
      </c>
      <c r="DY192" s="308">
        <f>_xlfn.IFNA((VLOOKUP($A192,HN!$A:$M,12,FALSE)/12),0)</f>
        <v>0</v>
      </c>
      <c r="DZ192" s="308">
        <f>_xlfn.IFNA((VLOOKUP($A192,HN!$A:$M,9,FALSE)/12),0)</f>
        <v>0</v>
      </c>
      <c r="EA192" s="308">
        <f>_xlfn.IFNA((VLOOKUP($A192,'Post 16'!$A:$AG,33,FALSE)/8),0)</f>
        <v>0</v>
      </c>
      <c r="EB192" s="308"/>
      <c r="EC192" s="308">
        <f>_xlfn.IFNA(((VLOOKUP($A192,HN!$A:$M,10,FALSE)-$U192-$AK192)/10),0)</f>
        <v>0</v>
      </c>
      <c r="ED192" s="308">
        <f>_xlfn.IFNA(((VLOOKUP($A192,HN!$A:$M,13,FALSE)-$V192-$AL192)/10),0)</f>
        <v>0</v>
      </c>
      <c r="EE192" s="307">
        <f>$I192/12</f>
        <v>0</v>
      </c>
      <c r="EF192" s="307">
        <v>0</v>
      </c>
      <c r="EG192" s="308"/>
      <c r="EH192" s="308"/>
      <c r="EI192" s="308"/>
      <c r="EJ192" s="307">
        <f>SUM(DU192:EH192)</f>
        <v>0</v>
      </c>
      <c r="EK192" s="320">
        <v>0</v>
      </c>
      <c r="EL192" s="320"/>
      <c r="EM192" s="320"/>
      <c r="EN192" s="321">
        <f>_xlfn.IFNA((VLOOKUP($A192,HN!$A:$M,8,FALSE)/12),0)</f>
        <v>0</v>
      </c>
      <c r="EO192" s="321">
        <f>_xlfn.IFNA((VLOOKUP($A192,HN!$A:$M,12,FALSE)/12),0)</f>
        <v>0</v>
      </c>
      <c r="EP192" s="321">
        <f>_xlfn.IFNA((VLOOKUP($A192,HN!$A:$M,9,FALSE)/12),0)</f>
        <v>0</v>
      </c>
      <c r="EQ192" s="321">
        <f>_xlfn.IFNA((VLOOKUP($A192,'Post 16'!$A:$AG,33,FALSE)/8),0)</f>
        <v>0</v>
      </c>
      <c r="ER192" s="321"/>
      <c r="ES192" s="321">
        <f>_xlfn.IFNA(((VLOOKUP($A192,HN!$A:$M,10,FALSE)-$U192-$AK192)/10),0)</f>
        <v>0</v>
      </c>
      <c r="ET192" s="321">
        <f>_xlfn.IFNA(((VLOOKUP($A192,HN!$A:$M,13,FALSE)-$V192-$AL192)/10),0)</f>
        <v>0</v>
      </c>
      <c r="EU192" s="320">
        <f>$I192/12</f>
        <v>0</v>
      </c>
      <c r="EV192" s="320">
        <v>0</v>
      </c>
      <c r="EW192" s="321"/>
      <c r="EX192" s="321"/>
      <c r="EY192" s="321"/>
      <c r="EZ192" s="320">
        <f>SUM(EK192:EY192)</f>
        <v>0</v>
      </c>
      <c r="FA192" s="286">
        <v>0</v>
      </c>
      <c r="FB192" s="286"/>
      <c r="FC192" s="286"/>
      <c r="FD192" s="287">
        <f>_xlfn.IFNA((VLOOKUP($A192,HN!$A:$M,8,FALSE)/12),0)</f>
        <v>0</v>
      </c>
      <c r="FE192" s="287">
        <f>_xlfn.IFNA((VLOOKUP($A192,HN!$A:$M,12,FALSE)/12),0)</f>
        <v>0</v>
      </c>
      <c r="FF192" s="287">
        <f>_xlfn.IFNA((VLOOKUP($A192,HN!$A:$M,9,FALSE)/12),0)</f>
        <v>0</v>
      </c>
      <c r="FG192" s="287">
        <f>_xlfn.IFNA((VLOOKUP($A192,'Post 16'!$A:$AG,33,FALSE)/8),0)</f>
        <v>0</v>
      </c>
      <c r="FH192" s="287"/>
      <c r="FI192" s="287">
        <f>_xlfn.IFNA(((VLOOKUP($A192,HN!$A:$M,10,FALSE)-$U192-$AK192)/10),0)</f>
        <v>0</v>
      </c>
      <c r="FJ192" s="287">
        <f>_xlfn.IFNA(((VLOOKUP($A192,HN!$A:$M,13,FALSE)-$V192-$AL192)/10),0)</f>
        <v>0</v>
      </c>
      <c r="FK192" s="286">
        <f>$I192/12</f>
        <v>0</v>
      </c>
      <c r="FL192" s="286">
        <v>0</v>
      </c>
      <c r="FM192" s="287"/>
      <c r="FN192" s="287"/>
      <c r="FO192" s="287"/>
      <c r="FP192" s="286">
        <f>SUM(FA192:FO192)</f>
        <v>0</v>
      </c>
      <c r="FQ192" s="293">
        <v>0</v>
      </c>
      <c r="FR192" s="293"/>
      <c r="FS192" s="293"/>
      <c r="FT192" s="294">
        <f>_xlfn.IFNA((VLOOKUP($A192,HN!$A:$M,8,FALSE)/12),0)</f>
        <v>0</v>
      </c>
      <c r="FU192" s="294">
        <f>_xlfn.IFNA((VLOOKUP($A192,HN!$A:$M,12,FALSE)/12),0)</f>
        <v>0</v>
      </c>
      <c r="FV192" s="294">
        <f>_xlfn.IFNA((VLOOKUP($A192,HN!$A:$M,9,FALSE)/12),0)</f>
        <v>0</v>
      </c>
      <c r="FW192" s="294">
        <f>_xlfn.IFNA((VLOOKUP($A192,'Post 16'!$A:$AG,33,FALSE)/8),0)</f>
        <v>0</v>
      </c>
      <c r="FX192" s="294"/>
      <c r="FY192" s="294">
        <f>_xlfn.IFNA(((VLOOKUP($A192,HN!$A:$M,10,FALSE)-$U192-$AK192)/10),0)</f>
        <v>0</v>
      </c>
      <c r="FZ192" s="294">
        <f>_xlfn.IFNA(((VLOOKUP($A192,HN!$A:$M,13,FALSE)-$V192-$AL192)/10),0)</f>
        <v>0</v>
      </c>
      <c r="GA192" s="293">
        <f>$I192/12</f>
        <v>0</v>
      </c>
      <c r="GB192" s="293">
        <v>0</v>
      </c>
      <c r="GC192" s="294"/>
      <c r="GD192" s="294"/>
      <c r="GE192" s="294"/>
      <c r="GF192" s="293">
        <f>SUM(FQ192:GE192)</f>
        <v>0</v>
      </c>
      <c r="GG192" s="300">
        <v>0</v>
      </c>
      <c r="GH192" s="300"/>
      <c r="GI192" s="300"/>
      <c r="GJ192" s="301">
        <f>_xlfn.IFNA((VLOOKUP($A192,HN!$A:$M,8,FALSE)/12),0)</f>
        <v>0</v>
      </c>
      <c r="GK192" s="301">
        <f>_xlfn.IFNA((VLOOKUP($A192,HN!$A:$M,12,FALSE)/12),0)</f>
        <v>0</v>
      </c>
      <c r="GL192" s="301">
        <f>_xlfn.IFNA((VLOOKUP($A192,HN!$A:$M,9,FALSE)/12),0)</f>
        <v>0</v>
      </c>
      <c r="GM192" s="301">
        <f>_xlfn.IFNA((VLOOKUP($A192,'Post 16'!$A:$AG,33,FALSE)/8),0)</f>
        <v>0</v>
      </c>
      <c r="GN192" s="301"/>
      <c r="GO192" s="301">
        <f>_xlfn.IFNA(((VLOOKUP($A192,HN!$A:$M,10,FALSE)-$U192-$AK192)/10),0)</f>
        <v>0</v>
      </c>
      <c r="GP192" s="301">
        <f>_xlfn.IFNA(((VLOOKUP($A192,HN!$A:$M,13,FALSE)-$V192-$AL192)/10),0)</f>
        <v>0</v>
      </c>
      <c r="GQ192" s="300">
        <f>$I192/12</f>
        <v>0</v>
      </c>
      <c r="GR192" s="300">
        <v>0</v>
      </c>
      <c r="GS192" s="301"/>
      <c r="GT192" s="301"/>
      <c r="GU192" s="301"/>
      <c r="GV192" s="300">
        <f>SUM(GG192:GU192)</f>
        <v>0</v>
      </c>
      <c r="GX192" s="146">
        <f t="shared" si="326"/>
        <v>10488.711585858138</v>
      </c>
      <c r="GY192" s="146">
        <f t="shared" si="326"/>
        <v>0</v>
      </c>
      <c r="GZ192" s="146">
        <f t="shared" si="326"/>
        <v>0</v>
      </c>
      <c r="HA192" s="146">
        <f t="shared" si="326"/>
        <v>0</v>
      </c>
      <c r="HB192" s="146">
        <f t="shared" si="326"/>
        <v>-10488.714599999999</v>
      </c>
      <c r="HC192" s="146">
        <f t="shared" si="326"/>
        <v>0</v>
      </c>
      <c r="HE192" s="146">
        <f t="shared" si="327"/>
        <v>10488.711585858138</v>
      </c>
      <c r="HF192" s="146">
        <f t="shared" si="327"/>
        <v>0</v>
      </c>
      <c r="HG192" s="146">
        <f t="shared" si="327"/>
        <v>0</v>
      </c>
      <c r="HH192" s="146">
        <f t="shared" si="327"/>
        <v>0</v>
      </c>
      <c r="HI192" s="146">
        <f t="shared" si="327"/>
        <v>-10488.714599999999</v>
      </c>
      <c r="HJ192" s="146">
        <f t="shared" si="327"/>
        <v>0</v>
      </c>
      <c r="HL192" s="146"/>
      <c r="HM192" s="57"/>
    </row>
    <row r="193" spans="1:221">
      <c r="A193" s="185">
        <v>2231</v>
      </c>
      <c r="B193" s="185">
        <v>103284</v>
      </c>
      <c r="C193" s="185" t="s">
        <v>409</v>
      </c>
      <c r="D193" s="2" t="s">
        <v>410</v>
      </c>
      <c r="E193" s="190" t="s">
        <v>39</v>
      </c>
      <c r="F193" s="190" t="s">
        <v>889</v>
      </c>
      <c r="H193" s="271">
        <f>_xlfn.IFNA(VLOOKUP($A193,ISB!$A$4:$BY$441,67,FALSE),0)-2539545.01</f>
        <v>37171.548051479273</v>
      </c>
      <c r="I193" s="271">
        <f>_xlfn.IFNA(VLOOKUP($A193,ISB!$A$4:$BY$441,72,FALSE),0)+10507.8</f>
        <v>0</v>
      </c>
      <c r="J193" s="271">
        <f>-_xlfn.IFNA(VLOOKUP($A193,ISB!$A$4:$BY$441,76,FALSE),0)</f>
        <v>-37171.5435</v>
      </c>
      <c r="K193" s="271">
        <f t="shared" si="328"/>
        <v>4.5514792727772146E-3</v>
      </c>
      <c r="M193" s="279">
        <f t="shared" si="329"/>
        <v>37171.548051479273</v>
      </c>
      <c r="N193" s="279"/>
      <c r="O193" s="279">
        <f>_xlfn.IFNA(VLOOKUP($A193,EY!$A:$H,8,FALSE)+(VLOOKUP($A193,EY!$A:$R,18,FALSE)-$T193),0)</f>
        <v>0</v>
      </c>
      <c r="P193" s="280">
        <f>_xlfn.IFNA((VLOOKUP($A193,HN!$A:$M,8,FALSE)/12),0)</f>
        <v>0</v>
      </c>
      <c r="Q193" s="280">
        <f>_xlfn.IFNA((VLOOKUP($A193,HN!$A:$M,12,FALSE)/12),0)</f>
        <v>0</v>
      </c>
      <c r="R193" s="280">
        <f>_xlfn.IFNA((VLOOKUP($A193,HN!$A:$M,9,FALSE)/12),0)</f>
        <v>0</v>
      </c>
      <c r="S193" s="280">
        <f>_xlfn.IFNA((VLOOKUP($A193,'Post 16'!$A:$AR,22,FALSE)/4),0)</f>
        <v>0</v>
      </c>
      <c r="T193" s="280">
        <f>_xlfn.IFNA((VLOOKUP($A193,EY!$A:$R,16,FALSE)*80%),0)</f>
        <v>0</v>
      </c>
      <c r="U193" s="280"/>
      <c r="V193" s="280">
        <v>0</v>
      </c>
      <c r="W193" s="279">
        <f t="shared" si="273"/>
        <v>0</v>
      </c>
      <c r="X193" s="279">
        <f t="shared" si="330"/>
        <v>-37171.5435</v>
      </c>
      <c r="Y193" s="280"/>
      <c r="Z193" s="280"/>
      <c r="AA193" s="280"/>
      <c r="AB193" s="279">
        <f t="shared" si="275"/>
        <v>4.5514792727772146E-3</v>
      </c>
      <c r="AC193" s="293">
        <v>0</v>
      </c>
      <c r="AD193" s="293"/>
      <c r="AE193" s="293"/>
      <c r="AF193" s="294">
        <f>_xlfn.IFNA((VLOOKUP($A193,HN!$A:$M,8,FALSE)/12),0)</f>
        <v>0</v>
      </c>
      <c r="AG193" s="294">
        <f>_xlfn.IFNA((VLOOKUP($A193,HN!$A:$M,12,FALSE)/12),0)+_xlfn.IFNA(VLOOKUP($A193,HN!$A:$Q,17,FALSE),0)</f>
        <v>0</v>
      </c>
      <c r="AH193" s="294">
        <f>_xlfn.IFNA((VLOOKUP($A193,HN!$A:$M,9,FALSE)/12),0)</f>
        <v>0</v>
      </c>
      <c r="AI193" s="294">
        <f>_xlfn.IFNA((VLOOKUP($A193,'Post 16'!$A:$AR,22,FALSE)/4),0)</f>
        <v>0</v>
      </c>
      <c r="AJ193" s="294"/>
      <c r="AK193" s="294">
        <f>_xlfn.IFNA((VLOOKUP($A193,HN!$A:$M,10,FALSE)/12),0)</f>
        <v>0</v>
      </c>
      <c r="AL193" s="294">
        <f>_xlfn.IFNA((VLOOKUP($A193,HN!$A:$M,13,FALSE)/12),0)</f>
        <v>0</v>
      </c>
      <c r="AM193" s="293">
        <f t="shared" si="277"/>
        <v>0</v>
      </c>
      <c r="AN193" s="293">
        <v>0</v>
      </c>
      <c r="AO193" s="294"/>
      <c r="AP193" s="294"/>
      <c r="AQ193" s="294"/>
      <c r="AR193" s="293">
        <f t="shared" si="279"/>
        <v>0</v>
      </c>
      <c r="AS193" s="286">
        <v>0</v>
      </c>
      <c r="AT193" s="286"/>
      <c r="AU193" s="286">
        <f>_xlfn.IFNA(VLOOKUP(A193,EY!A:AO,40,FALSE),0)</f>
        <v>0</v>
      </c>
      <c r="AV193" s="287">
        <f>_xlfn.IFNA((VLOOKUP($A193,HN!$A:$M,8,FALSE)/12),0)</f>
        <v>0</v>
      </c>
      <c r="AW193" s="287">
        <f>_xlfn.IFNA((VLOOKUP($A193,HN!$A:$M,12,FALSE)/12),0)+_xlfn.IFNA(VLOOKUP($A193,HN!$A$8:$AU$200,19,FALSE),0)</f>
        <v>0</v>
      </c>
      <c r="AX193" s="287">
        <f>_xlfn.IFNA((VLOOKUP($A193,HN!$A:$M,9,FALSE)/12),0)</f>
        <v>0</v>
      </c>
      <c r="AY193" s="287">
        <f>_xlfn.IFNA((VLOOKUP($A193,'Post 16'!$A:$AR,22,FALSE)/4),0)</f>
        <v>0</v>
      </c>
      <c r="AZ193" s="287">
        <f>_xlfn.IFNA(VLOOKUP(A193,EY!A:AO,41,FALSE),0)</f>
        <v>0</v>
      </c>
      <c r="BA193" s="287">
        <f>_xlfn.IFNA(((VLOOKUP($A193,HN!$A:$M,10,FALSE)-$U193-$AK193)/10),0)+_xlfn.IFNA(VLOOKUP($A193,HN!$A:$R,18,FALSE),0)</f>
        <v>0</v>
      </c>
      <c r="BB193" s="287">
        <f>_xlfn.IFNA(((VLOOKUP($A193,HN!$A:$M,13,FALSE)-$V193-$AL193)/10),0)+_xlfn.IFNA(VLOOKUP($A193,HN!$A$8:$AU$200,20,FALSE),0)</f>
        <v>0</v>
      </c>
      <c r="BC193" s="286">
        <f t="shared" si="281"/>
        <v>0</v>
      </c>
      <c r="BD193" s="286">
        <v>0</v>
      </c>
      <c r="BE193" s="287"/>
      <c r="BF193" s="287"/>
      <c r="BG193" s="287"/>
      <c r="BH193" s="286">
        <f t="shared" si="283"/>
        <v>0</v>
      </c>
      <c r="BI193" s="307">
        <v>0</v>
      </c>
      <c r="BJ193" s="307">
        <f>_xlfn.IFNA(VLOOKUP(A193,'LA Deductions'!A:AH,34,FALSE),0)</f>
        <v>0</v>
      </c>
      <c r="BK193" s="307"/>
      <c r="BL193" s="308">
        <f>_xlfn.IFNA((VLOOKUP($A193,HN!$A:$M,8,FALSE)/12),0)</f>
        <v>0</v>
      </c>
      <c r="BM193" s="308">
        <f>_xlfn.IFNA((VLOOKUP($A193,HN!$A:$M,12,FALSE)/12),0)</f>
        <v>0</v>
      </c>
      <c r="BN193" s="308">
        <f>_xlfn.IFNA((VLOOKUP($A193,HN!$A:$M,9,FALSE)/12),0)</f>
        <v>0</v>
      </c>
      <c r="BO193" s="308">
        <f>_xlfn.IFNA((VLOOKUP($A193,'Post 16'!$A:$AR,22,FALSE)/4),0)</f>
        <v>0</v>
      </c>
      <c r="BP193" s="308"/>
      <c r="BQ193" s="308">
        <f>_xlfn.IFNA(((VLOOKUP($A193,HN!$A:$M,10,FALSE)-$U193-$AK193)/10),0)</f>
        <v>0</v>
      </c>
      <c r="BR193" s="308">
        <f>_xlfn.IFNA(((VLOOKUP($A193,HN!$A:$M,13,FALSE)-$V193-$AL193)/10),0)</f>
        <v>0</v>
      </c>
      <c r="BS193" s="307">
        <f t="shared" si="285"/>
        <v>0</v>
      </c>
      <c r="BT193" s="307">
        <v>0</v>
      </c>
      <c r="BU193" s="308"/>
      <c r="BV193" s="308"/>
      <c r="BW193" s="308"/>
      <c r="BX193" s="307">
        <f t="shared" si="287"/>
        <v>0</v>
      </c>
      <c r="BY193" s="300">
        <v>0</v>
      </c>
      <c r="BZ193" s="300"/>
      <c r="CA193" s="300"/>
      <c r="CB193" s="301">
        <f>_xlfn.IFNA((VLOOKUP($A193,HN!$A:$M,8,FALSE)/12),0)</f>
        <v>0</v>
      </c>
      <c r="CC193" s="301">
        <f>_xlfn.IFNA((VLOOKUP($A193,HN!$A:$M,12,FALSE)/12),0)</f>
        <v>0</v>
      </c>
      <c r="CD193" s="301">
        <f>_xlfn.IFNA((VLOOKUP($A193,HN!$A:$M,9,FALSE)/12),0)</f>
        <v>0</v>
      </c>
      <c r="CE193" s="301">
        <f>_xlfn.IFNA((VLOOKUP($A193,'Post 16'!$A:$AG,33,FALSE)/8),0)</f>
        <v>0</v>
      </c>
      <c r="CF193" s="301"/>
      <c r="CG193" s="301">
        <f>_xlfn.IFNA(((VLOOKUP($A193,HN!$A:$M,10,FALSE)-$U193-$AK193)/10),0)</f>
        <v>0</v>
      </c>
      <c r="CH193" s="301">
        <f>_xlfn.IFNA(((VLOOKUP($A193,HN!$A:$M,13,FALSE)-$V193-$AL193)/10),0)</f>
        <v>0</v>
      </c>
      <c r="CI193" s="300">
        <f t="shared" si="289"/>
        <v>0</v>
      </c>
      <c r="CJ193" s="300">
        <v>0</v>
      </c>
      <c r="CK193" s="301"/>
      <c r="CL193" s="301"/>
      <c r="CM193" s="301"/>
      <c r="CN193" s="300">
        <f t="shared" si="291"/>
        <v>0</v>
      </c>
      <c r="CO193" s="332">
        <v>0</v>
      </c>
      <c r="CP193" s="332"/>
      <c r="CQ193" s="332">
        <f>_xlfn.IFNA((VLOOKUP($A193,EY!$A:$AB,28,FALSE)-$CV193),0)</f>
        <v>0</v>
      </c>
      <c r="CR193" s="333">
        <f>_xlfn.IFNA((VLOOKUP($A193,HN!$A:$M,8,FALSE)/12),0)</f>
        <v>0</v>
      </c>
      <c r="CS193" s="333">
        <f>_xlfn.IFNA((VLOOKUP($A193,HN!$A:$M,12,FALSE)/12),0)</f>
        <v>0</v>
      </c>
      <c r="CT193" s="333">
        <f>_xlfn.IFNA((VLOOKUP($A193,HN!$A:$M,9,FALSE)/12),0)</f>
        <v>0</v>
      </c>
      <c r="CU193" s="333">
        <f>_xlfn.IFNA((VLOOKUP($A193,'Post 16'!$A:$AG,33,FALSE)/8),0)</f>
        <v>0</v>
      </c>
      <c r="CV193" s="333">
        <f>_xlfn.IFNA((VLOOKUP($A193,EY!$A:$AB,26,FALSE)*80%),0)</f>
        <v>0</v>
      </c>
      <c r="CW193" s="333">
        <f>_xlfn.IFNA(((VLOOKUP($A193,HN!$A:$M,10,FALSE)-$U193-$AK193)/10),0)</f>
        <v>0</v>
      </c>
      <c r="CX193" s="333">
        <f>_xlfn.IFNA(((VLOOKUP($A193,HN!$A:$M,13,FALSE)-$V193-$AL193)/10),0)</f>
        <v>0</v>
      </c>
      <c r="CY193" s="332">
        <f t="shared" si="293"/>
        <v>0</v>
      </c>
      <c r="CZ193" s="332">
        <v>0</v>
      </c>
      <c r="DA193" s="333"/>
      <c r="DB193" s="333"/>
      <c r="DC193" s="333"/>
      <c r="DD193" s="332">
        <f t="shared" si="295"/>
        <v>0</v>
      </c>
      <c r="DE193" s="314">
        <v>0</v>
      </c>
      <c r="DF193" s="314"/>
      <c r="DG193" s="314"/>
      <c r="DH193" s="315">
        <f>_xlfn.IFNA((VLOOKUP($A193,HN!$A:$M,8,FALSE)/12),0)</f>
        <v>0</v>
      </c>
      <c r="DI193" s="315">
        <f>_xlfn.IFNA((VLOOKUP($A193,HN!$A:$M,12,FALSE)/12),0)</f>
        <v>0</v>
      </c>
      <c r="DJ193" s="315">
        <f>_xlfn.IFNA((VLOOKUP($A193,HN!$A:$M,9,FALSE)/12),0)</f>
        <v>0</v>
      </c>
      <c r="DK193" s="315">
        <f>_xlfn.IFNA((VLOOKUP($A193,'Post 16'!$A:$AG,33,FALSE)/8),0)</f>
        <v>0</v>
      </c>
      <c r="DL193" s="315"/>
      <c r="DM193" s="315">
        <f>_xlfn.IFNA(((VLOOKUP($A193,HN!$A:$M,10,FALSE)-$U193-$AK193)/10),0)</f>
        <v>0</v>
      </c>
      <c r="DN193" s="315">
        <f>_xlfn.IFNA(((VLOOKUP($A193,HN!$A:$M,13,FALSE)-$V193-$AL193)/10),0)</f>
        <v>0</v>
      </c>
      <c r="DO193" s="314">
        <f t="shared" si="297"/>
        <v>0</v>
      </c>
      <c r="DP193" s="314">
        <v>0</v>
      </c>
      <c r="DQ193" s="315"/>
      <c r="DR193" s="315"/>
      <c r="DS193" s="315"/>
      <c r="DT193" s="314">
        <f t="shared" si="299"/>
        <v>0</v>
      </c>
      <c r="DU193" s="307">
        <v>0</v>
      </c>
      <c r="DV193" s="307"/>
      <c r="DW193" s="307"/>
      <c r="DX193" s="308">
        <f>_xlfn.IFNA((VLOOKUP($A193,HN!$A:$M,8,FALSE)/12),0)</f>
        <v>0</v>
      </c>
      <c r="DY193" s="308">
        <f>_xlfn.IFNA((VLOOKUP($A193,HN!$A:$M,12,FALSE)/12),0)</f>
        <v>0</v>
      </c>
      <c r="DZ193" s="308">
        <f>_xlfn.IFNA((VLOOKUP($A193,HN!$A:$M,9,FALSE)/12),0)</f>
        <v>0</v>
      </c>
      <c r="EA193" s="308">
        <f>_xlfn.IFNA((VLOOKUP($A193,'Post 16'!$A:$AG,33,FALSE)/8),0)</f>
        <v>0</v>
      </c>
      <c r="EB193" s="308"/>
      <c r="EC193" s="308">
        <f>_xlfn.IFNA(((VLOOKUP($A193,HN!$A:$M,10,FALSE)-$U193-$AK193)/10),0)</f>
        <v>0</v>
      </c>
      <c r="ED193" s="308">
        <f>_xlfn.IFNA(((VLOOKUP($A193,HN!$A:$M,13,FALSE)-$V193-$AL193)/10),0)</f>
        <v>0</v>
      </c>
      <c r="EE193" s="307">
        <f t="shared" si="301"/>
        <v>0</v>
      </c>
      <c r="EF193" s="307">
        <v>0</v>
      </c>
      <c r="EG193" s="308"/>
      <c r="EH193" s="308"/>
      <c r="EI193" s="308"/>
      <c r="EJ193" s="307">
        <f t="shared" si="303"/>
        <v>0</v>
      </c>
      <c r="EK193" s="320">
        <v>0</v>
      </c>
      <c r="EL193" s="320"/>
      <c r="EM193" s="320"/>
      <c r="EN193" s="321">
        <f>_xlfn.IFNA((VLOOKUP($A193,HN!$A:$M,8,FALSE)/12),0)</f>
        <v>0</v>
      </c>
      <c r="EO193" s="321">
        <f>_xlfn.IFNA((VLOOKUP($A193,HN!$A:$M,12,FALSE)/12),0)</f>
        <v>0</v>
      </c>
      <c r="EP193" s="321">
        <f>_xlfn.IFNA((VLOOKUP($A193,HN!$A:$M,9,FALSE)/12),0)</f>
        <v>0</v>
      </c>
      <c r="EQ193" s="321">
        <f>_xlfn.IFNA((VLOOKUP($A193,'Post 16'!$A:$AG,33,FALSE)/8),0)</f>
        <v>0</v>
      </c>
      <c r="ER193" s="321"/>
      <c r="ES193" s="321">
        <f>_xlfn.IFNA(((VLOOKUP($A193,HN!$A:$M,10,FALSE)-$U193-$AK193)/10),0)</f>
        <v>0</v>
      </c>
      <c r="ET193" s="321">
        <f>_xlfn.IFNA(((VLOOKUP($A193,HN!$A:$M,13,FALSE)-$V193-$AL193)/10),0)</f>
        <v>0</v>
      </c>
      <c r="EU193" s="320">
        <f t="shared" si="305"/>
        <v>0</v>
      </c>
      <c r="EV193" s="320">
        <v>0</v>
      </c>
      <c r="EW193" s="321"/>
      <c r="EX193" s="321"/>
      <c r="EY193" s="321"/>
      <c r="EZ193" s="320">
        <f t="shared" si="307"/>
        <v>0</v>
      </c>
      <c r="FA193" s="286">
        <v>0</v>
      </c>
      <c r="FB193" s="286"/>
      <c r="FC193" s="286"/>
      <c r="FD193" s="287">
        <f>_xlfn.IFNA((VLOOKUP($A193,HN!$A:$M,8,FALSE)/12),0)</f>
        <v>0</v>
      </c>
      <c r="FE193" s="287">
        <f>_xlfn.IFNA((VLOOKUP($A193,HN!$A:$M,12,FALSE)/12),0)</f>
        <v>0</v>
      </c>
      <c r="FF193" s="287">
        <f>_xlfn.IFNA((VLOOKUP($A193,HN!$A:$M,9,FALSE)/12),0)</f>
        <v>0</v>
      </c>
      <c r="FG193" s="287">
        <f>_xlfn.IFNA((VLOOKUP($A193,'Post 16'!$A:$AG,33,FALSE)/8),0)</f>
        <v>0</v>
      </c>
      <c r="FH193" s="287"/>
      <c r="FI193" s="287">
        <f>_xlfn.IFNA(((VLOOKUP($A193,HN!$A:$M,10,FALSE)-$U193-$AK193)/10),0)</f>
        <v>0</v>
      </c>
      <c r="FJ193" s="287">
        <f>_xlfn.IFNA(((VLOOKUP($A193,HN!$A:$M,13,FALSE)-$V193-$AL193)/10),0)</f>
        <v>0</v>
      </c>
      <c r="FK193" s="286">
        <f t="shared" si="309"/>
        <v>0</v>
      </c>
      <c r="FL193" s="286">
        <v>0</v>
      </c>
      <c r="FM193" s="287"/>
      <c r="FN193" s="287"/>
      <c r="FO193" s="287"/>
      <c r="FP193" s="286">
        <f t="shared" si="311"/>
        <v>0</v>
      </c>
      <c r="FQ193" s="293">
        <v>0</v>
      </c>
      <c r="FR193" s="293"/>
      <c r="FS193" s="293"/>
      <c r="FT193" s="294">
        <f>_xlfn.IFNA((VLOOKUP($A193,HN!$A:$M,8,FALSE)/12),0)</f>
        <v>0</v>
      </c>
      <c r="FU193" s="294">
        <f>_xlfn.IFNA((VLOOKUP($A193,HN!$A:$M,12,FALSE)/12),0)</f>
        <v>0</v>
      </c>
      <c r="FV193" s="294">
        <f>_xlfn.IFNA((VLOOKUP($A193,HN!$A:$M,9,FALSE)/12),0)</f>
        <v>0</v>
      </c>
      <c r="FW193" s="294">
        <f>_xlfn.IFNA((VLOOKUP($A193,'Post 16'!$A:$AG,33,FALSE)/8),0)</f>
        <v>0</v>
      </c>
      <c r="FX193" s="294"/>
      <c r="FY193" s="294">
        <f>_xlfn.IFNA(((VLOOKUP($A193,HN!$A:$M,10,FALSE)-$U193-$AK193)/10),0)</f>
        <v>0</v>
      </c>
      <c r="FZ193" s="294">
        <f>_xlfn.IFNA(((VLOOKUP($A193,HN!$A:$M,13,FALSE)-$V193-$AL193)/10),0)</f>
        <v>0</v>
      </c>
      <c r="GA193" s="293">
        <f t="shared" si="313"/>
        <v>0</v>
      </c>
      <c r="GB193" s="293">
        <v>0</v>
      </c>
      <c r="GC193" s="294"/>
      <c r="GD193" s="294"/>
      <c r="GE193" s="294"/>
      <c r="GF193" s="293">
        <f t="shared" si="315"/>
        <v>0</v>
      </c>
      <c r="GG193" s="300">
        <v>0</v>
      </c>
      <c r="GH193" s="300"/>
      <c r="GI193" s="300"/>
      <c r="GJ193" s="301">
        <f>_xlfn.IFNA((VLOOKUP($A193,HN!$A:$M,8,FALSE)/12),0)</f>
        <v>0</v>
      </c>
      <c r="GK193" s="301">
        <f>_xlfn.IFNA((VLOOKUP($A193,HN!$A:$M,12,FALSE)/12),0)</f>
        <v>0</v>
      </c>
      <c r="GL193" s="301">
        <f>_xlfn.IFNA((VLOOKUP($A193,HN!$A:$M,9,FALSE)/12),0)</f>
        <v>0</v>
      </c>
      <c r="GM193" s="301">
        <f>_xlfn.IFNA((VLOOKUP($A193,'Post 16'!$A:$AG,33,FALSE)/8),0)</f>
        <v>0</v>
      </c>
      <c r="GN193" s="301"/>
      <c r="GO193" s="301">
        <f>_xlfn.IFNA(((VLOOKUP($A193,HN!$A:$M,10,FALSE)-$U193-$AK193)/10),0)</f>
        <v>0</v>
      </c>
      <c r="GP193" s="301">
        <f>_xlfn.IFNA(((VLOOKUP($A193,HN!$A:$M,13,FALSE)-$V193-$AL193)/10),0)</f>
        <v>0</v>
      </c>
      <c r="GQ193" s="300">
        <f t="shared" si="317"/>
        <v>0</v>
      </c>
      <c r="GR193" s="300">
        <v>0</v>
      </c>
      <c r="GS193" s="301"/>
      <c r="GT193" s="301"/>
      <c r="GU193" s="301"/>
      <c r="GV193" s="300">
        <f t="shared" si="319"/>
        <v>0</v>
      </c>
      <c r="GX193" s="146">
        <f t="shared" si="324"/>
        <v>37171.548051479273</v>
      </c>
      <c r="GY193" s="146">
        <f t="shared" si="324"/>
        <v>0</v>
      </c>
      <c r="GZ193" s="146">
        <f t="shared" si="324"/>
        <v>0</v>
      </c>
      <c r="HA193" s="146">
        <f t="shared" si="324"/>
        <v>0</v>
      </c>
      <c r="HB193" s="146">
        <f t="shared" si="324"/>
        <v>-37171.5435</v>
      </c>
      <c r="HC193" s="146">
        <f t="shared" si="324"/>
        <v>0</v>
      </c>
      <c r="HE193" s="146">
        <f t="shared" si="325"/>
        <v>37171.548051479273</v>
      </c>
      <c r="HF193" s="146">
        <f t="shared" si="325"/>
        <v>0</v>
      </c>
      <c r="HG193" s="146">
        <f t="shared" si="325"/>
        <v>0</v>
      </c>
      <c r="HH193" s="146">
        <f t="shared" si="325"/>
        <v>0</v>
      </c>
      <c r="HI193" s="146">
        <f t="shared" si="325"/>
        <v>-37171.5435</v>
      </c>
      <c r="HJ193" s="146">
        <f t="shared" si="325"/>
        <v>0</v>
      </c>
      <c r="HL193" s="146"/>
      <c r="HM193" s="57"/>
    </row>
    <row r="194" spans="1:221">
      <c r="A194" s="776"/>
      <c r="B194" s="185"/>
      <c r="C194" s="185"/>
      <c r="D194" s="2"/>
      <c r="E194" s="190"/>
      <c r="F194" s="777"/>
      <c r="H194" s="271"/>
      <c r="I194" s="271"/>
      <c r="J194" s="271"/>
      <c r="K194" s="271"/>
      <c r="M194" s="279"/>
      <c r="N194" s="279"/>
      <c r="O194" s="279"/>
      <c r="P194" s="280"/>
      <c r="Q194" s="280"/>
      <c r="R194" s="280"/>
      <c r="S194" s="280"/>
      <c r="T194" s="280"/>
      <c r="U194" s="280"/>
      <c r="V194" s="280"/>
      <c r="W194" s="279"/>
      <c r="X194" s="279"/>
      <c r="Y194" s="280"/>
      <c r="Z194" s="280"/>
      <c r="AA194" s="280"/>
      <c r="AB194" s="279"/>
      <c r="AC194" s="293"/>
      <c r="AD194" s="293"/>
      <c r="AE194" s="293"/>
      <c r="AF194" s="294"/>
      <c r="AG194" s="294"/>
      <c r="AH194" s="294"/>
      <c r="AI194" s="294"/>
      <c r="AJ194" s="294"/>
      <c r="AK194" s="294"/>
      <c r="AL194" s="294"/>
      <c r="AM194" s="293"/>
      <c r="AN194" s="293"/>
      <c r="AO194" s="294"/>
      <c r="AP194" s="294"/>
      <c r="AQ194" s="294"/>
      <c r="AR194" s="293"/>
      <c r="AS194" s="286"/>
      <c r="AT194" s="286"/>
      <c r="AU194" s="286">
        <f>_xlfn.IFNA(VLOOKUP(A194,EY!A:AO,40,FALSE),0)</f>
        <v>0</v>
      </c>
      <c r="AV194" s="287"/>
      <c r="AW194" s="287"/>
      <c r="AX194" s="287"/>
      <c r="AY194" s="287"/>
      <c r="AZ194" s="287">
        <f>_xlfn.IFNA(VLOOKUP(A194,EY!A:AO,41,FALSE),0)</f>
        <v>0</v>
      </c>
      <c r="BA194" s="287"/>
      <c r="BB194" s="287"/>
      <c r="BC194" s="286"/>
      <c r="BD194" s="286"/>
      <c r="BE194" s="287"/>
      <c r="BF194" s="287"/>
      <c r="BG194" s="287"/>
      <c r="BH194" s="286"/>
      <c r="BI194" s="307"/>
      <c r="BJ194" s="307">
        <f>_xlfn.IFNA(VLOOKUP(A194,'LA Deductions'!A:AH,34,FALSE),0)</f>
        <v>0</v>
      </c>
      <c r="BK194" s="307"/>
      <c r="BL194" s="308"/>
      <c r="BM194" s="308"/>
      <c r="BN194" s="308"/>
      <c r="BO194" s="308"/>
      <c r="BP194" s="308"/>
      <c r="BQ194" s="308"/>
      <c r="BR194" s="308"/>
      <c r="BS194" s="307"/>
      <c r="BT194" s="307"/>
      <c r="BU194" s="308"/>
      <c r="BV194" s="308"/>
      <c r="BW194" s="308"/>
      <c r="BX194" s="307"/>
      <c r="BY194" s="300"/>
      <c r="BZ194" s="300"/>
      <c r="CA194" s="300"/>
      <c r="CB194" s="301"/>
      <c r="CC194" s="301"/>
      <c r="CD194" s="301"/>
      <c r="CE194" s="301"/>
      <c r="CF194" s="301"/>
      <c r="CG194" s="301"/>
      <c r="CH194" s="301"/>
      <c r="CI194" s="300"/>
      <c r="CJ194" s="300"/>
      <c r="CK194" s="301"/>
      <c r="CL194" s="301"/>
      <c r="CM194" s="301"/>
      <c r="CN194" s="300"/>
      <c r="CO194" s="332"/>
      <c r="CP194" s="332"/>
      <c r="CQ194" s="332"/>
      <c r="CR194" s="333"/>
      <c r="CS194" s="333"/>
      <c r="CT194" s="333"/>
      <c r="CU194" s="333">
        <f>_xlfn.IFNA((VLOOKUP($A194,'Post 16'!$A:$AG,33,FALSE)/8),0)</f>
        <v>0</v>
      </c>
      <c r="CV194" s="333"/>
      <c r="CW194" s="333"/>
      <c r="CX194" s="333"/>
      <c r="CY194" s="332"/>
      <c r="CZ194" s="332"/>
      <c r="DA194" s="333"/>
      <c r="DB194" s="333"/>
      <c r="DC194" s="333"/>
      <c r="DD194" s="332"/>
      <c r="DE194" s="314"/>
      <c r="DF194" s="314"/>
      <c r="DG194" s="314"/>
      <c r="DH194" s="315"/>
      <c r="DI194" s="315"/>
      <c r="DJ194" s="315"/>
      <c r="DK194" s="315">
        <f>_xlfn.IFNA((VLOOKUP($A194,'Post 16'!$A:$AG,33,FALSE)/8),0)</f>
        <v>0</v>
      </c>
      <c r="DL194" s="315"/>
      <c r="DM194" s="315"/>
      <c r="DN194" s="315"/>
      <c r="DO194" s="314"/>
      <c r="DP194" s="314"/>
      <c r="DQ194" s="315"/>
      <c r="DR194" s="315"/>
      <c r="DS194" s="315"/>
      <c r="DT194" s="314"/>
      <c r="DU194" s="307"/>
      <c r="DV194" s="307"/>
      <c r="DW194" s="307"/>
      <c r="DX194" s="308"/>
      <c r="DY194" s="308"/>
      <c r="DZ194" s="308"/>
      <c r="EA194" s="308">
        <f>_xlfn.IFNA((VLOOKUP($A194,'Post 16'!$A:$AG,33,FALSE)/8),0)</f>
        <v>0</v>
      </c>
      <c r="EB194" s="308"/>
      <c r="EC194" s="308"/>
      <c r="ED194" s="308"/>
      <c r="EE194" s="307"/>
      <c r="EF194" s="307"/>
      <c r="EG194" s="308"/>
      <c r="EH194" s="308"/>
      <c r="EI194" s="308"/>
      <c r="EJ194" s="307"/>
      <c r="EK194" s="320"/>
      <c r="EL194" s="320"/>
      <c r="EM194" s="320"/>
      <c r="EN194" s="321"/>
      <c r="EO194" s="321"/>
      <c r="EP194" s="321"/>
      <c r="EQ194" s="321">
        <f>_xlfn.IFNA((VLOOKUP($A194,'Post 16'!$A:$AG,33,FALSE)/8),0)</f>
        <v>0</v>
      </c>
      <c r="ER194" s="321"/>
      <c r="ES194" s="321"/>
      <c r="ET194" s="321"/>
      <c r="EU194" s="320"/>
      <c r="EV194" s="320"/>
      <c r="EW194" s="321"/>
      <c r="EX194" s="321"/>
      <c r="EY194" s="321"/>
      <c r="EZ194" s="320"/>
      <c r="FA194" s="286"/>
      <c r="FB194" s="286"/>
      <c r="FC194" s="286"/>
      <c r="FD194" s="287"/>
      <c r="FE194" s="287"/>
      <c r="FF194" s="287"/>
      <c r="FG194" s="287">
        <f>_xlfn.IFNA((VLOOKUP($A194,'Post 16'!$A:$AG,33,FALSE)/8),0)</f>
        <v>0</v>
      </c>
      <c r="FH194" s="287"/>
      <c r="FI194" s="287"/>
      <c r="FJ194" s="287"/>
      <c r="FK194" s="286"/>
      <c r="FL194" s="286"/>
      <c r="FM194" s="287"/>
      <c r="FN194" s="287"/>
      <c r="FO194" s="287"/>
      <c r="FP194" s="286"/>
      <c r="FQ194" s="293"/>
      <c r="FR194" s="293"/>
      <c r="FS194" s="293"/>
      <c r="FT194" s="294"/>
      <c r="FU194" s="294"/>
      <c r="FV194" s="294"/>
      <c r="FW194" s="294">
        <f>_xlfn.IFNA((VLOOKUP($A194,'Post 16'!$A:$AG,33,FALSE)/8),0)</f>
        <v>0</v>
      </c>
      <c r="FX194" s="294"/>
      <c r="FY194" s="294"/>
      <c r="FZ194" s="294"/>
      <c r="GA194" s="293"/>
      <c r="GB194" s="293"/>
      <c r="GC194" s="294"/>
      <c r="GD194" s="294"/>
      <c r="GE194" s="294"/>
      <c r="GF194" s="293"/>
      <c r="GG194" s="300"/>
      <c r="GH194" s="300"/>
      <c r="GI194" s="300"/>
      <c r="GJ194" s="301"/>
      <c r="GK194" s="301"/>
      <c r="GL194" s="301"/>
      <c r="GM194" s="301">
        <f>_xlfn.IFNA((VLOOKUP($A194,'Post 16'!$A:$AG,33,FALSE)/8),0)</f>
        <v>0</v>
      </c>
      <c r="GN194" s="301"/>
      <c r="GO194" s="301"/>
      <c r="GP194" s="301"/>
      <c r="GQ194" s="300"/>
      <c r="GR194" s="300"/>
      <c r="GS194" s="301"/>
      <c r="GT194" s="301"/>
      <c r="GU194" s="301"/>
      <c r="GV194" s="300"/>
      <c r="GX194" s="146"/>
      <c r="GY194" s="146"/>
      <c r="GZ194" s="146"/>
      <c r="HA194" s="146"/>
      <c r="HB194" s="146"/>
      <c r="HC194" s="146"/>
      <c r="HE194" s="146"/>
      <c r="HF194" s="146"/>
      <c r="HG194" s="146"/>
      <c r="HH194" s="146"/>
      <c r="HI194" s="146"/>
      <c r="HJ194" s="146"/>
      <c r="HL194" s="146"/>
      <c r="HM194" s="57"/>
    </row>
    <row r="195" spans="1:221">
      <c r="A195" s="776"/>
      <c r="B195" s="185"/>
      <c r="C195" s="185"/>
      <c r="D195" s="2"/>
      <c r="E195" s="190"/>
      <c r="F195" s="777"/>
      <c r="H195" s="271"/>
      <c r="I195" s="271"/>
      <c r="J195" s="271"/>
      <c r="K195" s="271"/>
      <c r="M195" s="279"/>
      <c r="N195" s="279"/>
      <c r="O195" s="279"/>
      <c r="P195" s="280"/>
      <c r="Q195" s="280"/>
      <c r="R195" s="280"/>
      <c r="S195" s="280"/>
      <c r="T195" s="280"/>
      <c r="U195" s="280"/>
      <c r="V195" s="280"/>
      <c r="W195" s="279"/>
      <c r="X195" s="279"/>
      <c r="Y195" s="280"/>
      <c r="Z195" s="280"/>
      <c r="AA195" s="280"/>
      <c r="AB195" s="279"/>
      <c r="AC195" s="293"/>
      <c r="AD195" s="293"/>
      <c r="AE195" s="293"/>
      <c r="AF195" s="294"/>
      <c r="AG195" s="294"/>
      <c r="AH195" s="294"/>
      <c r="AI195" s="294"/>
      <c r="AJ195" s="294"/>
      <c r="AK195" s="294"/>
      <c r="AL195" s="294"/>
      <c r="AM195" s="293"/>
      <c r="AN195" s="293"/>
      <c r="AO195" s="294"/>
      <c r="AP195" s="294"/>
      <c r="AQ195" s="294"/>
      <c r="AR195" s="293"/>
      <c r="AS195" s="286"/>
      <c r="AT195" s="286"/>
      <c r="AU195" s="286">
        <f>_xlfn.IFNA(VLOOKUP(A195,EY!A:AO,40,FALSE),0)</f>
        <v>0</v>
      </c>
      <c r="AV195" s="287"/>
      <c r="AW195" s="287"/>
      <c r="AX195" s="287"/>
      <c r="AY195" s="287"/>
      <c r="AZ195" s="287">
        <f>_xlfn.IFNA(VLOOKUP(A195,EY!A:AO,41,FALSE),0)</f>
        <v>0</v>
      </c>
      <c r="BA195" s="287"/>
      <c r="BB195" s="287"/>
      <c r="BC195" s="286"/>
      <c r="BD195" s="286"/>
      <c r="BE195" s="287"/>
      <c r="BF195" s="287"/>
      <c r="BG195" s="287"/>
      <c r="BH195" s="286"/>
      <c r="BI195" s="307"/>
      <c r="BJ195" s="307">
        <f>_xlfn.IFNA(VLOOKUP(A195,'LA Deductions'!A:AH,34,FALSE),0)</f>
        <v>0</v>
      </c>
      <c r="BK195" s="307"/>
      <c r="BL195" s="308"/>
      <c r="BM195" s="308"/>
      <c r="BN195" s="308"/>
      <c r="BO195" s="308"/>
      <c r="BP195" s="308"/>
      <c r="BQ195" s="308"/>
      <c r="BR195" s="308"/>
      <c r="BS195" s="307"/>
      <c r="BT195" s="307"/>
      <c r="BU195" s="308"/>
      <c r="BV195" s="308"/>
      <c r="BW195" s="308"/>
      <c r="BX195" s="307"/>
      <c r="BY195" s="300"/>
      <c r="BZ195" s="300"/>
      <c r="CA195" s="300"/>
      <c r="CB195" s="301"/>
      <c r="CC195" s="301"/>
      <c r="CD195" s="301"/>
      <c r="CE195" s="301"/>
      <c r="CF195" s="301"/>
      <c r="CG195" s="301"/>
      <c r="CH195" s="301"/>
      <c r="CI195" s="300"/>
      <c r="CJ195" s="300"/>
      <c r="CK195" s="301"/>
      <c r="CL195" s="301"/>
      <c r="CM195" s="301"/>
      <c r="CN195" s="300"/>
      <c r="CO195" s="332"/>
      <c r="CP195" s="332"/>
      <c r="CQ195" s="332"/>
      <c r="CR195" s="333"/>
      <c r="CS195" s="333"/>
      <c r="CT195" s="333"/>
      <c r="CU195" s="333">
        <f>_xlfn.IFNA((VLOOKUP($A195,'Post 16'!$A:$AG,33,FALSE)/8),0)</f>
        <v>0</v>
      </c>
      <c r="CV195" s="333"/>
      <c r="CW195" s="333"/>
      <c r="CX195" s="333"/>
      <c r="CY195" s="332"/>
      <c r="CZ195" s="332"/>
      <c r="DA195" s="333"/>
      <c r="DB195" s="333"/>
      <c r="DC195" s="333"/>
      <c r="DD195" s="332"/>
      <c r="DE195" s="314"/>
      <c r="DF195" s="314"/>
      <c r="DG195" s="314"/>
      <c r="DH195" s="315"/>
      <c r="DI195" s="315"/>
      <c r="DJ195" s="315"/>
      <c r="DK195" s="315">
        <f>_xlfn.IFNA((VLOOKUP($A195,'Post 16'!$A:$AG,33,FALSE)/8),0)</f>
        <v>0</v>
      </c>
      <c r="DL195" s="315"/>
      <c r="DM195" s="315"/>
      <c r="DN195" s="315"/>
      <c r="DO195" s="314"/>
      <c r="DP195" s="314"/>
      <c r="DQ195" s="315"/>
      <c r="DR195" s="315"/>
      <c r="DS195" s="315"/>
      <c r="DT195" s="314"/>
      <c r="DU195" s="307"/>
      <c r="DV195" s="307"/>
      <c r="DW195" s="307"/>
      <c r="DX195" s="308"/>
      <c r="DY195" s="308"/>
      <c r="DZ195" s="308"/>
      <c r="EA195" s="308">
        <f>_xlfn.IFNA((VLOOKUP($A195,'Post 16'!$A:$AG,33,FALSE)/8),0)</f>
        <v>0</v>
      </c>
      <c r="EB195" s="308"/>
      <c r="EC195" s="308"/>
      <c r="ED195" s="308"/>
      <c r="EE195" s="307"/>
      <c r="EF195" s="307"/>
      <c r="EG195" s="308"/>
      <c r="EH195" s="308"/>
      <c r="EI195" s="308"/>
      <c r="EJ195" s="307"/>
      <c r="EK195" s="320"/>
      <c r="EL195" s="320"/>
      <c r="EM195" s="320"/>
      <c r="EN195" s="321"/>
      <c r="EO195" s="321"/>
      <c r="EP195" s="321"/>
      <c r="EQ195" s="321">
        <f>_xlfn.IFNA((VLOOKUP($A195,'Post 16'!$A:$AG,33,FALSE)/8),0)</f>
        <v>0</v>
      </c>
      <c r="ER195" s="321"/>
      <c r="ES195" s="321"/>
      <c r="ET195" s="321"/>
      <c r="EU195" s="320"/>
      <c r="EV195" s="320"/>
      <c r="EW195" s="321"/>
      <c r="EX195" s="321"/>
      <c r="EY195" s="321"/>
      <c r="EZ195" s="320"/>
      <c r="FA195" s="286"/>
      <c r="FB195" s="286"/>
      <c r="FC195" s="286"/>
      <c r="FD195" s="287"/>
      <c r="FE195" s="287"/>
      <c r="FF195" s="287"/>
      <c r="FG195" s="287">
        <f>_xlfn.IFNA((VLOOKUP($A195,'Post 16'!$A:$AG,33,FALSE)/8),0)</f>
        <v>0</v>
      </c>
      <c r="FH195" s="287"/>
      <c r="FI195" s="287"/>
      <c r="FJ195" s="287"/>
      <c r="FK195" s="286"/>
      <c r="FL195" s="286"/>
      <c r="FM195" s="287"/>
      <c r="FN195" s="287"/>
      <c r="FO195" s="287"/>
      <c r="FP195" s="286"/>
      <c r="FQ195" s="293"/>
      <c r="FR195" s="293"/>
      <c r="FS195" s="293"/>
      <c r="FT195" s="294"/>
      <c r="FU195" s="294"/>
      <c r="FV195" s="294"/>
      <c r="FW195" s="294">
        <f>_xlfn.IFNA((VLOOKUP($A195,'Post 16'!$A:$AG,33,FALSE)/8),0)</f>
        <v>0</v>
      </c>
      <c r="FX195" s="294"/>
      <c r="FY195" s="294"/>
      <c r="FZ195" s="294"/>
      <c r="GA195" s="293"/>
      <c r="GB195" s="293"/>
      <c r="GC195" s="294"/>
      <c r="GD195" s="294"/>
      <c r="GE195" s="294"/>
      <c r="GF195" s="293"/>
      <c r="GG195" s="300"/>
      <c r="GH195" s="300"/>
      <c r="GI195" s="300"/>
      <c r="GJ195" s="301"/>
      <c r="GK195" s="301"/>
      <c r="GL195" s="301"/>
      <c r="GM195" s="301">
        <f>_xlfn.IFNA((VLOOKUP($A195,'Post 16'!$A:$AG,33,FALSE)/8),0)</f>
        <v>0</v>
      </c>
      <c r="GN195" s="301"/>
      <c r="GO195" s="301"/>
      <c r="GP195" s="301"/>
      <c r="GQ195" s="300"/>
      <c r="GR195" s="300"/>
      <c r="GS195" s="301"/>
      <c r="GT195" s="301"/>
      <c r="GU195" s="301"/>
      <c r="GV195" s="300"/>
      <c r="GX195" s="146"/>
      <c r="GY195" s="146"/>
      <c r="GZ195" s="146"/>
      <c r="HA195" s="146"/>
      <c r="HB195" s="146"/>
      <c r="HC195" s="146"/>
      <c r="HE195" s="146"/>
      <c r="HF195" s="146"/>
      <c r="HG195" s="146"/>
      <c r="HH195" s="146"/>
      <c r="HI195" s="146"/>
      <c r="HJ195" s="146"/>
      <c r="HL195" s="146"/>
      <c r="HM195" s="57"/>
    </row>
    <row r="196" spans="1:221" s="193" customFormat="1">
      <c r="A196" s="357"/>
      <c r="B196" s="292"/>
      <c r="C196" s="292"/>
      <c r="D196" s="358"/>
      <c r="E196" s="352"/>
      <c r="F196" s="353"/>
      <c r="G196" s="288"/>
      <c r="H196" s="364">
        <f>SUM(H8:H193)</f>
        <v>378534163.6928215</v>
      </c>
      <c r="I196" s="364">
        <f>SUM(I8:I193)</f>
        <v>-1348224.8999999992</v>
      </c>
      <c r="J196" s="364">
        <f>SUM(J8:J193)</f>
        <v>-4442091.1823000005</v>
      </c>
      <c r="K196" s="364">
        <f>SUM(K8:K193)</f>
        <v>372743847.61052161</v>
      </c>
      <c r="L196" s="288"/>
      <c r="M196" s="279">
        <f t="shared" ref="M196:AR196" si="331">SUM(M8:M193)</f>
        <v>31606355.110526808</v>
      </c>
      <c r="N196" s="279">
        <f t="shared" si="331"/>
        <v>0</v>
      </c>
      <c r="O196" s="279">
        <f t="shared" si="331"/>
        <v>13780300.887999997</v>
      </c>
      <c r="P196" s="279">
        <f t="shared" si="331"/>
        <v>2448472.2233333336</v>
      </c>
      <c r="Q196" s="279">
        <f t="shared" si="331"/>
        <v>134500</v>
      </c>
      <c r="R196" s="279">
        <f t="shared" si="331"/>
        <v>289166.66666666669</v>
      </c>
      <c r="S196" s="279">
        <f t="shared" si="331"/>
        <v>687867.50000000012</v>
      </c>
      <c r="T196" s="279">
        <f t="shared" si="331"/>
        <v>126360</v>
      </c>
      <c r="U196" s="279">
        <f t="shared" si="331"/>
        <v>6226378.9591666628</v>
      </c>
      <c r="V196" s="279">
        <f t="shared" si="331"/>
        <v>472469.86583333334</v>
      </c>
      <c r="W196" s="279">
        <f t="shared" si="331"/>
        <v>-112352.075</v>
      </c>
      <c r="X196" s="279">
        <f t="shared" si="331"/>
        <v>-432015.73572500004</v>
      </c>
      <c r="Y196" s="279">
        <f t="shared" si="331"/>
        <v>0</v>
      </c>
      <c r="Z196" s="279">
        <f t="shared" si="331"/>
        <v>0</v>
      </c>
      <c r="AA196" s="279">
        <f t="shared" si="331"/>
        <v>0</v>
      </c>
      <c r="AB196" s="279">
        <f t="shared" si="331"/>
        <v>55227503.402801797</v>
      </c>
      <c r="AC196" s="293">
        <f t="shared" si="331"/>
        <v>31538891.689299535</v>
      </c>
      <c r="AD196" s="293">
        <f t="shared" si="331"/>
        <v>0</v>
      </c>
      <c r="AE196" s="293">
        <f t="shared" si="331"/>
        <v>0</v>
      </c>
      <c r="AF196" s="293">
        <f t="shared" si="331"/>
        <v>2448472.2233333336</v>
      </c>
      <c r="AG196" s="293">
        <f t="shared" si="331"/>
        <v>118500.00000000003</v>
      </c>
      <c r="AH196" s="293">
        <f t="shared" si="331"/>
        <v>289166.66666666669</v>
      </c>
      <c r="AI196" s="293">
        <f t="shared" si="331"/>
        <v>687867.50000000012</v>
      </c>
      <c r="AJ196" s="293">
        <f t="shared" si="331"/>
        <v>0</v>
      </c>
      <c r="AK196" s="293">
        <f t="shared" si="331"/>
        <v>5391593.0716666672</v>
      </c>
      <c r="AL196" s="293">
        <f t="shared" si="331"/>
        <v>356315.54083333333</v>
      </c>
      <c r="AM196" s="293">
        <f t="shared" si="331"/>
        <v>-112352.075</v>
      </c>
      <c r="AN196" s="293">
        <f t="shared" si="331"/>
        <v>-364552.313325</v>
      </c>
      <c r="AO196" s="293">
        <f t="shared" si="331"/>
        <v>0</v>
      </c>
      <c r="AP196" s="293">
        <f t="shared" si="331"/>
        <v>0</v>
      </c>
      <c r="AQ196" s="293">
        <f t="shared" si="331"/>
        <v>180000</v>
      </c>
      <c r="AR196" s="293">
        <f t="shared" si="331"/>
        <v>40533902.303474523</v>
      </c>
      <c r="AS196" s="286">
        <f t="shared" ref="AS196:BX196" si="332">SUM(AS8:AS193)</f>
        <v>31538891.689299535</v>
      </c>
      <c r="AT196" s="286">
        <f t="shared" si="332"/>
        <v>0</v>
      </c>
      <c r="AU196" s="286">
        <f t="shared" si="332"/>
        <v>1066463.4742271462</v>
      </c>
      <c r="AV196" s="286">
        <f t="shared" si="332"/>
        <v>2448472.2233333336</v>
      </c>
      <c r="AW196" s="286">
        <f t="shared" si="332"/>
        <v>166144.99999999997</v>
      </c>
      <c r="AX196" s="286">
        <f t="shared" si="332"/>
        <v>289166.66666666669</v>
      </c>
      <c r="AY196" s="286">
        <f t="shared" si="332"/>
        <v>687867.50000000012</v>
      </c>
      <c r="AZ196" s="286">
        <f t="shared" si="332"/>
        <v>15427.17783933518</v>
      </c>
      <c r="BA196" s="286">
        <f t="shared" si="332"/>
        <v>5418840.8829166647</v>
      </c>
      <c r="BB196" s="286">
        <f t="shared" si="332"/>
        <v>322109.38833333331</v>
      </c>
      <c r="BC196" s="286">
        <f t="shared" si="332"/>
        <v>-112352.075</v>
      </c>
      <c r="BD196" s="286">
        <f t="shared" si="332"/>
        <v>-364552.313325</v>
      </c>
      <c r="BE196" s="286">
        <f t="shared" si="332"/>
        <v>0</v>
      </c>
      <c r="BF196" s="286">
        <f t="shared" si="332"/>
        <v>0</v>
      </c>
      <c r="BG196" s="286">
        <f t="shared" si="332"/>
        <v>0</v>
      </c>
      <c r="BH196" s="286">
        <f t="shared" si="332"/>
        <v>41476479.614291012</v>
      </c>
      <c r="BI196" s="307">
        <f t="shared" si="332"/>
        <v>31538891.689299535</v>
      </c>
      <c r="BJ196" s="307">
        <f t="shared" si="332"/>
        <v>-57270</v>
      </c>
      <c r="BK196" s="307">
        <f t="shared" si="332"/>
        <v>0</v>
      </c>
      <c r="BL196" s="307">
        <f t="shared" si="332"/>
        <v>2448472.2233333336</v>
      </c>
      <c r="BM196" s="307">
        <f t="shared" si="332"/>
        <v>134500</v>
      </c>
      <c r="BN196" s="307">
        <f t="shared" si="332"/>
        <v>289166.66666666669</v>
      </c>
      <c r="BO196" s="307">
        <f t="shared" si="332"/>
        <v>687867.50000000012</v>
      </c>
      <c r="BP196" s="307">
        <f t="shared" si="332"/>
        <v>0</v>
      </c>
      <c r="BQ196" s="307">
        <f t="shared" si="332"/>
        <v>5362733.8829166647</v>
      </c>
      <c r="BR196" s="307">
        <f t="shared" si="332"/>
        <v>344700.10833333334</v>
      </c>
      <c r="BS196" s="307">
        <f t="shared" si="332"/>
        <v>-112352.075</v>
      </c>
      <c r="BT196" s="307">
        <f t="shared" si="332"/>
        <v>-364552.313325</v>
      </c>
      <c r="BU196" s="307">
        <f t="shared" si="332"/>
        <v>0</v>
      </c>
      <c r="BV196" s="307">
        <f t="shared" si="332"/>
        <v>0</v>
      </c>
      <c r="BW196" s="307">
        <f t="shared" si="332"/>
        <v>0</v>
      </c>
      <c r="BX196" s="307">
        <f t="shared" si="332"/>
        <v>40272157.68222452</v>
      </c>
      <c r="BY196" s="300">
        <f t="shared" ref="BY196:CO196" si="333">SUM(BY8:BY193)</f>
        <v>31538891.689299535</v>
      </c>
      <c r="BZ196" s="300">
        <f t="shared" si="333"/>
        <v>0</v>
      </c>
      <c r="CA196" s="300">
        <f t="shared" si="333"/>
        <v>0</v>
      </c>
      <c r="CB196" s="300">
        <f t="shared" si="333"/>
        <v>2448472.2233333336</v>
      </c>
      <c r="CC196" s="300">
        <f t="shared" si="333"/>
        <v>134500</v>
      </c>
      <c r="CD196" s="300">
        <f t="shared" si="333"/>
        <v>289166.66666666669</v>
      </c>
      <c r="CE196" s="300">
        <f t="shared" si="333"/>
        <v>651094.5</v>
      </c>
      <c r="CF196" s="300">
        <f t="shared" si="333"/>
        <v>0</v>
      </c>
      <c r="CG196" s="300">
        <f t="shared" si="333"/>
        <v>5362733.8829166647</v>
      </c>
      <c r="CH196" s="300">
        <f t="shared" si="333"/>
        <v>344700.10833333334</v>
      </c>
      <c r="CI196" s="300">
        <f t="shared" si="333"/>
        <v>-112352.075</v>
      </c>
      <c r="CJ196" s="300">
        <f t="shared" si="333"/>
        <v>-364552.313325</v>
      </c>
      <c r="CK196" s="300">
        <f t="shared" si="333"/>
        <v>0</v>
      </c>
      <c r="CL196" s="300">
        <f t="shared" si="333"/>
        <v>0</v>
      </c>
      <c r="CM196" s="300">
        <f t="shared" si="333"/>
        <v>0</v>
      </c>
      <c r="CN196" s="300">
        <f t="shared" si="333"/>
        <v>40292654.68222452</v>
      </c>
      <c r="CO196" s="332">
        <f t="shared" si="333"/>
        <v>31538891.689299535</v>
      </c>
      <c r="CP196" s="332"/>
      <c r="CQ196" s="332">
        <f t="shared" ref="CQ196:DV196" si="334">SUM(CQ8:CQ193)</f>
        <v>5763397.9864000008</v>
      </c>
      <c r="CR196" s="332">
        <f t="shared" si="334"/>
        <v>2448472.2233333336</v>
      </c>
      <c r="CS196" s="332">
        <f t="shared" si="334"/>
        <v>134500</v>
      </c>
      <c r="CT196" s="332">
        <f t="shared" si="334"/>
        <v>289166.66666666669</v>
      </c>
      <c r="CU196" s="332">
        <f t="shared" si="334"/>
        <v>651094.5</v>
      </c>
      <c r="CV196" s="332">
        <f t="shared" si="334"/>
        <v>48360</v>
      </c>
      <c r="CW196" s="332">
        <f t="shared" si="334"/>
        <v>5362733.8829166647</v>
      </c>
      <c r="CX196" s="332">
        <f t="shared" si="334"/>
        <v>344700.10833333334</v>
      </c>
      <c r="CY196" s="332">
        <f t="shared" si="334"/>
        <v>-112352.075</v>
      </c>
      <c r="CZ196" s="332">
        <f t="shared" si="334"/>
        <v>-364552.313325</v>
      </c>
      <c r="DA196" s="332">
        <f t="shared" si="334"/>
        <v>0</v>
      </c>
      <c r="DB196" s="332">
        <f t="shared" si="334"/>
        <v>0</v>
      </c>
      <c r="DC196" s="332">
        <f t="shared" si="334"/>
        <v>0</v>
      </c>
      <c r="DD196" s="332">
        <f t="shared" si="334"/>
        <v>46104412.66862452</v>
      </c>
      <c r="DE196" s="314">
        <f t="shared" si="334"/>
        <v>31538891.689299535</v>
      </c>
      <c r="DF196" s="314">
        <f t="shared" si="334"/>
        <v>0</v>
      </c>
      <c r="DG196" s="314">
        <f t="shared" si="334"/>
        <v>0</v>
      </c>
      <c r="DH196" s="314">
        <f t="shared" si="334"/>
        <v>2448472.2233333336</v>
      </c>
      <c r="DI196" s="314">
        <f t="shared" si="334"/>
        <v>134500</v>
      </c>
      <c r="DJ196" s="314">
        <f t="shared" si="334"/>
        <v>289166.66666666669</v>
      </c>
      <c r="DK196" s="314">
        <f t="shared" si="334"/>
        <v>651094.5</v>
      </c>
      <c r="DL196" s="314">
        <f t="shared" si="334"/>
        <v>0</v>
      </c>
      <c r="DM196" s="314">
        <f t="shared" si="334"/>
        <v>5362733.8829166647</v>
      </c>
      <c r="DN196" s="314">
        <f t="shared" si="334"/>
        <v>344700.10833333334</v>
      </c>
      <c r="DO196" s="314">
        <f t="shared" si="334"/>
        <v>-112352.075</v>
      </c>
      <c r="DP196" s="314">
        <f t="shared" si="334"/>
        <v>-364552.313325</v>
      </c>
      <c r="DQ196" s="314">
        <f t="shared" si="334"/>
        <v>0</v>
      </c>
      <c r="DR196" s="314">
        <f t="shared" si="334"/>
        <v>0</v>
      </c>
      <c r="DS196" s="314">
        <f t="shared" si="334"/>
        <v>0</v>
      </c>
      <c r="DT196" s="314">
        <f t="shared" si="334"/>
        <v>40292654.68222452</v>
      </c>
      <c r="DU196" s="307">
        <f t="shared" si="334"/>
        <v>31538891.689299535</v>
      </c>
      <c r="DV196" s="307">
        <f t="shared" si="334"/>
        <v>0</v>
      </c>
      <c r="DW196" s="307">
        <f t="shared" ref="DW196:FB196" si="335">SUM(DW8:DW193)</f>
        <v>0</v>
      </c>
      <c r="DX196" s="307">
        <f t="shared" si="335"/>
        <v>2448472.2233333336</v>
      </c>
      <c r="DY196" s="307">
        <f t="shared" si="335"/>
        <v>134500</v>
      </c>
      <c r="DZ196" s="307">
        <f t="shared" si="335"/>
        <v>289166.66666666669</v>
      </c>
      <c r="EA196" s="307">
        <f t="shared" si="335"/>
        <v>651094.5</v>
      </c>
      <c r="EB196" s="307">
        <f t="shared" si="335"/>
        <v>0</v>
      </c>
      <c r="EC196" s="307">
        <f t="shared" si="335"/>
        <v>5362733.8829166647</v>
      </c>
      <c r="ED196" s="307">
        <f t="shared" si="335"/>
        <v>344700.10833333334</v>
      </c>
      <c r="EE196" s="307">
        <f t="shared" si="335"/>
        <v>-112352.075</v>
      </c>
      <c r="EF196" s="307">
        <f t="shared" si="335"/>
        <v>-364552.313325</v>
      </c>
      <c r="EG196" s="307">
        <f t="shared" si="335"/>
        <v>0</v>
      </c>
      <c r="EH196" s="307">
        <f t="shared" si="335"/>
        <v>0</v>
      </c>
      <c r="EI196" s="307">
        <f t="shared" si="335"/>
        <v>0</v>
      </c>
      <c r="EJ196" s="307">
        <f t="shared" si="335"/>
        <v>40292654.68222452</v>
      </c>
      <c r="EK196" s="320">
        <f t="shared" si="335"/>
        <v>31538891.689299535</v>
      </c>
      <c r="EL196" s="320">
        <f t="shared" si="335"/>
        <v>0</v>
      </c>
      <c r="EM196" s="320">
        <f t="shared" si="335"/>
        <v>0</v>
      </c>
      <c r="EN196" s="320">
        <f t="shared" si="335"/>
        <v>2448472.2233333336</v>
      </c>
      <c r="EO196" s="320">
        <f t="shared" si="335"/>
        <v>134500</v>
      </c>
      <c r="EP196" s="320">
        <f t="shared" si="335"/>
        <v>289166.66666666669</v>
      </c>
      <c r="EQ196" s="320">
        <f t="shared" si="335"/>
        <v>651094.5</v>
      </c>
      <c r="ER196" s="320">
        <f t="shared" si="335"/>
        <v>0</v>
      </c>
      <c r="ES196" s="320">
        <f t="shared" si="335"/>
        <v>5362733.8829166647</v>
      </c>
      <c r="ET196" s="320">
        <f t="shared" si="335"/>
        <v>344700.10833333334</v>
      </c>
      <c r="EU196" s="320">
        <f t="shared" si="335"/>
        <v>-112352.075</v>
      </c>
      <c r="EV196" s="320">
        <f t="shared" si="335"/>
        <v>-364552.313325</v>
      </c>
      <c r="EW196" s="320">
        <f t="shared" si="335"/>
        <v>0</v>
      </c>
      <c r="EX196" s="320">
        <f t="shared" si="335"/>
        <v>0</v>
      </c>
      <c r="EY196" s="320">
        <f t="shared" si="335"/>
        <v>0</v>
      </c>
      <c r="EZ196" s="320">
        <f t="shared" si="335"/>
        <v>40292654.68222452</v>
      </c>
      <c r="FA196" s="286">
        <f t="shared" si="335"/>
        <v>31538891.689299535</v>
      </c>
      <c r="FB196" s="286">
        <f t="shared" si="335"/>
        <v>0</v>
      </c>
      <c r="FC196" s="286">
        <f t="shared" ref="FC196:GH196" si="336">SUM(FC8:FC193)</f>
        <v>0</v>
      </c>
      <c r="FD196" s="286">
        <f t="shared" si="336"/>
        <v>2448472.2233333336</v>
      </c>
      <c r="FE196" s="286">
        <f t="shared" si="336"/>
        <v>134500</v>
      </c>
      <c r="FF196" s="286">
        <f t="shared" si="336"/>
        <v>289166.66666666669</v>
      </c>
      <c r="FG196" s="286">
        <f t="shared" si="336"/>
        <v>651094.5</v>
      </c>
      <c r="FH196" s="286">
        <f t="shared" si="336"/>
        <v>0</v>
      </c>
      <c r="FI196" s="286">
        <f t="shared" si="336"/>
        <v>5362733.8829166647</v>
      </c>
      <c r="FJ196" s="286">
        <f t="shared" si="336"/>
        <v>344700.10833333334</v>
      </c>
      <c r="FK196" s="286">
        <f t="shared" si="336"/>
        <v>-112352.075</v>
      </c>
      <c r="FL196" s="286">
        <f t="shared" si="336"/>
        <v>-364552.313325</v>
      </c>
      <c r="FM196" s="286">
        <f t="shared" si="336"/>
        <v>0</v>
      </c>
      <c r="FN196" s="286">
        <f t="shared" si="336"/>
        <v>0</v>
      </c>
      <c r="FO196" s="286">
        <f t="shared" si="336"/>
        <v>0</v>
      </c>
      <c r="FP196" s="286">
        <f t="shared" si="336"/>
        <v>40292654.68222452</v>
      </c>
      <c r="FQ196" s="293">
        <f t="shared" si="336"/>
        <v>31538891.689299535</v>
      </c>
      <c r="FR196" s="293">
        <f t="shared" si="336"/>
        <v>0</v>
      </c>
      <c r="FS196" s="293">
        <f t="shared" si="336"/>
        <v>0</v>
      </c>
      <c r="FT196" s="293">
        <f t="shared" si="336"/>
        <v>2448472.2233333336</v>
      </c>
      <c r="FU196" s="293">
        <f t="shared" si="336"/>
        <v>134500</v>
      </c>
      <c r="FV196" s="293">
        <f t="shared" si="336"/>
        <v>289166.66666666669</v>
      </c>
      <c r="FW196" s="293">
        <f t="shared" si="336"/>
        <v>651094.5</v>
      </c>
      <c r="FX196" s="293">
        <f t="shared" si="336"/>
        <v>0</v>
      </c>
      <c r="FY196" s="293">
        <f t="shared" si="336"/>
        <v>5362733.8829166647</v>
      </c>
      <c r="FZ196" s="293">
        <f t="shared" si="336"/>
        <v>344700.10833333334</v>
      </c>
      <c r="GA196" s="293">
        <f t="shared" si="336"/>
        <v>-112352.075</v>
      </c>
      <c r="GB196" s="293">
        <f t="shared" si="336"/>
        <v>-364552.313325</v>
      </c>
      <c r="GC196" s="293">
        <f t="shared" si="336"/>
        <v>0</v>
      </c>
      <c r="GD196" s="293">
        <f t="shared" si="336"/>
        <v>0</v>
      </c>
      <c r="GE196" s="293">
        <f t="shared" si="336"/>
        <v>0</v>
      </c>
      <c r="GF196" s="293">
        <f t="shared" si="336"/>
        <v>40292654.68222452</v>
      </c>
      <c r="GG196" s="300">
        <f t="shared" si="336"/>
        <v>31538891.689299535</v>
      </c>
      <c r="GH196" s="300">
        <f t="shared" si="336"/>
        <v>0</v>
      </c>
      <c r="GI196" s="300">
        <f t="shared" ref="GI196:GV196" si="337">SUM(GI8:GI193)</f>
        <v>0</v>
      </c>
      <c r="GJ196" s="300">
        <f t="shared" si="337"/>
        <v>2448472.2233333336</v>
      </c>
      <c r="GK196" s="300">
        <f t="shared" si="337"/>
        <v>134500</v>
      </c>
      <c r="GL196" s="300">
        <f t="shared" si="337"/>
        <v>289166.66666666669</v>
      </c>
      <c r="GM196" s="300">
        <f t="shared" si="337"/>
        <v>651094.5</v>
      </c>
      <c r="GN196" s="300">
        <f t="shared" si="337"/>
        <v>0</v>
      </c>
      <c r="GO196" s="300">
        <f t="shared" si="337"/>
        <v>5362733.8829166647</v>
      </c>
      <c r="GP196" s="300">
        <f t="shared" si="337"/>
        <v>344700.10833333334</v>
      </c>
      <c r="GQ196" s="300">
        <f t="shared" si="337"/>
        <v>-112352.075</v>
      </c>
      <c r="GR196" s="300">
        <f t="shared" si="337"/>
        <v>-364552.313325</v>
      </c>
      <c r="GS196" s="300">
        <f t="shared" si="337"/>
        <v>0</v>
      </c>
      <c r="GT196" s="300">
        <f t="shared" si="337"/>
        <v>0</v>
      </c>
      <c r="GU196" s="300">
        <f t="shared" si="337"/>
        <v>0</v>
      </c>
      <c r="GV196" s="300">
        <f t="shared" si="337"/>
        <v>40292654.68222452</v>
      </c>
      <c r="GX196" s="745">
        <f t="shared" ref="GX196:HJ196" si="338">SUM(GX8:GX193)</f>
        <v>430098367.72144884</v>
      </c>
      <c r="GY196" s="745">
        <f t="shared" si="338"/>
        <v>11430226</v>
      </c>
      <c r="GZ196" s="745">
        <f t="shared" si="338"/>
        <v>69744760.807839304</v>
      </c>
      <c r="HA196" s="745">
        <f t="shared" si="338"/>
        <v>-1348224.8999999992</v>
      </c>
      <c r="HB196" s="745">
        <f t="shared" si="338"/>
        <v>-4442091.1822999995</v>
      </c>
      <c r="HC196" s="745">
        <f t="shared" si="338"/>
        <v>0</v>
      </c>
      <c r="HD196" s="745">
        <f t="shared" si="338"/>
        <v>0</v>
      </c>
      <c r="HE196" s="745">
        <f t="shared" si="338"/>
        <v>117295464.52135308</v>
      </c>
      <c r="HF196" s="745">
        <f t="shared" si="338"/>
        <v>2931102.5</v>
      </c>
      <c r="HG196" s="745">
        <f t="shared" si="338"/>
        <v>18329494.886589341</v>
      </c>
      <c r="HH196" s="745">
        <f t="shared" si="338"/>
        <v>-337056.2249999998</v>
      </c>
      <c r="HI196" s="745">
        <f t="shared" si="338"/>
        <v>-1161120.362375</v>
      </c>
      <c r="HJ196" s="745">
        <f t="shared" si="338"/>
        <v>0</v>
      </c>
    </row>
    <row r="197" spans="1:221">
      <c r="A197" s="198"/>
      <c r="B197" s="2"/>
      <c r="C197" s="2"/>
      <c r="D197" s="2"/>
      <c r="E197" s="2"/>
      <c r="F197" s="199"/>
    </row>
    <row r="198" spans="1:221" ht="15.75" thickBot="1">
      <c r="A198" s="202"/>
      <c r="B198" s="203"/>
      <c r="C198" s="203"/>
      <c r="D198" s="204"/>
      <c r="E198" s="213"/>
      <c r="F198" s="214"/>
    </row>
  </sheetData>
  <sheetProtection algorithmName="SHA-512" hashValue="NgTLfcAHujQNt7LnBXXx6XQ7+tdze7J0gLKKUKIquLN3ELUweKkojKqx+H6iq7ljF1lnbFAtGL05zNaIjafG/A==" saltValue="QWAutqnW7NWqr2CD+lmrmQ==" spinCount="100000" sheet="1" autoFilter="0"/>
  <autoFilter ref="A7:HD196" xr:uid="{2B3ED282-2F67-46F3-B3A6-C122B4992373}">
    <sortState xmlns:xlrd2="http://schemas.microsoft.com/office/spreadsheetml/2017/richdata2" ref="A8:HD196">
      <sortCondition ref="D7:D196"/>
    </sortState>
  </autoFilter>
  <conditionalFormatting sqref="A7:F8 A9:C195 E9:F195 E196">
    <cfRule type="cellIs" dxfId="1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1AC25-0319-43A5-9108-6C8C7348D185}">
  <sheetPr codeName="Sheet2"/>
  <dimension ref="A1:CG204"/>
  <sheetViews>
    <sheetView zoomScale="80" zoomScaleNormal="80" workbookViewId="0">
      <selection activeCell="Q12" sqref="Q12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" customWidth="1"/>
    <col min="6" max="6" width="14.5703125" customWidth="1"/>
    <col min="7" max="10" width="14.7109375" customWidth="1"/>
    <col min="11" max="11" width="15" bestFit="1" customWidth="1"/>
    <col min="12" max="17" width="14.7109375" customWidth="1"/>
    <col min="18" max="18" width="17.28515625" bestFit="1" customWidth="1"/>
    <col min="19" max="47" width="14.7109375" customWidth="1"/>
    <col min="48" max="48" width="16.28515625" bestFit="1" customWidth="1"/>
    <col min="49" max="75" width="14.7109375" customWidth="1"/>
    <col min="76" max="76" width="3.28515625" customWidth="1"/>
    <col min="77" max="77" width="16.28515625" bestFit="1" customWidth="1"/>
    <col min="78" max="79" width="14.7109375" customWidth="1"/>
    <col min="80" max="80" width="16.28515625" bestFit="1" customWidth="1"/>
    <col min="81" max="85" width="14.7109375" customWidth="1"/>
  </cols>
  <sheetData>
    <row r="1" spans="1:85">
      <c r="A1" s="1" t="s">
        <v>929</v>
      </c>
      <c r="B1" s="1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4"/>
      <c r="AF1" s="344"/>
      <c r="AG1" s="344"/>
      <c r="AH1" s="344"/>
      <c r="AI1" s="344"/>
      <c r="AJ1" s="344"/>
      <c r="AK1" s="344"/>
      <c r="AL1" s="344"/>
      <c r="AN1" s="344"/>
      <c r="AO1" s="344"/>
      <c r="AP1" s="344"/>
      <c r="AQ1" s="344"/>
      <c r="AR1" s="344"/>
      <c r="AS1" s="344"/>
      <c r="AT1" s="344"/>
      <c r="AU1" s="344"/>
      <c r="AW1" s="344"/>
      <c r="AX1" s="344"/>
      <c r="AY1" s="344"/>
      <c r="AZ1" s="344"/>
      <c r="BA1" s="344"/>
      <c r="BB1" s="344"/>
      <c r="BC1" s="344"/>
      <c r="BD1" s="344"/>
      <c r="BE1" s="344"/>
      <c r="BF1" s="344"/>
      <c r="BG1" s="344"/>
      <c r="BH1" s="344"/>
      <c r="BI1" s="344"/>
      <c r="BJ1" s="344"/>
      <c r="BK1" s="344"/>
      <c r="BL1" s="344"/>
      <c r="BM1" s="344"/>
      <c r="BN1" s="344"/>
      <c r="BO1" s="344"/>
      <c r="BP1" s="344"/>
      <c r="BQ1" s="344"/>
      <c r="BR1" s="344"/>
      <c r="BS1" s="344"/>
      <c r="BT1" s="344"/>
      <c r="BU1" s="344"/>
      <c r="BV1" s="344"/>
      <c r="BW1" s="344"/>
    </row>
    <row r="2" spans="1:8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  <c r="BO2">
        <v>67</v>
      </c>
      <c r="BP2">
        <v>68</v>
      </c>
      <c r="BQ2">
        <v>69</v>
      </c>
      <c r="BR2">
        <v>70</v>
      </c>
      <c r="BS2">
        <v>71</v>
      </c>
      <c r="BT2">
        <v>72</v>
      </c>
      <c r="BU2">
        <v>73</v>
      </c>
      <c r="BV2">
        <v>74</v>
      </c>
      <c r="BW2">
        <v>75</v>
      </c>
      <c r="BX2">
        <v>76</v>
      </c>
      <c r="BY2">
        <v>77</v>
      </c>
      <c r="BZ2">
        <v>78</v>
      </c>
      <c r="CA2">
        <v>79</v>
      </c>
      <c r="CB2">
        <v>80</v>
      </c>
      <c r="CC2">
        <v>81</v>
      </c>
      <c r="CD2">
        <v>82</v>
      </c>
      <c r="CE2">
        <v>83</v>
      </c>
      <c r="CF2">
        <v>84</v>
      </c>
      <c r="CG2">
        <v>85</v>
      </c>
    </row>
    <row r="3" spans="1:85">
      <c r="G3" s="66" t="s">
        <v>930</v>
      </c>
      <c r="H3" s="2" t="s">
        <v>22</v>
      </c>
      <c r="I3" s="2" t="s">
        <v>22</v>
      </c>
      <c r="J3" s="2" t="s">
        <v>29</v>
      </c>
      <c r="K3" s="2" t="s">
        <v>29</v>
      </c>
      <c r="L3" s="2" t="s">
        <v>22</v>
      </c>
      <c r="M3" s="2" t="s">
        <v>22</v>
      </c>
      <c r="N3" s="2" t="s">
        <v>22</v>
      </c>
      <c r="O3" s="2" t="s">
        <v>22</v>
      </c>
      <c r="P3" s="2" t="s">
        <v>22</v>
      </c>
      <c r="Q3" s="2" t="s">
        <v>22</v>
      </c>
      <c r="R3" s="2" t="s">
        <v>22</v>
      </c>
      <c r="S3" s="2" t="s">
        <v>22</v>
      </c>
      <c r="T3" s="2" t="s">
        <v>29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 t="s">
        <v>30</v>
      </c>
      <c r="BP3" s="2" t="s">
        <v>31</v>
      </c>
      <c r="BQ3" s="2" t="s">
        <v>30</v>
      </c>
      <c r="BR3" s="2" t="s">
        <v>31</v>
      </c>
      <c r="BS3" s="2" t="s">
        <v>30</v>
      </c>
      <c r="BT3" s="2" t="s">
        <v>31</v>
      </c>
      <c r="BU3" s="2" t="s">
        <v>30</v>
      </c>
      <c r="BV3" s="2" t="s">
        <v>31</v>
      </c>
      <c r="BW3" s="2"/>
    </row>
    <row r="4" spans="1:85">
      <c r="G4" s="66" t="s">
        <v>931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</row>
    <row r="5" spans="1:85">
      <c r="G5" s="66" t="s">
        <v>932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</row>
    <row r="6" spans="1:85" ht="15.75" thickBot="1">
      <c r="H6" s="22" t="s">
        <v>460</v>
      </c>
      <c r="I6" s="22" t="s">
        <v>460</v>
      </c>
      <c r="J6" s="22" t="s">
        <v>460</v>
      </c>
      <c r="K6" s="22" t="s">
        <v>460</v>
      </c>
      <c r="L6" s="22" t="s">
        <v>460</v>
      </c>
      <c r="M6" s="22" t="s">
        <v>460</v>
      </c>
      <c r="N6" s="22" t="s">
        <v>459</v>
      </c>
      <c r="O6" s="22" t="s">
        <v>459</v>
      </c>
      <c r="P6" s="22" t="s">
        <v>460</v>
      </c>
      <c r="Q6" s="22" t="s">
        <v>460</v>
      </c>
      <c r="R6" s="22" t="s">
        <v>459</v>
      </c>
      <c r="S6" s="22" t="s">
        <v>459</v>
      </c>
      <c r="T6" s="22" t="s">
        <v>460</v>
      </c>
      <c r="BO6" t="s">
        <v>460</v>
      </c>
      <c r="BP6" t="s">
        <v>460</v>
      </c>
      <c r="BY6" t="s">
        <v>460</v>
      </c>
      <c r="BZ6" t="s">
        <v>460</v>
      </c>
      <c r="CA6" t="s">
        <v>460</v>
      </c>
      <c r="CB6" t="s">
        <v>460</v>
      </c>
      <c r="CC6" t="s">
        <v>460</v>
      </c>
      <c r="CD6" t="s">
        <v>460</v>
      </c>
      <c r="CE6" t="s">
        <v>460</v>
      </c>
      <c r="CF6" t="s">
        <v>460</v>
      </c>
    </row>
    <row r="7" spans="1:85" ht="48.75" customHeight="1" thickBot="1">
      <c r="A7" s="177" t="s">
        <v>16</v>
      </c>
      <c r="B7" s="178" t="s">
        <v>17</v>
      </c>
      <c r="C7" s="179" t="s">
        <v>18</v>
      </c>
      <c r="D7" s="180" t="s">
        <v>19</v>
      </c>
      <c r="E7" s="195" t="s">
        <v>20</v>
      </c>
      <c r="F7" s="180" t="s">
        <v>21</v>
      </c>
      <c r="G7" s="206"/>
      <c r="H7" s="177" t="s">
        <v>933</v>
      </c>
      <c r="I7" s="177" t="s">
        <v>934</v>
      </c>
      <c r="J7" s="179" t="s">
        <v>935</v>
      </c>
      <c r="K7" s="179" t="s">
        <v>936</v>
      </c>
      <c r="L7" s="179" t="s">
        <v>937</v>
      </c>
      <c r="M7" s="179" t="s">
        <v>938</v>
      </c>
      <c r="N7" s="179" t="s">
        <v>939</v>
      </c>
      <c r="O7" s="179" t="s">
        <v>940</v>
      </c>
      <c r="P7" s="179" t="s">
        <v>941</v>
      </c>
      <c r="Q7" s="179" t="s">
        <v>942</v>
      </c>
      <c r="R7" s="179" t="s">
        <v>943</v>
      </c>
      <c r="S7" s="179" t="s">
        <v>944</v>
      </c>
      <c r="T7" s="179" t="s">
        <v>1128</v>
      </c>
      <c r="U7" s="179"/>
      <c r="V7" s="179"/>
      <c r="W7" s="179"/>
      <c r="X7" s="177"/>
      <c r="Y7" s="179"/>
      <c r="Z7" s="179"/>
      <c r="AA7" s="179"/>
      <c r="AB7" s="179"/>
      <c r="AC7" s="179"/>
      <c r="AD7" s="179"/>
      <c r="AE7" s="179"/>
      <c r="AF7" s="179"/>
      <c r="AG7" s="179"/>
      <c r="AH7" s="179"/>
      <c r="AI7" s="179"/>
      <c r="AJ7" s="179"/>
      <c r="AK7" s="179"/>
      <c r="AL7" s="179"/>
      <c r="AM7" s="179"/>
      <c r="AN7" s="195"/>
      <c r="AO7" s="195"/>
      <c r="AP7" s="195"/>
      <c r="AQ7" s="195"/>
      <c r="AR7" s="195"/>
      <c r="AS7" s="195"/>
      <c r="AT7" s="195"/>
      <c r="AU7" s="195"/>
      <c r="AV7" s="180"/>
      <c r="AW7" s="195"/>
      <c r="AX7" s="195"/>
      <c r="AY7" s="195"/>
      <c r="AZ7" s="195"/>
      <c r="BA7" s="195"/>
      <c r="BB7" s="195"/>
      <c r="BC7" s="195"/>
      <c r="BD7" s="195"/>
      <c r="BE7" s="195"/>
      <c r="BF7" s="195"/>
      <c r="BG7" s="195"/>
      <c r="BH7" s="195"/>
      <c r="BI7" s="195"/>
      <c r="BJ7" s="195"/>
      <c r="BK7" s="195"/>
      <c r="BL7" s="195"/>
      <c r="BM7" s="195"/>
      <c r="BN7" s="195"/>
      <c r="BO7" s="195" t="s">
        <v>945</v>
      </c>
      <c r="BP7" s="195" t="s">
        <v>946</v>
      </c>
      <c r="BQ7" s="195" t="s">
        <v>947</v>
      </c>
      <c r="BR7" s="195" t="s">
        <v>948</v>
      </c>
      <c r="BS7" s="195" t="s">
        <v>949</v>
      </c>
      <c r="BT7" s="195" t="s">
        <v>950</v>
      </c>
      <c r="BU7" s="195" t="s">
        <v>951</v>
      </c>
      <c r="BV7" s="195" t="s">
        <v>952</v>
      </c>
      <c r="BW7" s="195" t="s">
        <v>33</v>
      </c>
      <c r="BY7" s="181" t="s">
        <v>22</v>
      </c>
      <c r="BZ7" s="182" t="s">
        <v>26</v>
      </c>
      <c r="CA7" s="182" t="s">
        <v>25</v>
      </c>
      <c r="CB7" s="182" t="s">
        <v>28</v>
      </c>
      <c r="CC7" s="182" t="s">
        <v>29</v>
      </c>
      <c r="CD7" s="859" t="s">
        <v>30</v>
      </c>
      <c r="CE7" s="183" t="s">
        <v>512</v>
      </c>
      <c r="CF7" s="860" t="s">
        <v>31</v>
      </c>
      <c r="CG7" s="184" t="s">
        <v>953</v>
      </c>
    </row>
    <row r="8" spans="1:85">
      <c r="A8" s="197">
        <v>1027</v>
      </c>
      <c r="B8" s="185">
        <v>103140</v>
      </c>
      <c r="C8" s="185" t="s">
        <v>34</v>
      </c>
      <c r="D8" s="185" t="s">
        <v>35</v>
      </c>
      <c r="E8" s="185" t="s">
        <v>36</v>
      </c>
      <c r="F8" s="208" t="s">
        <v>890</v>
      </c>
      <c r="G8" s="207"/>
      <c r="H8" s="880">
        <v>0</v>
      </c>
      <c r="I8" s="880"/>
      <c r="J8" s="880"/>
      <c r="K8" s="880">
        <v>0</v>
      </c>
      <c r="L8" s="190">
        <v>0</v>
      </c>
      <c r="M8" s="190">
        <v>0</v>
      </c>
      <c r="N8" s="190">
        <v>0</v>
      </c>
      <c r="O8" s="190">
        <v>0</v>
      </c>
      <c r="P8" s="190">
        <v>0</v>
      </c>
      <c r="Q8" s="190">
        <v>0</v>
      </c>
      <c r="R8" s="190">
        <v>0</v>
      </c>
      <c r="S8" s="190">
        <v>0</v>
      </c>
      <c r="T8" s="209">
        <v>0</v>
      </c>
      <c r="U8" s="209"/>
      <c r="V8" s="209"/>
      <c r="W8" s="209"/>
      <c r="X8" s="190"/>
      <c r="Y8" s="190"/>
      <c r="Z8" s="190"/>
      <c r="AA8" s="190"/>
      <c r="AB8" s="190"/>
      <c r="AC8" s="190"/>
      <c r="AD8" s="190"/>
      <c r="AE8" s="190"/>
      <c r="AF8" s="209"/>
      <c r="AG8" s="209"/>
      <c r="AH8" s="209"/>
      <c r="AI8" s="345"/>
      <c r="AJ8" s="209"/>
      <c r="AK8" s="209"/>
      <c r="AL8" s="190"/>
      <c r="AM8" s="190"/>
      <c r="AN8" s="190"/>
      <c r="AO8" s="190"/>
      <c r="AP8" s="190"/>
      <c r="AQ8" s="347"/>
      <c r="AR8" s="347"/>
      <c r="AS8" s="355"/>
      <c r="AT8" s="355"/>
      <c r="AU8" s="355"/>
      <c r="AV8" s="210"/>
      <c r="AW8" s="355"/>
      <c r="AX8" s="355"/>
      <c r="AY8" s="355"/>
      <c r="AZ8" s="355"/>
      <c r="BA8" s="355"/>
      <c r="BB8" s="355"/>
      <c r="BC8" s="355"/>
      <c r="BD8" s="355"/>
      <c r="BE8" s="355"/>
      <c r="BF8" s="355"/>
      <c r="BG8" s="355"/>
      <c r="BH8" s="355"/>
      <c r="BI8" s="355"/>
      <c r="BJ8" s="355"/>
      <c r="BK8" s="355"/>
      <c r="BL8" s="355"/>
      <c r="BM8" s="355"/>
      <c r="BN8" s="355"/>
      <c r="BO8" s="355">
        <v>0</v>
      </c>
      <c r="BP8" s="888">
        <v>0</v>
      </c>
      <c r="BQ8" s="355"/>
      <c r="BR8" s="355"/>
      <c r="BS8" s="355"/>
      <c r="BT8" s="355"/>
      <c r="BU8" s="355"/>
      <c r="BV8" s="355"/>
      <c r="BW8" s="355">
        <f>SUM(H8:BV8)</f>
        <v>0</v>
      </c>
      <c r="BY8" s="33">
        <f>SUMIFS($H8:$BV8,$H$3:$BV$3,BY$7,$H$6:$BV$6,BY$6)</f>
        <v>0</v>
      </c>
      <c r="BZ8" s="33">
        <f t="shared" ref="BZ8:CF23" si="0">SUMIFS($H8:$BV8,$H$3:$BV$3,BZ$7,$H$6:$BV$6,BZ$6)</f>
        <v>0</v>
      </c>
      <c r="CA8" s="33">
        <f t="shared" si="0"/>
        <v>0</v>
      </c>
      <c r="CB8" s="33">
        <f t="shared" si="0"/>
        <v>0</v>
      </c>
      <c r="CC8" s="33">
        <f t="shared" si="0"/>
        <v>0</v>
      </c>
      <c r="CD8" s="33">
        <f t="shared" si="0"/>
        <v>0</v>
      </c>
      <c r="CE8" s="33">
        <f t="shared" si="0"/>
        <v>0</v>
      </c>
      <c r="CF8" s="33">
        <f t="shared" si="0"/>
        <v>0</v>
      </c>
      <c r="CG8" s="58">
        <f t="shared" ref="CG8:CG39" si="1">SUM(BY8:CE8)-AV8</f>
        <v>0</v>
      </c>
    </row>
    <row r="9" spans="1:85">
      <c r="A9" s="198">
        <v>2010</v>
      </c>
      <c r="B9" s="2">
        <v>103159</v>
      </c>
      <c r="C9" s="2" t="s">
        <v>37</v>
      </c>
      <c r="D9" s="2" t="s">
        <v>38</v>
      </c>
      <c r="E9" s="2" t="s">
        <v>39</v>
      </c>
      <c r="F9" s="208" t="s">
        <v>890</v>
      </c>
      <c r="H9" s="880">
        <v>0</v>
      </c>
      <c r="I9" s="880"/>
      <c r="J9" s="880"/>
      <c r="K9" s="880">
        <v>9825</v>
      </c>
      <c r="L9" s="190">
        <v>0</v>
      </c>
      <c r="M9" s="190">
        <v>0</v>
      </c>
      <c r="N9" s="190">
        <v>0</v>
      </c>
      <c r="O9" s="190">
        <v>0</v>
      </c>
      <c r="P9" s="190">
        <v>0</v>
      </c>
      <c r="Q9" s="190">
        <v>0</v>
      </c>
      <c r="R9" s="190">
        <v>0</v>
      </c>
      <c r="S9" s="190">
        <v>0</v>
      </c>
      <c r="T9" s="209">
        <v>0</v>
      </c>
      <c r="U9" s="209"/>
      <c r="V9" s="209"/>
      <c r="W9" s="209"/>
      <c r="X9" s="190"/>
      <c r="Y9" s="190"/>
      <c r="Z9" s="190"/>
      <c r="AA9" s="190"/>
      <c r="AB9" s="190"/>
      <c r="AC9" s="190"/>
      <c r="AD9" s="190"/>
      <c r="AE9" s="190"/>
      <c r="AF9" s="209"/>
      <c r="AG9" s="209"/>
      <c r="AH9" s="209"/>
      <c r="AI9" s="345"/>
      <c r="AJ9" s="209"/>
      <c r="AK9" s="209"/>
      <c r="AL9" s="190"/>
      <c r="AM9" s="190"/>
      <c r="AN9" s="190"/>
      <c r="AO9" s="190"/>
      <c r="AP9" s="190"/>
      <c r="AQ9" s="347"/>
      <c r="AR9" s="347"/>
      <c r="AS9" s="355"/>
      <c r="AT9" s="355"/>
      <c r="AU9" s="355"/>
      <c r="AV9" s="210"/>
      <c r="AW9" s="355"/>
      <c r="AX9" s="355"/>
      <c r="AY9" s="355"/>
      <c r="AZ9" s="355"/>
      <c r="BA9" s="355"/>
      <c r="BB9" s="355"/>
      <c r="BC9" s="355"/>
      <c r="BD9" s="355"/>
      <c r="BE9" s="355"/>
      <c r="BF9" s="355"/>
      <c r="BG9" s="355"/>
      <c r="BH9" s="355"/>
      <c r="BI9" s="355"/>
      <c r="BJ9" s="355"/>
      <c r="BK9" s="355"/>
      <c r="BL9" s="355"/>
      <c r="BM9" s="355"/>
      <c r="BN9" s="355"/>
      <c r="BO9" s="355">
        <v>0</v>
      </c>
      <c r="BP9" s="888">
        <v>0</v>
      </c>
      <c r="BQ9" s="355"/>
      <c r="BR9" s="355"/>
      <c r="BS9" s="355"/>
      <c r="BT9" s="355"/>
      <c r="BU9" s="355"/>
      <c r="BV9" s="355"/>
      <c r="BW9" s="355">
        <f t="shared" ref="BW9:BW72" si="2">SUM(H9:BV9)</f>
        <v>9825</v>
      </c>
      <c r="BY9" s="33">
        <f t="shared" ref="BY9:CF40" si="3">SUMIFS($H9:$BV9,$H$3:$BV$3,BY$7,$H$6:$BV$6,BY$6)</f>
        <v>0</v>
      </c>
      <c r="BZ9" s="33">
        <f t="shared" si="0"/>
        <v>0</v>
      </c>
      <c r="CA9" s="33">
        <f t="shared" si="0"/>
        <v>0</v>
      </c>
      <c r="CB9" s="33">
        <f t="shared" si="0"/>
        <v>0</v>
      </c>
      <c r="CC9" s="33">
        <f t="shared" si="0"/>
        <v>9825</v>
      </c>
      <c r="CD9" s="33">
        <f t="shared" si="0"/>
        <v>0</v>
      </c>
      <c r="CE9" s="33">
        <f t="shared" si="0"/>
        <v>0</v>
      </c>
      <c r="CF9" s="33">
        <f t="shared" si="0"/>
        <v>0</v>
      </c>
      <c r="CG9" s="58">
        <f t="shared" si="1"/>
        <v>9825</v>
      </c>
    </row>
    <row r="10" spans="1:85">
      <c r="A10" s="198">
        <v>5949</v>
      </c>
      <c r="B10" s="2">
        <v>131465</v>
      </c>
      <c r="C10" s="2" t="s">
        <v>40</v>
      </c>
      <c r="D10" s="2" t="s">
        <v>41</v>
      </c>
      <c r="E10" s="2" t="s">
        <v>39</v>
      </c>
      <c r="F10" s="208" t="s">
        <v>890</v>
      </c>
      <c r="H10" s="880">
        <v>0</v>
      </c>
      <c r="I10" s="880"/>
      <c r="J10" s="880"/>
      <c r="K10" s="880">
        <v>10700</v>
      </c>
      <c r="L10" s="190">
        <v>0</v>
      </c>
      <c r="M10" s="190">
        <v>0</v>
      </c>
      <c r="N10" s="190">
        <v>0</v>
      </c>
      <c r="O10" s="190">
        <v>0</v>
      </c>
      <c r="P10" s="190">
        <v>0</v>
      </c>
      <c r="Q10" s="190">
        <v>0</v>
      </c>
      <c r="R10" s="190">
        <v>0</v>
      </c>
      <c r="S10" s="190">
        <v>0</v>
      </c>
      <c r="T10" s="209">
        <v>2580.52</v>
      </c>
      <c r="U10" s="209"/>
      <c r="V10" s="209"/>
      <c r="W10" s="209"/>
      <c r="X10" s="190"/>
      <c r="Y10" s="190"/>
      <c r="Z10" s="190"/>
      <c r="AA10" s="190"/>
      <c r="AB10" s="190"/>
      <c r="AC10" s="190"/>
      <c r="AD10" s="190"/>
      <c r="AE10" s="190"/>
      <c r="AF10" s="209"/>
      <c r="AG10" s="209"/>
      <c r="AH10" s="209"/>
      <c r="AI10" s="345"/>
      <c r="AJ10" s="209"/>
      <c r="AK10" s="209"/>
      <c r="AL10" s="190"/>
      <c r="AM10" s="190"/>
      <c r="AN10" s="190"/>
      <c r="AO10" s="190"/>
      <c r="AP10" s="190"/>
      <c r="AQ10" s="347"/>
      <c r="AR10" s="347"/>
      <c r="AS10" s="355"/>
      <c r="AT10" s="355"/>
      <c r="AU10" s="355"/>
      <c r="AV10" s="210"/>
      <c r="AW10" s="355"/>
      <c r="AX10" s="355"/>
      <c r="AY10" s="355"/>
      <c r="AZ10" s="355"/>
      <c r="BA10" s="355"/>
      <c r="BB10" s="355"/>
      <c r="BC10" s="355"/>
      <c r="BD10" s="355"/>
      <c r="BE10" s="355"/>
      <c r="BF10" s="355"/>
      <c r="BG10" s="355"/>
      <c r="BH10" s="355"/>
      <c r="BI10" s="355"/>
      <c r="BJ10" s="355"/>
      <c r="BK10" s="355"/>
      <c r="BL10" s="355"/>
      <c r="BM10" s="355"/>
      <c r="BN10" s="355"/>
      <c r="BO10" s="355">
        <v>6259.3</v>
      </c>
      <c r="BP10" s="888">
        <v>-8.4499999999999993</v>
      </c>
      <c r="BQ10" s="355"/>
      <c r="BR10" s="355"/>
      <c r="BS10" s="355"/>
      <c r="BT10" s="355"/>
      <c r="BU10" s="355"/>
      <c r="BV10" s="355"/>
      <c r="BW10" s="355">
        <f t="shared" si="2"/>
        <v>19531.37</v>
      </c>
      <c r="BY10" s="33">
        <f t="shared" si="3"/>
        <v>0</v>
      </c>
      <c r="BZ10" s="33">
        <f t="shared" si="0"/>
        <v>0</v>
      </c>
      <c r="CA10" s="33">
        <f t="shared" si="0"/>
        <v>0</v>
      </c>
      <c r="CB10" s="33">
        <f t="shared" si="0"/>
        <v>0</v>
      </c>
      <c r="CC10" s="33">
        <f t="shared" si="0"/>
        <v>13280.52</v>
      </c>
      <c r="CD10" s="33">
        <f t="shared" si="0"/>
        <v>6259.3</v>
      </c>
      <c r="CE10" s="33">
        <f t="shared" si="0"/>
        <v>0</v>
      </c>
      <c r="CF10" s="33">
        <f t="shared" si="0"/>
        <v>-8.4499999999999993</v>
      </c>
      <c r="CG10" s="58">
        <f t="shared" si="1"/>
        <v>19539.82</v>
      </c>
    </row>
    <row r="11" spans="1:85">
      <c r="A11" s="198">
        <v>1017</v>
      </c>
      <c r="B11" s="2">
        <v>103130</v>
      </c>
      <c r="C11" s="2" t="s">
        <v>42</v>
      </c>
      <c r="D11" s="2" t="s">
        <v>43</v>
      </c>
      <c r="E11" s="2" t="s">
        <v>36</v>
      </c>
      <c r="F11" s="208" t="s">
        <v>890</v>
      </c>
      <c r="H11" s="880">
        <v>0</v>
      </c>
      <c r="I11" s="880"/>
      <c r="J11" s="880"/>
      <c r="K11" s="880">
        <v>0</v>
      </c>
      <c r="L11" s="190">
        <v>0</v>
      </c>
      <c r="M11" s="190">
        <v>0</v>
      </c>
      <c r="N11" s="190">
        <v>0</v>
      </c>
      <c r="O11" s="190">
        <v>0</v>
      </c>
      <c r="P11" s="190">
        <v>0</v>
      </c>
      <c r="Q11" s="190">
        <v>0</v>
      </c>
      <c r="R11" s="190">
        <v>0</v>
      </c>
      <c r="S11" s="190">
        <v>0</v>
      </c>
      <c r="T11" s="209">
        <v>0</v>
      </c>
      <c r="U11" s="209"/>
      <c r="V11" s="209"/>
      <c r="W11" s="209"/>
      <c r="X11" s="190"/>
      <c r="Y11" s="190"/>
      <c r="Z11" s="190"/>
      <c r="AA11" s="190"/>
      <c r="AB11" s="190"/>
      <c r="AC11" s="190"/>
      <c r="AD11" s="190"/>
      <c r="AE11" s="190"/>
      <c r="AF11" s="209"/>
      <c r="AG11" s="209"/>
      <c r="AH11" s="209"/>
      <c r="AI11" s="345"/>
      <c r="AJ11" s="209"/>
      <c r="AK11" s="209"/>
      <c r="AL11" s="190"/>
      <c r="AM11" s="190"/>
      <c r="AN11" s="190"/>
      <c r="AO11" s="190"/>
      <c r="AP11" s="190"/>
      <c r="AQ11" s="347"/>
      <c r="AR11" s="347"/>
      <c r="AS11" s="355"/>
      <c r="AT11" s="355"/>
      <c r="AU11" s="355"/>
      <c r="AV11" s="210"/>
      <c r="AW11" s="355"/>
      <c r="AX11" s="355"/>
      <c r="AY11" s="355"/>
      <c r="AZ11" s="355"/>
      <c r="BA11" s="355"/>
      <c r="BB11" s="355"/>
      <c r="BC11" s="355"/>
      <c r="BD11" s="355"/>
      <c r="BE11" s="355"/>
      <c r="BF11" s="355"/>
      <c r="BG11" s="355"/>
      <c r="BH11" s="355"/>
      <c r="BI11" s="355"/>
      <c r="BJ11" s="355"/>
      <c r="BK11" s="355"/>
      <c r="BL11" s="355"/>
      <c r="BM11" s="355"/>
      <c r="BN11" s="355"/>
      <c r="BO11" s="355">
        <v>0</v>
      </c>
      <c r="BP11" s="888">
        <v>0</v>
      </c>
      <c r="BQ11" s="355"/>
      <c r="BR11" s="355"/>
      <c r="BS11" s="355"/>
      <c r="BT11" s="355"/>
      <c r="BU11" s="355"/>
      <c r="BV11" s="355"/>
      <c r="BW11" s="355">
        <f t="shared" si="2"/>
        <v>0</v>
      </c>
      <c r="BY11" s="33">
        <f t="shared" si="3"/>
        <v>0</v>
      </c>
      <c r="BZ11" s="33">
        <f t="shared" si="0"/>
        <v>0</v>
      </c>
      <c r="CA11" s="33">
        <f t="shared" si="0"/>
        <v>0</v>
      </c>
      <c r="CB11" s="33">
        <f t="shared" si="0"/>
        <v>0</v>
      </c>
      <c r="CC11" s="33">
        <f t="shared" si="0"/>
        <v>0</v>
      </c>
      <c r="CD11" s="33">
        <f t="shared" si="0"/>
        <v>0</v>
      </c>
      <c r="CE11" s="33">
        <f t="shared" si="0"/>
        <v>0</v>
      </c>
      <c r="CF11" s="33">
        <f t="shared" si="0"/>
        <v>0</v>
      </c>
      <c r="CG11" s="58">
        <f t="shared" si="1"/>
        <v>0</v>
      </c>
    </row>
    <row r="12" spans="1:85">
      <c r="A12" s="198">
        <v>2153</v>
      </c>
      <c r="B12" s="2">
        <v>103243</v>
      </c>
      <c r="C12" s="2" t="s">
        <v>44</v>
      </c>
      <c r="D12" s="2" t="s">
        <v>45</v>
      </c>
      <c r="E12" s="2" t="s">
        <v>39</v>
      </c>
      <c r="F12" s="208" t="s">
        <v>890</v>
      </c>
      <c r="H12" s="880">
        <v>6033</v>
      </c>
      <c r="I12" s="880">
        <v>5179</v>
      </c>
      <c r="J12" s="880"/>
      <c r="K12" s="880">
        <v>9780</v>
      </c>
      <c r="L12" s="190">
        <v>0</v>
      </c>
      <c r="M12" s="190">
        <v>0</v>
      </c>
      <c r="N12" s="190">
        <v>0</v>
      </c>
      <c r="O12" s="190">
        <v>0</v>
      </c>
      <c r="P12" s="190">
        <v>0</v>
      </c>
      <c r="Q12" s="190">
        <v>0</v>
      </c>
      <c r="R12" s="190">
        <v>0</v>
      </c>
      <c r="S12" s="190">
        <v>0</v>
      </c>
      <c r="T12" s="209">
        <v>0</v>
      </c>
      <c r="U12" s="209"/>
      <c r="V12" s="209"/>
      <c r="W12" s="209"/>
      <c r="X12" s="190"/>
      <c r="Y12" s="190"/>
      <c r="Z12" s="190"/>
      <c r="AA12" s="190"/>
      <c r="AB12" s="190"/>
      <c r="AC12" s="190"/>
      <c r="AD12" s="190"/>
      <c r="AE12" s="190"/>
      <c r="AF12" s="209"/>
      <c r="AG12" s="209"/>
      <c r="AH12" s="209"/>
      <c r="AI12" s="345"/>
      <c r="AJ12" s="209"/>
      <c r="AK12" s="209"/>
      <c r="AL12" s="190"/>
      <c r="AM12" s="190"/>
      <c r="AN12" s="190"/>
      <c r="AO12" s="190"/>
      <c r="AP12" s="190"/>
      <c r="AQ12" s="347"/>
      <c r="AR12" s="347"/>
      <c r="AS12" s="355"/>
      <c r="AT12" s="355"/>
      <c r="AU12" s="355"/>
      <c r="AV12" s="210"/>
      <c r="AW12" s="355"/>
      <c r="AX12" s="355"/>
      <c r="AY12" s="355"/>
      <c r="AZ12" s="355"/>
      <c r="BA12" s="355"/>
      <c r="BB12" s="355"/>
      <c r="BC12" s="355"/>
      <c r="BD12" s="355"/>
      <c r="BE12" s="355"/>
      <c r="BF12" s="355"/>
      <c r="BG12" s="355"/>
      <c r="BH12" s="355"/>
      <c r="BI12" s="355"/>
      <c r="BJ12" s="355"/>
      <c r="BK12" s="355"/>
      <c r="BL12" s="355"/>
      <c r="BM12" s="355"/>
      <c r="BN12" s="355"/>
      <c r="BO12" s="355">
        <v>3002.69</v>
      </c>
      <c r="BP12" s="888">
        <v>-29.19</v>
      </c>
      <c r="BQ12" s="355"/>
      <c r="BR12" s="355"/>
      <c r="BS12" s="355"/>
      <c r="BT12" s="355"/>
      <c r="BU12" s="355"/>
      <c r="BV12" s="355"/>
      <c r="BW12" s="355">
        <f t="shared" si="2"/>
        <v>23965.5</v>
      </c>
      <c r="BY12" s="33">
        <f t="shared" si="3"/>
        <v>11212</v>
      </c>
      <c r="BZ12" s="33">
        <f t="shared" si="0"/>
        <v>0</v>
      </c>
      <c r="CA12" s="33">
        <f t="shared" si="0"/>
        <v>0</v>
      </c>
      <c r="CB12" s="33">
        <f t="shared" si="0"/>
        <v>0</v>
      </c>
      <c r="CC12" s="33">
        <f t="shared" si="0"/>
        <v>9780</v>
      </c>
      <c r="CD12" s="33">
        <f t="shared" si="0"/>
        <v>3002.69</v>
      </c>
      <c r="CE12" s="33">
        <f t="shared" si="0"/>
        <v>0</v>
      </c>
      <c r="CF12" s="33">
        <f t="shared" si="0"/>
        <v>-29.19</v>
      </c>
      <c r="CG12" s="58">
        <f t="shared" si="1"/>
        <v>23994.69</v>
      </c>
    </row>
    <row r="13" spans="1:85">
      <c r="A13" s="198">
        <v>2062</v>
      </c>
      <c r="B13" s="2">
        <v>103192</v>
      </c>
      <c r="C13" s="2" t="s">
        <v>46</v>
      </c>
      <c r="D13" s="2" t="s">
        <v>47</v>
      </c>
      <c r="E13" s="2" t="s">
        <v>39</v>
      </c>
      <c r="F13" s="208" t="s">
        <v>890</v>
      </c>
      <c r="H13" s="880">
        <v>0</v>
      </c>
      <c r="I13" s="880"/>
      <c r="J13" s="880"/>
      <c r="K13" s="880">
        <v>9750</v>
      </c>
      <c r="L13" s="190">
        <v>0</v>
      </c>
      <c r="M13" s="190">
        <v>0</v>
      </c>
      <c r="N13" s="190">
        <v>0</v>
      </c>
      <c r="O13" s="190">
        <v>0</v>
      </c>
      <c r="P13" s="190">
        <v>0</v>
      </c>
      <c r="Q13" s="190">
        <v>0</v>
      </c>
      <c r="R13" s="190">
        <v>0</v>
      </c>
      <c r="S13" s="190">
        <v>0</v>
      </c>
      <c r="T13" s="209">
        <v>2580.52</v>
      </c>
      <c r="U13" s="209"/>
      <c r="V13" s="209"/>
      <c r="W13" s="209"/>
      <c r="X13" s="190"/>
      <c r="Y13" s="190"/>
      <c r="Z13" s="190"/>
      <c r="AA13" s="190"/>
      <c r="AB13" s="190"/>
      <c r="AC13" s="190"/>
      <c r="AD13" s="190"/>
      <c r="AE13" s="190"/>
      <c r="AF13" s="209"/>
      <c r="AG13" s="209"/>
      <c r="AH13" s="209"/>
      <c r="AI13" s="345"/>
      <c r="AJ13" s="209"/>
      <c r="AK13" s="209"/>
      <c r="AL13" s="190"/>
      <c r="AM13" s="190"/>
      <c r="AN13" s="190"/>
      <c r="AO13" s="190"/>
      <c r="AP13" s="190"/>
      <c r="AQ13" s="347"/>
      <c r="AR13" s="347"/>
      <c r="AS13" s="355"/>
      <c r="AT13" s="355"/>
      <c r="AU13" s="355"/>
      <c r="AV13" s="210"/>
      <c r="AW13" s="355"/>
      <c r="AX13" s="355"/>
      <c r="AY13" s="355"/>
      <c r="AZ13" s="355"/>
      <c r="BA13" s="355"/>
      <c r="BB13" s="355"/>
      <c r="BC13" s="355"/>
      <c r="BD13" s="355"/>
      <c r="BE13" s="355"/>
      <c r="BF13" s="355"/>
      <c r="BG13" s="355"/>
      <c r="BH13" s="355"/>
      <c r="BI13" s="355"/>
      <c r="BJ13" s="355"/>
      <c r="BK13" s="355"/>
      <c r="BL13" s="355"/>
      <c r="BM13" s="355"/>
      <c r="BN13" s="355"/>
      <c r="BO13" s="355">
        <v>3104.09</v>
      </c>
      <c r="BP13" s="888">
        <v>-46.19</v>
      </c>
      <c r="BQ13" s="355"/>
      <c r="BR13" s="355"/>
      <c r="BS13" s="355"/>
      <c r="BT13" s="355"/>
      <c r="BU13" s="355"/>
      <c r="BV13" s="355"/>
      <c r="BW13" s="355">
        <f t="shared" si="2"/>
        <v>15388.42</v>
      </c>
      <c r="BY13" s="33">
        <f t="shared" si="3"/>
        <v>0</v>
      </c>
      <c r="BZ13" s="33">
        <f t="shared" si="0"/>
        <v>0</v>
      </c>
      <c r="CA13" s="33">
        <f t="shared" si="0"/>
        <v>0</v>
      </c>
      <c r="CB13" s="33">
        <f t="shared" si="0"/>
        <v>0</v>
      </c>
      <c r="CC13" s="33">
        <f t="shared" si="0"/>
        <v>12330.52</v>
      </c>
      <c r="CD13" s="33">
        <f t="shared" si="0"/>
        <v>3104.09</v>
      </c>
      <c r="CE13" s="33">
        <f t="shared" si="0"/>
        <v>0</v>
      </c>
      <c r="CF13" s="33">
        <f t="shared" si="0"/>
        <v>-46.19</v>
      </c>
      <c r="CG13" s="58">
        <f t="shared" si="1"/>
        <v>15434.61</v>
      </c>
    </row>
    <row r="14" spans="1:85">
      <c r="A14" s="198">
        <v>2479</v>
      </c>
      <c r="B14" s="2">
        <v>132074</v>
      </c>
      <c r="C14" s="2" t="s">
        <v>48</v>
      </c>
      <c r="D14" s="2" t="s">
        <v>49</v>
      </c>
      <c r="E14" s="2" t="s">
        <v>39</v>
      </c>
      <c r="F14" s="208" t="s">
        <v>890</v>
      </c>
      <c r="H14" s="880">
        <v>1676</v>
      </c>
      <c r="I14" s="880"/>
      <c r="J14" s="880"/>
      <c r="K14" s="880">
        <v>10695</v>
      </c>
      <c r="L14" s="190">
        <v>0</v>
      </c>
      <c r="M14" s="190">
        <v>0</v>
      </c>
      <c r="N14" s="190">
        <v>0</v>
      </c>
      <c r="O14" s="190">
        <v>0</v>
      </c>
      <c r="P14" s="190">
        <v>0</v>
      </c>
      <c r="Q14" s="190">
        <v>0</v>
      </c>
      <c r="R14" s="190">
        <v>0</v>
      </c>
      <c r="S14" s="190">
        <v>0</v>
      </c>
      <c r="T14" s="209">
        <v>0</v>
      </c>
      <c r="U14" s="209"/>
      <c r="V14" s="209"/>
      <c r="W14" s="209"/>
      <c r="X14" s="190"/>
      <c r="Y14" s="190"/>
      <c r="Z14" s="190"/>
      <c r="AA14" s="190"/>
      <c r="AB14" s="190"/>
      <c r="AC14" s="190"/>
      <c r="AD14" s="190"/>
      <c r="AE14" s="190"/>
      <c r="AF14" s="209"/>
      <c r="AG14" s="209"/>
      <c r="AH14" s="209"/>
      <c r="AI14" s="345"/>
      <c r="AJ14" s="209"/>
      <c r="AK14" s="209"/>
      <c r="AL14" s="190"/>
      <c r="AM14" s="190"/>
      <c r="AN14" s="190"/>
      <c r="AO14" s="190"/>
      <c r="AP14" s="190"/>
      <c r="AQ14" s="347"/>
      <c r="AR14" s="347"/>
      <c r="AS14" s="355"/>
      <c r="AT14" s="355"/>
      <c r="AU14" s="355"/>
      <c r="AV14" s="210"/>
      <c r="AW14" s="355"/>
      <c r="AX14" s="355"/>
      <c r="AY14" s="355"/>
      <c r="AZ14" s="355"/>
      <c r="BA14" s="355"/>
      <c r="BB14" s="355"/>
      <c r="BC14" s="355"/>
      <c r="BD14" s="355"/>
      <c r="BE14" s="355"/>
      <c r="BF14" s="355"/>
      <c r="BG14" s="355"/>
      <c r="BH14" s="355"/>
      <c r="BI14" s="355"/>
      <c r="BJ14" s="355"/>
      <c r="BK14" s="355"/>
      <c r="BL14" s="355"/>
      <c r="BM14" s="355"/>
      <c r="BN14" s="355"/>
      <c r="BO14" s="355">
        <v>699.51</v>
      </c>
      <c r="BP14" s="888">
        <v>-33.81</v>
      </c>
      <c r="BQ14" s="355"/>
      <c r="BR14" s="355"/>
      <c r="BS14" s="355"/>
      <c r="BT14" s="355"/>
      <c r="BU14" s="355"/>
      <c r="BV14" s="355"/>
      <c r="BW14" s="355">
        <f t="shared" si="2"/>
        <v>13036.7</v>
      </c>
      <c r="BY14" s="33">
        <f t="shared" si="3"/>
        <v>1676</v>
      </c>
      <c r="BZ14" s="33">
        <f t="shared" si="0"/>
        <v>0</v>
      </c>
      <c r="CA14" s="33">
        <f t="shared" si="0"/>
        <v>0</v>
      </c>
      <c r="CB14" s="33">
        <f t="shared" si="0"/>
        <v>0</v>
      </c>
      <c r="CC14" s="33">
        <f t="shared" si="0"/>
        <v>10695</v>
      </c>
      <c r="CD14" s="33">
        <f t="shared" si="0"/>
        <v>699.51</v>
      </c>
      <c r="CE14" s="33">
        <f t="shared" si="0"/>
        <v>0</v>
      </c>
      <c r="CF14" s="33">
        <f t="shared" si="0"/>
        <v>-33.81</v>
      </c>
      <c r="CG14" s="58">
        <f t="shared" si="1"/>
        <v>13070.51</v>
      </c>
    </row>
    <row r="15" spans="1:85">
      <c r="A15" s="198">
        <v>2300</v>
      </c>
      <c r="B15" s="2">
        <v>103324</v>
      </c>
      <c r="C15" s="2" t="s">
        <v>50</v>
      </c>
      <c r="D15" s="2" t="s">
        <v>51</v>
      </c>
      <c r="E15" s="2" t="s">
        <v>39</v>
      </c>
      <c r="F15" s="208" t="s">
        <v>890</v>
      </c>
      <c r="H15" s="880">
        <v>0</v>
      </c>
      <c r="I15" s="880"/>
      <c r="J15" s="880"/>
      <c r="K15" s="880">
        <v>10745</v>
      </c>
      <c r="L15" s="190">
        <v>0</v>
      </c>
      <c r="M15" s="190">
        <v>0</v>
      </c>
      <c r="N15" s="190">
        <v>0</v>
      </c>
      <c r="O15" s="190">
        <v>0</v>
      </c>
      <c r="P15" s="190">
        <v>0</v>
      </c>
      <c r="Q15" s="190">
        <v>0</v>
      </c>
      <c r="R15" s="190">
        <v>0</v>
      </c>
      <c r="S15" s="190">
        <v>0</v>
      </c>
      <c r="T15" s="209">
        <v>0</v>
      </c>
      <c r="U15" s="209"/>
      <c r="V15" s="209"/>
      <c r="W15" s="209"/>
      <c r="X15" s="190"/>
      <c r="Y15" s="190"/>
      <c r="Z15" s="190"/>
      <c r="AA15" s="190"/>
      <c r="AB15" s="190"/>
      <c r="AC15" s="190"/>
      <c r="AD15" s="190"/>
      <c r="AE15" s="190"/>
      <c r="AF15" s="209"/>
      <c r="AG15" s="209"/>
      <c r="AH15" s="209"/>
      <c r="AI15" s="345"/>
      <c r="AJ15" s="209"/>
      <c r="AK15" s="209"/>
      <c r="AL15" s="190"/>
      <c r="AM15" s="190"/>
      <c r="AN15" s="190"/>
      <c r="AO15" s="190"/>
      <c r="AP15" s="190"/>
      <c r="AQ15" s="347"/>
      <c r="AR15" s="347"/>
      <c r="AS15" s="355"/>
      <c r="AT15" s="355"/>
      <c r="AU15" s="355"/>
      <c r="AV15" s="210"/>
      <c r="AW15" s="355"/>
      <c r="AX15" s="355"/>
      <c r="AY15" s="355"/>
      <c r="AZ15" s="355"/>
      <c r="BA15" s="355"/>
      <c r="BB15" s="355"/>
      <c r="BC15" s="355"/>
      <c r="BD15" s="355"/>
      <c r="BE15" s="355"/>
      <c r="BF15" s="355"/>
      <c r="BG15" s="355"/>
      <c r="BH15" s="355"/>
      <c r="BI15" s="355"/>
      <c r="BJ15" s="355"/>
      <c r="BK15" s="355"/>
      <c r="BL15" s="355"/>
      <c r="BM15" s="355"/>
      <c r="BN15" s="355"/>
      <c r="BO15" s="355">
        <v>0</v>
      </c>
      <c r="BP15" s="888">
        <v>0</v>
      </c>
      <c r="BQ15" s="355"/>
      <c r="BR15" s="355"/>
      <c r="BS15" s="355"/>
      <c r="BT15" s="355"/>
      <c r="BU15" s="355"/>
      <c r="BV15" s="355"/>
      <c r="BW15" s="355">
        <f t="shared" si="2"/>
        <v>10745</v>
      </c>
      <c r="BY15" s="33">
        <f t="shared" si="3"/>
        <v>0</v>
      </c>
      <c r="BZ15" s="33">
        <f t="shared" si="0"/>
        <v>0</v>
      </c>
      <c r="CA15" s="33">
        <f t="shared" si="0"/>
        <v>0</v>
      </c>
      <c r="CB15" s="33">
        <f t="shared" si="0"/>
        <v>0</v>
      </c>
      <c r="CC15" s="33">
        <f t="shared" si="0"/>
        <v>10745</v>
      </c>
      <c r="CD15" s="33">
        <f t="shared" si="0"/>
        <v>0</v>
      </c>
      <c r="CE15" s="33">
        <f t="shared" si="0"/>
        <v>0</v>
      </c>
      <c r="CF15" s="33">
        <f t="shared" si="0"/>
        <v>0</v>
      </c>
      <c r="CG15" s="58">
        <f t="shared" si="1"/>
        <v>10745</v>
      </c>
    </row>
    <row r="16" spans="1:85">
      <c r="A16" s="198">
        <v>2014</v>
      </c>
      <c r="B16" s="2">
        <v>103162</v>
      </c>
      <c r="C16" s="2" t="s">
        <v>52</v>
      </c>
      <c r="D16" s="2" t="s">
        <v>53</v>
      </c>
      <c r="E16" s="2" t="s">
        <v>39</v>
      </c>
      <c r="F16" s="208" t="s">
        <v>890</v>
      </c>
      <c r="H16" s="880">
        <v>0</v>
      </c>
      <c r="I16" s="880"/>
      <c r="J16" s="880"/>
      <c r="K16" s="880">
        <v>9715</v>
      </c>
      <c r="L16" s="190">
        <v>0</v>
      </c>
      <c r="M16" s="190">
        <v>0</v>
      </c>
      <c r="N16" s="190">
        <v>0</v>
      </c>
      <c r="O16" s="190">
        <v>0</v>
      </c>
      <c r="P16" s="190">
        <v>0</v>
      </c>
      <c r="Q16" s="190">
        <v>0</v>
      </c>
      <c r="R16" s="190">
        <v>0</v>
      </c>
      <c r="S16" s="190">
        <v>0</v>
      </c>
      <c r="T16" s="209">
        <v>0</v>
      </c>
      <c r="U16" s="209"/>
      <c r="V16" s="209"/>
      <c r="W16" s="209"/>
      <c r="X16" s="190"/>
      <c r="Y16" s="190"/>
      <c r="Z16" s="190"/>
      <c r="AA16" s="190"/>
      <c r="AB16" s="190"/>
      <c r="AC16" s="190"/>
      <c r="AD16" s="190"/>
      <c r="AE16" s="190"/>
      <c r="AF16" s="209"/>
      <c r="AG16" s="209"/>
      <c r="AH16" s="209"/>
      <c r="AI16" s="345"/>
      <c r="AJ16" s="209"/>
      <c r="AK16" s="209"/>
      <c r="AL16" s="190"/>
      <c r="AM16" s="190"/>
      <c r="AN16" s="190"/>
      <c r="AO16" s="190"/>
      <c r="AP16" s="190"/>
      <c r="AQ16" s="347"/>
      <c r="AR16" s="347"/>
      <c r="AS16" s="355"/>
      <c r="AT16" s="355"/>
      <c r="AU16" s="355"/>
      <c r="AV16" s="210"/>
      <c r="AW16" s="355"/>
      <c r="AX16" s="355"/>
      <c r="AY16" s="355"/>
      <c r="AZ16" s="355"/>
      <c r="BA16" s="355"/>
      <c r="BB16" s="355"/>
      <c r="BC16" s="355"/>
      <c r="BD16" s="355"/>
      <c r="BE16" s="355"/>
      <c r="BF16" s="355"/>
      <c r="BG16" s="355"/>
      <c r="BH16" s="355"/>
      <c r="BI16" s="355"/>
      <c r="BJ16" s="355"/>
      <c r="BK16" s="355"/>
      <c r="BL16" s="355"/>
      <c r="BM16" s="355"/>
      <c r="BN16" s="355"/>
      <c r="BO16" s="355">
        <v>226.58</v>
      </c>
      <c r="BP16" s="888">
        <v>-3.99</v>
      </c>
      <c r="BQ16" s="355"/>
      <c r="BR16" s="355"/>
      <c r="BS16" s="355"/>
      <c r="BT16" s="355"/>
      <c r="BU16" s="355"/>
      <c r="BV16" s="355"/>
      <c r="BW16" s="355">
        <f t="shared" si="2"/>
        <v>9937.59</v>
      </c>
      <c r="BY16" s="33">
        <f t="shared" si="3"/>
        <v>0</v>
      </c>
      <c r="BZ16" s="33">
        <f t="shared" si="0"/>
        <v>0</v>
      </c>
      <c r="CA16" s="33">
        <f t="shared" si="0"/>
        <v>0</v>
      </c>
      <c r="CB16" s="33">
        <f t="shared" si="0"/>
        <v>0</v>
      </c>
      <c r="CC16" s="33">
        <f t="shared" si="0"/>
        <v>9715</v>
      </c>
      <c r="CD16" s="33">
        <f t="shared" si="0"/>
        <v>226.58</v>
      </c>
      <c r="CE16" s="33">
        <f t="shared" si="0"/>
        <v>0</v>
      </c>
      <c r="CF16" s="33">
        <f t="shared" si="0"/>
        <v>-3.99</v>
      </c>
      <c r="CG16" s="58">
        <f t="shared" si="1"/>
        <v>9941.58</v>
      </c>
    </row>
    <row r="17" spans="1:85">
      <c r="A17" s="198">
        <v>7016</v>
      </c>
      <c r="B17" s="2">
        <v>103606</v>
      </c>
      <c r="C17" s="2" t="s">
        <v>54</v>
      </c>
      <c r="D17" s="2" t="s">
        <v>55</v>
      </c>
      <c r="E17" s="2" t="s">
        <v>56</v>
      </c>
      <c r="F17" s="208" t="s">
        <v>890</v>
      </c>
      <c r="H17" s="880">
        <v>0</v>
      </c>
      <c r="I17" s="880"/>
      <c r="J17" s="880"/>
      <c r="K17" s="880">
        <v>0</v>
      </c>
      <c r="L17" s="190">
        <v>0</v>
      </c>
      <c r="M17" s="190">
        <v>0</v>
      </c>
      <c r="N17" s="190">
        <v>0</v>
      </c>
      <c r="O17" s="190">
        <v>0</v>
      </c>
      <c r="P17" s="190">
        <v>0</v>
      </c>
      <c r="Q17" s="190">
        <v>0</v>
      </c>
      <c r="R17" s="190">
        <v>0</v>
      </c>
      <c r="S17" s="190">
        <v>0</v>
      </c>
      <c r="T17" s="209">
        <v>0</v>
      </c>
      <c r="U17" s="209"/>
      <c r="V17" s="209"/>
      <c r="W17" s="209"/>
      <c r="X17" s="190"/>
      <c r="Y17" s="190"/>
      <c r="Z17" s="190"/>
      <c r="AA17" s="190"/>
      <c r="AB17" s="190"/>
      <c r="AC17" s="190"/>
      <c r="AD17" s="190"/>
      <c r="AE17" s="190"/>
      <c r="AF17" s="209"/>
      <c r="AG17" s="209"/>
      <c r="AH17" s="209"/>
      <c r="AI17" s="345"/>
      <c r="AJ17" s="209"/>
      <c r="AK17" s="209"/>
      <c r="AL17" s="190"/>
      <c r="AM17" s="190"/>
      <c r="AN17" s="190"/>
      <c r="AO17" s="190"/>
      <c r="AP17" s="190"/>
      <c r="AQ17" s="347"/>
      <c r="AR17" s="347"/>
      <c r="AS17" s="355"/>
      <c r="AT17" s="355"/>
      <c r="AU17" s="355"/>
      <c r="AV17" s="210"/>
      <c r="AW17" s="355"/>
      <c r="AX17" s="355"/>
      <c r="AY17" s="355"/>
      <c r="AZ17" s="355"/>
      <c r="BA17" s="355"/>
      <c r="BB17" s="355"/>
      <c r="BC17" s="355"/>
      <c r="BD17" s="355"/>
      <c r="BE17" s="355"/>
      <c r="BF17" s="355"/>
      <c r="BG17" s="355"/>
      <c r="BH17" s="355"/>
      <c r="BI17" s="355"/>
      <c r="BJ17" s="355"/>
      <c r="BK17" s="355"/>
      <c r="BL17" s="355"/>
      <c r="BM17" s="355"/>
      <c r="BN17" s="355"/>
      <c r="BO17" s="355">
        <v>0</v>
      </c>
      <c r="BP17" s="888">
        <v>0</v>
      </c>
      <c r="BQ17" s="355"/>
      <c r="BR17" s="355"/>
      <c r="BS17" s="355"/>
      <c r="BT17" s="355"/>
      <c r="BU17" s="355"/>
      <c r="BV17" s="355"/>
      <c r="BW17" s="355">
        <f t="shared" si="2"/>
        <v>0</v>
      </c>
      <c r="BY17" s="33">
        <f t="shared" si="3"/>
        <v>0</v>
      </c>
      <c r="BZ17" s="33">
        <f t="shared" si="0"/>
        <v>0</v>
      </c>
      <c r="CA17" s="33">
        <f t="shared" si="0"/>
        <v>0</v>
      </c>
      <c r="CB17" s="33">
        <f t="shared" si="0"/>
        <v>0</v>
      </c>
      <c r="CC17" s="33">
        <f t="shared" si="0"/>
        <v>0</v>
      </c>
      <c r="CD17" s="33">
        <f t="shared" si="0"/>
        <v>0</v>
      </c>
      <c r="CE17" s="33">
        <f t="shared" si="0"/>
        <v>0</v>
      </c>
      <c r="CF17" s="33">
        <f t="shared" si="0"/>
        <v>0</v>
      </c>
      <c r="CG17" s="58">
        <f t="shared" si="1"/>
        <v>0</v>
      </c>
    </row>
    <row r="18" spans="1:85">
      <c r="A18" s="198">
        <v>7052</v>
      </c>
      <c r="B18" s="2">
        <v>103627</v>
      </c>
      <c r="C18" s="2" t="s">
        <v>57</v>
      </c>
      <c r="D18" s="2" t="s">
        <v>58</v>
      </c>
      <c r="E18" s="2" t="s">
        <v>56</v>
      </c>
      <c r="F18" s="208" t="s">
        <v>890</v>
      </c>
      <c r="H18" s="880">
        <v>0</v>
      </c>
      <c r="I18" s="880"/>
      <c r="J18" s="880"/>
      <c r="K18" s="880">
        <v>8425</v>
      </c>
      <c r="L18" s="190">
        <v>0</v>
      </c>
      <c r="M18" s="190">
        <v>0</v>
      </c>
      <c r="N18" s="190">
        <v>0</v>
      </c>
      <c r="O18" s="190">
        <v>0</v>
      </c>
      <c r="P18" s="190">
        <v>0</v>
      </c>
      <c r="Q18" s="190">
        <v>0</v>
      </c>
      <c r="R18" s="190">
        <v>0</v>
      </c>
      <c r="S18" s="190">
        <v>0</v>
      </c>
      <c r="T18" s="209">
        <v>0</v>
      </c>
      <c r="U18" s="209"/>
      <c r="V18" s="209"/>
      <c r="W18" s="209"/>
      <c r="X18" s="190"/>
      <c r="Y18" s="190"/>
      <c r="Z18" s="190"/>
      <c r="AA18" s="190"/>
      <c r="AB18" s="190"/>
      <c r="AC18" s="190"/>
      <c r="AD18" s="190"/>
      <c r="AE18" s="190"/>
      <c r="AF18" s="209"/>
      <c r="AG18" s="209"/>
      <c r="AH18" s="209"/>
      <c r="AI18" s="345"/>
      <c r="AJ18" s="209"/>
      <c r="AK18" s="209"/>
      <c r="AL18" s="190"/>
      <c r="AM18" s="190"/>
      <c r="AN18" s="190"/>
      <c r="AO18" s="190"/>
      <c r="AP18" s="190"/>
      <c r="AQ18" s="347"/>
      <c r="AR18" s="347"/>
      <c r="AS18" s="355"/>
      <c r="AT18" s="355"/>
      <c r="AU18" s="355"/>
      <c r="AV18" s="210"/>
      <c r="AW18" s="355"/>
      <c r="AX18" s="355"/>
      <c r="AY18" s="355"/>
      <c r="AZ18" s="355"/>
      <c r="BA18" s="355"/>
      <c r="BB18" s="355"/>
      <c r="BC18" s="355"/>
      <c r="BD18" s="355"/>
      <c r="BE18" s="355"/>
      <c r="BF18" s="355"/>
      <c r="BG18" s="355"/>
      <c r="BH18" s="355"/>
      <c r="BI18" s="355"/>
      <c r="BJ18" s="355"/>
      <c r="BK18" s="355"/>
      <c r="BL18" s="355"/>
      <c r="BM18" s="355"/>
      <c r="BN18" s="355"/>
      <c r="BO18" s="355">
        <v>0</v>
      </c>
      <c r="BP18" s="888">
        <v>-27.66</v>
      </c>
      <c r="BQ18" s="355"/>
      <c r="BR18" s="355"/>
      <c r="BS18" s="355"/>
      <c r="BT18" s="355"/>
      <c r="BU18" s="355"/>
      <c r="BV18" s="355"/>
      <c r="BW18" s="355">
        <f t="shared" si="2"/>
        <v>8397.34</v>
      </c>
      <c r="BY18" s="33">
        <f t="shared" si="3"/>
        <v>0</v>
      </c>
      <c r="BZ18" s="33">
        <f t="shared" si="0"/>
        <v>0</v>
      </c>
      <c r="CA18" s="33">
        <f t="shared" si="0"/>
        <v>0</v>
      </c>
      <c r="CB18" s="33">
        <f t="shared" si="0"/>
        <v>0</v>
      </c>
      <c r="CC18" s="33">
        <f t="shared" si="0"/>
        <v>8425</v>
      </c>
      <c r="CD18" s="33">
        <f t="shared" si="0"/>
        <v>0</v>
      </c>
      <c r="CE18" s="33">
        <f t="shared" si="0"/>
        <v>0</v>
      </c>
      <c r="CF18" s="33">
        <f t="shared" si="0"/>
        <v>-27.66</v>
      </c>
      <c r="CG18" s="58">
        <f t="shared" si="1"/>
        <v>8425</v>
      </c>
    </row>
    <row r="19" spans="1:85">
      <c r="A19" s="198">
        <v>2017</v>
      </c>
      <c r="B19" s="2">
        <v>103164</v>
      </c>
      <c r="C19" s="2" t="s">
        <v>59</v>
      </c>
      <c r="D19" s="2" t="s">
        <v>60</v>
      </c>
      <c r="E19" s="2" t="s">
        <v>39</v>
      </c>
      <c r="F19" s="208" t="s">
        <v>890</v>
      </c>
      <c r="H19" s="880">
        <v>0</v>
      </c>
      <c r="I19" s="880"/>
      <c r="J19" s="880"/>
      <c r="K19" s="880">
        <v>8890</v>
      </c>
      <c r="L19" s="190">
        <v>0</v>
      </c>
      <c r="M19" s="190">
        <v>0</v>
      </c>
      <c r="N19" s="190">
        <v>0</v>
      </c>
      <c r="O19" s="190">
        <v>0</v>
      </c>
      <c r="P19" s="190">
        <v>0</v>
      </c>
      <c r="Q19" s="190">
        <v>0</v>
      </c>
      <c r="R19" s="190">
        <v>0</v>
      </c>
      <c r="S19" s="190">
        <v>0</v>
      </c>
      <c r="T19" s="209">
        <v>0</v>
      </c>
      <c r="U19" s="209"/>
      <c r="V19" s="209"/>
      <c r="W19" s="209"/>
      <c r="X19" s="190"/>
      <c r="Y19" s="190"/>
      <c r="Z19" s="190"/>
      <c r="AA19" s="190"/>
      <c r="AB19" s="190"/>
      <c r="AC19" s="190"/>
      <c r="AD19" s="190"/>
      <c r="AE19" s="190"/>
      <c r="AF19" s="209"/>
      <c r="AG19" s="209"/>
      <c r="AH19" s="209"/>
      <c r="AI19" s="345"/>
      <c r="AJ19" s="209"/>
      <c r="AK19" s="209"/>
      <c r="AL19" s="190"/>
      <c r="AM19" s="190"/>
      <c r="AN19" s="190"/>
      <c r="AO19" s="190"/>
      <c r="AP19" s="190"/>
      <c r="AQ19" s="347"/>
      <c r="AR19" s="347"/>
      <c r="AS19" s="355"/>
      <c r="AT19" s="355"/>
      <c r="AU19" s="355"/>
      <c r="AV19" s="210"/>
      <c r="AW19" s="355"/>
      <c r="AX19" s="355"/>
      <c r="AY19" s="355"/>
      <c r="AZ19" s="355"/>
      <c r="BA19" s="355"/>
      <c r="BB19" s="355"/>
      <c r="BC19" s="355"/>
      <c r="BD19" s="355"/>
      <c r="BE19" s="355"/>
      <c r="BF19" s="355"/>
      <c r="BG19" s="355"/>
      <c r="BH19" s="355"/>
      <c r="BI19" s="355"/>
      <c r="BJ19" s="355"/>
      <c r="BK19" s="355"/>
      <c r="BL19" s="355"/>
      <c r="BM19" s="355"/>
      <c r="BN19" s="355"/>
      <c r="BO19" s="355">
        <v>73.739999999999995</v>
      </c>
      <c r="BP19" s="888">
        <v>-8.9499999999999993</v>
      </c>
      <c r="BQ19" s="355"/>
      <c r="BR19" s="355"/>
      <c r="BS19" s="355"/>
      <c r="BT19" s="355"/>
      <c r="BU19" s="355"/>
      <c r="BV19" s="355"/>
      <c r="BW19" s="355">
        <f t="shared" si="2"/>
        <v>8954.7899999999991</v>
      </c>
      <c r="BY19" s="33">
        <f t="shared" si="3"/>
        <v>0</v>
      </c>
      <c r="BZ19" s="33">
        <f t="shared" si="0"/>
        <v>0</v>
      </c>
      <c r="CA19" s="33">
        <f t="shared" si="0"/>
        <v>0</v>
      </c>
      <c r="CB19" s="33">
        <f t="shared" si="0"/>
        <v>0</v>
      </c>
      <c r="CC19" s="33">
        <f t="shared" si="0"/>
        <v>8890</v>
      </c>
      <c r="CD19" s="33">
        <f t="shared" si="0"/>
        <v>73.739999999999995</v>
      </c>
      <c r="CE19" s="33">
        <f t="shared" si="0"/>
        <v>0</v>
      </c>
      <c r="CF19" s="33">
        <f t="shared" si="0"/>
        <v>-8.9499999999999993</v>
      </c>
      <c r="CG19" s="58">
        <f t="shared" si="1"/>
        <v>8963.74</v>
      </c>
    </row>
    <row r="20" spans="1:85">
      <c r="A20" s="198">
        <v>2016</v>
      </c>
      <c r="B20" s="2">
        <v>103163</v>
      </c>
      <c r="C20" s="2" t="s">
        <v>61</v>
      </c>
      <c r="D20" s="2" t="s">
        <v>62</v>
      </c>
      <c r="E20" s="2" t="s">
        <v>39</v>
      </c>
      <c r="F20" s="208" t="s">
        <v>890</v>
      </c>
      <c r="H20" s="880">
        <v>0</v>
      </c>
      <c r="I20" s="880"/>
      <c r="J20" s="880"/>
      <c r="K20" s="880">
        <v>9800</v>
      </c>
      <c r="L20" s="190">
        <v>0</v>
      </c>
      <c r="M20" s="190">
        <v>0</v>
      </c>
      <c r="N20" s="190">
        <v>0</v>
      </c>
      <c r="O20" s="190">
        <v>0</v>
      </c>
      <c r="P20" s="190">
        <v>0</v>
      </c>
      <c r="Q20" s="190">
        <v>0</v>
      </c>
      <c r="R20" s="190">
        <v>0</v>
      </c>
      <c r="S20" s="190">
        <v>0</v>
      </c>
      <c r="T20" s="209">
        <v>0</v>
      </c>
      <c r="U20" s="209"/>
      <c r="V20" s="209"/>
      <c r="W20" s="209"/>
      <c r="X20" s="190"/>
      <c r="Y20" s="190"/>
      <c r="Z20" s="190"/>
      <c r="AA20" s="190"/>
      <c r="AB20" s="190"/>
      <c r="AC20" s="190"/>
      <c r="AD20" s="190"/>
      <c r="AE20" s="190"/>
      <c r="AF20" s="209"/>
      <c r="AG20" s="209"/>
      <c r="AH20" s="209"/>
      <c r="AI20" s="345"/>
      <c r="AJ20" s="209"/>
      <c r="AK20" s="209"/>
      <c r="AL20" s="190"/>
      <c r="AM20" s="190"/>
      <c r="AN20" s="190"/>
      <c r="AO20" s="190"/>
      <c r="AP20" s="190"/>
      <c r="AQ20" s="347"/>
      <c r="AR20" s="347"/>
      <c r="AS20" s="355"/>
      <c r="AT20" s="355"/>
      <c r="AU20" s="355"/>
      <c r="AV20" s="210"/>
      <c r="AW20" s="355"/>
      <c r="AX20" s="355"/>
      <c r="AY20" s="355"/>
      <c r="AZ20" s="355"/>
      <c r="BA20" s="355"/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  <c r="BN20" s="355"/>
      <c r="BO20" s="355">
        <v>1751.36</v>
      </c>
      <c r="BP20" s="888">
        <v>-3.27</v>
      </c>
      <c r="BQ20" s="355"/>
      <c r="BR20" s="355"/>
      <c r="BS20" s="355"/>
      <c r="BT20" s="355"/>
      <c r="BU20" s="355"/>
      <c r="BV20" s="355"/>
      <c r="BW20" s="355">
        <f t="shared" si="2"/>
        <v>11548.09</v>
      </c>
      <c r="BY20" s="33">
        <f t="shared" si="3"/>
        <v>0</v>
      </c>
      <c r="BZ20" s="33">
        <f t="shared" si="0"/>
        <v>0</v>
      </c>
      <c r="CA20" s="33">
        <f t="shared" si="0"/>
        <v>0</v>
      </c>
      <c r="CB20" s="33">
        <f t="shared" si="0"/>
        <v>0</v>
      </c>
      <c r="CC20" s="33">
        <f t="shared" si="0"/>
        <v>9800</v>
      </c>
      <c r="CD20" s="33">
        <f t="shared" si="0"/>
        <v>1751.36</v>
      </c>
      <c r="CE20" s="33">
        <f t="shared" si="0"/>
        <v>0</v>
      </c>
      <c r="CF20" s="33">
        <f t="shared" si="0"/>
        <v>-3.27</v>
      </c>
      <c r="CG20" s="58">
        <f t="shared" si="1"/>
        <v>11551.36</v>
      </c>
    </row>
    <row r="21" spans="1:85">
      <c r="A21" s="198">
        <v>2239</v>
      </c>
      <c r="B21" s="2">
        <v>103289</v>
      </c>
      <c r="C21" s="2" t="s">
        <v>63</v>
      </c>
      <c r="D21" s="2" t="s">
        <v>64</v>
      </c>
      <c r="E21" s="2" t="s">
        <v>39</v>
      </c>
      <c r="F21" s="208" t="s">
        <v>890</v>
      </c>
      <c r="H21" s="880">
        <v>0</v>
      </c>
      <c r="I21" s="880"/>
      <c r="J21" s="880"/>
      <c r="K21" s="880">
        <v>8500</v>
      </c>
      <c r="L21" s="190">
        <v>28774.05</v>
      </c>
      <c r="M21" s="190">
        <v>3197.1166666666668</v>
      </c>
      <c r="N21" s="190">
        <v>3197.1166666666668</v>
      </c>
      <c r="O21" s="190">
        <v>3197.1166666666668</v>
      </c>
      <c r="P21" s="190">
        <v>0</v>
      </c>
      <c r="Q21" s="190">
        <v>0</v>
      </c>
      <c r="R21" s="190">
        <v>0</v>
      </c>
      <c r="S21" s="190">
        <v>0</v>
      </c>
      <c r="T21" s="209">
        <v>2580.52</v>
      </c>
      <c r="U21" s="209"/>
      <c r="V21" s="209"/>
      <c r="W21" s="209"/>
      <c r="X21" s="190"/>
      <c r="Y21" s="190"/>
      <c r="Z21" s="190"/>
      <c r="AA21" s="190"/>
      <c r="AB21" s="190"/>
      <c r="AC21" s="190"/>
      <c r="AD21" s="190"/>
      <c r="AE21" s="190"/>
      <c r="AF21" s="209"/>
      <c r="AG21" s="209"/>
      <c r="AH21" s="209"/>
      <c r="AI21" s="345"/>
      <c r="AJ21" s="209"/>
      <c r="AK21" s="209"/>
      <c r="AL21" s="190"/>
      <c r="AM21" s="190"/>
      <c r="AN21" s="190"/>
      <c r="AO21" s="190"/>
      <c r="AP21" s="190"/>
      <c r="AQ21" s="347"/>
      <c r="AR21" s="347"/>
      <c r="AS21" s="355"/>
      <c r="AT21" s="355"/>
      <c r="AU21" s="355"/>
      <c r="AV21" s="210"/>
      <c r="AW21" s="355"/>
      <c r="AX21" s="355"/>
      <c r="AY21" s="355"/>
      <c r="AZ21" s="355"/>
      <c r="BA21" s="355"/>
      <c r="BB21" s="355"/>
      <c r="BC21" s="355"/>
      <c r="BD21" s="355"/>
      <c r="BE21" s="355"/>
      <c r="BF21" s="355"/>
      <c r="BG21" s="355"/>
      <c r="BH21" s="355"/>
      <c r="BI21" s="355"/>
      <c r="BJ21" s="355"/>
      <c r="BK21" s="355"/>
      <c r="BL21" s="355"/>
      <c r="BM21" s="355"/>
      <c r="BN21" s="355"/>
      <c r="BO21" s="355">
        <v>0</v>
      </c>
      <c r="BP21" s="888">
        <v>-9.41</v>
      </c>
      <c r="BQ21" s="355"/>
      <c r="BR21" s="355"/>
      <c r="BS21" s="355"/>
      <c r="BT21" s="355"/>
      <c r="BU21" s="355"/>
      <c r="BV21" s="355"/>
      <c r="BW21" s="355">
        <f t="shared" si="2"/>
        <v>49436.51</v>
      </c>
      <c r="BY21" s="33">
        <f t="shared" si="3"/>
        <v>31971.166666666664</v>
      </c>
      <c r="BZ21" s="33">
        <f t="shared" si="0"/>
        <v>0</v>
      </c>
      <c r="CA21" s="33">
        <f t="shared" si="0"/>
        <v>0</v>
      </c>
      <c r="CB21" s="33">
        <f t="shared" si="0"/>
        <v>0</v>
      </c>
      <c r="CC21" s="33">
        <f t="shared" si="0"/>
        <v>11080.52</v>
      </c>
      <c r="CD21" s="33">
        <f t="shared" si="0"/>
        <v>0</v>
      </c>
      <c r="CE21" s="33">
        <f t="shared" si="0"/>
        <v>0</v>
      </c>
      <c r="CF21" s="33">
        <f t="shared" si="0"/>
        <v>-9.41</v>
      </c>
      <c r="CG21" s="58">
        <f t="shared" si="1"/>
        <v>43051.686666666661</v>
      </c>
    </row>
    <row r="22" spans="1:85">
      <c r="A22" s="198">
        <v>2241</v>
      </c>
      <c r="B22" s="2">
        <v>103291</v>
      </c>
      <c r="C22" s="2" t="s">
        <v>65</v>
      </c>
      <c r="D22" s="2" t="s">
        <v>66</v>
      </c>
      <c r="E22" s="2" t="s">
        <v>39</v>
      </c>
      <c r="F22" s="208" t="s">
        <v>890</v>
      </c>
      <c r="H22" s="880">
        <v>0</v>
      </c>
      <c r="I22" s="880"/>
      <c r="J22" s="880"/>
      <c r="K22" s="880">
        <v>9165</v>
      </c>
      <c r="L22" s="190">
        <v>0</v>
      </c>
      <c r="M22" s="190">
        <v>0</v>
      </c>
      <c r="N22" s="190">
        <v>0</v>
      </c>
      <c r="O22" s="190">
        <v>0</v>
      </c>
      <c r="P22" s="190">
        <v>0</v>
      </c>
      <c r="Q22" s="190">
        <v>0</v>
      </c>
      <c r="R22" s="190">
        <v>0</v>
      </c>
      <c r="S22" s="190">
        <v>0</v>
      </c>
      <c r="T22" s="209">
        <v>7075.24</v>
      </c>
      <c r="U22" s="209"/>
      <c r="V22" s="209"/>
      <c r="W22" s="209"/>
      <c r="X22" s="190"/>
      <c r="Y22" s="190"/>
      <c r="Z22" s="190"/>
      <c r="AA22" s="190"/>
      <c r="AB22" s="190"/>
      <c r="AC22" s="190"/>
      <c r="AD22" s="190"/>
      <c r="AE22" s="190"/>
      <c r="AF22" s="209"/>
      <c r="AG22" s="209"/>
      <c r="AH22" s="209"/>
      <c r="AI22" s="345"/>
      <c r="AJ22" s="209"/>
      <c r="AK22" s="209"/>
      <c r="AL22" s="190"/>
      <c r="AM22" s="190"/>
      <c r="AN22" s="190"/>
      <c r="AO22" s="190"/>
      <c r="AP22" s="190"/>
      <c r="AQ22" s="347"/>
      <c r="AR22" s="347"/>
      <c r="AS22" s="355"/>
      <c r="AT22" s="355"/>
      <c r="AU22" s="355"/>
      <c r="AV22" s="210"/>
      <c r="AW22" s="355"/>
      <c r="AX22" s="355"/>
      <c r="AY22" s="355"/>
      <c r="AZ22" s="355"/>
      <c r="BA22" s="355"/>
      <c r="BB22" s="355"/>
      <c r="BC22" s="355"/>
      <c r="BD22" s="355"/>
      <c r="BE22" s="355"/>
      <c r="BF22" s="355"/>
      <c r="BG22" s="355"/>
      <c r="BH22" s="355"/>
      <c r="BI22" s="355"/>
      <c r="BJ22" s="355"/>
      <c r="BK22" s="355"/>
      <c r="BL22" s="355"/>
      <c r="BM22" s="355"/>
      <c r="BN22" s="355"/>
      <c r="BO22" s="355">
        <v>0</v>
      </c>
      <c r="BP22" s="888">
        <v>0</v>
      </c>
      <c r="BQ22" s="355"/>
      <c r="BR22" s="355"/>
      <c r="BS22" s="355"/>
      <c r="BT22" s="355"/>
      <c r="BU22" s="355"/>
      <c r="BV22" s="355"/>
      <c r="BW22" s="355">
        <f t="shared" si="2"/>
        <v>16240.24</v>
      </c>
      <c r="BY22" s="33">
        <f t="shared" si="3"/>
        <v>0</v>
      </c>
      <c r="BZ22" s="33">
        <f t="shared" si="0"/>
        <v>0</v>
      </c>
      <c r="CA22" s="33">
        <f t="shared" si="0"/>
        <v>0</v>
      </c>
      <c r="CB22" s="33">
        <f t="shared" si="0"/>
        <v>0</v>
      </c>
      <c r="CC22" s="33">
        <f t="shared" si="0"/>
        <v>16240.24</v>
      </c>
      <c r="CD22" s="33">
        <f t="shared" si="0"/>
        <v>0</v>
      </c>
      <c r="CE22" s="33">
        <f t="shared" si="0"/>
        <v>0</v>
      </c>
      <c r="CF22" s="33">
        <f t="shared" si="0"/>
        <v>0</v>
      </c>
      <c r="CG22" s="58">
        <f t="shared" si="1"/>
        <v>16240.24</v>
      </c>
    </row>
    <row r="23" spans="1:85">
      <c r="A23" s="198">
        <v>2456</v>
      </c>
      <c r="B23" s="2">
        <v>103383</v>
      </c>
      <c r="C23" s="2" t="s">
        <v>67</v>
      </c>
      <c r="D23" s="2" t="s">
        <v>68</v>
      </c>
      <c r="E23" s="2" t="s">
        <v>39</v>
      </c>
      <c r="F23" s="208" t="s">
        <v>890</v>
      </c>
      <c r="H23" s="880">
        <v>0</v>
      </c>
      <c r="I23" s="880"/>
      <c r="J23" s="880"/>
      <c r="K23" s="880">
        <v>8860</v>
      </c>
      <c r="L23" s="190">
        <v>0</v>
      </c>
      <c r="M23" s="190">
        <v>0</v>
      </c>
      <c r="N23" s="190">
        <v>0</v>
      </c>
      <c r="O23" s="190">
        <v>0</v>
      </c>
      <c r="P23" s="190">
        <v>0</v>
      </c>
      <c r="Q23" s="190">
        <v>0</v>
      </c>
      <c r="R23" s="190">
        <v>0</v>
      </c>
      <c r="S23" s="190">
        <v>0</v>
      </c>
      <c r="T23" s="209">
        <v>0</v>
      </c>
      <c r="U23" s="209"/>
      <c r="V23" s="209"/>
      <c r="W23" s="209"/>
      <c r="X23" s="190"/>
      <c r="Y23" s="190"/>
      <c r="Z23" s="190"/>
      <c r="AA23" s="190"/>
      <c r="AB23" s="190"/>
      <c r="AC23" s="190"/>
      <c r="AD23" s="190"/>
      <c r="AE23" s="190"/>
      <c r="AF23" s="209"/>
      <c r="AG23" s="209"/>
      <c r="AH23" s="209"/>
      <c r="AI23" s="345"/>
      <c r="AJ23" s="209"/>
      <c r="AK23" s="209"/>
      <c r="AL23" s="190"/>
      <c r="AM23" s="190"/>
      <c r="AN23" s="190"/>
      <c r="AO23" s="190"/>
      <c r="AP23" s="190"/>
      <c r="AQ23" s="347"/>
      <c r="AR23" s="347"/>
      <c r="AS23" s="355"/>
      <c r="AT23" s="355"/>
      <c r="AU23" s="355"/>
      <c r="AV23" s="210"/>
      <c r="AW23" s="355"/>
      <c r="AX23" s="355"/>
      <c r="AY23" s="355"/>
      <c r="AZ23" s="355"/>
      <c r="BA23" s="355"/>
      <c r="BB23" s="355"/>
      <c r="BC23" s="355"/>
      <c r="BD23" s="355"/>
      <c r="BE23" s="355"/>
      <c r="BF23" s="355"/>
      <c r="BG23" s="355"/>
      <c r="BH23" s="355"/>
      <c r="BI23" s="355"/>
      <c r="BJ23" s="355"/>
      <c r="BK23" s="355"/>
      <c r="BL23" s="355"/>
      <c r="BM23" s="355"/>
      <c r="BN23" s="355"/>
      <c r="BO23" s="355">
        <v>208.89</v>
      </c>
      <c r="BP23" s="888">
        <v>-31.33</v>
      </c>
      <c r="BQ23" s="355"/>
      <c r="BR23" s="355"/>
      <c r="BS23" s="355"/>
      <c r="BT23" s="355"/>
      <c r="BU23" s="355"/>
      <c r="BV23" s="355"/>
      <c r="BW23" s="355">
        <f t="shared" si="2"/>
        <v>9037.56</v>
      </c>
      <c r="BY23" s="33">
        <f t="shared" si="3"/>
        <v>0</v>
      </c>
      <c r="BZ23" s="33">
        <f t="shared" si="0"/>
        <v>0</v>
      </c>
      <c r="CA23" s="33">
        <f t="shared" si="0"/>
        <v>0</v>
      </c>
      <c r="CB23" s="33">
        <f t="shared" si="0"/>
        <v>0</v>
      </c>
      <c r="CC23" s="33">
        <f t="shared" si="0"/>
        <v>8860</v>
      </c>
      <c r="CD23" s="33">
        <f t="shared" si="0"/>
        <v>208.89</v>
      </c>
      <c r="CE23" s="33">
        <f t="shared" si="0"/>
        <v>0</v>
      </c>
      <c r="CF23" s="33">
        <f t="shared" si="0"/>
        <v>-31.33</v>
      </c>
      <c r="CG23" s="58">
        <f t="shared" si="1"/>
        <v>9068.89</v>
      </c>
    </row>
    <row r="24" spans="1:85">
      <c r="A24" s="198">
        <v>5413</v>
      </c>
      <c r="B24" s="2">
        <v>103560</v>
      </c>
      <c r="C24" s="2" t="s">
        <v>69</v>
      </c>
      <c r="D24" s="2" t="s">
        <v>70</v>
      </c>
      <c r="E24" s="2" t="s">
        <v>71</v>
      </c>
      <c r="F24" s="208" t="s">
        <v>890</v>
      </c>
      <c r="H24" s="880">
        <v>0</v>
      </c>
      <c r="I24" s="880"/>
      <c r="J24" s="880"/>
      <c r="K24" s="880">
        <v>0</v>
      </c>
      <c r="L24" s="190">
        <v>0</v>
      </c>
      <c r="M24" s="190">
        <v>0</v>
      </c>
      <c r="N24" s="190">
        <v>0</v>
      </c>
      <c r="O24" s="190">
        <v>0</v>
      </c>
      <c r="P24" s="190">
        <v>0</v>
      </c>
      <c r="Q24" s="190">
        <v>0</v>
      </c>
      <c r="R24" s="190">
        <v>0</v>
      </c>
      <c r="S24" s="190">
        <v>0</v>
      </c>
      <c r="T24" s="209">
        <v>0</v>
      </c>
      <c r="U24" s="209"/>
      <c r="V24" s="209"/>
      <c r="W24" s="209"/>
      <c r="X24" s="190"/>
      <c r="Y24" s="190"/>
      <c r="Z24" s="190"/>
      <c r="AA24" s="190"/>
      <c r="AB24" s="190"/>
      <c r="AC24" s="190"/>
      <c r="AD24" s="190"/>
      <c r="AE24" s="190"/>
      <c r="AF24" s="209"/>
      <c r="AG24" s="209"/>
      <c r="AH24" s="209"/>
      <c r="AI24" s="345"/>
      <c r="AJ24" s="209"/>
      <c r="AK24" s="209"/>
      <c r="AL24" s="190"/>
      <c r="AM24" s="190"/>
      <c r="AN24" s="190"/>
      <c r="AO24" s="190"/>
      <c r="AP24" s="190"/>
      <c r="AQ24" s="347"/>
      <c r="AR24" s="347"/>
      <c r="AS24" s="355"/>
      <c r="AT24" s="355"/>
      <c r="AU24" s="355"/>
      <c r="AV24" s="210"/>
      <c r="AW24" s="355"/>
      <c r="AX24" s="355"/>
      <c r="AY24" s="355"/>
      <c r="AZ24" s="355"/>
      <c r="BA24" s="355"/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  <c r="BN24" s="355"/>
      <c r="BO24" s="355">
        <v>0</v>
      </c>
      <c r="BP24" s="888">
        <v>0</v>
      </c>
      <c r="BQ24" s="355"/>
      <c r="BR24" s="355"/>
      <c r="BS24" s="355"/>
      <c r="BT24" s="355"/>
      <c r="BU24" s="355"/>
      <c r="BV24" s="355"/>
      <c r="BW24" s="355">
        <f t="shared" si="2"/>
        <v>0</v>
      </c>
      <c r="BY24" s="33">
        <f t="shared" si="3"/>
        <v>0</v>
      </c>
      <c r="BZ24" s="33">
        <f t="shared" si="3"/>
        <v>0</v>
      </c>
      <c r="CA24" s="33">
        <f t="shared" si="3"/>
        <v>0</v>
      </c>
      <c r="CB24" s="33">
        <f t="shared" si="3"/>
        <v>0</v>
      </c>
      <c r="CC24" s="33">
        <f t="shared" si="3"/>
        <v>0</v>
      </c>
      <c r="CD24" s="33">
        <f t="shared" si="3"/>
        <v>0</v>
      </c>
      <c r="CE24" s="33">
        <f t="shared" si="3"/>
        <v>0</v>
      </c>
      <c r="CF24" s="33">
        <f t="shared" si="3"/>
        <v>0</v>
      </c>
      <c r="CG24" s="58">
        <f t="shared" si="1"/>
        <v>0</v>
      </c>
    </row>
    <row r="25" spans="1:85">
      <c r="A25" s="198">
        <v>2254</v>
      </c>
      <c r="B25" s="2">
        <v>103300</v>
      </c>
      <c r="C25" s="2" t="s">
        <v>72</v>
      </c>
      <c r="D25" s="2" t="s">
        <v>73</v>
      </c>
      <c r="E25" s="2" t="s">
        <v>39</v>
      </c>
      <c r="F25" s="208" t="s">
        <v>890</v>
      </c>
      <c r="H25" s="880">
        <v>2514</v>
      </c>
      <c r="I25" s="880"/>
      <c r="J25" s="880"/>
      <c r="K25" s="880">
        <v>10345</v>
      </c>
      <c r="L25" s="190">
        <v>0</v>
      </c>
      <c r="M25" s="190">
        <v>0</v>
      </c>
      <c r="N25" s="190">
        <v>0</v>
      </c>
      <c r="O25" s="190">
        <v>0</v>
      </c>
      <c r="P25" s="190">
        <v>0</v>
      </c>
      <c r="Q25" s="190">
        <v>0</v>
      </c>
      <c r="R25" s="190">
        <v>0</v>
      </c>
      <c r="S25" s="190">
        <v>0</v>
      </c>
      <c r="T25" s="209">
        <v>0</v>
      </c>
      <c r="U25" s="209"/>
      <c r="V25" s="209"/>
      <c r="W25" s="209"/>
      <c r="X25" s="190"/>
      <c r="Y25" s="190"/>
      <c r="Z25" s="190"/>
      <c r="AA25" s="190"/>
      <c r="AB25" s="190"/>
      <c r="AC25" s="190"/>
      <c r="AD25" s="190"/>
      <c r="AE25" s="190"/>
      <c r="AF25" s="209"/>
      <c r="AG25" s="209"/>
      <c r="AH25" s="209"/>
      <c r="AI25" s="345"/>
      <c r="AJ25" s="209"/>
      <c r="AK25" s="209"/>
      <c r="AL25" s="190"/>
      <c r="AM25" s="190"/>
      <c r="AN25" s="190"/>
      <c r="AO25" s="190"/>
      <c r="AP25" s="190"/>
      <c r="AQ25" s="347"/>
      <c r="AR25" s="347"/>
      <c r="AS25" s="355"/>
      <c r="AT25" s="355"/>
      <c r="AU25" s="355"/>
      <c r="AV25" s="210"/>
      <c r="AW25" s="355"/>
      <c r="AX25" s="355"/>
      <c r="AY25" s="355"/>
      <c r="AZ25" s="355"/>
      <c r="BA25" s="355"/>
      <c r="BB25" s="355"/>
      <c r="BC25" s="355"/>
      <c r="BD25" s="355"/>
      <c r="BE25" s="355"/>
      <c r="BF25" s="355"/>
      <c r="BG25" s="355"/>
      <c r="BH25" s="355"/>
      <c r="BI25" s="355"/>
      <c r="BJ25" s="355"/>
      <c r="BK25" s="355"/>
      <c r="BL25" s="355"/>
      <c r="BM25" s="355"/>
      <c r="BN25" s="355"/>
      <c r="BO25" s="355">
        <v>0</v>
      </c>
      <c r="BP25" s="888">
        <v>-60.79</v>
      </c>
      <c r="BQ25" s="355"/>
      <c r="BR25" s="355"/>
      <c r="BS25" s="355"/>
      <c r="BT25" s="355"/>
      <c r="BU25" s="355"/>
      <c r="BV25" s="355"/>
      <c r="BW25" s="355">
        <f t="shared" si="2"/>
        <v>12798.21</v>
      </c>
      <c r="BY25" s="33">
        <f t="shared" si="3"/>
        <v>2514</v>
      </c>
      <c r="BZ25" s="33">
        <f t="shared" si="3"/>
        <v>0</v>
      </c>
      <c r="CA25" s="33">
        <f t="shared" si="3"/>
        <v>0</v>
      </c>
      <c r="CB25" s="33">
        <f t="shared" si="3"/>
        <v>0</v>
      </c>
      <c r="CC25" s="33">
        <f t="shared" si="3"/>
        <v>10345</v>
      </c>
      <c r="CD25" s="33">
        <f t="shared" si="3"/>
        <v>0</v>
      </c>
      <c r="CE25" s="33">
        <f t="shared" si="3"/>
        <v>0</v>
      </c>
      <c r="CF25" s="33">
        <f t="shared" si="3"/>
        <v>-60.79</v>
      </c>
      <c r="CG25" s="58">
        <f t="shared" si="1"/>
        <v>12859</v>
      </c>
    </row>
    <row r="26" spans="1:85">
      <c r="A26" s="198">
        <v>1025</v>
      </c>
      <c r="B26" s="2">
        <v>103138</v>
      </c>
      <c r="C26" s="2" t="s">
        <v>74</v>
      </c>
      <c r="D26" s="2" t="s">
        <v>75</v>
      </c>
      <c r="E26" s="2" t="s">
        <v>36</v>
      </c>
      <c r="F26" s="208" t="s">
        <v>890</v>
      </c>
      <c r="H26" s="880">
        <v>0</v>
      </c>
      <c r="I26" s="880"/>
      <c r="J26" s="880"/>
      <c r="K26" s="880">
        <v>0</v>
      </c>
      <c r="L26" s="190">
        <v>0</v>
      </c>
      <c r="M26" s="190">
        <v>0</v>
      </c>
      <c r="N26" s="190">
        <v>0</v>
      </c>
      <c r="O26" s="190">
        <v>0</v>
      </c>
      <c r="P26" s="190">
        <v>0</v>
      </c>
      <c r="Q26" s="190">
        <v>0</v>
      </c>
      <c r="R26" s="190">
        <v>0</v>
      </c>
      <c r="S26" s="190">
        <v>0</v>
      </c>
      <c r="T26" s="209">
        <v>0</v>
      </c>
      <c r="U26" s="209"/>
      <c r="V26" s="209"/>
      <c r="W26" s="209"/>
      <c r="X26" s="190"/>
      <c r="Y26" s="190"/>
      <c r="Z26" s="190"/>
      <c r="AA26" s="190"/>
      <c r="AB26" s="190"/>
      <c r="AC26" s="190"/>
      <c r="AD26" s="190"/>
      <c r="AE26" s="190"/>
      <c r="AF26" s="209"/>
      <c r="AG26" s="209"/>
      <c r="AH26" s="209"/>
      <c r="AI26" s="345"/>
      <c r="AJ26" s="209"/>
      <c r="AK26" s="209"/>
      <c r="AL26" s="190"/>
      <c r="AM26" s="190"/>
      <c r="AN26" s="190"/>
      <c r="AO26" s="190"/>
      <c r="AP26" s="190"/>
      <c r="AQ26" s="347"/>
      <c r="AR26" s="347"/>
      <c r="AS26" s="355"/>
      <c r="AT26" s="355"/>
      <c r="AU26" s="355"/>
      <c r="AV26" s="210"/>
      <c r="AW26" s="355"/>
      <c r="AX26" s="355"/>
      <c r="AY26" s="355"/>
      <c r="AZ26" s="355"/>
      <c r="BA26" s="355"/>
      <c r="BB26" s="355"/>
      <c r="BC26" s="355"/>
      <c r="BD26" s="355"/>
      <c r="BE26" s="355"/>
      <c r="BF26" s="355"/>
      <c r="BG26" s="355"/>
      <c r="BH26" s="355"/>
      <c r="BI26" s="355"/>
      <c r="BJ26" s="355"/>
      <c r="BK26" s="355"/>
      <c r="BL26" s="355"/>
      <c r="BM26" s="355"/>
      <c r="BN26" s="355"/>
      <c r="BO26" s="355">
        <v>2740</v>
      </c>
      <c r="BP26" s="888">
        <v>-15.29</v>
      </c>
      <c r="BQ26" s="355"/>
      <c r="BR26" s="355"/>
      <c r="BS26" s="355"/>
      <c r="BT26" s="355"/>
      <c r="BU26" s="355"/>
      <c r="BV26" s="355"/>
      <c r="BW26" s="355">
        <f t="shared" si="2"/>
        <v>2724.71</v>
      </c>
      <c r="BY26" s="33">
        <f t="shared" si="3"/>
        <v>0</v>
      </c>
      <c r="BZ26" s="33">
        <f t="shared" si="3"/>
        <v>0</v>
      </c>
      <c r="CA26" s="33">
        <f t="shared" si="3"/>
        <v>0</v>
      </c>
      <c r="CB26" s="33">
        <f t="shared" si="3"/>
        <v>0</v>
      </c>
      <c r="CC26" s="33">
        <f t="shared" si="3"/>
        <v>0</v>
      </c>
      <c r="CD26" s="33">
        <f t="shared" si="3"/>
        <v>2740</v>
      </c>
      <c r="CE26" s="33">
        <f t="shared" si="3"/>
        <v>0</v>
      </c>
      <c r="CF26" s="33">
        <f t="shared" si="3"/>
        <v>-15.29</v>
      </c>
      <c r="CG26" s="58">
        <f t="shared" si="1"/>
        <v>2740</v>
      </c>
    </row>
    <row r="27" spans="1:85">
      <c r="A27" s="198">
        <v>2402</v>
      </c>
      <c r="B27" s="2">
        <v>103342</v>
      </c>
      <c r="C27" s="2" t="s">
        <v>76</v>
      </c>
      <c r="D27" s="2" t="s">
        <v>77</v>
      </c>
      <c r="E27" s="2" t="s">
        <v>39</v>
      </c>
      <c r="F27" s="208" t="s">
        <v>890</v>
      </c>
      <c r="H27" s="880">
        <v>3687</v>
      </c>
      <c r="I27" s="880"/>
      <c r="J27" s="880"/>
      <c r="K27" s="880">
        <v>8925</v>
      </c>
      <c r="L27" s="190">
        <v>0</v>
      </c>
      <c r="M27" s="190">
        <v>0</v>
      </c>
      <c r="N27" s="190">
        <v>0</v>
      </c>
      <c r="O27" s="190">
        <v>0</v>
      </c>
      <c r="P27" s="190">
        <v>0</v>
      </c>
      <c r="Q27" s="190">
        <v>0</v>
      </c>
      <c r="R27" s="190">
        <v>0</v>
      </c>
      <c r="S27" s="190">
        <v>0</v>
      </c>
      <c r="T27" s="209">
        <v>0</v>
      </c>
      <c r="U27" s="209"/>
      <c r="V27" s="209"/>
      <c r="W27" s="209"/>
      <c r="X27" s="190"/>
      <c r="Y27" s="190"/>
      <c r="Z27" s="190"/>
      <c r="AA27" s="190"/>
      <c r="AB27" s="190"/>
      <c r="AC27" s="190"/>
      <c r="AD27" s="190"/>
      <c r="AE27" s="190"/>
      <c r="AF27" s="209"/>
      <c r="AG27" s="209"/>
      <c r="AH27" s="209"/>
      <c r="AI27" s="345"/>
      <c r="AJ27" s="209"/>
      <c r="AK27" s="209"/>
      <c r="AL27" s="190"/>
      <c r="AM27" s="190"/>
      <c r="AN27" s="190"/>
      <c r="AO27" s="190"/>
      <c r="AP27" s="190"/>
      <c r="AQ27" s="347"/>
      <c r="AR27" s="347"/>
      <c r="AS27" s="355"/>
      <c r="AT27" s="355"/>
      <c r="AU27" s="355"/>
      <c r="AV27" s="210"/>
      <c r="AW27" s="355"/>
      <c r="AX27" s="355"/>
      <c r="AY27" s="355"/>
      <c r="AZ27" s="355"/>
      <c r="BA27" s="355"/>
      <c r="BB27" s="355"/>
      <c r="BC27" s="355"/>
      <c r="BD27" s="355"/>
      <c r="BE27" s="355"/>
      <c r="BF27" s="355"/>
      <c r="BG27" s="355"/>
      <c r="BH27" s="355"/>
      <c r="BI27" s="355"/>
      <c r="BJ27" s="355"/>
      <c r="BK27" s="355"/>
      <c r="BL27" s="355"/>
      <c r="BM27" s="355"/>
      <c r="BN27" s="355"/>
      <c r="BO27" s="355">
        <v>0</v>
      </c>
      <c r="BP27" s="888">
        <v>0</v>
      </c>
      <c r="BQ27" s="355"/>
      <c r="BR27" s="355"/>
      <c r="BS27" s="355"/>
      <c r="BT27" s="355"/>
      <c r="BU27" s="355"/>
      <c r="BV27" s="355"/>
      <c r="BW27" s="355">
        <f t="shared" si="2"/>
        <v>12612</v>
      </c>
      <c r="BY27" s="33">
        <f t="shared" si="3"/>
        <v>3687</v>
      </c>
      <c r="BZ27" s="33">
        <f t="shared" si="3"/>
        <v>0</v>
      </c>
      <c r="CA27" s="33">
        <f t="shared" si="3"/>
        <v>0</v>
      </c>
      <c r="CB27" s="33">
        <f t="shared" si="3"/>
        <v>0</v>
      </c>
      <c r="CC27" s="33">
        <f t="shared" si="3"/>
        <v>8925</v>
      </c>
      <c r="CD27" s="33">
        <f t="shared" si="3"/>
        <v>0</v>
      </c>
      <c r="CE27" s="33">
        <f t="shared" si="3"/>
        <v>0</v>
      </c>
      <c r="CF27" s="33">
        <f t="shared" si="3"/>
        <v>0</v>
      </c>
      <c r="CG27" s="58">
        <f t="shared" si="1"/>
        <v>12612</v>
      </c>
    </row>
    <row r="28" spans="1:85">
      <c r="A28" s="198">
        <v>2401</v>
      </c>
      <c r="B28" s="2">
        <v>103341</v>
      </c>
      <c r="C28" s="2" t="s">
        <v>78</v>
      </c>
      <c r="D28" s="2" t="s">
        <v>79</v>
      </c>
      <c r="E28" s="2" t="s">
        <v>39</v>
      </c>
      <c r="F28" s="208" t="s">
        <v>890</v>
      </c>
      <c r="H28" s="880">
        <v>0</v>
      </c>
      <c r="I28" s="880"/>
      <c r="J28" s="880"/>
      <c r="K28" s="880">
        <v>9905</v>
      </c>
      <c r="L28" s="190">
        <v>0</v>
      </c>
      <c r="M28" s="190">
        <v>0</v>
      </c>
      <c r="N28" s="190">
        <v>0</v>
      </c>
      <c r="O28" s="190">
        <v>0</v>
      </c>
      <c r="P28" s="190">
        <v>0</v>
      </c>
      <c r="Q28" s="190">
        <v>0</v>
      </c>
      <c r="R28" s="190">
        <v>0</v>
      </c>
      <c r="S28" s="190">
        <v>0</v>
      </c>
      <c r="T28" s="209">
        <v>0</v>
      </c>
      <c r="U28" s="209"/>
      <c r="V28" s="209"/>
      <c r="W28" s="209"/>
      <c r="X28" s="190"/>
      <c r="Y28" s="190"/>
      <c r="Z28" s="190"/>
      <c r="AA28" s="190"/>
      <c r="AB28" s="190"/>
      <c r="AC28" s="190"/>
      <c r="AD28" s="190"/>
      <c r="AE28" s="190"/>
      <c r="AF28" s="209"/>
      <c r="AG28" s="209"/>
      <c r="AH28" s="209"/>
      <c r="AI28" s="345"/>
      <c r="AJ28" s="209"/>
      <c r="AK28" s="209"/>
      <c r="AL28" s="190"/>
      <c r="AM28" s="190"/>
      <c r="AN28" s="190"/>
      <c r="AO28" s="190"/>
      <c r="AP28" s="190"/>
      <c r="AQ28" s="347"/>
      <c r="AR28" s="347"/>
      <c r="AS28" s="355"/>
      <c r="AT28" s="355"/>
      <c r="AU28" s="355"/>
      <c r="AV28" s="210"/>
      <c r="AW28" s="355"/>
      <c r="AX28" s="355"/>
      <c r="AY28" s="355"/>
      <c r="AZ28" s="355"/>
      <c r="BA28" s="355"/>
      <c r="BB28" s="355"/>
      <c r="BC28" s="355"/>
      <c r="BD28" s="355"/>
      <c r="BE28" s="355"/>
      <c r="BF28" s="355"/>
      <c r="BG28" s="355"/>
      <c r="BH28" s="355"/>
      <c r="BI28" s="355"/>
      <c r="BJ28" s="355"/>
      <c r="BK28" s="355"/>
      <c r="BL28" s="355"/>
      <c r="BM28" s="355"/>
      <c r="BN28" s="355"/>
      <c r="BO28" s="355">
        <v>0</v>
      </c>
      <c r="BP28" s="888">
        <v>0</v>
      </c>
      <c r="BQ28" s="355"/>
      <c r="BR28" s="355"/>
      <c r="BS28" s="355"/>
      <c r="BT28" s="355"/>
      <c r="BU28" s="355"/>
      <c r="BV28" s="355"/>
      <c r="BW28" s="355">
        <f t="shared" si="2"/>
        <v>9905</v>
      </c>
      <c r="BY28" s="33">
        <f t="shared" si="3"/>
        <v>0</v>
      </c>
      <c r="BZ28" s="33">
        <f t="shared" si="3"/>
        <v>0</v>
      </c>
      <c r="CA28" s="33">
        <f t="shared" si="3"/>
        <v>0</v>
      </c>
      <c r="CB28" s="33">
        <f t="shared" si="3"/>
        <v>0</v>
      </c>
      <c r="CC28" s="33">
        <f t="shared" si="3"/>
        <v>9905</v>
      </c>
      <c r="CD28" s="33">
        <f t="shared" si="3"/>
        <v>0</v>
      </c>
      <c r="CE28" s="33">
        <f t="shared" si="3"/>
        <v>0</v>
      </c>
      <c r="CF28" s="33">
        <f t="shared" si="3"/>
        <v>0</v>
      </c>
      <c r="CG28" s="58">
        <f t="shared" si="1"/>
        <v>9905</v>
      </c>
    </row>
    <row r="29" spans="1:85">
      <c r="A29" s="198">
        <v>1001</v>
      </c>
      <c r="B29" s="2">
        <v>103120</v>
      </c>
      <c r="C29" s="2" t="s">
        <v>80</v>
      </c>
      <c r="D29" s="2" t="s">
        <v>81</v>
      </c>
      <c r="E29" s="2" t="s">
        <v>36</v>
      </c>
      <c r="F29" s="208" t="s">
        <v>890</v>
      </c>
      <c r="H29" s="880">
        <v>0</v>
      </c>
      <c r="I29" s="880"/>
      <c r="J29" s="880"/>
      <c r="K29" s="880">
        <v>0</v>
      </c>
      <c r="L29" s="190">
        <v>0</v>
      </c>
      <c r="M29" s="190">
        <v>0</v>
      </c>
      <c r="N29" s="190">
        <v>0</v>
      </c>
      <c r="O29" s="190">
        <v>0</v>
      </c>
      <c r="P29" s="190">
        <v>0</v>
      </c>
      <c r="Q29" s="190">
        <v>0</v>
      </c>
      <c r="R29" s="190">
        <v>0</v>
      </c>
      <c r="S29" s="190">
        <v>0</v>
      </c>
      <c r="T29" s="209">
        <v>0</v>
      </c>
      <c r="U29" s="209"/>
      <c r="V29" s="209"/>
      <c r="W29" s="209"/>
      <c r="X29" s="190"/>
      <c r="Y29" s="190"/>
      <c r="Z29" s="190"/>
      <c r="AA29" s="190"/>
      <c r="AB29" s="190"/>
      <c r="AC29" s="190"/>
      <c r="AD29" s="190"/>
      <c r="AE29" s="190"/>
      <c r="AF29" s="209"/>
      <c r="AG29" s="209"/>
      <c r="AH29" s="209"/>
      <c r="AI29" s="345"/>
      <c r="AJ29" s="209"/>
      <c r="AK29" s="209"/>
      <c r="AL29" s="190"/>
      <c r="AM29" s="190"/>
      <c r="AN29" s="190"/>
      <c r="AO29" s="190"/>
      <c r="AP29" s="190"/>
      <c r="AQ29" s="347"/>
      <c r="AR29" s="347"/>
      <c r="AS29" s="355"/>
      <c r="AT29" s="355"/>
      <c r="AU29" s="355"/>
      <c r="AV29" s="210"/>
      <c r="AW29" s="355"/>
      <c r="AX29" s="355"/>
      <c r="AY29" s="355"/>
      <c r="AZ29" s="355"/>
      <c r="BA29" s="355"/>
      <c r="BB29" s="355"/>
      <c r="BC29" s="355"/>
      <c r="BD29" s="355"/>
      <c r="BE29" s="355"/>
      <c r="BF29" s="355"/>
      <c r="BG29" s="355"/>
      <c r="BH29" s="355"/>
      <c r="BI29" s="355"/>
      <c r="BJ29" s="355"/>
      <c r="BK29" s="355"/>
      <c r="BL29" s="355"/>
      <c r="BM29" s="355"/>
      <c r="BN29" s="355"/>
      <c r="BO29" s="355">
        <v>0</v>
      </c>
      <c r="BP29" s="888">
        <v>-44.11</v>
      </c>
      <c r="BQ29" s="355"/>
      <c r="BR29" s="355"/>
      <c r="BS29" s="355"/>
      <c r="BT29" s="355"/>
      <c r="BU29" s="355"/>
      <c r="BV29" s="355"/>
      <c r="BW29" s="355">
        <f t="shared" si="2"/>
        <v>-44.11</v>
      </c>
      <c r="BY29" s="33">
        <f t="shared" si="3"/>
        <v>0</v>
      </c>
      <c r="BZ29" s="33">
        <f t="shared" si="3"/>
        <v>0</v>
      </c>
      <c r="CA29" s="33">
        <f t="shared" si="3"/>
        <v>0</v>
      </c>
      <c r="CB29" s="33">
        <f t="shared" si="3"/>
        <v>0</v>
      </c>
      <c r="CC29" s="33">
        <f t="shared" si="3"/>
        <v>0</v>
      </c>
      <c r="CD29" s="33">
        <f t="shared" si="3"/>
        <v>0</v>
      </c>
      <c r="CE29" s="33">
        <f t="shared" si="3"/>
        <v>0</v>
      </c>
      <c r="CF29" s="33">
        <f t="shared" si="3"/>
        <v>-44.11</v>
      </c>
      <c r="CG29" s="58">
        <f t="shared" si="1"/>
        <v>0</v>
      </c>
    </row>
    <row r="30" spans="1:85">
      <c r="A30" s="198">
        <v>4115</v>
      </c>
      <c r="B30" s="2">
        <v>103493</v>
      </c>
      <c r="C30" s="2" t="s">
        <v>82</v>
      </c>
      <c r="D30" s="2" t="s">
        <v>83</v>
      </c>
      <c r="E30" s="2" t="s">
        <v>71</v>
      </c>
      <c r="F30" s="208" t="s">
        <v>890</v>
      </c>
      <c r="H30" s="880">
        <v>2011</v>
      </c>
      <c r="I30" s="880"/>
      <c r="J30" s="880"/>
      <c r="K30" s="880">
        <v>0</v>
      </c>
      <c r="L30" s="190">
        <v>0</v>
      </c>
      <c r="M30" s="190">
        <v>0</v>
      </c>
      <c r="N30" s="190">
        <v>0</v>
      </c>
      <c r="O30" s="190">
        <v>0</v>
      </c>
      <c r="P30" s="190">
        <v>0</v>
      </c>
      <c r="Q30" s="190">
        <v>0</v>
      </c>
      <c r="R30" s="190">
        <v>0</v>
      </c>
      <c r="S30" s="190">
        <v>0</v>
      </c>
      <c r="T30" s="209">
        <v>0</v>
      </c>
      <c r="U30" s="209"/>
      <c r="V30" s="209"/>
      <c r="W30" s="209"/>
      <c r="X30" s="190"/>
      <c r="Y30" s="190"/>
      <c r="Z30" s="190"/>
      <c r="AA30" s="190"/>
      <c r="AB30" s="190"/>
      <c r="AC30" s="190"/>
      <c r="AD30" s="190"/>
      <c r="AE30" s="190"/>
      <c r="AF30" s="209"/>
      <c r="AG30" s="209"/>
      <c r="AH30" s="209"/>
      <c r="AI30" s="345"/>
      <c r="AJ30" s="209"/>
      <c r="AK30" s="209"/>
      <c r="AL30" s="190"/>
      <c r="AM30" s="190"/>
      <c r="AN30" s="190"/>
      <c r="AO30" s="190"/>
      <c r="AP30" s="190"/>
      <c r="AQ30" s="347"/>
      <c r="AR30" s="347"/>
      <c r="AS30" s="355"/>
      <c r="AT30" s="355"/>
      <c r="AU30" s="355"/>
      <c r="AV30" s="210"/>
      <c r="AW30" s="355"/>
      <c r="AX30" s="355"/>
      <c r="AY30" s="355"/>
      <c r="AZ30" s="355"/>
      <c r="BA30" s="355"/>
      <c r="BB30" s="355"/>
      <c r="BC30" s="355"/>
      <c r="BD30" s="355"/>
      <c r="BE30" s="355"/>
      <c r="BF30" s="355"/>
      <c r="BG30" s="355"/>
      <c r="BH30" s="355"/>
      <c r="BI30" s="355"/>
      <c r="BJ30" s="355"/>
      <c r="BK30" s="355"/>
      <c r="BL30" s="355"/>
      <c r="BM30" s="355"/>
      <c r="BN30" s="355"/>
      <c r="BO30" s="355">
        <v>0</v>
      </c>
      <c r="BP30" s="888">
        <v>0</v>
      </c>
      <c r="BQ30" s="355"/>
      <c r="BR30" s="355"/>
      <c r="BS30" s="355"/>
      <c r="BT30" s="355"/>
      <c r="BU30" s="355"/>
      <c r="BV30" s="355"/>
      <c r="BW30" s="355">
        <f t="shared" si="2"/>
        <v>2011</v>
      </c>
      <c r="BY30" s="33">
        <f t="shared" si="3"/>
        <v>2011</v>
      </c>
      <c r="BZ30" s="33">
        <f t="shared" si="3"/>
        <v>0</v>
      </c>
      <c r="CA30" s="33">
        <f t="shared" si="3"/>
        <v>0</v>
      </c>
      <c r="CB30" s="33">
        <f t="shared" si="3"/>
        <v>0</v>
      </c>
      <c r="CC30" s="33">
        <f t="shared" si="3"/>
        <v>0</v>
      </c>
      <c r="CD30" s="33">
        <f t="shared" si="3"/>
        <v>0</v>
      </c>
      <c r="CE30" s="33">
        <f t="shared" si="3"/>
        <v>0</v>
      </c>
      <c r="CF30" s="33">
        <f t="shared" si="3"/>
        <v>0</v>
      </c>
      <c r="CG30" s="58">
        <f t="shared" si="1"/>
        <v>2011</v>
      </c>
    </row>
    <row r="31" spans="1:85">
      <c r="A31" s="198">
        <v>2030</v>
      </c>
      <c r="B31" s="2">
        <v>103172</v>
      </c>
      <c r="C31" s="2" t="s">
        <v>84</v>
      </c>
      <c r="D31" s="2" t="s">
        <v>85</v>
      </c>
      <c r="E31" s="2" t="s">
        <v>39</v>
      </c>
      <c r="F31" s="208" t="s">
        <v>890</v>
      </c>
      <c r="H31" s="880">
        <v>0</v>
      </c>
      <c r="I31" s="880"/>
      <c r="J31" s="880"/>
      <c r="K31" s="880">
        <v>10660</v>
      </c>
      <c r="L31" s="190">
        <v>0</v>
      </c>
      <c r="M31" s="190">
        <v>0</v>
      </c>
      <c r="N31" s="190">
        <v>0</v>
      </c>
      <c r="O31" s="190">
        <v>0</v>
      </c>
      <c r="P31" s="190">
        <v>0</v>
      </c>
      <c r="Q31" s="190">
        <v>0</v>
      </c>
      <c r="R31" s="190">
        <v>0</v>
      </c>
      <c r="S31" s="190">
        <v>0</v>
      </c>
      <c r="T31" s="209">
        <v>0</v>
      </c>
      <c r="U31" s="209"/>
      <c r="V31" s="209"/>
      <c r="W31" s="209"/>
      <c r="X31" s="190"/>
      <c r="Y31" s="190"/>
      <c r="Z31" s="190"/>
      <c r="AA31" s="190"/>
      <c r="AB31" s="190"/>
      <c r="AC31" s="190"/>
      <c r="AD31" s="190"/>
      <c r="AE31" s="190"/>
      <c r="AF31" s="209"/>
      <c r="AG31" s="209"/>
      <c r="AH31" s="209"/>
      <c r="AI31" s="345"/>
      <c r="AJ31" s="209"/>
      <c r="AK31" s="209"/>
      <c r="AL31" s="190"/>
      <c r="AM31" s="190"/>
      <c r="AN31" s="190"/>
      <c r="AO31" s="190"/>
      <c r="AP31" s="190"/>
      <c r="AQ31" s="347"/>
      <c r="AR31" s="347"/>
      <c r="AS31" s="355"/>
      <c r="AT31" s="355"/>
      <c r="AU31" s="355"/>
      <c r="AV31" s="210"/>
      <c r="AW31" s="355"/>
      <c r="AX31" s="355"/>
      <c r="AY31" s="355"/>
      <c r="AZ31" s="355"/>
      <c r="BA31" s="355"/>
      <c r="BB31" s="355"/>
      <c r="BC31" s="355"/>
      <c r="BD31" s="355"/>
      <c r="BE31" s="355"/>
      <c r="BF31" s="355"/>
      <c r="BG31" s="355"/>
      <c r="BH31" s="355"/>
      <c r="BI31" s="355"/>
      <c r="BJ31" s="355"/>
      <c r="BK31" s="355"/>
      <c r="BL31" s="355"/>
      <c r="BM31" s="355"/>
      <c r="BN31" s="355"/>
      <c r="BO31" s="355">
        <v>0</v>
      </c>
      <c r="BP31" s="888">
        <v>0</v>
      </c>
      <c r="BQ31" s="355"/>
      <c r="BR31" s="355"/>
      <c r="BS31" s="355"/>
      <c r="BT31" s="355"/>
      <c r="BU31" s="355"/>
      <c r="BV31" s="355"/>
      <c r="BW31" s="355">
        <f t="shared" si="2"/>
        <v>10660</v>
      </c>
      <c r="BY31" s="33">
        <f t="shared" si="3"/>
        <v>0</v>
      </c>
      <c r="BZ31" s="33">
        <f t="shared" si="3"/>
        <v>0</v>
      </c>
      <c r="CA31" s="33">
        <f t="shared" si="3"/>
        <v>0</v>
      </c>
      <c r="CB31" s="33">
        <f t="shared" si="3"/>
        <v>0</v>
      </c>
      <c r="CC31" s="33">
        <f t="shared" si="3"/>
        <v>10660</v>
      </c>
      <c r="CD31" s="33">
        <f t="shared" si="3"/>
        <v>0</v>
      </c>
      <c r="CE31" s="33">
        <f t="shared" si="3"/>
        <v>0</v>
      </c>
      <c r="CF31" s="33">
        <f t="shared" si="3"/>
        <v>0</v>
      </c>
      <c r="CG31" s="58">
        <f t="shared" si="1"/>
        <v>10660</v>
      </c>
    </row>
    <row r="32" spans="1:85">
      <c r="A32" s="198">
        <v>3353</v>
      </c>
      <c r="B32" s="2">
        <v>103445</v>
      </c>
      <c r="C32" s="2" t="s">
        <v>86</v>
      </c>
      <c r="D32" s="2" t="s">
        <v>87</v>
      </c>
      <c r="E32" s="2" t="s">
        <v>39</v>
      </c>
      <c r="F32" s="208" t="s">
        <v>890</v>
      </c>
      <c r="H32" s="880">
        <v>0</v>
      </c>
      <c r="I32" s="880"/>
      <c r="J32" s="880"/>
      <c r="K32" s="880">
        <v>10820</v>
      </c>
      <c r="L32" s="190">
        <v>0</v>
      </c>
      <c r="M32" s="190">
        <v>0</v>
      </c>
      <c r="N32" s="190">
        <v>0</v>
      </c>
      <c r="O32" s="190">
        <v>0</v>
      </c>
      <c r="P32" s="190">
        <v>0</v>
      </c>
      <c r="Q32" s="190">
        <v>0</v>
      </c>
      <c r="R32" s="190">
        <v>0</v>
      </c>
      <c r="S32" s="190">
        <v>0</v>
      </c>
      <c r="T32" s="209">
        <v>0</v>
      </c>
      <c r="U32" s="209"/>
      <c r="V32" s="209"/>
      <c r="W32" s="209"/>
      <c r="X32" s="190"/>
      <c r="Y32" s="190"/>
      <c r="Z32" s="190"/>
      <c r="AA32" s="190"/>
      <c r="AB32" s="190"/>
      <c r="AC32" s="190"/>
      <c r="AD32" s="190"/>
      <c r="AE32" s="190"/>
      <c r="AF32" s="209"/>
      <c r="AG32" s="209"/>
      <c r="AH32" s="209"/>
      <c r="AI32" s="345"/>
      <c r="AJ32" s="209"/>
      <c r="AK32" s="209"/>
      <c r="AL32" s="190"/>
      <c r="AM32" s="190"/>
      <c r="AN32" s="190"/>
      <c r="AO32" s="190"/>
      <c r="AP32" s="190"/>
      <c r="AQ32" s="347"/>
      <c r="AR32" s="347"/>
      <c r="AS32" s="355"/>
      <c r="AT32" s="355"/>
      <c r="AU32" s="355"/>
      <c r="AV32" s="210"/>
      <c r="AW32" s="355"/>
      <c r="AX32" s="355"/>
      <c r="AY32" s="355"/>
      <c r="AZ32" s="355"/>
      <c r="BA32" s="355"/>
      <c r="BB32" s="355"/>
      <c r="BC32" s="355"/>
      <c r="BD32" s="355"/>
      <c r="BE32" s="355"/>
      <c r="BF32" s="355"/>
      <c r="BG32" s="355"/>
      <c r="BH32" s="355"/>
      <c r="BI32" s="355"/>
      <c r="BJ32" s="355"/>
      <c r="BK32" s="355"/>
      <c r="BL32" s="355"/>
      <c r="BM32" s="355"/>
      <c r="BN32" s="355"/>
      <c r="BO32" s="355">
        <v>0</v>
      </c>
      <c r="BP32" s="888">
        <v>0</v>
      </c>
      <c r="BQ32" s="355"/>
      <c r="BR32" s="355"/>
      <c r="BS32" s="355"/>
      <c r="BT32" s="355"/>
      <c r="BU32" s="355"/>
      <c r="BV32" s="355"/>
      <c r="BW32" s="355">
        <f t="shared" si="2"/>
        <v>10820</v>
      </c>
      <c r="BY32" s="33">
        <f t="shared" si="3"/>
        <v>0</v>
      </c>
      <c r="BZ32" s="33">
        <f t="shared" si="3"/>
        <v>0</v>
      </c>
      <c r="CA32" s="33">
        <f t="shared" si="3"/>
        <v>0</v>
      </c>
      <c r="CB32" s="33">
        <f t="shared" si="3"/>
        <v>0</v>
      </c>
      <c r="CC32" s="33">
        <f t="shared" si="3"/>
        <v>10820</v>
      </c>
      <c r="CD32" s="33">
        <f t="shared" si="3"/>
        <v>0</v>
      </c>
      <c r="CE32" s="33">
        <f t="shared" si="3"/>
        <v>0</v>
      </c>
      <c r="CF32" s="33">
        <f t="shared" si="3"/>
        <v>0</v>
      </c>
      <c r="CG32" s="58">
        <f t="shared" si="1"/>
        <v>10820</v>
      </c>
    </row>
    <row r="33" spans="1:85">
      <c r="A33" s="198">
        <v>7030</v>
      </c>
      <c r="B33" s="2">
        <v>103611</v>
      </c>
      <c r="C33" s="2" t="s">
        <v>88</v>
      </c>
      <c r="D33" s="2" t="s">
        <v>89</v>
      </c>
      <c r="E33" s="2" t="s">
        <v>56</v>
      </c>
      <c r="F33" s="208" t="s">
        <v>890</v>
      </c>
      <c r="H33" s="880">
        <v>0</v>
      </c>
      <c r="I33" s="880"/>
      <c r="J33" s="880"/>
      <c r="K33" s="880">
        <v>0</v>
      </c>
      <c r="L33" s="190">
        <v>0</v>
      </c>
      <c r="M33" s="190">
        <v>0</v>
      </c>
      <c r="N33" s="190">
        <v>0</v>
      </c>
      <c r="O33" s="190">
        <v>0</v>
      </c>
      <c r="P33" s="190">
        <v>0</v>
      </c>
      <c r="Q33" s="190">
        <v>0</v>
      </c>
      <c r="R33" s="190">
        <v>0</v>
      </c>
      <c r="S33" s="190">
        <v>0</v>
      </c>
      <c r="T33" s="209">
        <v>0</v>
      </c>
      <c r="U33" s="209"/>
      <c r="V33" s="209"/>
      <c r="W33" s="209"/>
      <c r="X33" s="190"/>
      <c r="Y33" s="190"/>
      <c r="Z33" s="190"/>
      <c r="AA33" s="190"/>
      <c r="AB33" s="190"/>
      <c r="AC33" s="190"/>
      <c r="AD33" s="190"/>
      <c r="AE33" s="190"/>
      <c r="AF33" s="209"/>
      <c r="AG33" s="209"/>
      <c r="AH33" s="209"/>
      <c r="AI33" s="345"/>
      <c r="AJ33" s="209"/>
      <c r="AK33" s="209"/>
      <c r="AL33" s="190"/>
      <c r="AM33" s="190"/>
      <c r="AN33" s="190"/>
      <c r="AO33" s="190"/>
      <c r="AP33" s="190"/>
      <c r="AQ33" s="347"/>
      <c r="AR33" s="347"/>
      <c r="AS33" s="355"/>
      <c r="AT33" s="355"/>
      <c r="AU33" s="355"/>
      <c r="AV33" s="210"/>
      <c r="AW33" s="355"/>
      <c r="AX33" s="355"/>
      <c r="AY33" s="355"/>
      <c r="AZ33" s="355"/>
      <c r="BA33" s="355"/>
      <c r="BB33" s="355"/>
      <c r="BC33" s="355"/>
      <c r="BD33" s="355"/>
      <c r="BE33" s="355"/>
      <c r="BF33" s="355"/>
      <c r="BG33" s="355"/>
      <c r="BH33" s="355"/>
      <c r="BI33" s="355"/>
      <c r="BJ33" s="355"/>
      <c r="BK33" s="355"/>
      <c r="BL33" s="355"/>
      <c r="BM33" s="355"/>
      <c r="BN33" s="355"/>
      <c r="BO33" s="355">
        <v>2365.13</v>
      </c>
      <c r="BP33" s="888">
        <v>-63.52</v>
      </c>
      <c r="BQ33" s="355"/>
      <c r="BR33" s="355"/>
      <c r="BS33" s="355"/>
      <c r="BT33" s="355"/>
      <c r="BU33" s="355"/>
      <c r="BV33" s="355"/>
      <c r="BW33" s="355">
        <f t="shared" si="2"/>
        <v>2301.61</v>
      </c>
      <c r="BY33" s="33">
        <f t="shared" si="3"/>
        <v>0</v>
      </c>
      <c r="BZ33" s="33">
        <f t="shared" si="3"/>
        <v>0</v>
      </c>
      <c r="CA33" s="33">
        <f t="shared" si="3"/>
        <v>0</v>
      </c>
      <c r="CB33" s="33">
        <f t="shared" si="3"/>
        <v>0</v>
      </c>
      <c r="CC33" s="33">
        <f t="shared" si="3"/>
        <v>0</v>
      </c>
      <c r="CD33" s="33">
        <f t="shared" si="3"/>
        <v>2365.13</v>
      </c>
      <c r="CE33" s="33">
        <f t="shared" si="3"/>
        <v>0</v>
      </c>
      <c r="CF33" s="33">
        <f t="shared" si="3"/>
        <v>-63.52</v>
      </c>
      <c r="CG33" s="58">
        <f t="shared" si="1"/>
        <v>2365.13</v>
      </c>
    </row>
    <row r="34" spans="1:85">
      <c r="A34" s="198">
        <v>1002</v>
      </c>
      <c r="B34" s="2">
        <v>103121</v>
      </c>
      <c r="C34" s="2" t="s">
        <v>90</v>
      </c>
      <c r="D34" s="2" t="s">
        <v>91</v>
      </c>
      <c r="E34" s="2" t="s">
        <v>36</v>
      </c>
      <c r="F34" s="208" t="s">
        <v>890</v>
      </c>
      <c r="H34" s="880">
        <v>0</v>
      </c>
      <c r="I34" s="880"/>
      <c r="J34" s="880"/>
      <c r="K34" s="880">
        <v>0</v>
      </c>
      <c r="L34" s="190">
        <v>0</v>
      </c>
      <c r="M34" s="190">
        <v>0</v>
      </c>
      <c r="N34" s="190">
        <v>0</v>
      </c>
      <c r="O34" s="190">
        <v>0</v>
      </c>
      <c r="P34" s="190">
        <v>0</v>
      </c>
      <c r="Q34" s="190">
        <v>0</v>
      </c>
      <c r="R34" s="190">
        <v>0</v>
      </c>
      <c r="S34" s="190">
        <v>0</v>
      </c>
      <c r="T34" s="209">
        <v>0</v>
      </c>
      <c r="U34" s="209"/>
      <c r="V34" s="209"/>
      <c r="W34" s="209"/>
      <c r="X34" s="190"/>
      <c r="Y34" s="190"/>
      <c r="Z34" s="190"/>
      <c r="AA34" s="190"/>
      <c r="AB34" s="190"/>
      <c r="AC34" s="190"/>
      <c r="AD34" s="190"/>
      <c r="AE34" s="190"/>
      <c r="AF34" s="209"/>
      <c r="AG34" s="209"/>
      <c r="AH34" s="209"/>
      <c r="AI34" s="345"/>
      <c r="AJ34" s="209"/>
      <c r="AK34" s="209"/>
      <c r="AL34" s="190"/>
      <c r="AM34" s="190"/>
      <c r="AN34" s="190"/>
      <c r="AO34" s="190"/>
      <c r="AP34" s="190"/>
      <c r="AQ34" s="347"/>
      <c r="AR34" s="347"/>
      <c r="AS34" s="355"/>
      <c r="AT34" s="355"/>
      <c r="AU34" s="355"/>
      <c r="AV34" s="210"/>
      <c r="AW34" s="355"/>
      <c r="AX34" s="355"/>
      <c r="AY34" s="355"/>
      <c r="AZ34" s="355"/>
      <c r="BA34" s="355"/>
      <c r="BB34" s="355"/>
      <c r="BC34" s="355"/>
      <c r="BD34" s="355"/>
      <c r="BE34" s="355"/>
      <c r="BF34" s="355"/>
      <c r="BG34" s="355"/>
      <c r="BH34" s="355"/>
      <c r="BI34" s="355"/>
      <c r="BJ34" s="355"/>
      <c r="BK34" s="355"/>
      <c r="BL34" s="355"/>
      <c r="BM34" s="355"/>
      <c r="BN34" s="355"/>
      <c r="BO34" s="355">
        <v>1863.54</v>
      </c>
      <c r="BP34" s="888">
        <v>-37.4</v>
      </c>
      <c r="BQ34" s="355"/>
      <c r="BR34" s="355"/>
      <c r="BS34" s="355"/>
      <c r="BT34" s="355"/>
      <c r="BU34" s="355"/>
      <c r="BV34" s="355"/>
      <c r="BW34" s="355">
        <f t="shared" si="2"/>
        <v>1826.1399999999999</v>
      </c>
      <c r="BY34" s="33">
        <f t="shared" si="3"/>
        <v>0</v>
      </c>
      <c r="BZ34" s="33">
        <f t="shared" si="3"/>
        <v>0</v>
      </c>
      <c r="CA34" s="33">
        <f t="shared" si="3"/>
        <v>0</v>
      </c>
      <c r="CB34" s="33">
        <f t="shared" si="3"/>
        <v>0</v>
      </c>
      <c r="CC34" s="33">
        <f t="shared" si="3"/>
        <v>0</v>
      </c>
      <c r="CD34" s="33">
        <f t="shared" si="3"/>
        <v>1863.54</v>
      </c>
      <c r="CE34" s="33">
        <f t="shared" si="3"/>
        <v>0</v>
      </c>
      <c r="CF34" s="33">
        <f t="shared" si="3"/>
        <v>-37.4</v>
      </c>
      <c r="CG34" s="58">
        <f t="shared" si="1"/>
        <v>1863.54</v>
      </c>
    </row>
    <row r="35" spans="1:85">
      <c r="A35" s="198">
        <v>2465</v>
      </c>
      <c r="B35" s="2">
        <v>103391</v>
      </c>
      <c r="C35" s="2" t="s">
        <v>92</v>
      </c>
      <c r="D35" s="2" t="s">
        <v>93</v>
      </c>
      <c r="E35" s="2" t="s">
        <v>39</v>
      </c>
      <c r="F35" s="208" t="s">
        <v>890</v>
      </c>
      <c r="H35" s="880">
        <v>0</v>
      </c>
      <c r="I35" s="880"/>
      <c r="J35" s="880"/>
      <c r="K35" s="880">
        <v>9800</v>
      </c>
      <c r="L35" s="190">
        <v>0</v>
      </c>
      <c r="M35" s="190">
        <v>0</v>
      </c>
      <c r="N35" s="190">
        <v>0</v>
      </c>
      <c r="O35" s="190">
        <v>0</v>
      </c>
      <c r="P35" s="190">
        <v>0</v>
      </c>
      <c r="Q35" s="190">
        <v>0</v>
      </c>
      <c r="R35" s="190">
        <v>0</v>
      </c>
      <c r="S35" s="190">
        <v>0</v>
      </c>
      <c r="T35" s="209">
        <v>0</v>
      </c>
      <c r="U35" s="209"/>
      <c r="V35" s="209"/>
      <c r="W35" s="209"/>
      <c r="X35" s="190"/>
      <c r="Y35" s="190"/>
      <c r="Z35" s="190"/>
      <c r="AA35" s="190"/>
      <c r="AB35" s="190"/>
      <c r="AC35" s="190"/>
      <c r="AD35" s="190"/>
      <c r="AE35" s="190"/>
      <c r="AF35" s="209"/>
      <c r="AG35" s="209"/>
      <c r="AH35" s="209"/>
      <c r="AI35" s="345"/>
      <c r="AJ35" s="209"/>
      <c r="AK35" s="209"/>
      <c r="AL35" s="190"/>
      <c r="AM35" s="190"/>
      <c r="AN35" s="190"/>
      <c r="AO35" s="190"/>
      <c r="AP35" s="190"/>
      <c r="AQ35" s="347"/>
      <c r="AR35" s="347"/>
      <c r="AS35" s="355"/>
      <c r="AT35" s="355"/>
      <c r="AU35" s="355"/>
      <c r="AV35" s="210"/>
      <c r="AW35" s="355"/>
      <c r="AX35" s="355"/>
      <c r="AY35" s="355"/>
      <c r="AZ35" s="355"/>
      <c r="BA35" s="355"/>
      <c r="BB35" s="355"/>
      <c r="BC35" s="355"/>
      <c r="BD35" s="355"/>
      <c r="BE35" s="355"/>
      <c r="BF35" s="355"/>
      <c r="BG35" s="355"/>
      <c r="BH35" s="355"/>
      <c r="BI35" s="355"/>
      <c r="BJ35" s="355"/>
      <c r="BK35" s="355"/>
      <c r="BL35" s="355"/>
      <c r="BM35" s="355"/>
      <c r="BN35" s="355"/>
      <c r="BO35" s="355">
        <v>1717.09</v>
      </c>
      <c r="BP35" s="888">
        <v>-3.75</v>
      </c>
      <c r="BQ35" s="355"/>
      <c r="BR35" s="355"/>
      <c r="BS35" s="355"/>
      <c r="BT35" s="355"/>
      <c r="BU35" s="355"/>
      <c r="BV35" s="355"/>
      <c r="BW35" s="355">
        <f t="shared" si="2"/>
        <v>11513.34</v>
      </c>
      <c r="BY35" s="33">
        <f t="shared" si="3"/>
        <v>0</v>
      </c>
      <c r="BZ35" s="33">
        <f t="shared" si="3"/>
        <v>0</v>
      </c>
      <c r="CA35" s="33">
        <f t="shared" si="3"/>
        <v>0</v>
      </c>
      <c r="CB35" s="33">
        <f t="shared" si="3"/>
        <v>0</v>
      </c>
      <c r="CC35" s="33">
        <f t="shared" si="3"/>
        <v>9800</v>
      </c>
      <c r="CD35" s="33">
        <f t="shared" si="3"/>
        <v>1717.09</v>
      </c>
      <c r="CE35" s="33">
        <f t="shared" si="3"/>
        <v>0</v>
      </c>
      <c r="CF35" s="33">
        <f t="shared" si="3"/>
        <v>-3.75</v>
      </c>
      <c r="CG35" s="58">
        <f t="shared" si="1"/>
        <v>11517.09</v>
      </c>
    </row>
    <row r="36" spans="1:85">
      <c r="A36" s="198">
        <v>4801</v>
      </c>
      <c r="B36" s="2">
        <v>103539</v>
      </c>
      <c r="C36" s="2" t="s">
        <v>94</v>
      </c>
      <c r="D36" s="2" t="s">
        <v>95</v>
      </c>
      <c r="E36" s="2" t="s">
        <v>71</v>
      </c>
      <c r="F36" s="208" t="s">
        <v>890</v>
      </c>
      <c r="H36" s="880">
        <v>0</v>
      </c>
      <c r="I36" s="880"/>
      <c r="J36" s="880"/>
      <c r="K36" s="880">
        <v>0</v>
      </c>
      <c r="L36" s="190">
        <v>0</v>
      </c>
      <c r="M36" s="190">
        <v>0</v>
      </c>
      <c r="N36" s="190">
        <v>0</v>
      </c>
      <c r="O36" s="190">
        <v>0</v>
      </c>
      <c r="P36" s="190">
        <v>0</v>
      </c>
      <c r="Q36" s="190">
        <v>0</v>
      </c>
      <c r="R36" s="190">
        <v>0</v>
      </c>
      <c r="S36" s="190">
        <v>0</v>
      </c>
      <c r="T36" s="209">
        <v>0</v>
      </c>
      <c r="U36" s="209"/>
      <c r="V36" s="209"/>
      <c r="W36" s="209"/>
      <c r="X36" s="190"/>
      <c r="Y36" s="190"/>
      <c r="Z36" s="190"/>
      <c r="AA36" s="190"/>
      <c r="AB36" s="190"/>
      <c r="AC36" s="190"/>
      <c r="AD36" s="190"/>
      <c r="AE36" s="190"/>
      <c r="AF36" s="209"/>
      <c r="AG36" s="209"/>
      <c r="AH36" s="209"/>
      <c r="AI36" s="345"/>
      <c r="AJ36" s="209"/>
      <c r="AK36" s="209"/>
      <c r="AL36" s="190"/>
      <c r="AM36" s="190"/>
      <c r="AN36" s="190"/>
      <c r="AO36" s="190"/>
      <c r="AP36" s="190"/>
      <c r="AQ36" s="347"/>
      <c r="AR36" s="347"/>
      <c r="AS36" s="355"/>
      <c r="AT36" s="355"/>
      <c r="AU36" s="355"/>
      <c r="AV36" s="210"/>
      <c r="AW36" s="355"/>
      <c r="AX36" s="355"/>
      <c r="AY36" s="355"/>
      <c r="AZ36" s="355"/>
      <c r="BA36" s="355"/>
      <c r="BB36" s="355"/>
      <c r="BC36" s="355"/>
      <c r="BD36" s="355"/>
      <c r="BE36" s="355"/>
      <c r="BF36" s="355"/>
      <c r="BG36" s="355"/>
      <c r="BH36" s="355"/>
      <c r="BI36" s="355"/>
      <c r="BJ36" s="355"/>
      <c r="BK36" s="355"/>
      <c r="BL36" s="355"/>
      <c r="BM36" s="355"/>
      <c r="BN36" s="355"/>
      <c r="BO36" s="355">
        <v>0</v>
      </c>
      <c r="BP36" s="888">
        <v>0</v>
      </c>
      <c r="BQ36" s="355"/>
      <c r="BR36" s="355"/>
      <c r="BS36" s="355"/>
      <c r="BT36" s="355"/>
      <c r="BU36" s="355"/>
      <c r="BV36" s="355"/>
      <c r="BW36" s="355">
        <f t="shared" si="2"/>
        <v>0</v>
      </c>
      <c r="BY36" s="33">
        <f t="shared" si="3"/>
        <v>0</v>
      </c>
      <c r="BZ36" s="33">
        <f t="shared" si="3"/>
        <v>0</v>
      </c>
      <c r="CA36" s="33">
        <f t="shared" si="3"/>
        <v>0</v>
      </c>
      <c r="CB36" s="33">
        <f t="shared" si="3"/>
        <v>0</v>
      </c>
      <c r="CC36" s="33">
        <f t="shared" si="3"/>
        <v>0</v>
      </c>
      <c r="CD36" s="33">
        <f t="shared" si="3"/>
        <v>0</v>
      </c>
      <c r="CE36" s="33">
        <f t="shared" si="3"/>
        <v>0</v>
      </c>
      <c r="CF36" s="33">
        <f t="shared" si="3"/>
        <v>0</v>
      </c>
      <c r="CG36" s="58">
        <f t="shared" si="1"/>
        <v>0</v>
      </c>
    </row>
    <row r="37" spans="1:85">
      <c r="A37" s="198">
        <v>1048</v>
      </c>
      <c r="B37" s="2">
        <v>103144</v>
      </c>
      <c r="C37" s="2" t="s">
        <v>96</v>
      </c>
      <c r="D37" s="2" t="s">
        <v>97</v>
      </c>
      <c r="E37" s="2" t="s">
        <v>36</v>
      </c>
      <c r="F37" s="208" t="s">
        <v>890</v>
      </c>
      <c r="H37" s="880">
        <v>0</v>
      </c>
      <c r="I37" s="880"/>
      <c r="J37" s="880"/>
      <c r="K37" s="880">
        <v>0</v>
      </c>
      <c r="L37" s="190">
        <v>0</v>
      </c>
      <c r="M37" s="190">
        <v>0</v>
      </c>
      <c r="N37" s="190">
        <v>0</v>
      </c>
      <c r="O37" s="190">
        <v>0</v>
      </c>
      <c r="P37" s="190">
        <v>0</v>
      </c>
      <c r="Q37" s="190">
        <v>0</v>
      </c>
      <c r="R37" s="190">
        <v>0</v>
      </c>
      <c r="S37" s="190">
        <v>0</v>
      </c>
      <c r="T37" s="209">
        <v>0</v>
      </c>
      <c r="U37" s="209"/>
      <c r="V37" s="209"/>
      <c r="W37" s="209"/>
      <c r="X37" s="190"/>
      <c r="Y37" s="190"/>
      <c r="Z37" s="190"/>
      <c r="AA37" s="190"/>
      <c r="AB37" s="190"/>
      <c r="AC37" s="190"/>
      <c r="AD37" s="190"/>
      <c r="AE37" s="190"/>
      <c r="AF37" s="209"/>
      <c r="AG37" s="209"/>
      <c r="AH37" s="209"/>
      <c r="AI37" s="345"/>
      <c r="AJ37" s="209"/>
      <c r="AK37" s="209"/>
      <c r="AL37" s="190"/>
      <c r="AM37" s="190"/>
      <c r="AN37" s="190"/>
      <c r="AO37" s="190"/>
      <c r="AP37" s="190"/>
      <c r="AQ37" s="347"/>
      <c r="AR37" s="347"/>
      <c r="AS37" s="355"/>
      <c r="AT37" s="355"/>
      <c r="AU37" s="355"/>
      <c r="AV37" s="210"/>
      <c r="AW37" s="355"/>
      <c r="AX37" s="355"/>
      <c r="AY37" s="355"/>
      <c r="AZ37" s="355"/>
      <c r="BA37" s="355"/>
      <c r="BB37" s="355"/>
      <c r="BC37" s="355"/>
      <c r="BD37" s="355"/>
      <c r="BE37" s="355"/>
      <c r="BF37" s="355"/>
      <c r="BG37" s="355"/>
      <c r="BH37" s="355"/>
      <c r="BI37" s="355"/>
      <c r="BJ37" s="355"/>
      <c r="BK37" s="355"/>
      <c r="BL37" s="355"/>
      <c r="BM37" s="355"/>
      <c r="BN37" s="355"/>
      <c r="BO37" s="355">
        <v>1269.44</v>
      </c>
      <c r="BP37" s="888">
        <v>-35</v>
      </c>
      <c r="BQ37" s="355"/>
      <c r="BR37" s="355"/>
      <c r="BS37" s="355"/>
      <c r="BT37" s="355"/>
      <c r="BU37" s="355"/>
      <c r="BV37" s="355"/>
      <c r="BW37" s="355">
        <f t="shared" si="2"/>
        <v>1234.44</v>
      </c>
      <c r="BY37" s="33">
        <f t="shared" si="3"/>
        <v>0</v>
      </c>
      <c r="BZ37" s="33">
        <f t="shared" si="3"/>
        <v>0</v>
      </c>
      <c r="CA37" s="33">
        <f t="shared" si="3"/>
        <v>0</v>
      </c>
      <c r="CB37" s="33">
        <f t="shared" si="3"/>
        <v>0</v>
      </c>
      <c r="CC37" s="33">
        <f t="shared" si="3"/>
        <v>0</v>
      </c>
      <c r="CD37" s="33">
        <f t="shared" si="3"/>
        <v>1269.44</v>
      </c>
      <c r="CE37" s="33">
        <f t="shared" si="3"/>
        <v>0</v>
      </c>
      <c r="CF37" s="33">
        <f t="shared" si="3"/>
        <v>-35</v>
      </c>
      <c r="CG37" s="58">
        <f t="shared" si="1"/>
        <v>1269.44</v>
      </c>
    </row>
    <row r="38" spans="1:85">
      <c r="A38" s="198">
        <v>2312</v>
      </c>
      <c r="B38" s="2">
        <v>103332</v>
      </c>
      <c r="C38" s="2" t="s">
        <v>98</v>
      </c>
      <c r="D38" s="2" t="s">
        <v>99</v>
      </c>
      <c r="E38" s="2" t="s">
        <v>39</v>
      </c>
      <c r="F38" s="208" t="s">
        <v>890</v>
      </c>
      <c r="H38" s="880">
        <v>0</v>
      </c>
      <c r="I38" s="880"/>
      <c r="J38" s="880"/>
      <c r="K38" s="880">
        <v>9805</v>
      </c>
      <c r="L38" s="190">
        <v>0</v>
      </c>
      <c r="M38" s="190">
        <v>0</v>
      </c>
      <c r="N38" s="190">
        <v>0</v>
      </c>
      <c r="O38" s="190">
        <v>0</v>
      </c>
      <c r="P38" s="190">
        <v>0</v>
      </c>
      <c r="Q38" s="190">
        <v>0</v>
      </c>
      <c r="R38" s="190">
        <v>0</v>
      </c>
      <c r="S38" s="190">
        <v>0</v>
      </c>
      <c r="T38" s="209">
        <v>0</v>
      </c>
      <c r="U38" s="209"/>
      <c r="V38" s="209"/>
      <c r="W38" s="209"/>
      <c r="X38" s="190"/>
      <c r="Y38" s="190"/>
      <c r="Z38" s="190"/>
      <c r="AA38" s="190"/>
      <c r="AB38" s="190"/>
      <c r="AC38" s="190"/>
      <c r="AD38" s="190"/>
      <c r="AE38" s="190"/>
      <c r="AF38" s="209"/>
      <c r="AG38" s="209"/>
      <c r="AH38" s="209"/>
      <c r="AI38" s="345"/>
      <c r="AJ38" s="209"/>
      <c r="AK38" s="209"/>
      <c r="AL38" s="190"/>
      <c r="AM38" s="190"/>
      <c r="AN38" s="190"/>
      <c r="AO38" s="190"/>
      <c r="AP38" s="190"/>
      <c r="AQ38" s="347"/>
      <c r="AR38" s="347"/>
      <c r="AS38" s="355"/>
      <c r="AT38" s="355"/>
      <c r="AU38" s="355"/>
      <c r="AV38" s="210"/>
      <c r="AW38" s="355"/>
      <c r="AX38" s="355"/>
      <c r="AY38" s="355"/>
      <c r="AZ38" s="355"/>
      <c r="BA38" s="355"/>
      <c r="BB38" s="355"/>
      <c r="BC38" s="355"/>
      <c r="BD38" s="355"/>
      <c r="BE38" s="355"/>
      <c r="BF38" s="355"/>
      <c r="BG38" s="355"/>
      <c r="BH38" s="355"/>
      <c r="BI38" s="355"/>
      <c r="BJ38" s="355"/>
      <c r="BK38" s="355"/>
      <c r="BL38" s="355"/>
      <c r="BM38" s="355"/>
      <c r="BN38" s="355"/>
      <c r="BO38" s="355">
        <v>0</v>
      </c>
      <c r="BP38" s="888">
        <v>0</v>
      </c>
      <c r="BQ38" s="355"/>
      <c r="BR38" s="355"/>
      <c r="BS38" s="355"/>
      <c r="BT38" s="355"/>
      <c r="BU38" s="355"/>
      <c r="BV38" s="355"/>
      <c r="BW38" s="355">
        <f t="shared" si="2"/>
        <v>9805</v>
      </c>
      <c r="BY38" s="33">
        <f t="shared" si="3"/>
        <v>0</v>
      </c>
      <c r="BZ38" s="33">
        <f t="shared" si="3"/>
        <v>0</v>
      </c>
      <c r="CA38" s="33">
        <f t="shared" si="3"/>
        <v>0</v>
      </c>
      <c r="CB38" s="33">
        <f t="shared" si="3"/>
        <v>0</v>
      </c>
      <c r="CC38" s="33">
        <f t="shared" si="3"/>
        <v>9805</v>
      </c>
      <c r="CD38" s="33">
        <f t="shared" si="3"/>
        <v>0</v>
      </c>
      <c r="CE38" s="33">
        <f t="shared" si="3"/>
        <v>0</v>
      </c>
      <c r="CF38" s="33">
        <f t="shared" si="3"/>
        <v>0</v>
      </c>
      <c r="CG38" s="58">
        <f t="shared" si="1"/>
        <v>9805</v>
      </c>
    </row>
    <row r="39" spans="1:85">
      <c r="A39" s="198">
        <v>7051</v>
      </c>
      <c r="B39" s="2">
        <v>103626</v>
      </c>
      <c r="C39" s="2" t="s">
        <v>100</v>
      </c>
      <c r="D39" s="2" t="s">
        <v>101</v>
      </c>
      <c r="E39" s="2" t="s">
        <v>56</v>
      </c>
      <c r="F39" s="208" t="s">
        <v>890</v>
      </c>
      <c r="H39" s="880">
        <v>0</v>
      </c>
      <c r="I39" s="880"/>
      <c r="J39" s="880"/>
      <c r="K39" s="880">
        <v>8530</v>
      </c>
      <c r="L39" s="190">
        <v>0</v>
      </c>
      <c r="M39" s="190">
        <v>0</v>
      </c>
      <c r="N39" s="190">
        <v>0</v>
      </c>
      <c r="O39" s="190">
        <v>0</v>
      </c>
      <c r="P39" s="190">
        <v>0</v>
      </c>
      <c r="Q39" s="190">
        <v>0</v>
      </c>
      <c r="R39" s="190">
        <v>0</v>
      </c>
      <c r="S39" s="190">
        <v>0</v>
      </c>
      <c r="T39" s="209">
        <v>0</v>
      </c>
      <c r="U39" s="209"/>
      <c r="V39" s="209"/>
      <c r="W39" s="209"/>
      <c r="X39" s="190"/>
      <c r="Y39" s="190"/>
      <c r="Z39" s="190"/>
      <c r="AA39" s="190"/>
      <c r="AB39" s="190"/>
      <c r="AC39" s="190"/>
      <c r="AD39" s="190"/>
      <c r="AE39" s="190"/>
      <c r="AF39" s="209"/>
      <c r="AG39" s="209"/>
      <c r="AH39" s="209"/>
      <c r="AI39" s="345"/>
      <c r="AJ39" s="209"/>
      <c r="AK39" s="209"/>
      <c r="AL39" s="190"/>
      <c r="AM39" s="190"/>
      <c r="AN39" s="190"/>
      <c r="AO39" s="190"/>
      <c r="AP39" s="190"/>
      <c r="AQ39" s="347"/>
      <c r="AR39" s="347"/>
      <c r="AS39" s="355"/>
      <c r="AT39" s="355"/>
      <c r="AU39" s="355"/>
      <c r="AV39" s="210"/>
      <c r="AW39" s="355"/>
      <c r="AX39" s="355"/>
      <c r="AY39" s="355"/>
      <c r="AZ39" s="355"/>
      <c r="BA39" s="355"/>
      <c r="BB39" s="355"/>
      <c r="BC39" s="355"/>
      <c r="BD39" s="355"/>
      <c r="BE39" s="355"/>
      <c r="BF39" s="355"/>
      <c r="BG39" s="355"/>
      <c r="BH39" s="355"/>
      <c r="BI39" s="355"/>
      <c r="BJ39" s="355"/>
      <c r="BK39" s="355"/>
      <c r="BL39" s="355"/>
      <c r="BM39" s="355"/>
      <c r="BN39" s="355"/>
      <c r="BO39" s="355">
        <v>0</v>
      </c>
      <c r="BP39" s="888">
        <v>0</v>
      </c>
      <c r="BQ39" s="355"/>
      <c r="BR39" s="355"/>
      <c r="BS39" s="355"/>
      <c r="BT39" s="355"/>
      <c r="BU39" s="355"/>
      <c r="BV39" s="355"/>
      <c r="BW39" s="355">
        <f t="shared" si="2"/>
        <v>8530</v>
      </c>
      <c r="BY39" s="33">
        <f t="shared" si="3"/>
        <v>0</v>
      </c>
      <c r="BZ39" s="33">
        <f t="shared" si="3"/>
        <v>0</v>
      </c>
      <c r="CA39" s="33">
        <f t="shared" si="3"/>
        <v>0</v>
      </c>
      <c r="CB39" s="33">
        <f t="shared" si="3"/>
        <v>0</v>
      </c>
      <c r="CC39" s="33">
        <f t="shared" si="3"/>
        <v>8530</v>
      </c>
      <c r="CD39" s="33">
        <f t="shared" si="3"/>
        <v>0</v>
      </c>
      <c r="CE39" s="33">
        <f t="shared" si="3"/>
        <v>0</v>
      </c>
      <c r="CF39" s="33">
        <f t="shared" si="3"/>
        <v>0</v>
      </c>
      <c r="CG39" s="58">
        <f t="shared" si="1"/>
        <v>8530</v>
      </c>
    </row>
    <row r="40" spans="1:85">
      <c r="A40" s="198">
        <v>2040</v>
      </c>
      <c r="B40" s="2">
        <v>103178</v>
      </c>
      <c r="C40" s="2" t="s">
        <v>102</v>
      </c>
      <c r="D40" s="2" t="s">
        <v>103</v>
      </c>
      <c r="E40" s="2" t="s">
        <v>39</v>
      </c>
      <c r="F40" s="208" t="s">
        <v>890</v>
      </c>
      <c r="H40" s="880">
        <v>2681</v>
      </c>
      <c r="I40" s="880"/>
      <c r="J40" s="880"/>
      <c r="K40" s="880">
        <v>9820</v>
      </c>
      <c r="L40" s="190">
        <v>0</v>
      </c>
      <c r="M40" s="190">
        <v>0</v>
      </c>
      <c r="N40" s="190">
        <v>0</v>
      </c>
      <c r="O40" s="190">
        <v>0</v>
      </c>
      <c r="P40" s="190">
        <v>0</v>
      </c>
      <c r="Q40" s="190">
        <v>0</v>
      </c>
      <c r="R40" s="190">
        <v>0</v>
      </c>
      <c r="S40" s="190">
        <v>0</v>
      </c>
      <c r="T40" s="209">
        <v>0</v>
      </c>
      <c r="U40" s="209"/>
      <c r="V40" s="209"/>
      <c r="W40" s="209"/>
      <c r="X40" s="190"/>
      <c r="Y40" s="190"/>
      <c r="Z40" s="190"/>
      <c r="AA40" s="190"/>
      <c r="AB40" s="190"/>
      <c r="AC40" s="190"/>
      <c r="AD40" s="190"/>
      <c r="AE40" s="190"/>
      <c r="AF40" s="209"/>
      <c r="AG40" s="209"/>
      <c r="AH40" s="209"/>
      <c r="AI40" s="345"/>
      <c r="AJ40" s="209"/>
      <c r="AK40" s="209"/>
      <c r="AL40" s="190"/>
      <c r="AM40" s="190"/>
      <c r="AN40" s="190"/>
      <c r="AO40" s="190"/>
      <c r="AP40" s="190"/>
      <c r="AQ40" s="347"/>
      <c r="AR40" s="347"/>
      <c r="AS40" s="355"/>
      <c r="AT40" s="355"/>
      <c r="AU40" s="355"/>
      <c r="AV40" s="210"/>
      <c r="AW40" s="355"/>
      <c r="AX40" s="355"/>
      <c r="AY40" s="355"/>
      <c r="AZ40" s="355"/>
      <c r="BA40" s="355"/>
      <c r="BB40" s="355"/>
      <c r="BC40" s="355"/>
      <c r="BD40" s="355"/>
      <c r="BE40" s="355"/>
      <c r="BF40" s="355"/>
      <c r="BG40" s="355"/>
      <c r="BH40" s="355"/>
      <c r="BI40" s="355"/>
      <c r="BJ40" s="355"/>
      <c r="BK40" s="355"/>
      <c r="BL40" s="355"/>
      <c r="BM40" s="355"/>
      <c r="BN40" s="355"/>
      <c r="BO40" s="355">
        <v>2744.54</v>
      </c>
      <c r="BP40" s="888">
        <v>-43.89</v>
      </c>
      <c r="BQ40" s="355"/>
      <c r="BR40" s="355"/>
      <c r="BS40" s="355"/>
      <c r="BT40" s="355"/>
      <c r="BU40" s="355"/>
      <c r="BV40" s="355"/>
      <c r="BW40" s="355">
        <f t="shared" si="2"/>
        <v>15201.650000000001</v>
      </c>
      <c r="BY40" s="33">
        <f t="shared" si="3"/>
        <v>2681</v>
      </c>
      <c r="BZ40" s="33">
        <f t="shared" si="3"/>
        <v>0</v>
      </c>
      <c r="CA40" s="33">
        <f t="shared" si="3"/>
        <v>0</v>
      </c>
      <c r="CB40" s="33">
        <f t="shared" si="3"/>
        <v>0</v>
      </c>
      <c r="CC40" s="33">
        <f t="shared" si="3"/>
        <v>9820</v>
      </c>
      <c r="CD40" s="33">
        <f t="shared" si="3"/>
        <v>2744.54</v>
      </c>
      <c r="CE40" s="33">
        <f t="shared" si="3"/>
        <v>0</v>
      </c>
      <c r="CF40" s="33">
        <f t="shared" si="3"/>
        <v>-43.89</v>
      </c>
      <c r="CG40" s="58">
        <f t="shared" ref="CG40:CG71" si="4">SUM(BY40:CE40)-AV40</f>
        <v>15245.54</v>
      </c>
    </row>
    <row r="41" spans="1:85">
      <c r="A41" s="198">
        <v>2251</v>
      </c>
      <c r="B41" s="2">
        <v>103298</v>
      </c>
      <c r="C41" s="2" t="s">
        <v>104</v>
      </c>
      <c r="D41" s="2" t="s">
        <v>105</v>
      </c>
      <c r="E41" s="2" t="s">
        <v>39</v>
      </c>
      <c r="F41" s="208" t="s">
        <v>890</v>
      </c>
      <c r="H41" s="880">
        <v>0</v>
      </c>
      <c r="I41" s="880"/>
      <c r="J41" s="880"/>
      <c r="K41" s="880">
        <v>9785</v>
      </c>
      <c r="L41" s="190">
        <v>0</v>
      </c>
      <c r="M41" s="190">
        <v>0</v>
      </c>
      <c r="N41" s="190">
        <v>0</v>
      </c>
      <c r="O41" s="190">
        <v>0</v>
      </c>
      <c r="P41" s="190">
        <v>0</v>
      </c>
      <c r="Q41" s="190">
        <v>0</v>
      </c>
      <c r="R41" s="190">
        <v>0</v>
      </c>
      <c r="S41" s="190">
        <v>0</v>
      </c>
      <c r="T41" s="209">
        <v>0</v>
      </c>
      <c r="U41" s="209"/>
      <c r="V41" s="209"/>
      <c r="W41" s="209"/>
      <c r="X41" s="190"/>
      <c r="Y41" s="190"/>
      <c r="Z41" s="190"/>
      <c r="AA41" s="190"/>
      <c r="AB41" s="190"/>
      <c r="AC41" s="190"/>
      <c r="AD41" s="190"/>
      <c r="AE41" s="190"/>
      <c r="AF41" s="209"/>
      <c r="AG41" s="209"/>
      <c r="AH41" s="209"/>
      <c r="AI41" s="345"/>
      <c r="AJ41" s="209"/>
      <c r="AK41" s="209"/>
      <c r="AL41" s="190"/>
      <c r="AM41" s="190"/>
      <c r="AN41" s="190"/>
      <c r="AO41" s="190"/>
      <c r="AP41" s="190"/>
      <c r="AQ41" s="347"/>
      <c r="AR41" s="347"/>
      <c r="AS41" s="355"/>
      <c r="AT41" s="355"/>
      <c r="AU41" s="355"/>
      <c r="AV41" s="210"/>
      <c r="AW41" s="355"/>
      <c r="AX41" s="355"/>
      <c r="AY41" s="355"/>
      <c r="AZ41" s="355"/>
      <c r="BA41" s="355"/>
      <c r="BB41" s="355"/>
      <c r="BC41" s="355"/>
      <c r="BD41" s="355"/>
      <c r="BE41" s="355"/>
      <c r="BF41" s="355"/>
      <c r="BG41" s="355"/>
      <c r="BH41" s="355"/>
      <c r="BI41" s="355"/>
      <c r="BJ41" s="355"/>
      <c r="BK41" s="355"/>
      <c r="BL41" s="355"/>
      <c r="BM41" s="355"/>
      <c r="BN41" s="355"/>
      <c r="BO41" s="355">
        <v>0</v>
      </c>
      <c r="BP41" s="888">
        <v>0</v>
      </c>
      <c r="BQ41" s="355"/>
      <c r="BR41" s="355"/>
      <c r="BS41" s="355"/>
      <c r="BT41" s="355"/>
      <c r="BU41" s="355"/>
      <c r="BV41" s="355"/>
      <c r="BW41" s="355">
        <f t="shared" si="2"/>
        <v>9785</v>
      </c>
      <c r="BY41" s="33">
        <f t="shared" ref="BY41:CF72" si="5">SUMIFS($H41:$BV41,$H$3:$BV$3,BY$7,$H$6:$BV$6,BY$6)</f>
        <v>0</v>
      </c>
      <c r="BZ41" s="33">
        <f t="shared" si="5"/>
        <v>0</v>
      </c>
      <c r="CA41" s="33">
        <f t="shared" si="5"/>
        <v>0</v>
      </c>
      <c r="CB41" s="33">
        <f t="shared" si="5"/>
        <v>0</v>
      </c>
      <c r="CC41" s="33">
        <f t="shared" si="5"/>
        <v>9785</v>
      </c>
      <c r="CD41" s="33">
        <f t="shared" si="5"/>
        <v>0</v>
      </c>
      <c r="CE41" s="33">
        <f t="shared" si="5"/>
        <v>0</v>
      </c>
      <c r="CF41" s="33">
        <f t="shared" si="5"/>
        <v>0</v>
      </c>
      <c r="CG41" s="58">
        <f t="shared" si="4"/>
        <v>9785</v>
      </c>
    </row>
    <row r="42" spans="1:85">
      <c r="A42" s="198">
        <v>3002</v>
      </c>
      <c r="B42" s="2">
        <v>103397</v>
      </c>
      <c r="C42" s="2" t="s">
        <v>106</v>
      </c>
      <c r="D42" s="2" t="s">
        <v>107</v>
      </c>
      <c r="E42" s="2" t="s">
        <v>39</v>
      </c>
      <c r="F42" s="208" t="s">
        <v>890</v>
      </c>
      <c r="H42" s="880">
        <v>0</v>
      </c>
      <c r="I42" s="880"/>
      <c r="J42" s="880"/>
      <c r="K42" s="880">
        <v>8835</v>
      </c>
      <c r="L42" s="190">
        <v>0</v>
      </c>
      <c r="M42" s="190">
        <v>0</v>
      </c>
      <c r="N42" s="190">
        <v>0</v>
      </c>
      <c r="O42" s="190">
        <v>0</v>
      </c>
      <c r="P42" s="190">
        <v>0</v>
      </c>
      <c r="Q42" s="190">
        <v>0</v>
      </c>
      <c r="R42" s="190">
        <v>0</v>
      </c>
      <c r="S42" s="190">
        <v>0</v>
      </c>
      <c r="T42" s="209">
        <v>2580.52</v>
      </c>
      <c r="U42" s="209"/>
      <c r="V42" s="209"/>
      <c r="W42" s="209"/>
      <c r="X42" s="190"/>
      <c r="Y42" s="190"/>
      <c r="Z42" s="190"/>
      <c r="AA42" s="190"/>
      <c r="AB42" s="190"/>
      <c r="AC42" s="190"/>
      <c r="AD42" s="190"/>
      <c r="AE42" s="190"/>
      <c r="AF42" s="209"/>
      <c r="AG42" s="209"/>
      <c r="AH42" s="209"/>
      <c r="AI42" s="345"/>
      <c r="AJ42" s="209"/>
      <c r="AK42" s="209"/>
      <c r="AL42" s="190"/>
      <c r="AM42" s="190"/>
      <c r="AN42" s="190"/>
      <c r="AO42" s="190"/>
      <c r="AP42" s="190"/>
      <c r="AQ42" s="347"/>
      <c r="AR42" s="347"/>
      <c r="AS42" s="355"/>
      <c r="AT42" s="355"/>
      <c r="AU42" s="355"/>
      <c r="AV42" s="210"/>
      <c r="AW42" s="355"/>
      <c r="AX42" s="355"/>
      <c r="AY42" s="355"/>
      <c r="AZ42" s="355"/>
      <c r="BA42" s="355"/>
      <c r="BB42" s="355"/>
      <c r="BC42" s="355"/>
      <c r="BD42" s="355"/>
      <c r="BE42" s="355"/>
      <c r="BF42" s="355"/>
      <c r="BG42" s="355"/>
      <c r="BH42" s="355"/>
      <c r="BI42" s="355"/>
      <c r="BJ42" s="355"/>
      <c r="BK42" s="355"/>
      <c r="BL42" s="355"/>
      <c r="BM42" s="355"/>
      <c r="BN42" s="355"/>
      <c r="BO42" s="355">
        <v>0</v>
      </c>
      <c r="BP42" s="888">
        <v>0</v>
      </c>
      <c r="BQ42" s="355"/>
      <c r="BR42" s="355"/>
      <c r="BS42" s="355"/>
      <c r="BT42" s="355"/>
      <c r="BU42" s="355"/>
      <c r="BV42" s="355"/>
      <c r="BW42" s="355">
        <f t="shared" si="2"/>
        <v>11415.52</v>
      </c>
      <c r="BY42" s="33">
        <f t="shared" si="5"/>
        <v>0</v>
      </c>
      <c r="BZ42" s="33">
        <f t="shared" si="5"/>
        <v>0</v>
      </c>
      <c r="CA42" s="33">
        <f t="shared" si="5"/>
        <v>0</v>
      </c>
      <c r="CB42" s="33">
        <f t="shared" si="5"/>
        <v>0</v>
      </c>
      <c r="CC42" s="33">
        <f t="shared" si="5"/>
        <v>11415.52</v>
      </c>
      <c r="CD42" s="33">
        <f t="shared" si="5"/>
        <v>0</v>
      </c>
      <c r="CE42" s="33">
        <f t="shared" si="5"/>
        <v>0</v>
      </c>
      <c r="CF42" s="33">
        <f t="shared" si="5"/>
        <v>0</v>
      </c>
      <c r="CG42" s="58">
        <f t="shared" si="4"/>
        <v>11415.52</v>
      </c>
    </row>
    <row r="43" spans="1:85">
      <c r="A43" s="198">
        <v>3319</v>
      </c>
      <c r="B43" s="2">
        <v>103423</v>
      </c>
      <c r="C43" s="2" t="s">
        <v>108</v>
      </c>
      <c r="D43" s="2" t="s">
        <v>109</v>
      </c>
      <c r="E43" s="2" t="s">
        <v>39</v>
      </c>
      <c r="F43" s="208" t="s">
        <v>890</v>
      </c>
      <c r="H43" s="880">
        <v>0</v>
      </c>
      <c r="I43" s="880"/>
      <c r="J43" s="880"/>
      <c r="K43" s="880">
        <v>9525</v>
      </c>
      <c r="L43" s="190">
        <v>0</v>
      </c>
      <c r="M43" s="190">
        <v>0</v>
      </c>
      <c r="N43" s="190">
        <v>0</v>
      </c>
      <c r="O43" s="190">
        <v>0</v>
      </c>
      <c r="P43" s="190">
        <v>0</v>
      </c>
      <c r="Q43" s="190">
        <v>0</v>
      </c>
      <c r="R43" s="190">
        <v>0</v>
      </c>
      <c r="S43" s="190">
        <v>0</v>
      </c>
      <c r="T43" s="209">
        <v>0</v>
      </c>
      <c r="U43" s="209"/>
      <c r="V43" s="209"/>
      <c r="W43" s="209"/>
      <c r="X43" s="190"/>
      <c r="Y43" s="190"/>
      <c r="Z43" s="190"/>
      <c r="AA43" s="190"/>
      <c r="AB43" s="190"/>
      <c r="AC43" s="190"/>
      <c r="AD43" s="190"/>
      <c r="AE43" s="190"/>
      <c r="AF43" s="209"/>
      <c r="AG43" s="209"/>
      <c r="AH43" s="209"/>
      <c r="AI43" s="345"/>
      <c r="AJ43" s="209"/>
      <c r="AK43" s="209"/>
      <c r="AL43" s="190"/>
      <c r="AM43" s="190"/>
      <c r="AN43" s="190"/>
      <c r="AO43" s="190"/>
      <c r="AP43" s="190"/>
      <c r="AQ43" s="347"/>
      <c r="AR43" s="347"/>
      <c r="AS43" s="355"/>
      <c r="AT43" s="355"/>
      <c r="AU43" s="355"/>
      <c r="AV43" s="210"/>
      <c r="AW43" s="355"/>
      <c r="AX43" s="355"/>
      <c r="AY43" s="355"/>
      <c r="AZ43" s="355"/>
      <c r="BA43" s="355"/>
      <c r="BB43" s="355"/>
      <c r="BC43" s="355"/>
      <c r="BD43" s="355"/>
      <c r="BE43" s="355"/>
      <c r="BF43" s="355"/>
      <c r="BG43" s="355"/>
      <c r="BH43" s="355"/>
      <c r="BI43" s="355"/>
      <c r="BJ43" s="355"/>
      <c r="BK43" s="355"/>
      <c r="BL43" s="355"/>
      <c r="BM43" s="355"/>
      <c r="BN43" s="355"/>
      <c r="BO43" s="355">
        <v>0</v>
      </c>
      <c r="BP43" s="888">
        <v>0</v>
      </c>
      <c r="BQ43" s="355"/>
      <c r="BR43" s="355"/>
      <c r="BS43" s="355"/>
      <c r="BT43" s="355"/>
      <c r="BU43" s="355"/>
      <c r="BV43" s="355"/>
      <c r="BW43" s="355">
        <f t="shared" si="2"/>
        <v>9525</v>
      </c>
      <c r="BY43" s="33">
        <f t="shared" si="5"/>
        <v>0</v>
      </c>
      <c r="BZ43" s="33">
        <f t="shared" si="5"/>
        <v>0</v>
      </c>
      <c r="CA43" s="33">
        <f t="shared" si="5"/>
        <v>0</v>
      </c>
      <c r="CB43" s="33">
        <f t="shared" si="5"/>
        <v>0</v>
      </c>
      <c r="CC43" s="33">
        <f t="shared" si="5"/>
        <v>9525</v>
      </c>
      <c r="CD43" s="33">
        <f t="shared" si="5"/>
        <v>0</v>
      </c>
      <c r="CE43" s="33">
        <f t="shared" si="5"/>
        <v>0</v>
      </c>
      <c r="CF43" s="33">
        <f t="shared" si="5"/>
        <v>0</v>
      </c>
      <c r="CG43" s="58">
        <f t="shared" si="4"/>
        <v>9525</v>
      </c>
    </row>
    <row r="44" spans="1:85">
      <c r="A44" s="198">
        <v>1100</v>
      </c>
      <c r="B44" s="2">
        <v>103146</v>
      </c>
      <c r="C44" s="2" t="s">
        <v>110</v>
      </c>
      <c r="D44" s="2" t="s">
        <v>111</v>
      </c>
      <c r="E44" s="2" t="s">
        <v>112</v>
      </c>
      <c r="F44" s="208" t="s">
        <v>890</v>
      </c>
      <c r="H44" s="880">
        <v>0</v>
      </c>
      <c r="I44" s="880"/>
      <c r="J44" s="880"/>
      <c r="K44" s="880">
        <v>8450</v>
      </c>
      <c r="L44" s="190">
        <v>0</v>
      </c>
      <c r="M44" s="190">
        <v>0</v>
      </c>
      <c r="N44" s="190">
        <v>0</v>
      </c>
      <c r="O44" s="190">
        <v>0</v>
      </c>
      <c r="P44" s="190">
        <v>0</v>
      </c>
      <c r="Q44" s="190">
        <v>0</v>
      </c>
      <c r="R44" s="190">
        <v>0</v>
      </c>
      <c r="S44" s="190">
        <v>0</v>
      </c>
      <c r="T44" s="209">
        <v>0</v>
      </c>
      <c r="U44" s="209"/>
      <c r="V44" s="209"/>
      <c r="W44" s="209"/>
      <c r="X44" s="190"/>
      <c r="Y44" s="190"/>
      <c r="Z44" s="190"/>
      <c r="AA44" s="190"/>
      <c r="AB44" s="190"/>
      <c r="AC44" s="190"/>
      <c r="AD44" s="190"/>
      <c r="AE44" s="190"/>
      <c r="AF44" s="209"/>
      <c r="AG44" s="209"/>
      <c r="AH44" s="209"/>
      <c r="AI44" s="345"/>
      <c r="AJ44" s="209"/>
      <c r="AK44" s="209"/>
      <c r="AL44" s="190"/>
      <c r="AM44" s="190"/>
      <c r="AN44" s="190"/>
      <c r="AO44" s="190"/>
      <c r="AP44" s="190"/>
      <c r="AQ44" s="347"/>
      <c r="AR44" s="347"/>
      <c r="AS44" s="355"/>
      <c r="AT44" s="355"/>
      <c r="AU44" s="355"/>
      <c r="AV44" s="210"/>
      <c r="AW44" s="355"/>
      <c r="AX44" s="355"/>
      <c r="AY44" s="355"/>
      <c r="AZ44" s="355"/>
      <c r="BA44" s="355"/>
      <c r="BB44" s="355"/>
      <c r="BC44" s="355"/>
      <c r="BD44" s="355"/>
      <c r="BE44" s="355"/>
      <c r="BF44" s="355"/>
      <c r="BG44" s="355"/>
      <c r="BH44" s="355"/>
      <c r="BI44" s="355"/>
      <c r="BJ44" s="355"/>
      <c r="BK44" s="355"/>
      <c r="BL44" s="355"/>
      <c r="BM44" s="355"/>
      <c r="BN44" s="355"/>
      <c r="BO44" s="355">
        <v>7562.34</v>
      </c>
      <c r="BP44" s="888">
        <v>-69.28</v>
      </c>
      <c r="BQ44" s="355"/>
      <c r="BR44" s="355"/>
      <c r="BS44" s="355"/>
      <c r="BT44" s="355"/>
      <c r="BU44" s="355"/>
      <c r="BV44" s="355"/>
      <c r="BW44" s="355">
        <f t="shared" si="2"/>
        <v>15943.06</v>
      </c>
      <c r="BY44" s="33">
        <f t="shared" si="5"/>
        <v>0</v>
      </c>
      <c r="BZ44" s="33">
        <f t="shared" si="5"/>
        <v>0</v>
      </c>
      <c r="CA44" s="33">
        <f t="shared" si="5"/>
        <v>0</v>
      </c>
      <c r="CB44" s="33">
        <f t="shared" si="5"/>
        <v>0</v>
      </c>
      <c r="CC44" s="33">
        <f t="shared" si="5"/>
        <v>8450</v>
      </c>
      <c r="CD44" s="33">
        <f t="shared" si="5"/>
        <v>7562.34</v>
      </c>
      <c r="CE44" s="33">
        <f t="shared" si="5"/>
        <v>0</v>
      </c>
      <c r="CF44" s="33">
        <f t="shared" si="5"/>
        <v>-69.28</v>
      </c>
      <c r="CG44" s="58">
        <f t="shared" si="4"/>
        <v>16012.34</v>
      </c>
    </row>
    <row r="45" spans="1:85">
      <c r="A45" s="198">
        <v>3432</v>
      </c>
      <c r="B45" s="2">
        <v>134840</v>
      </c>
      <c r="C45" s="2" t="s">
        <v>113</v>
      </c>
      <c r="D45" s="2" t="s">
        <v>114</v>
      </c>
      <c r="E45" s="2" t="s">
        <v>39</v>
      </c>
      <c r="F45" s="208" t="s">
        <v>890</v>
      </c>
      <c r="H45" s="880">
        <v>0</v>
      </c>
      <c r="I45" s="880"/>
      <c r="J45" s="880"/>
      <c r="K45" s="880">
        <v>11530</v>
      </c>
      <c r="L45" s="190">
        <v>0</v>
      </c>
      <c r="M45" s="190">
        <v>0</v>
      </c>
      <c r="N45" s="190">
        <v>0</v>
      </c>
      <c r="O45" s="190">
        <v>0</v>
      </c>
      <c r="P45" s="190">
        <v>0</v>
      </c>
      <c r="Q45" s="190">
        <v>0</v>
      </c>
      <c r="R45" s="190">
        <v>0</v>
      </c>
      <c r="S45" s="190">
        <v>0</v>
      </c>
      <c r="T45" s="209">
        <v>0</v>
      </c>
      <c r="U45" s="209"/>
      <c r="V45" s="209"/>
      <c r="W45" s="209"/>
      <c r="X45" s="190"/>
      <c r="Y45" s="190"/>
      <c r="Z45" s="190"/>
      <c r="AA45" s="190"/>
      <c r="AB45" s="190"/>
      <c r="AC45" s="190"/>
      <c r="AD45" s="190"/>
      <c r="AE45" s="190"/>
      <c r="AF45" s="209"/>
      <c r="AG45" s="209"/>
      <c r="AH45" s="209"/>
      <c r="AI45" s="345"/>
      <c r="AJ45" s="209"/>
      <c r="AK45" s="209"/>
      <c r="AL45" s="190"/>
      <c r="AM45" s="190"/>
      <c r="AN45" s="190"/>
      <c r="AO45" s="190"/>
      <c r="AP45" s="190"/>
      <c r="AQ45" s="347"/>
      <c r="AR45" s="347"/>
      <c r="AS45" s="355"/>
      <c r="AT45" s="355"/>
      <c r="AU45" s="355"/>
      <c r="AV45" s="210"/>
      <c r="AW45" s="355"/>
      <c r="AX45" s="355"/>
      <c r="AY45" s="355"/>
      <c r="AZ45" s="355"/>
      <c r="BA45" s="355"/>
      <c r="BB45" s="355"/>
      <c r="BC45" s="355"/>
      <c r="BD45" s="355"/>
      <c r="BE45" s="355"/>
      <c r="BF45" s="355"/>
      <c r="BG45" s="355"/>
      <c r="BH45" s="355"/>
      <c r="BI45" s="355"/>
      <c r="BJ45" s="355"/>
      <c r="BK45" s="355"/>
      <c r="BL45" s="355"/>
      <c r="BM45" s="355"/>
      <c r="BN45" s="355"/>
      <c r="BO45" s="355">
        <v>5193.2</v>
      </c>
      <c r="BP45" s="888">
        <v>-42</v>
      </c>
      <c r="BQ45" s="355"/>
      <c r="BR45" s="355"/>
      <c r="BS45" s="355"/>
      <c r="BT45" s="355"/>
      <c r="BU45" s="355"/>
      <c r="BV45" s="355"/>
      <c r="BW45" s="355">
        <f t="shared" si="2"/>
        <v>16681.2</v>
      </c>
      <c r="BY45" s="33">
        <f t="shared" si="5"/>
        <v>0</v>
      </c>
      <c r="BZ45" s="33">
        <f t="shared" si="5"/>
        <v>0</v>
      </c>
      <c r="CA45" s="33">
        <f t="shared" si="5"/>
        <v>0</v>
      </c>
      <c r="CB45" s="33">
        <f t="shared" si="5"/>
        <v>0</v>
      </c>
      <c r="CC45" s="33">
        <f t="shared" si="5"/>
        <v>11530</v>
      </c>
      <c r="CD45" s="33">
        <f t="shared" si="5"/>
        <v>5193.2</v>
      </c>
      <c r="CE45" s="33">
        <f t="shared" si="5"/>
        <v>0</v>
      </c>
      <c r="CF45" s="33">
        <f t="shared" si="5"/>
        <v>-42</v>
      </c>
      <c r="CG45" s="58">
        <f t="shared" si="4"/>
        <v>16723.2</v>
      </c>
    </row>
    <row r="46" spans="1:85">
      <c r="A46" s="198">
        <v>2289</v>
      </c>
      <c r="B46" s="2">
        <v>103315</v>
      </c>
      <c r="C46" s="2" t="s">
        <v>115</v>
      </c>
      <c r="D46" s="2" t="s">
        <v>116</v>
      </c>
      <c r="E46" s="2" t="s">
        <v>39</v>
      </c>
      <c r="F46" s="208" t="s">
        <v>890</v>
      </c>
      <c r="H46" s="880">
        <v>0</v>
      </c>
      <c r="I46" s="880"/>
      <c r="J46" s="880"/>
      <c r="K46" s="880">
        <v>9775</v>
      </c>
      <c r="L46" s="190">
        <v>0</v>
      </c>
      <c r="M46" s="190">
        <v>0</v>
      </c>
      <c r="N46" s="190">
        <v>0</v>
      </c>
      <c r="O46" s="190">
        <v>0</v>
      </c>
      <c r="P46" s="190">
        <v>0</v>
      </c>
      <c r="Q46" s="190">
        <v>0</v>
      </c>
      <c r="R46" s="190">
        <v>0</v>
      </c>
      <c r="S46" s="190">
        <v>0</v>
      </c>
      <c r="T46" s="209">
        <v>0</v>
      </c>
      <c r="U46" s="209"/>
      <c r="V46" s="209"/>
      <c r="W46" s="209"/>
      <c r="X46" s="190"/>
      <c r="Y46" s="190"/>
      <c r="Z46" s="190"/>
      <c r="AA46" s="190"/>
      <c r="AB46" s="190"/>
      <c r="AC46" s="190"/>
      <c r="AD46" s="190"/>
      <c r="AE46" s="190"/>
      <c r="AF46" s="209"/>
      <c r="AG46" s="209"/>
      <c r="AH46" s="209"/>
      <c r="AI46" s="345"/>
      <c r="AJ46" s="209"/>
      <c r="AK46" s="209"/>
      <c r="AL46" s="190"/>
      <c r="AM46" s="190"/>
      <c r="AN46" s="190"/>
      <c r="AO46" s="190"/>
      <c r="AP46" s="190"/>
      <c r="AQ46" s="347"/>
      <c r="AR46" s="347"/>
      <c r="AS46" s="355"/>
      <c r="AT46" s="355"/>
      <c r="AU46" s="355"/>
      <c r="AV46" s="210"/>
      <c r="AW46" s="355"/>
      <c r="AX46" s="355"/>
      <c r="AY46" s="355"/>
      <c r="AZ46" s="355"/>
      <c r="BA46" s="355"/>
      <c r="BB46" s="355"/>
      <c r="BC46" s="355"/>
      <c r="BD46" s="355"/>
      <c r="BE46" s="355"/>
      <c r="BF46" s="355"/>
      <c r="BG46" s="355"/>
      <c r="BH46" s="355"/>
      <c r="BI46" s="355"/>
      <c r="BJ46" s="355"/>
      <c r="BK46" s="355"/>
      <c r="BL46" s="355"/>
      <c r="BM46" s="355"/>
      <c r="BN46" s="355"/>
      <c r="BO46" s="355">
        <v>541.07000000000005</v>
      </c>
      <c r="BP46" s="888">
        <v>-56.78</v>
      </c>
      <c r="BQ46" s="355"/>
      <c r="BR46" s="355"/>
      <c r="BS46" s="355"/>
      <c r="BT46" s="355"/>
      <c r="BU46" s="355"/>
      <c r="BV46" s="355"/>
      <c r="BW46" s="355">
        <f t="shared" si="2"/>
        <v>10259.289999999999</v>
      </c>
      <c r="BY46" s="33">
        <f t="shared" si="5"/>
        <v>0</v>
      </c>
      <c r="BZ46" s="33">
        <f t="shared" si="5"/>
        <v>0</v>
      </c>
      <c r="CA46" s="33">
        <f t="shared" si="5"/>
        <v>0</v>
      </c>
      <c r="CB46" s="33">
        <f t="shared" si="5"/>
        <v>0</v>
      </c>
      <c r="CC46" s="33">
        <f t="shared" si="5"/>
        <v>9775</v>
      </c>
      <c r="CD46" s="33">
        <f t="shared" si="5"/>
        <v>541.07000000000005</v>
      </c>
      <c r="CE46" s="33">
        <f t="shared" si="5"/>
        <v>0</v>
      </c>
      <c r="CF46" s="33">
        <f t="shared" si="5"/>
        <v>-56.78</v>
      </c>
      <c r="CG46" s="58">
        <f t="shared" si="4"/>
        <v>10316.07</v>
      </c>
    </row>
    <row r="47" spans="1:85">
      <c r="A47" s="198">
        <v>2185</v>
      </c>
      <c r="B47" s="2">
        <v>103263</v>
      </c>
      <c r="C47" s="2" t="s">
        <v>117</v>
      </c>
      <c r="D47" s="2" t="s">
        <v>118</v>
      </c>
      <c r="E47" s="2" t="s">
        <v>39</v>
      </c>
      <c r="F47" s="208" t="s">
        <v>890</v>
      </c>
      <c r="H47" s="880">
        <v>0</v>
      </c>
      <c r="I47" s="880"/>
      <c r="J47" s="880"/>
      <c r="K47" s="880">
        <v>9800</v>
      </c>
      <c r="L47" s="190">
        <v>0</v>
      </c>
      <c r="M47" s="190">
        <v>0</v>
      </c>
      <c r="N47" s="190">
        <v>0</v>
      </c>
      <c r="O47" s="190">
        <v>0</v>
      </c>
      <c r="P47" s="190">
        <v>0</v>
      </c>
      <c r="Q47" s="190">
        <v>0</v>
      </c>
      <c r="R47" s="190">
        <v>0</v>
      </c>
      <c r="S47" s="190">
        <v>0</v>
      </c>
      <c r="T47" s="209">
        <v>0</v>
      </c>
      <c r="U47" s="209"/>
      <c r="V47" s="209"/>
      <c r="W47" s="209"/>
      <c r="X47" s="190"/>
      <c r="Y47" s="190"/>
      <c r="Z47" s="190"/>
      <c r="AA47" s="190"/>
      <c r="AB47" s="190"/>
      <c r="AC47" s="190"/>
      <c r="AD47" s="190"/>
      <c r="AE47" s="190"/>
      <c r="AF47" s="209"/>
      <c r="AG47" s="209"/>
      <c r="AH47" s="209"/>
      <c r="AI47" s="345"/>
      <c r="AJ47" s="209"/>
      <c r="AK47" s="209"/>
      <c r="AL47" s="190"/>
      <c r="AM47" s="190"/>
      <c r="AN47" s="190"/>
      <c r="AO47" s="190"/>
      <c r="AP47" s="190"/>
      <c r="AQ47" s="347"/>
      <c r="AR47" s="347"/>
      <c r="AS47" s="355"/>
      <c r="AT47" s="355"/>
      <c r="AU47" s="355"/>
      <c r="AV47" s="210"/>
      <c r="AW47" s="355"/>
      <c r="AX47" s="355"/>
      <c r="AY47" s="355"/>
      <c r="AZ47" s="355"/>
      <c r="BA47" s="355"/>
      <c r="BB47" s="355"/>
      <c r="BC47" s="355"/>
      <c r="BD47" s="355"/>
      <c r="BE47" s="355"/>
      <c r="BF47" s="355"/>
      <c r="BG47" s="355"/>
      <c r="BH47" s="355"/>
      <c r="BI47" s="355"/>
      <c r="BJ47" s="355"/>
      <c r="BK47" s="355"/>
      <c r="BL47" s="355"/>
      <c r="BM47" s="355"/>
      <c r="BN47" s="355"/>
      <c r="BO47" s="355">
        <v>1686.03</v>
      </c>
      <c r="BP47" s="888">
        <v>-69.91</v>
      </c>
      <c r="BQ47" s="355"/>
      <c r="BR47" s="355"/>
      <c r="BS47" s="355"/>
      <c r="BT47" s="355"/>
      <c r="BU47" s="355"/>
      <c r="BV47" s="355"/>
      <c r="BW47" s="355">
        <f t="shared" si="2"/>
        <v>11416.12</v>
      </c>
      <c r="BY47" s="33">
        <f t="shared" si="5"/>
        <v>0</v>
      </c>
      <c r="BZ47" s="33">
        <f t="shared" si="5"/>
        <v>0</v>
      </c>
      <c r="CA47" s="33">
        <f t="shared" si="5"/>
        <v>0</v>
      </c>
      <c r="CB47" s="33">
        <f t="shared" si="5"/>
        <v>0</v>
      </c>
      <c r="CC47" s="33">
        <f t="shared" si="5"/>
        <v>9800</v>
      </c>
      <c r="CD47" s="33">
        <f t="shared" si="5"/>
        <v>1686.03</v>
      </c>
      <c r="CE47" s="33">
        <f t="shared" si="5"/>
        <v>0</v>
      </c>
      <c r="CF47" s="33">
        <f t="shared" si="5"/>
        <v>-69.91</v>
      </c>
      <c r="CG47" s="58">
        <f t="shared" si="4"/>
        <v>11486.03</v>
      </c>
    </row>
    <row r="48" spans="1:85">
      <c r="A48" s="198">
        <v>5416</v>
      </c>
      <c r="B48" s="2">
        <v>103563</v>
      </c>
      <c r="C48" s="2" t="s">
        <v>119</v>
      </c>
      <c r="D48" s="2" t="s">
        <v>120</v>
      </c>
      <c r="E48" s="2" t="s">
        <v>71</v>
      </c>
      <c r="F48" s="208" t="s">
        <v>890</v>
      </c>
      <c r="H48" s="880">
        <v>0</v>
      </c>
      <c r="I48" s="880"/>
      <c r="J48" s="880"/>
      <c r="K48" s="880">
        <v>0</v>
      </c>
      <c r="L48" s="190">
        <v>0</v>
      </c>
      <c r="M48" s="190">
        <v>0</v>
      </c>
      <c r="N48" s="190">
        <v>0</v>
      </c>
      <c r="O48" s="190">
        <v>0</v>
      </c>
      <c r="P48" s="190">
        <v>0</v>
      </c>
      <c r="Q48" s="190">
        <v>0</v>
      </c>
      <c r="R48" s="190">
        <v>0</v>
      </c>
      <c r="S48" s="190">
        <v>0</v>
      </c>
      <c r="T48" s="209">
        <v>0</v>
      </c>
      <c r="U48" s="209"/>
      <c r="V48" s="209"/>
      <c r="W48" s="209"/>
      <c r="X48" s="190"/>
      <c r="Y48" s="190"/>
      <c r="Z48" s="190"/>
      <c r="AA48" s="190"/>
      <c r="AB48" s="190"/>
      <c r="AC48" s="190"/>
      <c r="AD48" s="190"/>
      <c r="AE48" s="190"/>
      <c r="AF48" s="209"/>
      <c r="AG48" s="209"/>
      <c r="AH48" s="209"/>
      <c r="AI48" s="345"/>
      <c r="AJ48" s="209"/>
      <c r="AK48" s="209"/>
      <c r="AL48" s="190"/>
      <c r="AM48" s="190"/>
      <c r="AN48" s="190"/>
      <c r="AO48" s="190"/>
      <c r="AP48" s="190"/>
      <c r="AQ48" s="347"/>
      <c r="AR48" s="347"/>
      <c r="AS48" s="355"/>
      <c r="AT48" s="355"/>
      <c r="AU48" s="355"/>
      <c r="AV48" s="210"/>
      <c r="AW48" s="355"/>
      <c r="AX48" s="355"/>
      <c r="AY48" s="355"/>
      <c r="AZ48" s="355"/>
      <c r="BA48" s="355"/>
      <c r="BB48" s="355"/>
      <c r="BC48" s="355"/>
      <c r="BD48" s="355"/>
      <c r="BE48" s="355"/>
      <c r="BF48" s="355"/>
      <c r="BG48" s="355"/>
      <c r="BH48" s="355"/>
      <c r="BI48" s="355"/>
      <c r="BJ48" s="355"/>
      <c r="BK48" s="355"/>
      <c r="BL48" s="355"/>
      <c r="BM48" s="355"/>
      <c r="BN48" s="355"/>
      <c r="BO48" s="355">
        <v>0</v>
      </c>
      <c r="BP48" s="888">
        <v>0</v>
      </c>
      <c r="BQ48" s="355"/>
      <c r="BR48" s="355"/>
      <c r="BS48" s="355"/>
      <c r="BT48" s="355"/>
      <c r="BU48" s="355"/>
      <c r="BV48" s="355"/>
      <c r="BW48" s="355">
        <f t="shared" si="2"/>
        <v>0</v>
      </c>
      <c r="BY48" s="33">
        <f t="shared" si="5"/>
        <v>0</v>
      </c>
      <c r="BZ48" s="33">
        <f t="shared" si="5"/>
        <v>0</v>
      </c>
      <c r="CA48" s="33">
        <f t="shared" si="5"/>
        <v>0</v>
      </c>
      <c r="CB48" s="33">
        <f t="shared" si="5"/>
        <v>0</v>
      </c>
      <c r="CC48" s="33">
        <f t="shared" si="5"/>
        <v>0</v>
      </c>
      <c r="CD48" s="33">
        <f t="shared" si="5"/>
        <v>0</v>
      </c>
      <c r="CE48" s="33">
        <f t="shared" si="5"/>
        <v>0</v>
      </c>
      <c r="CF48" s="33">
        <f t="shared" si="5"/>
        <v>0</v>
      </c>
      <c r="CG48" s="58">
        <f t="shared" si="4"/>
        <v>0</v>
      </c>
    </row>
    <row r="49" spans="1:85">
      <c r="A49" s="198">
        <v>2054</v>
      </c>
      <c r="B49" s="2">
        <v>103189</v>
      </c>
      <c r="C49" s="2" t="s">
        <v>121</v>
      </c>
      <c r="D49" s="2" t="s">
        <v>122</v>
      </c>
      <c r="E49" s="2" t="s">
        <v>39</v>
      </c>
      <c r="F49" s="208" t="s">
        <v>890</v>
      </c>
      <c r="H49" s="880">
        <v>0</v>
      </c>
      <c r="I49" s="880"/>
      <c r="J49" s="880"/>
      <c r="K49" s="880">
        <v>9200</v>
      </c>
      <c r="L49" s="190">
        <v>0</v>
      </c>
      <c r="M49" s="190">
        <v>0</v>
      </c>
      <c r="N49" s="190">
        <v>0</v>
      </c>
      <c r="O49" s="190">
        <v>0</v>
      </c>
      <c r="P49" s="190">
        <v>0</v>
      </c>
      <c r="Q49" s="190">
        <v>0</v>
      </c>
      <c r="R49" s="190">
        <v>0</v>
      </c>
      <c r="S49" s="190">
        <v>0</v>
      </c>
      <c r="T49" s="209">
        <v>0</v>
      </c>
      <c r="U49" s="209"/>
      <c r="V49" s="209"/>
      <c r="W49" s="209"/>
      <c r="X49" s="190"/>
      <c r="Y49" s="190"/>
      <c r="Z49" s="190"/>
      <c r="AA49" s="190"/>
      <c r="AB49" s="190"/>
      <c r="AC49" s="190"/>
      <c r="AD49" s="190"/>
      <c r="AE49" s="190"/>
      <c r="AF49" s="209"/>
      <c r="AG49" s="209"/>
      <c r="AH49" s="209"/>
      <c r="AI49" s="345"/>
      <c r="AJ49" s="209"/>
      <c r="AK49" s="209"/>
      <c r="AL49" s="190"/>
      <c r="AM49" s="190"/>
      <c r="AN49" s="190"/>
      <c r="AO49" s="190"/>
      <c r="AP49" s="190"/>
      <c r="AQ49" s="347"/>
      <c r="AR49" s="347"/>
      <c r="AS49" s="355"/>
      <c r="AT49" s="355"/>
      <c r="AU49" s="355"/>
      <c r="AV49" s="210"/>
      <c r="AW49" s="355"/>
      <c r="AX49" s="355"/>
      <c r="AY49" s="355"/>
      <c r="AZ49" s="355"/>
      <c r="BA49" s="355"/>
      <c r="BB49" s="355"/>
      <c r="BC49" s="355"/>
      <c r="BD49" s="355"/>
      <c r="BE49" s="355"/>
      <c r="BF49" s="355"/>
      <c r="BG49" s="355"/>
      <c r="BH49" s="355"/>
      <c r="BI49" s="355"/>
      <c r="BJ49" s="355"/>
      <c r="BK49" s="355"/>
      <c r="BL49" s="355"/>
      <c r="BM49" s="355"/>
      <c r="BN49" s="355"/>
      <c r="BO49" s="355">
        <v>0</v>
      </c>
      <c r="BP49" s="888">
        <v>0</v>
      </c>
      <c r="BQ49" s="355"/>
      <c r="BR49" s="355"/>
      <c r="BS49" s="355"/>
      <c r="BT49" s="355"/>
      <c r="BU49" s="355"/>
      <c r="BV49" s="355"/>
      <c r="BW49" s="355">
        <f t="shared" si="2"/>
        <v>9200</v>
      </c>
      <c r="BY49" s="33">
        <f t="shared" si="5"/>
        <v>0</v>
      </c>
      <c r="BZ49" s="33">
        <f t="shared" si="5"/>
        <v>0</v>
      </c>
      <c r="CA49" s="33">
        <f t="shared" si="5"/>
        <v>0</v>
      </c>
      <c r="CB49" s="33">
        <f t="shared" si="5"/>
        <v>0</v>
      </c>
      <c r="CC49" s="33">
        <f t="shared" si="5"/>
        <v>9200</v>
      </c>
      <c r="CD49" s="33">
        <f t="shared" si="5"/>
        <v>0</v>
      </c>
      <c r="CE49" s="33">
        <f t="shared" si="5"/>
        <v>0</v>
      </c>
      <c r="CF49" s="33">
        <f t="shared" si="5"/>
        <v>0</v>
      </c>
      <c r="CG49" s="58">
        <f t="shared" si="4"/>
        <v>9200</v>
      </c>
    </row>
    <row r="50" spans="1:85">
      <c r="A50" s="198">
        <v>2053</v>
      </c>
      <c r="B50" s="2">
        <v>103188</v>
      </c>
      <c r="C50" s="2" t="s">
        <v>123</v>
      </c>
      <c r="D50" s="2" t="s">
        <v>124</v>
      </c>
      <c r="E50" s="2" t="s">
        <v>39</v>
      </c>
      <c r="F50" s="208" t="s">
        <v>890</v>
      </c>
      <c r="H50" s="880">
        <v>0</v>
      </c>
      <c r="I50" s="880"/>
      <c r="J50" s="880"/>
      <c r="K50" s="880">
        <v>10395</v>
      </c>
      <c r="L50" s="190">
        <v>0</v>
      </c>
      <c r="M50" s="190">
        <v>0</v>
      </c>
      <c r="N50" s="190">
        <v>0</v>
      </c>
      <c r="O50" s="190">
        <v>0</v>
      </c>
      <c r="P50" s="190">
        <v>0</v>
      </c>
      <c r="Q50" s="190">
        <v>0</v>
      </c>
      <c r="R50" s="190">
        <v>0</v>
      </c>
      <c r="S50" s="190">
        <v>0</v>
      </c>
      <c r="T50" s="209">
        <v>0</v>
      </c>
      <c r="U50" s="209"/>
      <c r="V50" s="209"/>
      <c r="W50" s="209"/>
      <c r="X50" s="190"/>
      <c r="Y50" s="190"/>
      <c r="Z50" s="190"/>
      <c r="AA50" s="190"/>
      <c r="AB50" s="190"/>
      <c r="AC50" s="190"/>
      <c r="AD50" s="190"/>
      <c r="AE50" s="190"/>
      <c r="AF50" s="209"/>
      <c r="AG50" s="209"/>
      <c r="AH50" s="209"/>
      <c r="AI50" s="345"/>
      <c r="AJ50" s="209"/>
      <c r="AK50" s="209"/>
      <c r="AL50" s="190"/>
      <c r="AM50" s="190"/>
      <c r="AN50" s="190"/>
      <c r="AO50" s="190"/>
      <c r="AP50" s="190"/>
      <c r="AQ50" s="347"/>
      <c r="AR50" s="347"/>
      <c r="AS50" s="355"/>
      <c r="AT50" s="355"/>
      <c r="AU50" s="355"/>
      <c r="AV50" s="210"/>
      <c r="AW50" s="355"/>
      <c r="AX50" s="355"/>
      <c r="AY50" s="355"/>
      <c r="AZ50" s="355"/>
      <c r="BA50" s="355"/>
      <c r="BB50" s="355"/>
      <c r="BC50" s="355"/>
      <c r="BD50" s="355"/>
      <c r="BE50" s="355"/>
      <c r="BF50" s="355"/>
      <c r="BG50" s="355"/>
      <c r="BH50" s="355"/>
      <c r="BI50" s="355"/>
      <c r="BJ50" s="355"/>
      <c r="BK50" s="355"/>
      <c r="BL50" s="355"/>
      <c r="BM50" s="355"/>
      <c r="BN50" s="355"/>
      <c r="BO50" s="355">
        <v>0</v>
      </c>
      <c r="BP50" s="888">
        <v>0</v>
      </c>
      <c r="BQ50" s="355"/>
      <c r="BR50" s="355"/>
      <c r="BS50" s="355"/>
      <c r="BT50" s="355"/>
      <c r="BU50" s="355"/>
      <c r="BV50" s="355"/>
      <c r="BW50" s="355">
        <f t="shared" si="2"/>
        <v>10395</v>
      </c>
      <c r="BY50" s="33">
        <f t="shared" si="5"/>
        <v>0</v>
      </c>
      <c r="BZ50" s="33">
        <f t="shared" si="5"/>
        <v>0</v>
      </c>
      <c r="CA50" s="33">
        <f t="shared" si="5"/>
        <v>0</v>
      </c>
      <c r="CB50" s="33">
        <f t="shared" si="5"/>
        <v>0</v>
      </c>
      <c r="CC50" s="33">
        <f t="shared" si="5"/>
        <v>10395</v>
      </c>
      <c r="CD50" s="33">
        <f t="shared" si="5"/>
        <v>0</v>
      </c>
      <c r="CE50" s="33">
        <f t="shared" si="5"/>
        <v>0</v>
      </c>
      <c r="CF50" s="33">
        <f t="shared" si="5"/>
        <v>0</v>
      </c>
      <c r="CG50" s="58">
        <f t="shared" si="4"/>
        <v>10395</v>
      </c>
    </row>
    <row r="51" spans="1:85">
      <c r="A51" s="198">
        <v>2464</v>
      </c>
      <c r="B51" s="2">
        <v>103390</v>
      </c>
      <c r="C51" s="2" t="s">
        <v>125</v>
      </c>
      <c r="D51" s="2" t="s">
        <v>126</v>
      </c>
      <c r="E51" s="2" t="s">
        <v>39</v>
      </c>
      <c r="F51" s="208" t="s">
        <v>890</v>
      </c>
      <c r="H51" s="880">
        <v>0</v>
      </c>
      <c r="I51" s="880"/>
      <c r="J51" s="880"/>
      <c r="K51" s="880">
        <v>9800</v>
      </c>
      <c r="L51" s="190">
        <v>0</v>
      </c>
      <c r="M51" s="190">
        <v>0</v>
      </c>
      <c r="N51" s="190">
        <v>0</v>
      </c>
      <c r="O51" s="190">
        <v>0</v>
      </c>
      <c r="P51" s="190">
        <v>0</v>
      </c>
      <c r="Q51" s="190">
        <v>0</v>
      </c>
      <c r="R51" s="190">
        <v>0</v>
      </c>
      <c r="S51" s="190">
        <v>0</v>
      </c>
      <c r="T51" s="209">
        <v>0</v>
      </c>
      <c r="U51" s="209"/>
      <c r="V51" s="209"/>
      <c r="W51" s="209"/>
      <c r="X51" s="190"/>
      <c r="Y51" s="190"/>
      <c r="Z51" s="190"/>
      <c r="AA51" s="190"/>
      <c r="AB51" s="190"/>
      <c r="AC51" s="190"/>
      <c r="AD51" s="190"/>
      <c r="AE51" s="190"/>
      <c r="AF51" s="209"/>
      <c r="AG51" s="209"/>
      <c r="AH51" s="209"/>
      <c r="AI51" s="345"/>
      <c r="AJ51" s="209"/>
      <c r="AK51" s="209"/>
      <c r="AL51" s="190"/>
      <c r="AM51" s="190"/>
      <c r="AN51" s="190"/>
      <c r="AO51" s="190"/>
      <c r="AP51" s="190"/>
      <c r="AQ51" s="347"/>
      <c r="AR51" s="347"/>
      <c r="AS51" s="355"/>
      <c r="AT51" s="355"/>
      <c r="AU51" s="355"/>
      <c r="AV51" s="210"/>
      <c r="AW51" s="355"/>
      <c r="AX51" s="355"/>
      <c r="AY51" s="355"/>
      <c r="AZ51" s="355"/>
      <c r="BA51" s="355"/>
      <c r="BB51" s="355"/>
      <c r="BC51" s="355"/>
      <c r="BD51" s="355"/>
      <c r="BE51" s="355"/>
      <c r="BF51" s="355"/>
      <c r="BG51" s="355"/>
      <c r="BH51" s="355"/>
      <c r="BI51" s="355"/>
      <c r="BJ51" s="355"/>
      <c r="BK51" s="355"/>
      <c r="BL51" s="355"/>
      <c r="BM51" s="355"/>
      <c r="BN51" s="355"/>
      <c r="BO51" s="355">
        <v>1140.68</v>
      </c>
      <c r="BP51" s="888">
        <v>-161.71</v>
      </c>
      <c r="BQ51" s="355"/>
      <c r="BR51" s="355"/>
      <c r="BS51" s="355"/>
      <c r="BT51" s="355"/>
      <c r="BU51" s="355"/>
      <c r="BV51" s="355"/>
      <c r="BW51" s="355">
        <f t="shared" si="2"/>
        <v>10778.970000000001</v>
      </c>
      <c r="BY51" s="33">
        <f t="shared" si="5"/>
        <v>0</v>
      </c>
      <c r="BZ51" s="33">
        <f t="shared" si="5"/>
        <v>0</v>
      </c>
      <c r="CA51" s="33">
        <f t="shared" si="5"/>
        <v>0</v>
      </c>
      <c r="CB51" s="33">
        <f t="shared" si="5"/>
        <v>0</v>
      </c>
      <c r="CC51" s="33">
        <f t="shared" si="5"/>
        <v>9800</v>
      </c>
      <c r="CD51" s="33">
        <f t="shared" si="5"/>
        <v>1140.68</v>
      </c>
      <c r="CE51" s="33">
        <f t="shared" si="5"/>
        <v>0</v>
      </c>
      <c r="CF51" s="33">
        <f t="shared" si="5"/>
        <v>-161.71</v>
      </c>
      <c r="CG51" s="58">
        <f t="shared" si="4"/>
        <v>10940.68</v>
      </c>
    </row>
    <row r="52" spans="1:85">
      <c r="A52" s="198">
        <v>3320</v>
      </c>
      <c r="B52" s="2">
        <v>103424</v>
      </c>
      <c r="C52" s="2" t="s">
        <v>127</v>
      </c>
      <c r="D52" s="2" t="s">
        <v>128</v>
      </c>
      <c r="E52" s="2" t="s">
        <v>39</v>
      </c>
      <c r="F52" s="208" t="s">
        <v>890</v>
      </c>
      <c r="H52" s="880">
        <v>0</v>
      </c>
      <c r="I52" s="880"/>
      <c r="J52" s="880"/>
      <c r="K52" s="880">
        <v>9760</v>
      </c>
      <c r="L52" s="190">
        <v>0</v>
      </c>
      <c r="M52" s="190">
        <v>0</v>
      </c>
      <c r="N52" s="190">
        <v>0</v>
      </c>
      <c r="O52" s="190">
        <v>0</v>
      </c>
      <c r="P52" s="190">
        <v>0</v>
      </c>
      <c r="Q52" s="190">
        <v>0</v>
      </c>
      <c r="R52" s="190">
        <v>0</v>
      </c>
      <c r="S52" s="190">
        <v>0</v>
      </c>
      <c r="T52" s="209">
        <v>0</v>
      </c>
      <c r="U52" s="209"/>
      <c r="V52" s="209"/>
      <c r="W52" s="209"/>
      <c r="X52" s="190"/>
      <c r="Y52" s="190"/>
      <c r="Z52" s="190"/>
      <c r="AA52" s="190"/>
      <c r="AB52" s="190"/>
      <c r="AC52" s="190"/>
      <c r="AD52" s="190"/>
      <c r="AE52" s="190"/>
      <c r="AF52" s="209"/>
      <c r="AG52" s="209"/>
      <c r="AH52" s="209"/>
      <c r="AI52" s="345"/>
      <c r="AJ52" s="209"/>
      <c r="AK52" s="209"/>
      <c r="AL52" s="190"/>
      <c r="AM52" s="190"/>
      <c r="AN52" s="190"/>
      <c r="AO52" s="190"/>
      <c r="AP52" s="190"/>
      <c r="AQ52" s="347"/>
      <c r="AR52" s="347"/>
      <c r="AS52" s="355"/>
      <c r="AT52" s="355"/>
      <c r="AU52" s="355"/>
      <c r="AV52" s="210"/>
      <c r="AW52" s="355"/>
      <c r="AX52" s="355"/>
      <c r="AY52" s="355"/>
      <c r="AZ52" s="355"/>
      <c r="BA52" s="355"/>
      <c r="BB52" s="355"/>
      <c r="BC52" s="355"/>
      <c r="BD52" s="355"/>
      <c r="BE52" s="355"/>
      <c r="BF52" s="355"/>
      <c r="BG52" s="355"/>
      <c r="BH52" s="355"/>
      <c r="BI52" s="355"/>
      <c r="BJ52" s="355"/>
      <c r="BK52" s="355"/>
      <c r="BL52" s="355"/>
      <c r="BM52" s="355"/>
      <c r="BN52" s="355"/>
      <c r="BO52" s="355">
        <v>6099.66</v>
      </c>
      <c r="BP52" s="888">
        <v>-28.92</v>
      </c>
      <c r="BQ52" s="355"/>
      <c r="BR52" s="355"/>
      <c r="BS52" s="355"/>
      <c r="BT52" s="355"/>
      <c r="BU52" s="355"/>
      <c r="BV52" s="355"/>
      <c r="BW52" s="355">
        <f t="shared" si="2"/>
        <v>15830.74</v>
      </c>
      <c r="BY52" s="33">
        <f t="shared" si="5"/>
        <v>0</v>
      </c>
      <c r="BZ52" s="33">
        <f t="shared" si="5"/>
        <v>0</v>
      </c>
      <c r="CA52" s="33">
        <f t="shared" si="5"/>
        <v>0</v>
      </c>
      <c r="CB52" s="33">
        <f t="shared" si="5"/>
        <v>0</v>
      </c>
      <c r="CC52" s="33">
        <f t="shared" si="5"/>
        <v>9760</v>
      </c>
      <c r="CD52" s="33">
        <f t="shared" si="5"/>
        <v>6099.66</v>
      </c>
      <c r="CE52" s="33">
        <f t="shared" si="5"/>
        <v>0</v>
      </c>
      <c r="CF52" s="33">
        <f t="shared" si="5"/>
        <v>-28.92</v>
      </c>
      <c r="CG52" s="58">
        <f t="shared" si="4"/>
        <v>15859.66</v>
      </c>
    </row>
    <row r="53" spans="1:85">
      <c r="A53" s="198">
        <v>2055</v>
      </c>
      <c r="B53" s="2">
        <v>103190</v>
      </c>
      <c r="C53" s="2" t="s">
        <v>129</v>
      </c>
      <c r="D53" s="2" t="s">
        <v>130</v>
      </c>
      <c r="E53" s="2" t="s">
        <v>39</v>
      </c>
      <c r="F53" s="208" t="s">
        <v>890</v>
      </c>
      <c r="H53" s="880">
        <v>0</v>
      </c>
      <c r="I53" s="880"/>
      <c r="J53" s="880"/>
      <c r="K53" s="880">
        <v>9785</v>
      </c>
      <c r="L53" s="190">
        <v>0</v>
      </c>
      <c r="M53" s="190">
        <v>0</v>
      </c>
      <c r="N53" s="190">
        <v>0</v>
      </c>
      <c r="O53" s="190">
        <v>0</v>
      </c>
      <c r="P53" s="190">
        <v>0</v>
      </c>
      <c r="Q53" s="190">
        <v>0</v>
      </c>
      <c r="R53" s="190">
        <v>0</v>
      </c>
      <c r="S53" s="190">
        <v>0</v>
      </c>
      <c r="T53" s="209">
        <v>0</v>
      </c>
      <c r="U53" s="209"/>
      <c r="V53" s="209"/>
      <c r="W53" s="209"/>
      <c r="X53" s="190"/>
      <c r="Y53" s="190"/>
      <c r="Z53" s="190"/>
      <c r="AA53" s="190"/>
      <c r="AB53" s="190"/>
      <c r="AC53" s="190"/>
      <c r="AD53" s="190"/>
      <c r="AE53" s="190"/>
      <c r="AF53" s="209"/>
      <c r="AG53" s="209"/>
      <c r="AH53" s="209"/>
      <c r="AI53" s="345"/>
      <c r="AJ53" s="209"/>
      <c r="AK53" s="209"/>
      <c r="AL53" s="190"/>
      <c r="AM53" s="190"/>
      <c r="AN53" s="190"/>
      <c r="AO53" s="190"/>
      <c r="AP53" s="190"/>
      <c r="AQ53" s="347"/>
      <c r="AR53" s="347"/>
      <c r="AS53" s="355"/>
      <c r="AT53" s="355"/>
      <c r="AU53" s="355"/>
      <c r="AV53" s="210"/>
      <c r="AW53" s="355"/>
      <c r="AX53" s="355"/>
      <c r="AY53" s="355"/>
      <c r="AZ53" s="355"/>
      <c r="BA53" s="355"/>
      <c r="BB53" s="355"/>
      <c r="BC53" s="355"/>
      <c r="BD53" s="355"/>
      <c r="BE53" s="355"/>
      <c r="BF53" s="355"/>
      <c r="BG53" s="355"/>
      <c r="BH53" s="355"/>
      <c r="BI53" s="355"/>
      <c r="BJ53" s="355"/>
      <c r="BK53" s="355"/>
      <c r="BL53" s="355"/>
      <c r="BM53" s="355"/>
      <c r="BN53" s="355"/>
      <c r="BO53" s="355">
        <v>0</v>
      </c>
      <c r="BP53" s="888">
        <v>0</v>
      </c>
      <c r="BQ53" s="355"/>
      <c r="BR53" s="355"/>
      <c r="BS53" s="355"/>
      <c r="BT53" s="355"/>
      <c r="BU53" s="355"/>
      <c r="BV53" s="355"/>
      <c r="BW53" s="355">
        <f t="shared" si="2"/>
        <v>9785</v>
      </c>
      <c r="BY53" s="33">
        <f t="shared" si="5"/>
        <v>0</v>
      </c>
      <c r="BZ53" s="33">
        <f t="shared" si="5"/>
        <v>0</v>
      </c>
      <c r="CA53" s="33">
        <f t="shared" si="5"/>
        <v>0</v>
      </c>
      <c r="CB53" s="33">
        <f t="shared" si="5"/>
        <v>0</v>
      </c>
      <c r="CC53" s="33">
        <f t="shared" si="5"/>
        <v>9785</v>
      </c>
      <c r="CD53" s="33">
        <f t="shared" si="5"/>
        <v>0</v>
      </c>
      <c r="CE53" s="33">
        <f t="shared" si="5"/>
        <v>0</v>
      </c>
      <c r="CF53" s="33">
        <f t="shared" si="5"/>
        <v>0</v>
      </c>
      <c r="CG53" s="58">
        <f t="shared" si="4"/>
        <v>9785</v>
      </c>
    </row>
    <row r="54" spans="1:85">
      <c r="A54" s="198">
        <v>1802</v>
      </c>
      <c r="B54" s="2">
        <v>103150</v>
      </c>
      <c r="C54" s="2" t="s">
        <v>131</v>
      </c>
      <c r="D54" s="2" t="s">
        <v>132</v>
      </c>
      <c r="E54" s="2" t="s">
        <v>36</v>
      </c>
      <c r="F54" s="208" t="s">
        <v>890</v>
      </c>
      <c r="H54" s="880">
        <v>0</v>
      </c>
      <c r="I54" s="880"/>
      <c r="J54" s="880"/>
      <c r="K54" s="880">
        <v>0</v>
      </c>
      <c r="L54" s="190">
        <v>0</v>
      </c>
      <c r="M54" s="190">
        <v>0</v>
      </c>
      <c r="N54" s="190">
        <v>0</v>
      </c>
      <c r="O54" s="190">
        <v>0</v>
      </c>
      <c r="P54" s="190">
        <v>0</v>
      </c>
      <c r="Q54" s="190">
        <v>0</v>
      </c>
      <c r="R54" s="190">
        <v>0</v>
      </c>
      <c r="S54" s="190">
        <v>0</v>
      </c>
      <c r="T54" s="209">
        <v>0</v>
      </c>
      <c r="U54" s="209"/>
      <c r="V54" s="209"/>
      <c r="W54" s="209"/>
      <c r="X54" s="190"/>
      <c r="Y54" s="190"/>
      <c r="Z54" s="190"/>
      <c r="AA54" s="190"/>
      <c r="AB54" s="190"/>
      <c r="AC54" s="190"/>
      <c r="AD54" s="190"/>
      <c r="AE54" s="190"/>
      <c r="AF54" s="209"/>
      <c r="AG54" s="209"/>
      <c r="AH54" s="209"/>
      <c r="AI54" s="345"/>
      <c r="AJ54" s="209"/>
      <c r="AK54" s="209"/>
      <c r="AL54" s="190"/>
      <c r="AM54" s="190"/>
      <c r="AN54" s="190"/>
      <c r="AO54" s="190"/>
      <c r="AP54" s="190"/>
      <c r="AQ54" s="347"/>
      <c r="AR54" s="347"/>
      <c r="AS54" s="355"/>
      <c r="AT54" s="355"/>
      <c r="AU54" s="355"/>
      <c r="AV54" s="210"/>
      <c r="AW54" s="355"/>
      <c r="AX54" s="355"/>
      <c r="AY54" s="355"/>
      <c r="AZ54" s="355"/>
      <c r="BA54" s="355"/>
      <c r="BB54" s="355"/>
      <c r="BC54" s="355"/>
      <c r="BD54" s="355"/>
      <c r="BE54" s="355"/>
      <c r="BF54" s="355"/>
      <c r="BG54" s="355"/>
      <c r="BH54" s="355"/>
      <c r="BI54" s="355"/>
      <c r="BJ54" s="355"/>
      <c r="BK54" s="355"/>
      <c r="BL54" s="355"/>
      <c r="BM54" s="355"/>
      <c r="BN54" s="355"/>
      <c r="BO54" s="355">
        <v>917.23</v>
      </c>
      <c r="BP54" s="888">
        <v>-29.1</v>
      </c>
      <c r="BQ54" s="355"/>
      <c r="BR54" s="355"/>
      <c r="BS54" s="355"/>
      <c r="BT54" s="355"/>
      <c r="BU54" s="355"/>
      <c r="BV54" s="355"/>
      <c r="BW54" s="355">
        <f t="shared" si="2"/>
        <v>888.13</v>
      </c>
      <c r="BY54" s="33">
        <f t="shared" si="5"/>
        <v>0</v>
      </c>
      <c r="BZ54" s="33">
        <f t="shared" si="5"/>
        <v>0</v>
      </c>
      <c r="CA54" s="33">
        <f t="shared" si="5"/>
        <v>0</v>
      </c>
      <c r="CB54" s="33">
        <f t="shared" si="5"/>
        <v>0</v>
      </c>
      <c r="CC54" s="33">
        <f t="shared" si="5"/>
        <v>0</v>
      </c>
      <c r="CD54" s="33">
        <f t="shared" si="5"/>
        <v>917.23</v>
      </c>
      <c r="CE54" s="33">
        <f t="shared" si="5"/>
        <v>0</v>
      </c>
      <c r="CF54" s="33">
        <f t="shared" si="5"/>
        <v>-29.1</v>
      </c>
      <c r="CG54" s="58">
        <f t="shared" si="4"/>
        <v>917.23</v>
      </c>
    </row>
    <row r="55" spans="1:85">
      <c r="A55" s="198">
        <v>2454</v>
      </c>
      <c r="B55" s="2">
        <v>103381</v>
      </c>
      <c r="C55" s="2" t="s">
        <v>133</v>
      </c>
      <c r="D55" s="2" t="s">
        <v>134</v>
      </c>
      <c r="E55" s="2" t="s">
        <v>39</v>
      </c>
      <c r="F55" s="208" t="s">
        <v>890</v>
      </c>
      <c r="H55" s="880">
        <v>0</v>
      </c>
      <c r="I55" s="880"/>
      <c r="J55" s="880"/>
      <c r="K55" s="880">
        <v>9605</v>
      </c>
      <c r="L55" s="190">
        <v>0</v>
      </c>
      <c r="M55" s="190">
        <v>0</v>
      </c>
      <c r="N55" s="190">
        <v>0</v>
      </c>
      <c r="O55" s="190">
        <v>0</v>
      </c>
      <c r="P55" s="190">
        <v>0</v>
      </c>
      <c r="Q55" s="190">
        <v>0</v>
      </c>
      <c r="R55" s="190">
        <v>0</v>
      </c>
      <c r="S55" s="190">
        <v>0</v>
      </c>
      <c r="T55" s="209">
        <v>0</v>
      </c>
      <c r="U55" s="209"/>
      <c r="V55" s="209"/>
      <c r="W55" s="209"/>
      <c r="X55" s="190"/>
      <c r="Y55" s="190"/>
      <c r="Z55" s="190"/>
      <c r="AA55" s="190"/>
      <c r="AB55" s="190"/>
      <c r="AC55" s="190"/>
      <c r="AD55" s="190"/>
      <c r="AE55" s="190"/>
      <c r="AF55" s="209"/>
      <c r="AG55" s="209"/>
      <c r="AH55" s="209"/>
      <c r="AI55" s="345"/>
      <c r="AJ55" s="209"/>
      <c r="AK55" s="209"/>
      <c r="AL55" s="190"/>
      <c r="AM55" s="190"/>
      <c r="AN55" s="190"/>
      <c r="AO55" s="190"/>
      <c r="AP55" s="190"/>
      <c r="AQ55" s="347"/>
      <c r="AR55" s="347"/>
      <c r="AS55" s="355"/>
      <c r="AT55" s="355"/>
      <c r="AU55" s="355"/>
      <c r="AV55" s="210"/>
      <c r="AW55" s="355"/>
      <c r="AX55" s="355"/>
      <c r="AY55" s="355"/>
      <c r="AZ55" s="355"/>
      <c r="BA55" s="355"/>
      <c r="BB55" s="355"/>
      <c r="BC55" s="355"/>
      <c r="BD55" s="355"/>
      <c r="BE55" s="355"/>
      <c r="BF55" s="355"/>
      <c r="BG55" s="355"/>
      <c r="BH55" s="355"/>
      <c r="BI55" s="355"/>
      <c r="BJ55" s="355"/>
      <c r="BK55" s="355"/>
      <c r="BL55" s="355"/>
      <c r="BM55" s="355"/>
      <c r="BN55" s="355"/>
      <c r="BO55" s="355">
        <v>2752.6</v>
      </c>
      <c r="BP55" s="888">
        <v>-39.369999999999997</v>
      </c>
      <c r="BQ55" s="355"/>
      <c r="BR55" s="355"/>
      <c r="BS55" s="355"/>
      <c r="BT55" s="355"/>
      <c r="BU55" s="355"/>
      <c r="BV55" s="355"/>
      <c r="BW55" s="355">
        <f t="shared" si="2"/>
        <v>12318.23</v>
      </c>
      <c r="BY55" s="33">
        <f t="shared" si="5"/>
        <v>0</v>
      </c>
      <c r="BZ55" s="33">
        <f t="shared" si="5"/>
        <v>0</v>
      </c>
      <c r="CA55" s="33">
        <f t="shared" si="5"/>
        <v>0</v>
      </c>
      <c r="CB55" s="33">
        <f t="shared" si="5"/>
        <v>0</v>
      </c>
      <c r="CC55" s="33">
        <f t="shared" si="5"/>
        <v>9605</v>
      </c>
      <c r="CD55" s="33">
        <f t="shared" si="5"/>
        <v>2752.6</v>
      </c>
      <c r="CE55" s="33">
        <f t="shared" si="5"/>
        <v>0</v>
      </c>
      <c r="CF55" s="33">
        <f t="shared" si="5"/>
        <v>-39.369999999999997</v>
      </c>
      <c r="CG55" s="58">
        <f t="shared" si="4"/>
        <v>12357.6</v>
      </c>
    </row>
    <row r="56" spans="1:85">
      <c r="A56" s="198">
        <v>3321</v>
      </c>
      <c r="B56" s="2">
        <v>103425</v>
      </c>
      <c r="C56" s="2" t="s">
        <v>135</v>
      </c>
      <c r="D56" s="2" t="s">
        <v>136</v>
      </c>
      <c r="E56" s="2" t="s">
        <v>39</v>
      </c>
      <c r="F56" s="208" t="s">
        <v>890</v>
      </c>
      <c r="H56" s="880">
        <v>0</v>
      </c>
      <c r="I56" s="880"/>
      <c r="J56" s="880"/>
      <c r="K56" s="880">
        <v>9515</v>
      </c>
      <c r="L56" s="190">
        <v>0</v>
      </c>
      <c r="M56" s="190">
        <v>0</v>
      </c>
      <c r="N56" s="190">
        <v>0</v>
      </c>
      <c r="O56" s="190">
        <v>0</v>
      </c>
      <c r="P56" s="190">
        <v>0</v>
      </c>
      <c r="Q56" s="190">
        <v>0</v>
      </c>
      <c r="R56" s="190">
        <v>0</v>
      </c>
      <c r="S56" s="190">
        <v>0</v>
      </c>
      <c r="T56" s="209">
        <v>0</v>
      </c>
      <c r="U56" s="209"/>
      <c r="V56" s="209"/>
      <c r="W56" s="209"/>
      <c r="X56" s="190"/>
      <c r="Y56" s="190"/>
      <c r="Z56" s="190"/>
      <c r="AA56" s="190"/>
      <c r="AB56" s="190"/>
      <c r="AC56" s="190"/>
      <c r="AD56" s="190"/>
      <c r="AE56" s="190"/>
      <c r="AF56" s="209"/>
      <c r="AG56" s="209"/>
      <c r="AH56" s="209"/>
      <c r="AI56" s="345"/>
      <c r="AJ56" s="209"/>
      <c r="AK56" s="209"/>
      <c r="AL56" s="190"/>
      <c r="AM56" s="190"/>
      <c r="AN56" s="190"/>
      <c r="AO56" s="190"/>
      <c r="AP56" s="190"/>
      <c r="AQ56" s="347"/>
      <c r="AR56" s="347"/>
      <c r="AS56" s="355"/>
      <c r="AT56" s="355"/>
      <c r="AU56" s="355"/>
      <c r="AV56" s="210"/>
      <c r="AW56" s="355"/>
      <c r="AX56" s="355"/>
      <c r="AY56" s="355"/>
      <c r="AZ56" s="355"/>
      <c r="BA56" s="355"/>
      <c r="BB56" s="355"/>
      <c r="BC56" s="355"/>
      <c r="BD56" s="355"/>
      <c r="BE56" s="355"/>
      <c r="BF56" s="355"/>
      <c r="BG56" s="355"/>
      <c r="BH56" s="355"/>
      <c r="BI56" s="355"/>
      <c r="BJ56" s="355"/>
      <c r="BK56" s="355"/>
      <c r="BL56" s="355"/>
      <c r="BM56" s="355"/>
      <c r="BN56" s="355"/>
      <c r="BO56" s="355">
        <v>2277.2199999999998</v>
      </c>
      <c r="BP56" s="888">
        <v>-31.26</v>
      </c>
      <c r="BQ56" s="355"/>
      <c r="BR56" s="355"/>
      <c r="BS56" s="355"/>
      <c r="BT56" s="355"/>
      <c r="BU56" s="355"/>
      <c r="BV56" s="355"/>
      <c r="BW56" s="355">
        <f t="shared" si="2"/>
        <v>11760.96</v>
      </c>
      <c r="BY56" s="33">
        <f t="shared" si="5"/>
        <v>0</v>
      </c>
      <c r="BZ56" s="33">
        <f t="shared" si="5"/>
        <v>0</v>
      </c>
      <c r="CA56" s="33">
        <f t="shared" si="5"/>
        <v>0</v>
      </c>
      <c r="CB56" s="33">
        <f t="shared" si="5"/>
        <v>0</v>
      </c>
      <c r="CC56" s="33">
        <f t="shared" si="5"/>
        <v>9515</v>
      </c>
      <c r="CD56" s="33">
        <f t="shared" si="5"/>
        <v>2277.2199999999998</v>
      </c>
      <c r="CE56" s="33">
        <f t="shared" si="5"/>
        <v>0</v>
      </c>
      <c r="CF56" s="33">
        <f t="shared" si="5"/>
        <v>-31.26</v>
      </c>
      <c r="CG56" s="58">
        <f t="shared" si="4"/>
        <v>11792.22</v>
      </c>
    </row>
    <row r="57" spans="1:85">
      <c r="A57" s="198">
        <v>1026</v>
      </c>
      <c r="B57" s="2">
        <v>103139</v>
      </c>
      <c r="C57" s="2" t="s">
        <v>137</v>
      </c>
      <c r="D57" s="2" t="s">
        <v>138</v>
      </c>
      <c r="E57" s="2" t="s">
        <v>36</v>
      </c>
      <c r="F57" s="208" t="s">
        <v>890</v>
      </c>
      <c r="H57" s="880">
        <v>0</v>
      </c>
      <c r="I57" s="880"/>
      <c r="J57" s="880"/>
      <c r="K57" s="880">
        <v>0</v>
      </c>
      <c r="L57" s="190">
        <v>0</v>
      </c>
      <c r="M57" s="190">
        <v>0</v>
      </c>
      <c r="N57" s="190">
        <v>0</v>
      </c>
      <c r="O57" s="190">
        <v>0</v>
      </c>
      <c r="P57" s="190">
        <v>0</v>
      </c>
      <c r="Q57" s="190">
        <v>0</v>
      </c>
      <c r="R57" s="190">
        <v>0</v>
      </c>
      <c r="S57" s="190">
        <v>0</v>
      </c>
      <c r="T57" s="209">
        <v>0</v>
      </c>
      <c r="U57" s="209"/>
      <c r="V57" s="209"/>
      <c r="W57" s="209"/>
      <c r="X57" s="190"/>
      <c r="Y57" s="190"/>
      <c r="Z57" s="190"/>
      <c r="AA57" s="190"/>
      <c r="AB57" s="190"/>
      <c r="AC57" s="190"/>
      <c r="AD57" s="190"/>
      <c r="AE57" s="190"/>
      <c r="AF57" s="209"/>
      <c r="AG57" s="209"/>
      <c r="AH57" s="209"/>
      <c r="AI57" s="345"/>
      <c r="AJ57" s="209"/>
      <c r="AK57" s="209"/>
      <c r="AL57" s="190"/>
      <c r="AM57" s="190"/>
      <c r="AN57" s="190"/>
      <c r="AO57" s="190"/>
      <c r="AP57" s="190"/>
      <c r="AQ57" s="347"/>
      <c r="AR57" s="347"/>
      <c r="AS57" s="355"/>
      <c r="AT57" s="355"/>
      <c r="AU57" s="355"/>
      <c r="AV57" s="210"/>
      <c r="AW57" s="355"/>
      <c r="AX57" s="355"/>
      <c r="AY57" s="355"/>
      <c r="AZ57" s="355"/>
      <c r="BA57" s="355"/>
      <c r="BB57" s="355"/>
      <c r="BC57" s="355"/>
      <c r="BD57" s="355"/>
      <c r="BE57" s="355"/>
      <c r="BF57" s="355"/>
      <c r="BG57" s="355"/>
      <c r="BH57" s="355"/>
      <c r="BI57" s="355"/>
      <c r="BJ57" s="355"/>
      <c r="BK57" s="355"/>
      <c r="BL57" s="355"/>
      <c r="BM57" s="355"/>
      <c r="BN57" s="355"/>
      <c r="BO57" s="355">
        <v>0</v>
      </c>
      <c r="BP57" s="888">
        <v>0</v>
      </c>
      <c r="BQ57" s="355"/>
      <c r="BR57" s="355"/>
      <c r="BS57" s="355"/>
      <c r="BT57" s="355"/>
      <c r="BU57" s="355"/>
      <c r="BV57" s="355"/>
      <c r="BW57" s="355">
        <f t="shared" si="2"/>
        <v>0</v>
      </c>
      <c r="BY57" s="33">
        <f t="shared" si="5"/>
        <v>0</v>
      </c>
      <c r="BZ57" s="33">
        <f t="shared" si="5"/>
        <v>0</v>
      </c>
      <c r="CA57" s="33">
        <f t="shared" si="5"/>
        <v>0</v>
      </c>
      <c r="CB57" s="33">
        <f t="shared" si="5"/>
        <v>0</v>
      </c>
      <c r="CC57" s="33">
        <f t="shared" si="5"/>
        <v>0</v>
      </c>
      <c r="CD57" s="33">
        <f t="shared" si="5"/>
        <v>0</v>
      </c>
      <c r="CE57" s="33">
        <f t="shared" si="5"/>
        <v>0</v>
      </c>
      <c r="CF57" s="33">
        <f t="shared" si="5"/>
        <v>0</v>
      </c>
      <c r="CG57" s="58">
        <f t="shared" si="4"/>
        <v>0</v>
      </c>
    </row>
    <row r="58" spans="1:85">
      <c r="A58" s="198">
        <v>2294</v>
      </c>
      <c r="B58" s="2">
        <v>103318</v>
      </c>
      <c r="C58" s="2" t="s">
        <v>139</v>
      </c>
      <c r="D58" s="2" t="s">
        <v>140</v>
      </c>
      <c r="E58" s="2" t="s">
        <v>39</v>
      </c>
      <c r="F58" s="208" t="s">
        <v>890</v>
      </c>
      <c r="H58" s="880">
        <v>0</v>
      </c>
      <c r="I58" s="880"/>
      <c r="J58" s="880"/>
      <c r="K58" s="880">
        <v>9800</v>
      </c>
      <c r="L58" s="190">
        <v>0</v>
      </c>
      <c r="M58" s="190">
        <v>0</v>
      </c>
      <c r="N58" s="190">
        <v>0</v>
      </c>
      <c r="O58" s="190">
        <v>0</v>
      </c>
      <c r="P58" s="190">
        <v>0</v>
      </c>
      <c r="Q58" s="190">
        <v>0</v>
      </c>
      <c r="R58" s="190">
        <v>0</v>
      </c>
      <c r="S58" s="190">
        <v>0</v>
      </c>
      <c r="T58" s="209">
        <v>0</v>
      </c>
      <c r="U58" s="209"/>
      <c r="V58" s="209"/>
      <c r="W58" s="209"/>
      <c r="X58" s="190"/>
      <c r="Y58" s="190"/>
      <c r="Z58" s="190"/>
      <c r="AA58" s="190"/>
      <c r="AB58" s="190"/>
      <c r="AC58" s="190"/>
      <c r="AD58" s="190"/>
      <c r="AE58" s="190"/>
      <c r="AF58" s="209"/>
      <c r="AG58" s="209"/>
      <c r="AH58" s="209"/>
      <c r="AI58" s="345"/>
      <c r="AJ58" s="209"/>
      <c r="AK58" s="209"/>
      <c r="AL58" s="190"/>
      <c r="AM58" s="190"/>
      <c r="AN58" s="190"/>
      <c r="AO58" s="190"/>
      <c r="AP58" s="190"/>
      <c r="AQ58" s="347"/>
      <c r="AR58" s="347"/>
      <c r="AS58" s="355"/>
      <c r="AT58" s="355"/>
      <c r="AU58" s="355"/>
      <c r="AV58" s="210"/>
      <c r="AW58" s="355"/>
      <c r="AX58" s="355"/>
      <c r="AY58" s="355"/>
      <c r="AZ58" s="355"/>
      <c r="BA58" s="355"/>
      <c r="BB58" s="355"/>
      <c r="BC58" s="355"/>
      <c r="BD58" s="355"/>
      <c r="BE58" s="355"/>
      <c r="BF58" s="355"/>
      <c r="BG58" s="355"/>
      <c r="BH58" s="355"/>
      <c r="BI58" s="355"/>
      <c r="BJ58" s="355"/>
      <c r="BK58" s="355"/>
      <c r="BL58" s="355"/>
      <c r="BM58" s="355"/>
      <c r="BN58" s="355"/>
      <c r="BO58" s="355">
        <v>0</v>
      </c>
      <c r="BP58" s="888">
        <v>0</v>
      </c>
      <c r="BQ58" s="355"/>
      <c r="BR58" s="355"/>
      <c r="BS58" s="355"/>
      <c r="BT58" s="355"/>
      <c r="BU58" s="355"/>
      <c r="BV58" s="355"/>
      <c r="BW58" s="355">
        <f t="shared" si="2"/>
        <v>9800</v>
      </c>
      <c r="BY58" s="33">
        <f t="shared" si="5"/>
        <v>0</v>
      </c>
      <c r="BZ58" s="33">
        <f t="shared" si="5"/>
        <v>0</v>
      </c>
      <c r="CA58" s="33">
        <f t="shared" si="5"/>
        <v>0</v>
      </c>
      <c r="CB58" s="33">
        <f t="shared" si="5"/>
        <v>0</v>
      </c>
      <c r="CC58" s="33">
        <f t="shared" si="5"/>
        <v>9800</v>
      </c>
      <c r="CD58" s="33">
        <f t="shared" si="5"/>
        <v>0</v>
      </c>
      <c r="CE58" s="33">
        <f t="shared" si="5"/>
        <v>0</v>
      </c>
      <c r="CF58" s="33">
        <f t="shared" si="5"/>
        <v>0</v>
      </c>
      <c r="CG58" s="58">
        <f t="shared" si="4"/>
        <v>9800</v>
      </c>
    </row>
    <row r="59" spans="1:85">
      <c r="A59" s="198">
        <v>2486</v>
      </c>
      <c r="B59" s="2">
        <v>133759</v>
      </c>
      <c r="C59" s="2" t="s">
        <v>141</v>
      </c>
      <c r="D59" s="2" t="s">
        <v>142</v>
      </c>
      <c r="E59" s="2" t="s">
        <v>39</v>
      </c>
      <c r="F59" s="208" t="s">
        <v>890</v>
      </c>
      <c r="H59" s="880">
        <v>0</v>
      </c>
      <c r="I59" s="880"/>
      <c r="J59" s="880"/>
      <c r="K59" s="880">
        <v>8820</v>
      </c>
      <c r="L59" s="190">
        <v>0</v>
      </c>
      <c r="M59" s="190">
        <v>0</v>
      </c>
      <c r="N59" s="190">
        <v>0</v>
      </c>
      <c r="O59" s="190">
        <v>0</v>
      </c>
      <c r="P59" s="190">
        <v>0</v>
      </c>
      <c r="Q59" s="190">
        <v>0</v>
      </c>
      <c r="R59" s="190">
        <v>0</v>
      </c>
      <c r="S59" s="190">
        <v>0</v>
      </c>
      <c r="T59" s="209">
        <v>2580.52</v>
      </c>
      <c r="U59" s="209"/>
      <c r="V59" s="209"/>
      <c r="W59" s="209"/>
      <c r="X59" s="190"/>
      <c r="Y59" s="190"/>
      <c r="Z59" s="190"/>
      <c r="AA59" s="190"/>
      <c r="AB59" s="190"/>
      <c r="AC59" s="190"/>
      <c r="AD59" s="190"/>
      <c r="AE59" s="190"/>
      <c r="AF59" s="209"/>
      <c r="AG59" s="209"/>
      <c r="AH59" s="209"/>
      <c r="AI59" s="345"/>
      <c r="AJ59" s="209"/>
      <c r="AK59" s="209"/>
      <c r="AL59" s="190"/>
      <c r="AM59" s="190"/>
      <c r="AN59" s="190"/>
      <c r="AO59" s="190"/>
      <c r="AP59" s="190"/>
      <c r="AQ59" s="347"/>
      <c r="AR59" s="347"/>
      <c r="AS59" s="355"/>
      <c r="AT59" s="355"/>
      <c r="AU59" s="355"/>
      <c r="AV59" s="210"/>
      <c r="AW59" s="355"/>
      <c r="AX59" s="355"/>
      <c r="AY59" s="355"/>
      <c r="AZ59" s="355"/>
      <c r="BA59" s="355"/>
      <c r="BB59" s="355"/>
      <c r="BC59" s="355"/>
      <c r="BD59" s="355"/>
      <c r="BE59" s="355"/>
      <c r="BF59" s="355"/>
      <c r="BG59" s="355"/>
      <c r="BH59" s="355"/>
      <c r="BI59" s="355"/>
      <c r="BJ59" s="355"/>
      <c r="BK59" s="355"/>
      <c r="BL59" s="355"/>
      <c r="BM59" s="355"/>
      <c r="BN59" s="355"/>
      <c r="BO59" s="355">
        <v>0</v>
      </c>
      <c r="BP59" s="888">
        <v>0</v>
      </c>
      <c r="BQ59" s="355"/>
      <c r="BR59" s="355"/>
      <c r="BS59" s="355"/>
      <c r="BT59" s="355"/>
      <c r="BU59" s="355"/>
      <c r="BV59" s="355"/>
      <c r="BW59" s="355">
        <f t="shared" si="2"/>
        <v>11400.52</v>
      </c>
      <c r="BY59" s="33">
        <f t="shared" si="5"/>
        <v>0</v>
      </c>
      <c r="BZ59" s="33">
        <f t="shared" si="5"/>
        <v>0</v>
      </c>
      <c r="CA59" s="33">
        <f t="shared" si="5"/>
        <v>0</v>
      </c>
      <c r="CB59" s="33">
        <f t="shared" si="5"/>
        <v>0</v>
      </c>
      <c r="CC59" s="33">
        <f t="shared" si="5"/>
        <v>11400.52</v>
      </c>
      <c r="CD59" s="33">
        <f t="shared" si="5"/>
        <v>0</v>
      </c>
      <c r="CE59" s="33">
        <f t="shared" si="5"/>
        <v>0</v>
      </c>
      <c r="CF59" s="33">
        <f t="shared" si="5"/>
        <v>0</v>
      </c>
      <c r="CG59" s="58">
        <f t="shared" si="4"/>
        <v>11400.52</v>
      </c>
    </row>
    <row r="60" spans="1:85">
      <c r="A60" s="198">
        <v>3435</v>
      </c>
      <c r="B60" s="2">
        <v>131920</v>
      </c>
      <c r="C60" s="2" t="s">
        <v>143</v>
      </c>
      <c r="D60" s="2" t="s">
        <v>144</v>
      </c>
      <c r="E60" s="2" t="s">
        <v>39</v>
      </c>
      <c r="F60" s="208" t="s">
        <v>890</v>
      </c>
      <c r="H60" s="880">
        <v>0</v>
      </c>
      <c r="I60" s="880"/>
      <c r="J60" s="880"/>
      <c r="K60" s="880">
        <v>9795</v>
      </c>
      <c r="L60" s="190">
        <v>0</v>
      </c>
      <c r="M60" s="190">
        <v>0</v>
      </c>
      <c r="N60" s="190">
        <v>0</v>
      </c>
      <c r="O60" s="190">
        <v>0</v>
      </c>
      <c r="P60" s="190">
        <v>0</v>
      </c>
      <c r="Q60" s="190">
        <v>0</v>
      </c>
      <c r="R60" s="190">
        <v>0</v>
      </c>
      <c r="S60" s="190">
        <v>0</v>
      </c>
      <c r="T60" s="209">
        <v>0</v>
      </c>
      <c r="U60" s="209"/>
      <c r="V60" s="209"/>
      <c r="W60" s="209"/>
      <c r="X60" s="190"/>
      <c r="Y60" s="190"/>
      <c r="Z60" s="190"/>
      <c r="AA60" s="190"/>
      <c r="AB60" s="190"/>
      <c r="AC60" s="190"/>
      <c r="AD60" s="190"/>
      <c r="AE60" s="190"/>
      <c r="AF60" s="209"/>
      <c r="AG60" s="209"/>
      <c r="AH60" s="209"/>
      <c r="AI60" s="345"/>
      <c r="AJ60" s="209"/>
      <c r="AK60" s="209"/>
      <c r="AL60" s="190"/>
      <c r="AM60" s="190"/>
      <c r="AN60" s="190"/>
      <c r="AO60" s="190"/>
      <c r="AP60" s="190"/>
      <c r="AQ60" s="347"/>
      <c r="AR60" s="347"/>
      <c r="AS60" s="355"/>
      <c r="AT60" s="355"/>
      <c r="AU60" s="355"/>
      <c r="AV60" s="210"/>
      <c r="AW60" s="355"/>
      <c r="AX60" s="355"/>
      <c r="AY60" s="355"/>
      <c r="AZ60" s="355"/>
      <c r="BA60" s="355"/>
      <c r="BB60" s="355"/>
      <c r="BC60" s="355"/>
      <c r="BD60" s="355"/>
      <c r="BE60" s="355"/>
      <c r="BF60" s="355"/>
      <c r="BG60" s="355"/>
      <c r="BH60" s="355"/>
      <c r="BI60" s="355"/>
      <c r="BJ60" s="355"/>
      <c r="BK60" s="355"/>
      <c r="BL60" s="355"/>
      <c r="BM60" s="355"/>
      <c r="BN60" s="355"/>
      <c r="BO60" s="355">
        <v>1622.94</v>
      </c>
      <c r="BP60" s="888">
        <v>-9.51</v>
      </c>
      <c r="BQ60" s="355"/>
      <c r="BR60" s="355"/>
      <c r="BS60" s="355"/>
      <c r="BT60" s="355"/>
      <c r="BU60" s="355"/>
      <c r="BV60" s="355"/>
      <c r="BW60" s="355">
        <f t="shared" si="2"/>
        <v>11408.43</v>
      </c>
      <c r="BY60" s="33">
        <f t="shared" si="5"/>
        <v>0</v>
      </c>
      <c r="BZ60" s="33">
        <f t="shared" si="5"/>
        <v>0</v>
      </c>
      <c r="CA60" s="33">
        <f t="shared" si="5"/>
        <v>0</v>
      </c>
      <c r="CB60" s="33">
        <f t="shared" si="5"/>
        <v>0</v>
      </c>
      <c r="CC60" s="33">
        <f t="shared" si="5"/>
        <v>9795</v>
      </c>
      <c r="CD60" s="33">
        <f t="shared" si="5"/>
        <v>1622.94</v>
      </c>
      <c r="CE60" s="33">
        <f t="shared" si="5"/>
        <v>0</v>
      </c>
      <c r="CF60" s="33">
        <f t="shared" si="5"/>
        <v>-9.51</v>
      </c>
      <c r="CG60" s="58">
        <f t="shared" si="4"/>
        <v>11417.94</v>
      </c>
    </row>
    <row r="61" spans="1:85">
      <c r="A61" s="198">
        <v>7050</v>
      </c>
      <c r="B61" s="2">
        <v>103625</v>
      </c>
      <c r="C61" s="2" t="s">
        <v>145</v>
      </c>
      <c r="D61" s="2" t="s">
        <v>146</v>
      </c>
      <c r="E61" s="2" t="s">
        <v>56</v>
      </c>
      <c r="F61" s="208" t="s">
        <v>890</v>
      </c>
      <c r="H61" s="880">
        <v>0</v>
      </c>
      <c r="I61" s="880"/>
      <c r="J61" s="880"/>
      <c r="K61" s="880">
        <v>0</v>
      </c>
      <c r="L61" s="190">
        <v>0</v>
      </c>
      <c r="M61" s="190">
        <v>0</v>
      </c>
      <c r="N61" s="190">
        <v>0</v>
      </c>
      <c r="O61" s="190">
        <v>0</v>
      </c>
      <c r="P61" s="190">
        <v>0</v>
      </c>
      <c r="Q61" s="190">
        <v>0</v>
      </c>
      <c r="R61" s="190">
        <v>0</v>
      </c>
      <c r="S61" s="190">
        <v>0</v>
      </c>
      <c r="T61" s="209">
        <v>0</v>
      </c>
      <c r="U61" s="209"/>
      <c r="V61" s="209"/>
      <c r="W61" s="209"/>
      <c r="X61" s="190"/>
      <c r="Y61" s="190"/>
      <c r="Z61" s="190"/>
      <c r="AA61" s="190"/>
      <c r="AB61" s="190"/>
      <c r="AC61" s="190"/>
      <c r="AD61" s="190"/>
      <c r="AE61" s="190"/>
      <c r="AF61" s="209"/>
      <c r="AG61" s="209"/>
      <c r="AH61" s="209"/>
      <c r="AI61" s="345"/>
      <c r="AJ61" s="209"/>
      <c r="AK61" s="209"/>
      <c r="AL61" s="190"/>
      <c r="AM61" s="190"/>
      <c r="AN61" s="190"/>
      <c r="AO61" s="190"/>
      <c r="AP61" s="190"/>
      <c r="AQ61" s="347"/>
      <c r="AR61" s="347"/>
      <c r="AS61" s="355"/>
      <c r="AT61" s="355"/>
      <c r="AU61" s="355"/>
      <c r="AV61" s="210"/>
      <c r="AW61" s="355"/>
      <c r="AX61" s="355"/>
      <c r="AY61" s="355"/>
      <c r="AZ61" s="355"/>
      <c r="BA61" s="355"/>
      <c r="BB61" s="355"/>
      <c r="BC61" s="355"/>
      <c r="BD61" s="355"/>
      <c r="BE61" s="355"/>
      <c r="BF61" s="355"/>
      <c r="BG61" s="355"/>
      <c r="BH61" s="355"/>
      <c r="BI61" s="355"/>
      <c r="BJ61" s="355"/>
      <c r="BK61" s="355"/>
      <c r="BL61" s="355"/>
      <c r="BM61" s="355"/>
      <c r="BN61" s="355"/>
      <c r="BO61" s="355">
        <v>0</v>
      </c>
      <c r="BP61" s="888">
        <v>0</v>
      </c>
      <c r="BQ61" s="355"/>
      <c r="BR61" s="355"/>
      <c r="BS61" s="355"/>
      <c r="BT61" s="355"/>
      <c r="BU61" s="355"/>
      <c r="BV61" s="355"/>
      <c r="BW61" s="355">
        <f t="shared" si="2"/>
        <v>0</v>
      </c>
      <c r="BY61" s="33">
        <f t="shared" si="5"/>
        <v>0</v>
      </c>
      <c r="BZ61" s="33">
        <f t="shared" si="5"/>
        <v>0</v>
      </c>
      <c r="CA61" s="33">
        <f t="shared" si="5"/>
        <v>0</v>
      </c>
      <c r="CB61" s="33">
        <f t="shared" si="5"/>
        <v>0</v>
      </c>
      <c r="CC61" s="33">
        <f t="shared" si="5"/>
        <v>0</v>
      </c>
      <c r="CD61" s="33">
        <f t="shared" si="5"/>
        <v>0</v>
      </c>
      <c r="CE61" s="33">
        <f t="shared" si="5"/>
        <v>0</v>
      </c>
      <c r="CF61" s="33">
        <f t="shared" si="5"/>
        <v>0</v>
      </c>
      <c r="CG61" s="58">
        <f t="shared" si="4"/>
        <v>0</v>
      </c>
    </row>
    <row r="62" spans="1:85">
      <c r="A62" s="198">
        <v>1006</v>
      </c>
      <c r="B62" s="2">
        <v>103122</v>
      </c>
      <c r="C62" s="2" t="s">
        <v>147</v>
      </c>
      <c r="D62" s="2" t="s">
        <v>148</v>
      </c>
      <c r="E62" s="2" t="s">
        <v>36</v>
      </c>
      <c r="F62" s="208" t="s">
        <v>890</v>
      </c>
      <c r="H62" s="880">
        <v>0</v>
      </c>
      <c r="I62" s="880"/>
      <c r="J62" s="880"/>
      <c r="K62" s="880">
        <v>0</v>
      </c>
      <c r="L62" s="190">
        <v>0</v>
      </c>
      <c r="M62" s="190">
        <v>0</v>
      </c>
      <c r="N62" s="190">
        <v>0</v>
      </c>
      <c r="O62" s="190">
        <v>0</v>
      </c>
      <c r="P62" s="190">
        <v>0</v>
      </c>
      <c r="Q62" s="190">
        <v>0</v>
      </c>
      <c r="R62" s="190">
        <v>0</v>
      </c>
      <c r="S62" s="190">
        <v>0</v>
      </c>
      <c r="T62" s="209">
        <v>0</v>
      </c>
      <c r="U62" s="209"/>
      <c r="V62" s="209"/>
      <c r="W62" s="209"/>
      <c r="X62" s="190"/>
      <c r="Y62" s="190"/>
      <c r="Z62" s="190"/>
      <c r="AA62" s="190"/>
      <c r="AB62" s="190"/>
      <c r="AC62" s="190"/>
      <c r="AD62" s="190"/>
      <c r="AE62" s="190"/>
      <c r="AF62" s="209"/>
      <c r="AG62" s="209"/>
      <c r="AH62" s="209"/>
      <c r="AI62" s="345"/>
      <c r="AJ62" s="209"/>
      <c r="AK62" s="209"/>
      <c r="AL62" s="190"/>
      <c r="AM62" s="190"/>
      <c r="AN62" s="190"/>
      <c r="AO62" s="190"/>
      <c r="AP62" s="190"/>
      <c r="AQ62" s="347"/>
      <c r="AR62" s="347"/>
      <c r="AS62" s="355"/>
      <c r="AT62" s="355"/>
      <c r="AU62" s="355"/>
      <c r="AV62" s="210"/>
      <c r="AW62" s="355"/>
      <c r="AX62" s="355"/>
      <c r="AY62" s="355"/>
      <c r="AZ62" s="355"/>
      <c r="BA62" s="355"/>
      <c r="BB62" s="355"/>
      <c r="BC62" s="355"/>
      <c r="BD62" s="355"/>
      <c r="BE62" s="355"/>
      <c r="BF62" s="355"/>
      <c r="BG62" s="355"/>
      <c r="BH62" s="355"/>
      <c r="BI62" s="355"/>
      <c r="BJ62" s="355"/>
      <c r="BK62" s="355"/>
      <c r="BL62" s="355"/>
      <c r="BM62" s="355"/>
      <c r="BN62" s="355"/>
      <c r="BO62" s="355">
        <v>921.13</v>
      </c>
      <c r="BP62" s="888">
        <v>-26.52</v>
      </c>
      <c r="BQ62" s="355"/>
      <c r="BR62" s="355"/>
      <c r="BS62" s="355"/>
      <c r="BT62" s="355"/>
      <c r="BU62" s="355"/>
      <c r="BV62" s="355"/>
      <c r="BW62" s="355">
        <f t="shared" si="2"/>
        <v>894.61</v>
      </c>
      <c r="BY62" s="33">
        <f t="shared" si="5"/>
        <v>0</v>
      </c>
      <c r="BZ62" s="33">
        <f t="shared" si="5"/>
        <v>0</v>
      </c>
      <c r="CA62" s="33">
        <f t="shared" si="5"/>
        <v>0</v>
      </c>
      <c r="CB62" s="33">
        <f t="shared" si="5"/>
        <v>0</v>
      </c>
      <c r="CC62" s="33">
        <f t="shared" si="5"/>
        <v>0</v>
      </c>
      <c r="CD62" s="33">
        <f t="shared" si="5"/>
        <v>921.13</v>
      </c>
      <c r="CE62" s="33">
        <f t="shared" si="5"/>
        <v>0</v>
      </c>
      <c r="CF62" s="33">
        <f t="shared" si="5"/>
        <v>-26.52</v>
      </c>
      <c r="CG62" s="58">
        <f t="shared" si="4"/>
        <v>921.13</v>
      </c>
    </row>
    <row r="63" spans="1:85">
      <c r="A63" s="198">
        <v>2079</v>
      </c>
      <c r="B63" s="2">
        <v>103200</v>
      </c>
      <c r="C63" s="2" t="s">
        <v>149</v>
      </c>
      <c r="D63" s="2" t="s">
        <v>150</v>
      </c>
      <c r="E63" s="2" t="s">
        <v>39</v>
      </c>
      <c r="F63" s="208" t="s">
        <v>890</v>
      </c>
      <c r="H63" s="880">
        <v>0</v>
      </c>
      <c r="I63" s="880"/>
      <c r="J63" s="880"/>
      <c r="K63" s="880">
        <v>9470</v>
      </c>
      <c r="L63" s="190">
        <v>0</v>
      </c>
      <c r="M63" s="190">
        <v>0</v>
      </c>
      <c r="N63" s="190">
        <v>0</v>
      </c>
      <c r="O63" s="190">
        <v>0</v>
      </c>
      <c r="P63" s="190">
        <v>0</v>
      </c>
      <c r="Q63" s="190">
        <v>0</v>
      </c>
      <c r="R63" s="190">
        <v>0</v>
      </c>
      <c r="S63" s="190">
        <v>0</v>
      </c>
      <c r="T63" s="209">
        <v>0</v>
      </c>
      <c r="U63" s="209"/>
      <c r="V63" s="209"/>
      <c r="W63" s="209"/>
      <c r="X63" s="190"/>
      <c r="Y63" s="190"/>
      <c r="Z63" s="190"/>
      <c r="AA63" s="190"/>
      <c r="AB63" s="190"/>
      <c r="AC63" s="190"/>
      <c r="AD63" s="190"/>
      <c r="AE63" s="190"/>
      <c r="AF63" s="209"/>
      <c r="AG63" s="209"/>
      <c r="AH63" s="209"/>
      <c r="AI63" s="345"/>
      <c r="AJ63" s="209"/>
      <c r="AK63" s="209"/>
      <c r="AL63" s="190"/>
      <c r="AM63" s="190"/>
      <c r="AN63" s="190"/>
      <c r="AO63" s="190"/>
      <c r="AP63" s="190"/>
      <c r="AQ63" s="347"/>
      <c r="AR63" s="347"/>
      <c r="AS63" s="355"/>
      <c r="AT63" s="355"/>
      <c r="AU63" s="355"/>
      <c r="AV63" s="210"/>
      <c r="AW63" s="355"/>
      <c r="AX63" s="355"/>
      <c r="AY63" s="355"/>
      <c r="AZ63" s="355"/>
      <c r="BA63" s="355"/>
      <c r="BB63" s="355"/>
      <c r="BC63" s="355"/>
      <c r="BD63" s="355"/>
      <c r="BE63" s="355"/>
      <c r="BF63" s="355"/>
      <c r="BG63" s="355"/>
      <c r="BH63" s="355"/>
      <c r="BI63" s="355"/>
      <c r="BJ63" s="355"/>
      <c r="BK63" s="355"/>
      <c r="BL63" s="355"/>
      <c r="BM63" s="355"/>
      <c r="BN63" s="355"/>
      <c r="BO63" s="355">
        <v>1470.46</v>
      </c>
      <c r="BP63" s="888">
        <v>-1.67</v>
      </c>
      <c r="BQ63" s="355"/>
      <c r="BR63" s="355"/>
      <c r="BS63" s="355"/>
      <c r="BT63" s="355"/>
      <c r="BU63" s="355"/>
      <c r="BV63" s="355"/>
      <c r="BW63" s="355">
        <f t="shared" si="2"/>
        <v>10938.789999999999</v>
      </c>
      <c r="BY63" s="33">
        <f t="shared" si="5"/>
        <v>0</v>
      </c>
      <c r="BZ63" s="33">
        <f t="shared" si="5"/>
        <v>0</v>
      </c>
      <c r="CA63" s="33">
        <f t="shared" si="5"/>
        <v>0</v>
      </c>
      <c r="CB63" s="33">
        <f t="shared" si="5"/>
        <v>0</v>
      </c>
      <c r="CC63" s="33">
        <f t="shared" si="5"/>
        <v>9470</v>
      </c>
      <c r="CD63" s="33">
        <f t="shared" si="5"/>
        <v>1470.46</v>
      </c>
      <c r="CE63" s="33">
        <f t="shared" si="5"/>
        <v>0</v>
      </c>
      <c r="CF63" s="33">
        <f t="shared" si="5"/>
        <v>-1.67</v>
      </c>
      <c r="CG63" s="58">
        <f t="shared" si="4"/>
        <v>10940.46</v>
      </c>
    </row>
    <row r="64" spans="1:85">
      <c r="A64" s="198">
        <v>2081</v>
      </c>
      <c r="B64" s="2">
        <v>103201</v>
      </c>
      <c r="C64" s="2" t="s">
        <v>151</v>
      </c>
      <c r="D64" s="2" t="s">
        <v>152</v>
      </c>
      <c r="E64" s="2" t="s">
        <v>39</v>
      </c>
      <c r="F64" s="208" t="s">
        <v>890</v>
      </c>
      <c r="H64" s="880">
        <v>0</v>
      </c>
      <c r="I64" s="880"/>
      <c r="J64" s="880"/>
      <c r="K64" s="880">
        <v>9770</v>
      </c>
      <c r="L64" s="190">
        <v>0</v>
      </c>
      <c r="M64" s="190">
        <v>0</v>
      </c>
      <c r="N64" s="190">
        <v>0</v>
      </c>
      <c r="O64" s="190">
        <v>0</v>
      </c>
      <c r="P64" s="190">
        <v>0</v>
      </c>
      <c r="Q64" s="190">
        <v>0</v>
      </c>
      <c r="R64" s="190">
        <v>0</v>
      </c>
      <c r="S64" s="190">
        <v>0</v>
      </c>
      <c r="T64" s="209">
        <v>0</v>
      </c>
      <c r="U64" s="209"/>
      <c r="V64" s="209"/>
      <c r="W64" s="209"/>
      <c r="X64" s="190"/>
      <c r="Y64" s="190"/>
      <c r="Z64" s="190"/>
      <c r="AA64" s="190"/>
      <c r="AB64" s="190"/>
      <c r="AC64" s="190"/>
      <c r="AD64" s="190"/>
      <c r="AE64" s="190"/>
      <c r="AF64" s="209"/>
      <c r="AG64" s="209"/>
      <c r="AH64" s="209"/>
      <c r="AI64" s="345"/>
      <c r="AJ64" s="209"/>
      <c r="AK64" s="209"/>
      <c r="AL64" s="190"/>
      <c r="AM64" s="190"/>
      <c r="AN64" s="190"/>
      <c r="AO64" s="190"/>
      <c r="AP64" s="190"/>
      <c r="AQ64" s="347"/>
      <c r="AR64" s="347"/>
      <c r="AS64" s="355"/>
      <c r="AT64" s="355"/>
      <c r="AU64" s="355"/>
      <c r="AV64" s="210"/>
      <c r="AW64" s="355"/>
      <c r="AX64" s="355"/>
      <c r="AY64" s="355"/>
      <c r="AZ64" s="355"/>
      <c r="BA64" s="355"/>
      <c r="BB64" s="355"/>
      <c r="BC64" s="355"/>
      <c r="BD64" s="355"/>
      <c r="BE64" s="355"/>
      <c r="BF64" s="355"/>
      <c r="BG64" s="355"/>
      <c r="BH64" s="355"/>
      <c r="BI64" s="355"/>
      <c r="BJ64" s="355"/>
      <c r="BK64" s="355"/>
      <c r="BL64" s="355"/>
      <c r="BM64" s="355"/>
      <c r="BN64" s="355"/>
      <c r="BO64" s="355">
        <v>1313.22</v>
      </c>
      <c r="BP64" s="888">
        <v>-32.42</v>
      </c>
      <c r="BQ64" s="355"/>
      <c r="BR64" s="355"/>
      <c r="BS64" s="355"/>
      <c r="BT64" s="355"/>
      <c r="BU64" s="355"/>
      <c r="BV64" s="355"/>
      <c r="BW64" s="355">
        <f t="shared" si="2"/>
        <v>11050.8</v>
      </c>
      <c r="BY64" s="33">
        <f t="shared" si="5"/>
        <v>0</v>
      </c>
      <c r="BZ64" s="33">
        <f t="shared" si="5"/>
        <v>0</v>
      </c>
      <c r="CA64" s="33">
        <f t="shared" si="5"/>
        <v>0</v>
      </c>
      <c r="CB64" s="33">
        <f t="shared" si="5"/>
        <v>0</v>
      </c>
      <c r="CC64" s="33">
        <f t="shared" si="5"/>
        <v>9770</v>
      </c>
      <c r="CD64" s="33">
        <f t="shared" si="5"/>
        <v>1313.22</v>
      </c>
      <c r="CE64" s="33">
        <f t="shared" si="5"/>
        <v>0</v>
      </c>
      <c r="CF64" s="33">
        <f t="shared" si="5"/>
        <v>-32.42</v>
      </c>
      <c r="CG64" s="58">
        <f t="shared" si="4"/>
        <v>11083.22</v>
      </c>
    </row>
    <row r="65" spans="1:85">
      <c r="A65" s="198">
        <v>2296</v>
      </c>
      <c r="B65" s="2">
        <v>103320</v>
      </c>
      <c r="C65" s="2" t="s">
        <v>153</v>
      </c>
      <c r="D65" s="2" t="s">
        <v>154</v>
      </c>
      <c r="E65" s="2" t="s">
        <v>39</v>
      </c>
      <c r="F65" s="208" t="s">
        <v>897</v>
      </c>
      <c r="H65" s="880">
        <v>0</v>
      </c>
      <c r="I65" s="880"/>
      <c r="J65" s="880"/>
      <c r="K65" s="880">
        <v>9170</v>
      </c>
      <c r="L65" s="190">
        <v>0</v>
      </c>
      <c r="M65" s="190">
        <v>0</v>
      </c>
      <c r="N65" s="190">
        <v>0</v>
      </c>
      <c r="O65" s="190">
        <v>0</v>
      </c>
      <c r="P65" s="190">
        <v>0</v>
      </c>
      <c r="Q65" s="190">
        <v>0</v>
      </c>
      <c r="R65" s="190">
        <v>0</v>
      </c>
      <c r="S65" s="190">
        <v>0</v>
      </c>
      <c r="T65" s="209">
        <v>4589.1099999999997</v>
      </c>
      <c r="U65" s="209"/>
      <c r="V65" s="209"/>
      <c r="W65" s="209"/>
      <c r="X65" s="190"/>
      <c r="Y65" s="190"/>
      <c r="Z65" s="190"/>
      <c r="AA65" s="190"/>
      <c r="AB65" s="190"/>
      <c r="AC65" s="190"/>
      <c r="AD65" s="190"/>
      <c r="AE65" s="190"/>
      <c r="AF65" s="209"/>
      <c r="AG65" s="209"/>
      <c r="AH65" s="209"/>
      <c r="AI65" s="345"/>
      <c r="AJ65" s="209"/>
      <c r="AK65" s="209"/>
      <c r="AL65" s="190"/>
      <c r="AM65" s="190"/>
      <c r="AN65" s="190"/>
      <c r="AO65" s="190"/>
      <c r="AP65" s="190"/>
      <c r="AQ65" s="347"/>
      <c r="AR65" s="347"/>
      <c r="AS65" s="355"/>
      <c r="AT65" s="355"/>
      <c r="AU65" s="355"/>
      <c r="AV65" s="210"/>
      <c r="AW65" s="355"/>
      <c r="AX65" s="355"/>
      <c r="AY65" s="355"/>
      <c r="AZ65" s="355"/>
      <c r="BA65" s="355"/>
      <c r="BB65" s="355"/>
      <c r="BC65" s="355"/>
      <c r="BD65" s="355"/>
      <c r="BE65" s="355"/>
      <c r="BF65" s="355"/>
      <c r="BG65" s="355"/>
      <c r="BH65" s="355"/>
      <c r="BI65" s="355"/>
      <c r="BJ65" s="355"/>
      <c r="BK65" s="355"/>
      <c r="BL65" s="355"/>
      <c r="BM65" s="355"/>
      <c r="BN65" s="355"/>
      <c r="BO65" s="355">
        <v>0</v>
      </c>
      <c r="BP65" s="888">
        <v>0</v>
      </c>
      <c r="BQ65" s="355"/>
      <c r="BR65" s="355"/>
      <c r="BS65" s="355"/>
      <c r="BT65" s="355"/>
      <c r="BU65" s="355"/>
      <c r="BV65" s="355"/>
      <c r="BW65" s="355">
        <f t="shared" si="2"/>
        <v>13759.11</v>
      </c>
      <c r="BY65" s="33">
        <f t="shared" si="5"/>
        <v>0</v>
      </c>
      <c r="BZ65" s="33">
        <f t="shared" si="5"/>
        <v>0</v>
      </c>
      <c r="CA65" s="33">
        <f t="shared" si="5"/>
        <v>0</v>
      </c>
      <c r="CB65" s="33">
        <f t="shared" si="5"/>
        <v>0</v>
      </c>
      <c r="CC65" s="33">
        <f t="shared" si="5"/>
        <v>13759.11</v>
      </c>
      <c r="CD65" s="33">
        <f t="shared" si="5"/>
        <v>0</v>
      </c>
      <c r="CE65" s="33">
        <f t="shared" si="5"/>
        <v>0</v>
      </c>
      <c r="CF65" s="33">
        <f t="shared" si="5"/>
        <v>0</v>
      </c>
      <c r="CG65" s="58">
        <f t="shared" si="4"/>
        <v>13759.11</v>
      </c>
    </row>
    <row r="66" spans="1:85">
      <c r="A66" s="198">
        <v>1015</v>
      </c>
      <c r="B66" s="2">
        <v>103128</v>
      </c>
      <c r="C66" s="2" t="s">
        <v>155</v>
      </c>
      <c r="D66" s="2" t="s">
        <v>156</v>
      </c>
      <c r="E66" s="2" t="s">
        <v>36</v>
      </c>
      <c r="F66" s="208" t="s">
        <v>890</v>
      </c>
      <c r="H66" s="880">
        <v>0</v>
      </c>
      <c r="I66" s="880"/>
      <c r="J66" s="880"/>
      <c r="K66" s="880">
        <v>0</v>
      </c>
      <c r="L66" s="190">
        <v>0</v>
      </c>
      <c r="M66" s="190">
        <v>0</v>
      </c>
      <c r="N66" s="190">
        <v>0</v>
      </c>
      <c r="O66" s="190">
        <v>0</v>
      </c>
      <c r="P66" s="190">
        <v>0</v>
      </c>
      <c r="Q66" s="190">
        <v>0</v>
      </c>
      <c r="R66" s="190">
        <v>0</v>
      </c>
      <c r="S66" s="190">
        <v>0</v>
      </c>
      <c r="T66" s="209">
        <v>0</v>
      </c>
      <c r="U66" s="209"/>
      <c r="V66" s="209"/>
      <c r="W66" s="209"/>
      <c r="X66" s="190"/>
      <c r="Y66" s="190"/>
      <c r="Z66" s="190"/>
      <c r="AA66" s="190"/>
      <c r="AB66" s="190"/>
      <c r="AC66" s="190"/>
      <c r="AD66" s="190"/>
      <c r="AE66" s="190"/>
      <c r="AF66" s="209"/>
      <c r="AG66" s="209"/>
      <c r="AH66" s="209"/>
      <c r="AI66" s="345"/>
      <c r="AJ66" s="209"/>
      <c r="AK66" s="209"/>
      <c r="AL66" s="190"/>
      <c r="AM66" s="190"/>
      <c r="AN66" s="190"/>
      <c r="AO66" s="190"/>
      <c r="AP66" s="190"/>
      <c r="AQ66" s="347"/>
      <c r="AR66" s="347"/>
      <c r="AS66" s="355"/>
      <c r="AT66" s="355"/>
      <c r="AU66" s="355"/>
      <c r="AV66" s="210"/>
      <c r="AW66" s="355"/>
      <c r="AX66" s="355"/>
      <c r="AY66" s="355"/>
      <c r="AZ66" s="355"/>
      <c r="BA66" s="355"/>
      <c r="BB66" s="355"/>
      <c r="BC66" s="355"/>
      <c r="BD66" s="355"/>
      <c r="BE66" s="355"/>
      <c r="BF66" s="355"/>
      <c r="BG66" s="355"/>
      <c r="BH66" s="355"/>
      <c r="BI66" s="355"/>
      <c r="BJ66" s="355"/>
      <c r="BK66" s="355"/>
      <c r="BL66" s="355"/>
      <c r="BM66" s="355"/>
      <c r="BN66" s="355"/>
      <c r="BO66" s="355">
        <v>1416.47</v>
      </c>
      <c r="BP66" s="888">
        <v>-15.02</v>
      </c>
      <c r="BQ66" s="355"/>
      <c r="BR66" s="355"/>
      <c r="BS66" s="355"/>
      <c r="BT66" s="355"/>
      <c r="BU66" s="355"/>
      <c r="BV66" s="355"/>
      <c r="BW66" s="355">
        <f t="shared" si="2"/>
        <v>1401.45</v>
      </c>
      <c r="BY66" s="33">
        <f t="shared" si="5"/>
        <v>0</v>
      </c>
      <c r="BZ66" s="33">
        <f t="shared" si="5"/>
        <v>0</v>
      </c>
      <c r="CA66" s="33">
        <f t="shared" si="5"/>
        <v>0</v>
      </c>
      <c r="CB66" s="33">
        <f t="shared" si="5"/>
        <v>0</v>
      </c>
      <c r="CC66" s="33">
        <f t="shared" si="5"/>
        <v>0</v>
      </c>
      <c r="CD66" s="33">
        <f t="shared" si="5"/>
        <v>1416.47</v>
      </c>
      <c r="CE66" s="33">
        <f t="shared" si="5"/>
        <v>0</v>
      </c>
      <c r="CF66" s="33">
        <f t="shared" si="5"/>
        <v>-15.02</v>
      </c>
      <c r="CG66" s="58">
        <f t="shared" si="4"/>
        <v>1416.47</v>
      </c>
    </row>
    <row r="67" spans="1:85">
      <c r="A67" s="198">
        <v>1022</v>
      </c>
      <c r="B67" s="2">
        <v>103135</v>
      </c>
      <c r="C67" s="2" t="s">
        <v>157</v>
      </c>
      <c r="D67" s="2" t="s">
        <v>158</v>
      </c>
      <c r="E67" s="2" t="s">
        <v>36</v>
      </c>
      <c r="F67" s="208" t="s">
        <v>890</v>
      </c>
      <c r="H67" s="880">
        <v>0</v>
      </c>
      <c r="I67" s="880"/>
      <c r="J67" s="880"/>
      <c r="K67" s="880">
        <v>0</v>
      </c>
      <c r="L67" s="190">
        <v>0</v>
      </c>
      <c r="M67" s="190">
        <v>0</v>
      </c>
      <c r="N67" s="190">
        <v>0</v>
      </c>
      <c r="O67" s="190">
        <v>0</v>
      </c>
      <c r="P67" s="190">
        <v>0</v>
      </c>
      <c r="Q67" s="190">
        <v>0</v>
      </c>
      <c r="R67" s="190">
        <v>0</v>
      </c>
      <c r="S67" s="190">
        <v>0</v>
      </c>
      <c r="T67" s="209">
        <v>0</v>
      </c>
      <c r="U67" s="209"/>
      <c r="V67" s="209"/>
      <c r="W67" s="209"/>
      <c r="X67" s="190"/>
      <c r="Y67" s="190"/>
      <c r="Z67" s="190"/>
      <c r="AA67" s="190"/>
      <c r="AB67" s="190"/>
      <c r="AC67" s="190"/>
      <c r="AD67" s="190"/>
      <c r="AE67" s="190"/>
      <c r="AF67" s="209"/>
      <c r="AG67" s="209"/>
      <c r="AH67" s="209"/>
      <c r="AI67" s="345"/>
      <c r="AJ67" s="209"/>
      <c r="AK67" s="209"/>
      <c r="AL67" s="190"/>
      <c r="AM67" s="190"/>
      <c r="AN67" s="190"/>
      <c r="AO67" s="190"/>
      <c r="AP67" s="190"/>
      <c r="AQ67" s="347"/>
      <c r="AR67" s="347"/>
      <c r="AS67" s="355"/>
      <c r="AT67" s="355"/>
      <c r="AU67" s="355"/>
      <c r="AV67" s="210"/>
      <c r="AW67" s="355"/>
      <c r="AX67" s="355"/>
      <c r="AY67" s="355"/>
      <c r="AZ67" s="355"/>
      <c r="BA67" s="355"/>
      <c r="BB67" s="355"/>
      <c r="BC67" s="355"/>
      <c r="BD67" s="355"/>
      <c r="BE67" s="355"/>
      <c r="BF67" s="355"/>
      <c r="BG67" s="355"/>
      <c r="BH67" s="355"/>
      <c r="BI67" s="355"/>
      <c r="BJ67" s="355"/>
      <c r="BK67" s="355"/>
      <c r="BL67" s="355"/>
      <c r="BM67" s="355"/>
      <c r="BN67" s="355"/>
      <c r="BO67" s="355">
        <v>0</v>
      </c>
      <c r="BP67" s="888">
        <v>0</v>
      </c>
      <c r="BQ67" s="355"/>
      <c r="BR67" s="355"/>
      <c r="BS67" s="355"/>
      <c r="BT67" s="355"/>
      <c r="BU67" s="355"/>
      <c r="BV67" s="355"/>
      <c r="BW67" s="355">
        <f t="shared" si="2"/>
        <v>0</v>
      </c>
      <c r="BY67" s="33">
        <f t="shared" si="5"/>
        <v>0</v>
      </c>
      <c r="BZ67" s="33">
        <f t="shared" si="5"/>
        <v>0</v>
      </c>
      <c r="CA67" s="33">
        <f t="shared" si="5"/>
        <v>0</v>
      </c>
      <c r="CB67" s="33">
        <f t="shared" si="5"/>
        <v>0</v>
      </c>
      <c r="CC67" s="33">
        <f t="shared" si="5"/>
        <v>0</v>
      </c>
      <c r="CD67" s="33">
        <f t="shared" si="5"/>
        <v>0</v>
      </c>
      <c r="CE67" s="33">
        <f t="shared" si="5"/>
        <v>0</v>
      </c>
      <c r="CF67" s="33">
        <f t="shared" si="5"/>
        <v>0</v>
      </c>
      <c r="CG67" s="58">
        <f t="shared" si="4"/>
        <v>0</v>
      </c>
    </row>
    <row r="68" spans="1:85">
      <c r="A68" s="198">
        <v>2087</v>
      </c>
      <c r="B68" s="2">
        <v>103205</v>
      </c>
      <c r="C68" s="2" t="s">
        <v>159</v>
      </c>
      <c r="D68" s="2" t="s">
        <v>160</v>
      </c>
      <c r="E68" s="2" t="s">
        <v>39</v>
      </c>
      <c r="F68" s="208" t="s">
        <v>890</v>
      </c>
      <c r="H68" s="880">
        <v>0</v>
      </c>
      <c r="I68" s="880"/>
      <c r="J68" s="880"/>
      <c r="K68" s="880">
        <v>9525</v>
      </c>
      <c r="L68" s="190">
        <v>0</v>
      </c>
      <c r="M68" s="190">
        <v>0</v>
      </c>
      <c r="N68" s="190">
        <v>0</v>
      </c>
      <c r="O68" s="190">
        <v>0</v>
      </c>
      <c r="P68" s="190">
        <v>0</v>
      </c>
      <c r="Q68" s="190">
        <v>0</v>
      </c>
      <c r="R68" s="190">
        <v>0</v>
      </c>
      <c r="S68" s="190">
        <v>0</v>
      </c>
      <c r="T68" s="209">
        <v>0</v>
      </c>
      <c r="U68" s="209"/>
      <c r="V68" s="209"/>
      <c r="W68" s="209"/>
      <c r="X68" s="190"/>
      <c r="Y68" s="190"/>
      <c r="Z68" s="190"/>
      <c r="AA68" s="190"/>
      <c r="AB68" s="190"/>
      <c r="AC68" s="190"/>
      <c r="AD68" s="190"/>
      <c r="AE68" s="190"/>
      <c r="AF68" s="209"/>
      <c r="AG68" s="209"/>
      <c r="AH68" s="209"/>
      <c r="AI68" s="345"/>
      <c r="AJ68" s="209"/>
      <c r="AK68" s="209"/>
      <c r="AL68" s="190"/>
      <c r="AM68" s="190"/>
      <c r="AN68" s="190"/>
      <c r="AO68" s="190"/>
      <c r="AP68" s="190"/>
      <c r="AQ68" s="347"/>
      <c r="AR68" s="347"/>
      <c r="AS68" s="355"/>
      <c r="AT68" s="355"/>
      <c r="AU68" s="355"/>
      <c r="AV68" s="210"/>
      <c r="AW68" s="355"/>
      <c r="AX68" s="355"/>
      <c r="AY68" s="355"/>
      <c r="AZ68" s="355"/>
      <c r="BA68" s="355"/>
      <c r="BB68" s="355"/>
      <c r="BC68" s="355"/>
      <c r="BD68" s="355"/>
      <c r="BE68" s="355"/>
      <c r="BF68" s="355"/>
      <c r="BG68" s="355"/>
      <c r="BH68" s="355"/>
      <c r="BI68" s="355"/>
      <c r="BJ68" s="355"/>
      <c r="BK68" s="355"/>
      <c r="BL68" s="355"/>
      <c r="BM68" s="355"/>
      <c r="BN68" s="355"/>
      <c r="BO68" s="355">
        <v>2047.54</v>
      </c>
      <c r="BP68" s="888">
        <v>-28.25</v>
      </c>
      <c r="BQ68" s="355"/>
      <c r="BR68" s="355"/>
      <c r="BS68" s="355"/>
      <c r="BT68" s="355"/>
      <c r="BU68" s="355"/>
      <c r="BV68" s="355"/>
      <c r="BW68" s="355">
        <f t="shared" si="2"/>
        <v>11544.29</v>
      </c>
      <c r="BY68" s="33">
        <f t="shared" si="5"/>
        <v>0</v>
      </c>
      <c r="BZ68" s="33">
        <f t="shared" si="5"/>
        <v>0</v>
      </c>
      <c r="CA68" s="33">
        <f t="shared" si="5"/>
        <v>0</v>
      </c>
      <c r="CB68" s="33">
        <f t="shared" si="5"/>
        <v>0</v>
      </c>
      <c r="CC68" s="33">
        <f t="shared" si="5"/>
        <v>9525</v>
      </c>
      <c r="CD68" s="33">
        <f t="shared" si="5"/>
        <v>2047.54</v>
      </c>
      <c r="CE68" s="33">
        <f t="shared" si="5"/>
        <v>0</v>
      </c>
      <c r="CF68" s="33">
        <f t="shared" si="5"/>
        <v>-28.25</v>
      </c>
      <c r="CG68" s="58">
        <f t="shared" si="4"/>
        <v>11572.54</v>
      </c>
    </row>
    <row r="69" spans="1:85">
      <c r="A69" s="198">
        <v>2466</v>
      </c>
      <c r="B69" s="2">
        <v>103392</v>
      </c>
      <c r="C69" s="2" t="s">
        <v>161</v>
      </c>
      <c r="D69" s="2" t="s">
        <v>162</v>
      </c>
      <c r="E69" s="2" t="s">
        <v>39</v>
      </c>
      <c r="F69" s="208" t="s">
        <v>890</v>
      </c>
      <c r="H69" s="880">
        <v>0</v>
      </c>
      <c r="I69" s="880"/>
      <c r="J69" s="880"/>
      <c r="K69" s="880">
        <v>10625</v>
      </c>
      <c r="L69" s="190">
        <v>0</v>
      </c>
      <c r="M69" s="190">
        <v>0</v>
      </c>
      <c r="N69" s="190">
        <v>0</v>
      </c>
      <c r="O69" s="190">
        <v>0</v>
      </c>
      <c r="P69" s="190">
        <v>0</v>
      </c>
      <c r="Q69" s="190">
        <v>0</v>
      </c>
      <c r="R69" s="190">
        <v>0</v>
      </c>
      <c r="S69" s="190">
        <v>0</v>
      </c>
      <c r="T69" s="209">
        <v>0</v>
      </c>
      <c r="U69" s="209"/>
      <c r="V69" s="209"/>
      <c r="W69" s="209"/>
      <c r="X69" s="190"/>
      <c r="Y69" s="190"/>
      <c r="Z69" s="190"/>
      <c r="AA69" s="190"/>
      <c r="AB69" s="190"/>
      <c r="AC69" s="190"/>
      <c r="AD69" s="190"/>
      <c r="AE69" s="190"/>
      <c r="AF69" s="209"/>
      <c r="AG69" s="209"/>
      <c r="AH69" s="209"/>
      <c r="AI69" s="67"/>
      <c r="AJ69" s="209"/>
      <c r="AK69" s="209"/>
      <c r="AL69" s="190"/>
      <c r="AM69" s="190"/>
      <c r="AN69" s="189"/>
      <c r="AO69" s="189"/>
      <c r="AP69" s="189"/>
      <c r="AQ69" s="348"/>
      <c r="AR69" s="348"/>
      <c r="AS69" s="354"/>
      <c r="AT69" s="354"/>
      <c r="AU69" s="354"/>
      <c r="AV69" s="196"/>
      <c r="AW69" s="354"/>
      <c r="AX69" s="354"/>
      <c r="AY69" s="354"/>
      <c r="AZ69" s="354"/>
      <c r="BA69" s="354"/>
      <c r="BB69" s="354"/>
      <c r="BC69" s="354"/>
      <c r="BD69" s="354"/>
      <c r="BE69" s="354"/>
      <c r="BF69" s="354"/>
      <c r="BG69" s="354"/>
      <c r="BH69" s="354"/>
      <c r="BI69" s="354"/>
      <c r="BJ69" s="354"/>
      <c r="BK69" s="354"/>
      <c r="BL69" s="354"/>
      <c r="BM69" s="354"/>
      <c r="BN69" s="354"/>
      <c r="BO69" s="355">
        <v>5137.62</v>
      </c>
      <c r="BP69" s="888">
        <v>-41.05</v>
      </c>
      <c r="BQ69" s="354"/>
      <c r="BR69" s="354"/>
      <c r="BS69" s="354"/>
      <c r="BT69" s="354"/>
      <c r="BU69" s="354"/>
      <c r="BV69" s="354"/>
      <c r="BW69" s="355">
        <f t="shared" si="2"/>
        <v>15721.57</v>
      </c>
      <c r="BY69" s="33">
        <f t="shared" si="5"/>
        <v>0</v>
      </c>
      <c r="BZ69" s="33">
        <f t="shared" si="5"/>
        <v>0</v>
      </c>
      <c r="CA69" s="33">
        <f t="shared" si="5"/>
        <v>0</v>
      </c>
      <c r="CB69" s="33">
        <f t="shared" si="5"/>
        <v>0</v>
      </c>
      <c r="CC69" s="33">
        <f t="shared" si="5"/>
        <v>10625</v>
      </c>
      <c r="CD69" s="33">
        <f t="shared" si="5"/>
        <v>5137.62</v>
      </c>
      <c r="CE69" s="33">
        <f t="shared" si="5"/>
        <v>0</v>
      </c>
      <c r="CF69" s="33">
        <f t="shared" si="5"/>
        <v>-41.05</v>
      </c>
      <c r="CG69" s="58">
        <f t="shared" si="4"/>
        <v>15762.619999999999</v>
      </c>
    </row>
    <row r="70" spans="1:85">
      <c r="A70" s="198">
        <v>2091</v>
      </c>
      <c r="B70" s="2">
        <v>103208</v>
      </c>
      <c r="C70" s="2" t="s">
        <v>163</v>
      </c>
      <c r="D70" s="2" t="s">
        <v>164</v>
      </c>
      <c r="E70" s="2" t="s">
        <v>39</v>
      </c>
      <c r="F70" s="208" t="s">
        <v>890</v>
      </c>
      <c r="H70" s="880">
        <v>0</v>
      </c>
      <c r="I70" s="880"/>
      <c r="J70" s="880"/>
      <c r="K70" s="880">
        <v>8855</v>
      </c>
      <c r="L70" s="190">
        <v>0</v>
      </c>
      <c r="M70" s="190">
        <v>0</v>
      </c>
      <c r="N70" s="190">
        <v>0</v>
      </c>
      <c r="O70" s="190">
        <v>0</v>
      </c>
      <c r="P70" s="190">
        <v>0</v>
      </c>
      <c r="Q70" s="190">
        <v>0</v>
      </c>
      <c r="R70" s="190">
        <v>0</v>
      </c>
      <c r="S70" s="190">
        <v>0</v>
      </c>
      <c r="T70" s="209">
        <v>2580.52</v>
      </c>
      <c r="U70" s="209"/>
      <c r="V70" s="209"/>
      <c r="W70" s="209"/>
      <c r="X70" s="190"/>
      <c r="Y70" s="190"/>
      <c r="Z70" s="190"/>
      <c r="AA70" s="190"/>
      <c r="AB70" s="190"/>
      <c r="AC70" s="190"/>
      <c r="AD70" s="190"/>
      <c r="AE70" s="190"/>
      <c r="AF70" s="209"/>
      <c r="AG70" s="209"/>
      <c r="AH70" s="209"/>
      <c r="AI70" s="67"/>
      <c r="AJ70" s="209"/>
      <c r="AK70" s="209"/>
      <c r="AL70" s="190"/>
      <c r="AM70" s="190"/>
      <c r="AN70" s="189"/>
      <c r="AO70" s="189"/>
      <c r="AP70" s="189"/>
      <c r="AQ70" s="348"/>
      <c r="AR70" s="348"/>
      <c r="AS70" s="354"/>
      <c r="AT70" s="354"/>
      <c r="AU70" s="354"/>
      <c r="AV70" s="196"/>
      <c r="AW70" s="354"/>
      <c r="AX70" s="354"/>
      <c r="AY70" s="354"/>
      <c r="AZ70" s="354"/>
      <c r="BA70" s="354"/>
      <c r="BB70" s="354"/>
      <c r="BC70" s="354"/>
      <c r="BD70" s="354"/>
      <c r="BE70" s="354"/>
      <c r="BF70" s="354"/>
      <c r="BG70" s="354"/>
      <c r="BH70" s="354"/>
      <c r="BI70" s="354"/>
      <c r="BJ70" s="354"/>
      <c r="BK70" s="354"/>
      <c r="BL70" s="354"/>
      <c r="BM70" s="354"/>
      <c r="BN70" s="354"/>
      <c r="BO70" s="355">
        <v>287.97000000000003</v>
      </c>
      <c r="BP70" s="888">
        <v>-39.869999999999997</v>
      </c>
      <c r="BQ70" s="354"/>
      <c r="BR70" s="354"/>
      <c r="BS70" s="354"/>
      <c r="BT70" s="354"/>
      <c r="BU70" s="354"/>
      <c r="BV70" s="354"/>
      <c r="BW70" s="355">
        <f t="shared" si="2"/>
        <v>11683.619999999999</v>
      </c>
      <c r="BY70" s="33">
        <f t="shared" si="5"/>
        <v>0</v>
      </c>
      <c r="BZ70" s="33">
        <f t="shared" si="5"/>
        <v>0</v>
      </c>
      <c r="CA70" s="33">
        <f t="shared" si="5"/>
        <v>0</v>
      </c>
      <c r="CB70" s="33">
        <f t="shared" si="5"/>
        <v>0</v>
      </c>
      <c r="CC70" s="33">
        <f t="shared" si="5"/>
        <v>11435.52</v>
      </c>
      <c r="CD70" s="33">
        <f t="shared" si="5"/>
        <v>287.97000000000003</v>
      </c>
      <c r="CE70" s="33">
        <f t="shared" si="5"/>
        <v>0</v>
      </c>
      <c r="CF70" s="33">
        <f t="shared" si="5"/>
        <v>-39.869999999999997</v>
      </c>
      <c r="CG70" s="58">
        <f t="shared" si="4"/>
        <v>11723.49</v>
      </c>
    </row>
    <row r="71" spans="1:85">
      <c r="A71" s="198">
        <v>2093</v>
      </c>
      <c r="B71" s="2">
        <v>103210</v>
      </c>
      <c r="C71" s="2" t="s">
        <v>165</v>
      </c>
      <c r="D71" s="2" t="s">
        <v>166</v>
      </c>
      <c r="E71" s="2" t="s">
        <v>39</v>
      </c>
      <c r="F71" s="208" t="s">
        <v>890</v>
      </c>
      <c r="H71" s="880">
        <v>0</v>
      </c>
      <c r="I71" s="880"/>
      <c r="J71" s="880"/>
      <c r="K71" s="880">
        <v>9200</v>
      </c>
      <c r="L71" s="190">
        <v>0</v>
      </c>
      <c r="M71" s="190">
        <v>0</v>
      </c>
      <c r="N71" s="190">
        <v>0</v>
      </c>
      <c r="O71" s="190">
        <v>0</v>
      </c>
      <c r="P71" s="190">
        <v>0</v>
      </c>
      <c r="Q71" s="190">
        <v>0</v>
      </c>
      <c r="R71" s="190">
        <v>0</v>
      </c>
      <c r="S71" s="190">
        <v>0</v>
      </c>
      <c r="T71" s="209">
        <v>4173.2299999999996</v>
      </c>
      <c r="U71" s="209"/>
      <c r="V71" s="209"/>
      <c r="W71" s="209"/>
      <c r="X71" s="190"/>
      <c r="Y71" s="190"/>
      <c r="Z71" s="190"/>
      <c r="AA71" s="190"/>
      <c r="AB71" s="190"/>
      <c r="AC71" s="190"/>
      <c r="AD71" s="190"/>
      <c r="AE71" s="190"/>
      <c r="AF71" s="209"/>
      <c r="AG71" s="209"/>
      <c r="AH71" s="209"/>
      <c r="AI71" s="67"/>
      <c r="AJ71" s="209"/>
      <c r="AK71" s="209"/>
      <c r="AL71" s="190"/>
      <c r="AM71" s="190"/>
      <c r="AN71" s="189"/>
      <c r="AO71" s="189"/>
      <c r="AP71" s="189"/>
      <c r="AQ71" s="348"/>
      <c r="AR71" s="348"/>
      <c r="AS71" s="354"/>
      <c r="AT71" s="354"/>
      <c r="AU71" s="354"/>
      <c r="AV71" s="196"/>
      <c r="AW71" s="354"/>
      <c r="AX71" s="354"/>
      <c r="AY71" s="354"/>
      <c r="AZ71" s="354"/>
      <c r="BA71" s="354"/>
      <c r="BB71" s="354"/>
      <c r="BC71" s="354"/>
      <c r="BD71" s="354"/>
      <c r="BE71" s="354"/>
      <c r="BF71" s="354"/>
      <c r="BG71" s="354"/>
      <c r="BH71" s="354"/>
      <c r="BI71" s="354"/>
      <c r="BJ71" s="354"/>
      <c r="BK71" s="354"/>
      <c r="BL71" s="354"/>
      <c r="BM71" s="354"/>
      <c r="BN71" s="354"/>
      <c r="BO71" s="355">
        <v>3325.37</v>
      </c>
      <c r="BP71" s="888">
        <v>-33.76</v>
      </c>
      <c r="BQ71" s="354"/>
      <c r="BR71" s="354"/>
      <c r="BS71" s="354"/>
      <c r="BT71" s="354"/>
      <c r="BU71" s="354"/>
      <c r="BV71" s="354"/>
      <c r="BW71" s="355">
        <f t="shared" si="2"/>
        <v>16664.84</v>
      </c>
      <c r="BY71" s="33">
        <f t="shared" si="5"/>
        <v>0</v>
      </c>
      <c r="BZ71" s="33">
        <f t="shared" si="5"/>
        <v>0</v>
      </c>
      <c r="CA71" s="33">
        <f t="shared" si="5"/>
        <v>0</v>
      </c>
      <c r="CB71" s="33">
        <f t="shared" si="5"/>
        <v>0</v>
      </c>
      <c r="CC71" s="33">
        <f t="shared" si="5"/>
        <v>13373.23</v>
      </c>
      <c r="CD71" s="33">
        <f t="shared" si="5"/>
        <v>3325.37</v>
      </c>
      <c r="CE71" s="33">
        <f t="shared" si="5"/>
        <v>0</v>
      </c>
      <c r="CF71" s="33">
        <f t="shared" si="5"/>
        <v>-33.76</v>
      </c>
      <c r="CG71" s="58">
        <f t="shared" si="4"/>
        <v>16698.599999999999</v>
      </c>
    </row>
    <row r="72" spans="1:85">
      <c r="A72" s="198">
        <v>2092</v>
      </c>
      <c r="B72" s="2">
        <v>103209</v>
      </c>
      <c r="C72" s="2" t="s">
        <v>167</v>
      </c>
      <c r="D72" s="2" t="s">
        <v>168</v>
      </c>
      <c r="E72" s="2" t="s">
        <v>39</v>
      </c>
      <c r="F72" s="208" t="s">
        <v>890</v>
      </c>
      <c r="H72" s="880">
        <v>0</v>
      </c>
      <c r="I72" s="880"/>
      <c r="J72" s="880"/>
      <c r="K72" s="880">
        <v>10395</v>
      </c>
      <c r="L72" s="190">
        <v>0</v>
      </c>
      <c r="M72" s="190">
        <v>0</v>
      </c>
      <c r="N72" s="190">
        <v>0</v>
      </c>
      <c r="O72" s="190">
        <v>0</v>
      </c>
      <c r="P72" s="190">
        <v>0</v>
      </c>
      <c r="Q72" s="190">
        <v>0</v>
      </c>
      <c r="R72" s="190">
        <v>0</v>
      </c>
      <c r="S72" s="190">
        <v>0</v>
      </c>
      <c r="T72" s="209">
        <v>0</v>
      </c>
      <c r="U72" s="209"/>
      <c r="V72" s="209"/>
      <c r="W72" s="209"/>
      <c r="X72" s="190"/>
      <c r="Y72" s="190"/>
      <c r="Z72" s="190"/>
      <c r="AA72" s="190"/>
      <c r="AB72" s="190"/>
      <c r="AC72" s="190"/>
      <c r="AD72" s="190"/>
      <c r="AE72" s="190"/>
      <c r="AF72" s="209"/>
      <c r="AG72" s="209"/>
      <c r="AH72" s="209"/>
      <c r="AI72" s="67"/>
      <c r="AJ72" s="209"/>
      <c r="AK72" s="209"/>
      <c r="AL72" s="190"/>
      <c r="AM72" s="190"/>
      <c r="AN72" s="189"/>
      <c r="AO72" s="189"/>
      <c r="AP72" s="189"/>
      <c r="AQ72" s="348"/>
      <c r="AR72" s="348"/>
      <c r="AS72" s="354"/>
      <c r="AT72" s="354"/>
      <c r="AU72" s="354"/>
      <c r="AV72" s="196"/>
      <c r="AW72" s="354"/>
      <c r="AX72" s="354"/>
      <c r="AY72" s="354"/>
      <c r="AZ72" s="354"/>
      <c r="BA72" s="354"/>
      <c r="BB72" s="354"/>
      <c r="BC72" s="354"/>
      <c r="BD72" s="354"/>
      <c r="BE72" s="354"/>
      <c r="BF72" s="354"/>
      <c r="BG72" s="354"/>
      <c r="BH72" s="354"/>
      <c r="BI72" s="354"/>
      <c r="BJ72" s="354"/>
      <c r="BK72" s="354"/>
      <c r="BL72" s="354"/>
      <c r="BM72" s="354"/>
      <c r="BN72" s="354"/>
      <c r="BO72" s="355">
        <v>0</v>
      </c>
      <c r="BP72" s="888">
        <v>0</v>
      </c>
      <c r="BQ72" s="354"/>
      <c r="BR72" s="354"/>
      <c r="BS72" s="354"/>
      <c r="BT72" s="354"/>
      <c r="BU72" s="354"/>
      <c r="BV72" s="354"/>
      <c r="BW72" s="355">
        <f t="shared" si="2"/>
        <v>10395</v>
      </c>
      <c r="BY72" s="33">
        <f t="shared" si="5"/>
        <v>0</v>
      </c>
      <c r="BZ72" s="33">
        <f t="shared" si="5"/>
        <v>0</v>
      </c>
      <c r="CA72" s="33">
        <f t="shared" si="5"/>
        <v>0</v>
      </c>
      <c r="CB72" s="33">
        <f t="shared" si="5"/>
        <v>0</v>
      </c>
      <c r="CC72" s="33">
        <f t="shared" si="5"/>
        <v>10395</v>
      </c>
      <c r="CD72" s="33">
        <f t="shared" si="5"/>
        <v>0</v>
      </c>
      <c r="CE72" s="33">
        <f t="shared" si="5"/>
        <v>0</v>
      </c>
      <c r="CF72" s="33">
        <f t="shared" ref="BZ72:CF109" si="6">SUMIFS($H72:$BV72,$H$3:$BV$3,CF$7,$H$6:$BV$6,CF$6)</f>
        <v>0</v>
      </c>
      <c r="CG72" s="58">
        <f t="shared" ref="CG72:CG103" si="7">SUM(BY72:CE72)-AV72</f>
        <v>10395</v>
      </c>
    </row>
    <row r="73" spans="1:85">
      <c r="A73" s="198">
        <v>7006</v>
      </c>
      <c r="B73" s="2">
        <v>103600</v>
      </c>
      <c r="C73" s="2" t="s">
        <v>169</v>
      </c>
      <c r="D73" s="2" t="s">
        <v>170</v>
      </c>
      <c r="E73" s="2" t="s">
        <v>56</v>
      </c>
      <c r="F73" s="208" t="s">
        <v>890</v>
      </c>
      <c r="H73" s="880">
        <v>0</v>
      </c>
      <c r="I73" s="880"/>
      <c r="J73" s="880"/>
      <c r="K73" s="880">
        <v>8615</v>
      </c>
      <c r="L73" s="190">
        <v>0</v>
      </c>
      <c r="M73" s="190">
        <v>0</v>
      </c>
      <c r="N73" s="190">
        <v>0</v>
      </c>
      <c r="O73" s="190">
        <v>0</v>
      </c>
      <c r="P73" s="190">
        <v>0</v>
      </c>
      <c r="Q73" s="190">
        <v>0</v>
      </c>
      <c r="R73" s="190">
        <v>0</v>
      </c>
      <c r="S73" s="190">
        <v>0</v>
      </c>
      <c r="T73" s="209">
        <v>0</v>
      </c>
      <c r="U73" s="209"/>
      <c r="V73" s="209"/>
      <c r="W73" s="209"/>
      <c r="X73" s="190"/>
      <c r="Y73" s="190"/>
      <c r="Z73" s="190"/>
      <c r="AA73" s="190"/>
      <c r="AB73" s="190"/>
      <c r="AC73" s="190"/>
      <c r="AD73" s="190"/>
      <c r="AE73" s="190"/>
      <c r="AF73" s="209"/>
      <c r="AG73" s="209"/>
      <c r="AH73" s="209"/>
      <c r="AI73" s="67"/>
      <c r="AJ73" s="209"/>
      <c r="AK73" s="209"/>
      <c r="AL73" s="190"/>
      <c r="AM73" s="190"/>
      <c r="AN73" s="189"/>
      <c r="AO73" s="189"/>
      <c r="AP73" s="189"/>
      <c r="AQ73" s="348"/>
      <c r="AR73" s="348"/>
      <c r="AS73" s="354"/>
      <c r="AT73" s="354"/>
      <c r="AU73" s="354"/>
      <c r="AV73" s="196"/>
      <c r="AW73" s="354"/>
      <c r="AX73" s="354"/>
      <c r="AY73" s="354"/>
      <c r="AZ73" s="354"/>
      <c r="BA73" s="354"/>
      <c r="BB73" s="354"/>
      <c r="BC73" s="354"/>
      <c r="BD73" s="354"/>
      <c r="BE73" s="354"/>
      <c r="BF73" s="354"/>
      <c r="BG73" s="354"/>
      <c r="BH73" s="354"/>
      <c r="BI73" s="354"/>
      <c r="BJ73" s="354"/>
      <c r="BK73" s="354"/>
      <c r="BL73" s="354"/>
      <c r="BM73" s="354"/>
      <c r="BN73" s="354"/>
      <c r="BO73" s="355">
        <v>0</v>
      </c>
      <c r="BP73" s="888">
        <v>0</v>
      </c>
      <c r="BQ73" s="354"/>
      <c r="BR73" s="354"/>
      <c r="BS73" s="354"/>
      <c r="BT73" s="354"/>
      <c r="BU73" s="354"/>
      <c r="BV73" s="354"/>
      <c r="BW73" s="355">
        <f t="shared" ref="BW73:BW136" si="8">SUM(H73:BV73)</f>
        <v>8615</v>
      </c>
      <c r="BY73" s="33">
        <f t="shared" ref="BY73:BY136" si="9">SUMIFS($H73:$BV73,$H$3:$BV$3,BY$7,$H$6:$BV$6,BY$6)</f>
        <v>0</v>
      </c>
      <c r="BZ73" s="33">
        <f t="shared" si="6"/>
        <v>0</v>
      </c>
      <c r="CA73" s="33">
        <f t="shared" si="6"/>
        <v>0</v>
      </c>
      <c r="CB73" s="33">
        <f t="shared" si="6"/>
        <v>0</v>
      </c>
      <c r="CC73" s="33">
        <f t="shared" si="6"/>
        <v>8615</v>
      </c>
      <c r="CD73" s="33">
        <f t="shared" si="6"/>
        <v>0</v>
      </c>
      <c r="CE73" s="33">
        <f t="shared" si="6"/>
        <v>0</v>
      </c>
      <c r="CF73" s="33">
        <f t="shared" si="6"/>
        <v>0</v>
      </c>
      <c r="CG73" s="58">
        <f t="shared" si="7"/>
        <v>8615</v>
      </c>
    </row>
    <row r="74" spans="1:85">
      <c r="A74" s="198">
        <v>2477</v>
      </c>
      <c r="B74" s="2">
        <v>132261</v>
      </c>
      <c r="C74" s="2" t="s">
        <v>171</v>
      </c>
      <c r="D74" s="2" t="s">
        <v>172</v>
      </c>
      <c r="E74" s="2" t="s">
        <v>39</v>
      </c>
      <c r="F74" s="208" t="s">
        <v>890</v>
      </c>
      <c r="H74" s="880">
        <v>0</v>
      </c>
      <c r="I74" s="880"/>
      <c r="J74" s="880"/>
      <c r="K74" s="880">
        <v>11585</v>
      </c>
      <c r="L74" s="190">
        <v>0</v>
      </c>
      <c r="M74" s="190">
        <v>0</v>
      </c>
      <c r="N74" s="190">
        <v>0</v>
      </c>
      <c r="O74" s="190">
        <v>0</v>
      </c>
      <c r="P74" s="190">
        <v>0</v>
      </c>
      <c r="Q74" s="190">
        <v>0</v>
      </c>
      <c r="R74" s="190">
        <v>0</v>
      </c>
      <c r="S74" s="190">
        <v>0</v>
      </c>
      <c r="T74" s="209">
        <v>0</v>
      </c>
      <c r="U74" s="209"/>
      <c r="V74" s="209"/>
      <c r="W74" s="209"/>
      <c r="X74" s="190"/>
      <c r="Y74" s="190"/>
      <c r="Z74" s="190"/>
      <c r="AA74" s="190"/>
      <c r="AB74" s="190"/>
      <c r="AC74" s="190"/>
      <c r="AD74" s="190"/>
      <c r="AE74" s="190"/>
      <c r="AF74" s="209"/>
      <c r="AG74" s="209"/>
      <c r="AH74" s="209"/>
      <c r="AI74" s="67"/>
      <c r="AJ74" s="209"/>
      <c r="AK74" s="209"/>
      <c r="AL74" s="190"/>
      <c r="AM74" s="190"/>
      <c r="AN74" s="189"/>
      <c r="AO74" s="189"/>
      <c r="AP74" s="189"/>
      <c r="AQ74" s="348"/>
      <c r="AR74" s="348"/>
      <c r="AS74" s="354"/>
      <c r="AT74" s="354"/>
      <c r="AU74" s="354"/>
      <c r="AV74" s="196"/>
      <c r="AW74" s="354"/>
      <c r="AX74" s="354"/>
      <c r="AY74" s="354"/>
      <c r="AZ74" s="354"/>
      <c r="BA74" s="354"/>
      <c r="BB74" s="354"/>
      <c r="BC74" s="354"/>
      <c r="BD74" s="354"/>
      <c r="BE74" s="354"/>
      <c r="BF74" s="354"/>
      <c r="BG74" s="354"/>
      <c r="BH74" s="354"/>
      <c r="BI74" s="354"/>
      <c r="BJ74" s="354"/>
      <c r="BK74" s="354"/>
      <c r="BL74" s="354"/>
      <c r="BM74" s="354"/>
      <c r="BN74" s="354"/>
      <c r="BO74" s="355">
        <v>112.95</v>
      </c>
      <c r="BP74" s="888">
        <v>-36.9</v>
      </c>
      <c r="BQ74" s="354"/>
      <c r="BR74" s="354"/>
      <c r="BS74" s="354"/>
      <c r="BT74" s="354"/>
      <c r="BU74" s="354"/>
      <c r="BV74" s="354"/>
      <c r="BW74" s="355">
        <f t="shared" si="8"/>
        <v>11661.050000000001</v>
      </c>
      <c r="BY74" s="33">
        <f t="shared" si="9"/>
        <v>0</v>
      </c>
      <c r="BZ74" s="33">
        <f t="shared" si="6"/>
        <v>0</v>
      </c>
      <c r="CA74" s="33">
        <f t="shared" si="6"/>
        <v>0</v>
      </c>
      <c r="CB74" s="33">
        <f t="shared" si="6"/>
        <v>0</v>
      </c>
      <c r="CC74" s="33">
        <f t="shared" si="6"/>
        <v>11585</v>
      </c>
      <c r="CD74" s="33">
        <f t="shared" si="6"/>
        <v>112.95</v>
      </c>
      <c r="CE74" s="33">
        <f t="shared" si="6"/>
        <v>0</v>
      </c>
      <c r="CF74" s="33">
        <f t="shared" si="6"/>
        <v>-36.9</v>
      </c>
      <c r="CG74" s="58">
        <f t="shared" si="7"/>
        <v>11697.95</v>
      </c>
    </row>
    <row r="75" spans="1:85">
      <c r="A75" s="198">
        <v>3436</v>
      </c>
      <c r="B75" s="2">
        <v>136440</v>
      </c>
      <c r="C75" s="2" t="s">
        <v>173</v>
      </c>
      <c r="D75" s="2" t="s">
        <v>174</v>
      </c>
      <c r="E75" s="2" t="s">
        <v>39</v>
      </c>
      <c r="F75" s="208" t="s">
        <v>890</v>
      </c>
      <c r="H75" s="880">
        <v>0</v>
      </c>
      <c r="I75" s="880"/>
      <c r="J75" s="880"/>
      <c r="K75" s="880">
        <v>8760</v>
      </c>
      <c r="L75" s="190">
        <v>57548.1</v>
      </c>
      <c r="M75" s="190">
        <v>6394.2333333333336</v>
      </c>
      <c r="N75" s="190">
        <v>6394.2333333333336</v>
      </c>
      <c r="O75" s="190">
        <v>6394.2333333333336</v>
      </c>
      <c r="P75" s="190">
        <v>0</v>
      </c>
      <c r="Q75" s="190">
        <v>0</v>
      </c>
      <c r="R75" s="190">
        <v>0</v>
      </c>
      <c r="S75" s="190">
        <v>0</v>
      </c>
      <c r="T75" s="209">
        <v>0</v>
      </c>
      <c r="U75" s="209"/>
      <c r="V75" s="209"/>
      <c r="W75" s="209"/>
      <c r="X75" s="190"/>
      <c r="Y75" s="190"/>
      <c r="Z75" s="190"/>
      <c r="AA75" s="190"/>
      <c r="AB75" s="190"/>
      <c r="AC75" s="190"/>
      <c r="AD75" s="190"/>
      <c r="AE75" s="190"/>
      <c r="AF75" s="209"/>
      <c r="AG75" s="209"/>
      <c r="AH75" s="209"/>
      <c r="AI75" s="67"/>
      <c r="AJ75" s="209"/>
      <c r="AK75" s="209"/>
      <c r="AL75" s="190"/>
      <c r="AM75" s="190"/>
      <c r="AN75" s="189"/>
      <c r="AO75" s="189"/>
      <c r="AP75" s="189"/>
      <c r="AQ75" s="348"/>
      <c r="AR75" s="348"/>
      <c r="AS75" s="354"/>
      <c r="AT75" s="354"/>
      <c r="AU75" s="354"/>
      <c r="AV75" s="196"/>
      <c r="AW75" s="354"/>
      <c r="AX75" s="354"/>
      <c r="AY75" s="354"/>
      <c r="AZ75" s="354"/>
      <c r="BA75" s="354"/>
      <c r="BB75" s="354"/>
      <c r="BC75" s="354"/>
      <c r="BD75" s="354"/>
      <c r="BE75" s="354"/>
      <c r="BF75" s="354"/>
      <c r="BG75" s="354"/>
      <c r="BH75" s="354"/>
      <c r="BI75" s="354"/>
      <c r="BJ75" s="354"/>
      <c r="BK75" s="354"/>
      <c r="BL75" s="354"/>
      <c r="BM75" s="354"/>
      <c r="BN75" s="354"/>
      <c r="BO75" s="355">
        <v>0</v>
      </c>
      <c r="BP75" s="888">
        <v>-13.87</v>
      </c>
      <c r="BQ75" s="354"/>
      <c r="BR75" s="354"/>
      <c r="BS75" s="354"/>
      <c r="BT75" s="354"/>
      <c r="BU75" s="354"/>
      <c r="BV75" s="354"/>
      <c r="BW75" s="355">
        <f t="shared" si="8"/>
        <v>85476.930000000022</v>
      </c>
      <c r="BY75" s="33">
        <f t="shared" si="9"/>
        <v>63942.333333333328</v>
      </c>
      <c r="BZ75" s="33">
        <f t="shared" si="6"/>
        <v>0</v>
      </c>
      <c r="CA75" s="33">
        <f t="shared" si="6"/>
        <v>0</v>
      </c>
      <c r="CB75" s="33">
        <f t="shared" si="6"/>
        <v>0</v>
      </c>
      <c r="CC75" s="33">
        <f t="shared" si="6"/>
        <v>8760</v>
      </c>
      <c r="CD75" s="33">
        <f t="shared" si="6"/>
        <v>0</v>
      </c>
      <c r="CE75" s="33">
        <f t="shared" si="6"/>
        <v>0</v>
      </c>
      <c r="CF75" s="33">
        <f t="shared" si="6"/>
        <v>-13.87</v>
      </c>
      <c r="CG75" s="58">
        <f t="shared" si="7"/>
        <v>72702.333333333328</v>
      </c>
    </row>
    <row r="76" spans="1:85">
      <c r="A76" s="198">
        <v>2099</v>
      </c>
      <c r="B76" s="2">
        <v>103214</v>
      </c>
      <c r="C76" s="2" t="s">
        <v>175</v>
      </c>
      <c r="D76" s="2" t="s">
        <v>176</v>
      </c>
      <c r="E76" s="2" t="s">
        <v>39</v>
      </c>
      <c r="F76" s="208" t="s">
        <v>890</v>
      </c>
      <c r="H76" s="880">
        <v>1676</v>
      </c>
      <c r="I76" s="880"/>
      <c r="J76" s="880"/>
      <c r="K76" s="880">
        <v>8875</v>
      </c>
      <c r="L76" s="190">
        <v>0</v>
      </c>
      <c r="M76" s="190">
        <v>0</v>
      </c>
      <c r="N76" s="190">
        <v>0</v>
      </c>
      <c r="O76" s="190">
        <v>0</v>
      </c>
      <c r="P76" s="190">
        <v>0</v>
      </c>
      <c r="Q76" s="190">
        <v>0</v>
      </c>
      <c r="R76" s="190">
        <v>0</v>
      </c>
      <c r="S76" s="190">
        <v>0</v>
      </c>
      <c r="T76" s="209">
        <v>3643.47</v>
      </c>
      <c r="U76" s="209"/>
      <c r="V76" s="209"/>
      <c r="W76" s="209"/>
      <c r="X76" s="190"/>
      <c r="Y76" s="190"/>
      <c r="Z76" s="190"/>
      <c r="AA76" s="190"/>
      <c r="AB76" s="190"/>
      <c r="AC76" s="190"/>
      <c r="AD76" s="190"/>
      <c r="AE76" s="190"/>
      <c r="AF76" s="209"/>
      <c r="AG76" s="209"/>
      <c r="AH76" s="209"/>
      <c r="AI76" s="67"/>
      <c r="AJ76" s="209"/>
      <c r="AK76" s="209"/>
      <c r="AL76" s="190"/>
      <c r="AM76" s="190"/>
      <c r="AN76" s="189"/>
      <c r="AO76" s="189"/>
      <c r="AP76" s="189"/>
      <c r="AQ76" s="348"/>
      <c r="AR76" s="348"/>
      <c r="AS76" s="354"/>
      <c r="AT76" s="354"/>
      <c r="AU76" s="354"/>
      <c r="AV76" s="196"/>
      <c r="AW76" s="354"/>
      <c r="AX76" s="354"/>
      <c r="AY76" s="354"/>
      <c r="AZ76" s="354"/>
      <c r="BA76" s="354"/>
      <c r="BB76" s="354"/>
      <c r="BC76" s="354"/>
      <c r="BD76" s="354"/>
      <c r="BE76" s="354"/>
      <c r="BF76" s="354"/>
      <c r="BG76" s="354"/>
      <c r="BH76" s="354"/>
      <c r="BI76" s="354"/>
      <c r="BJ76" s="354"/>
      <c r="BK76" s="354"/>
      <c r="BL76" s="354"/>
      <c r="BM76" s="354"/>
      <c r="BN76" s="354"/>
      <c r="BO76" s="355">
        <v>1524.16</v>
      </c>
      <c r="BP76" s="888">
        <v>-45.27</v>
      </c>
      <c r="BQ76" s="354"/>
      <c r="BR76" s="354"/>
      <c r="BS76" s="354"/>
      <c r="BT76" s="354"/>
      <c r="BU76" s="354"/>
      <c r="BV76" s="354"/>
      <c r="BW76" s="355">
        <f t="shared" si="8"/>
        <v>15673.359999999999</v>
      </c>
      <c r="BY76" s="33">
        <f t="shared" si="9"/>
        <v>1676</v>
      </c>
      <c r="BZ76" s="33">
        <f t="shared" si="6"/>
        <v>0</v>
      </c>
      <c r="CA76" s="33">
        <f t="shared" si="6"/>
        <v>0</v>
      </c>
      <c r="CB76" s="33">
        <f t="shared" si="6"/>
        <v>0</v>
      </c>
      <c r="CC76" s="33">
        <f t="shared" si="6"/>
        <v>12518.47</v>
      </c>
      <c r="CD76" s="33">
        <f t="shared" si="6"/>
        <v>1524.16</v>
      </c>
      <c r="CE76" s="33">
        <f t="shared" si="6"/>
        <v>0</v>
      </c>
      <c r="CF76" s="33">
        <f t="shared" si="6"/>
        <v>-45.27</v>
      </c>
      <c r="CG76" s="58">
        <f t="shared" si="7"/>
        <v>15718.63</v>
      </c>
    </row>
    <row r="77" spans="1:85">
      <c r="A77" s="198">
        <v>1010</v>
      </c>
      <c r="B77" s="2">
        <v>103125</v>
      </c>
      <c r="C77" s="2" t="s">
        <v>177</v>
      </c>
      <c r="D77" s="2" t="s">
        <v>178</v>
      </c>
      <c r="E77" s="2" t="s">
        <v>36</v>
      </c>
      <c r="F77" s="208" t="s">
        <v>890</v>
      </c>
      <c r="H77" s="880">
        <v>0</v>
      </c>
      <c r="I77" s="880"/>
      <c r="J77" s="880"/>
      <c r="K77" s="880">
        <v>0</v>
      </c>
      <c r="L77" s="190">
        <v>0</v>
      </c>
      <c r="M77" s="190">
        <v>0</v>
      </c>
      <c r="N77" s="190">
        <v>0</v>
      </c>
      <c r="O77" s="190">
        <v>0</v>
      </c>
      <c r="P77" s="190">
        <v>0</v>
      </c>
      <c r="Q77" s="190">
        <v>0</v>
      </c>
      <c r="R77" s="190">
        <v>0</v>
      </c>
      <c r="S77" s="190">
        <v>0</v>
      </c>
      <c r="T77" s="209">
        <v>0</v>
      </c>
      <c r="U77" s="209"/>
      <c r="V77" s="209"/>
      <c r="W77" s="209"/>
      <c r="X77" s="190"/>
      <c r="Y77" s="190"/>
      <c r="Z77" s="190"/>
      <c r="AA77" s="190"/>
      <c r="AB77" s="190"/>
      <c r="AC77" s="190"/>
      <c r="AD77" s="190"/>
      <c r="AE77" s="190"/>
      <c r="AF77" s="209"/>
      <c r="AG77" s="209"/>
      <c r="AH77" s="209"/>
      <c r="AI77" s="67"/>
      <c r="AJ77" s="209"/>
      <c r="AK77" s="209"/>
      <c r="AL77" s="190"/>
      <c r="AM77" s="190"/>
      <c r="AN77" s="189"/>
      <c r="AO77" s="189"/>
      <c r="AP77" s="189"/>
      <c r="AQ77" s="348"/>
      <c r="AR77" s="348"/>
      <c r="AS77" s="354"/>
      <c r="AT77" s="354"/>
      <c r="AU77" s="354"/>
      <c r="AV77" s="196"/>
      <c r="AW77" s="354"/>
      <c r="AX77" s="354"/>
      <c r="AY77" s="354"/>
      <c r="AZ77" s="354"/>
      <c r="BA77" s="354"/>
      <c r="BB77" s="354"/>
      <c r="BC77" s="354"/>
      <c r="BD77" s="354"/>
      <c r="BE77" s="354"/>
      <c r="BF77" s="354"/>
      <c r="BG77" s="354"/>
      <c r="BH77" s="354"/>
      <c r="BI77" s="354"/>
      <c r="BJ77" s="354"/>
      <c r="BK77" s="354"/>
      <c r="BL77" s="354"/>
      <c r="BM77" s="354"/>
      <c r="BN77" s="354"/>
      <c r="BO77" s="355">
        <v>0</v>
      </c>
      <c r="BP77" s="888">
        <v>0</v>
      </c>
      <c r="BQ77" s="354"/>
      <c r="BR77" s="354"/>
      <c r="BS77" s="354"/>
      <c r="BT77" s="354"/>
      <c r="BU77" s="354"/>
      <c r="BV77" s="354"/>
      <c r="BW77" s="355">
        <f t="shared" si="8"/>
        <v>0</v>
      </c>
      <c r="BY77" s="33">
        <f t="shared" si="9"/>
        <v>0</v>
      </c>
      <c r="BZ77" s="33">
        <f t="shared" si="6"/>
        <v>0</v>
      </c>
      <c r="CA77" s="33">
        <f t="shared" si="6"/>
        <v>0</v>
      </c>
      <c r="CB77" s="33">
        <f t="shared" si="6"/>
        <v>0</v>
      </c>
      <c r="CC77" s="33">
        <f t="shared" si="6"/>
        <v>0</v>
      </c>
      <c r="CD77" s="33">
        <f t="shared" si="6"/>
        <v>0</v>
      </c>
      <c r="CE77" s="33">
        <f t="shared" si="6"/>
        <v>0</v>
      </c>
      <c r="CF77" s="33">
        <f t="shared" si="6"/>
        <v>0</v>
      </c>
      <c r="CG77" s="58">
        <f t="shared" si="7"/>
        <v>0</v>
      </c>
    </row>
    <row r="78" spans="1:85">
      <c r="A78" s="198">
        <v>1021</v>
      </c>
      <c r="B78" s="2">
        <v>103134</v>
      </c>
      <c r="C78" s="2" t="s">
        <v>179</v>
      </c>
      <c r="D78" s="2" t="s">
        <v>180</v>
      </c>
      <c r="E78" s="2" t="s">
        <v>36</v>
      </c>
      <c r="F78" s="208" t="s">
        <v>890</v>
      </c>
      <c r="H78" s="880">
        <v>0</v>
      </c>
      <c r="I78" s="880"/>
      <c r="J78" s="880"/>
      <c r="K78" s="880">
        <v>0</v>
      </c>
      <c r="L78" s="190">
        <v>0</v>
      </c>
      <c r="M78" s="190">
        <v>0</v>
      </c>
      <c r="N78" s="190">
        <v>0</v>
      </c>
      <c r="O78" s="190">
        <v>0</v>
      </c>
      <c r="P78" s="190">
        <v>0</v>
      </c>
      <c r="Q78" s="190">
        <v>0</v>
      </c>
      <c r="R78" s="190">
        <v>0</v>
      </c>
      <c r="S78" s="190">
        <v>0</v>
      </c>
      <c r="T78" s="209">
        <v>0</v>
      </c>
      <c r="U78" s="209"/>
      <c r="V78" s="209"/>
      <c r="W78" s="209"/>
      <c r="X78" s="190"/>
      <c r="Y78" s="190"/>
      <c r="Z78" s="190"/>
      <c r="AA78" s="190"/>
      <c r="AB78" s="190"/>
      <c r="AC78" s="190"/>
      <c r="AD78" s="190"/>
      <c r="AE78" s="190"/>
      <c r="AF78" s="209"/>
      <c r="AG78" s="209"/>
      <c r="AH78" s="209"/>
      <c r="AI78" s="67"/>
      <c r="AJ78" s="209"/>
      <c r="AK78" s="209"/>
      <c r="AL78" s="190"/>
      <c r="AM78" s="190"/>
      <c r="AN78" s="189"/>
      <c r="AO78" s="189"/>
      <c r="AP78" s="189"/>
      <c r="AQ78" s="348"/>
      <c r="AR78" s="348"/>
      <c r="AS78" s="354"/>
      <c r="AT78" s="354"/>
      <c r="AU78" s="354"/>
      <c r="AV78" s="196"/>
      <c r="AW78" s="354"/>
      <c r="AX78" s="354"/>
      <c r="AY78" s="354"/>
      <c r="AZ78" s="354"/>
      <c r="BA78" s="354"/>
      <c r="BB78" s="354"/>
      <c r="BC78" s="354"/>
      <c r="BD78" s="354"/>
      <c r="BE78" s="354"/>
      <c r="BF78" s="354"/>
      <c r="BG78" s="354"/>
      <c r="BH78" s="354"/>
      <c r="BI78" s="354"/>
      <c r="BJ78" s="354"/>
      <c r="BK78" s="354"/>
      <c r="BL78" s="354"/>
      <c r="BM78" s="354"/>
      <c r="BN78" s="354"/>
      <c r="BO78" s="355">
        <v>671.28</v>
      </c>
      <c r="BP78" s="888">
        <v>-3.21</v>
      </c>
      <c r="BQ78" s="354"/>
      <c r="BR78" s="354"/>
      <c r="BS78" s="354"/>
      <c r="BT78" s="354"/>
      <c r="BU78" s="354"/>
      <c r="BV78" s="354"/>
      <c r="BW78" s="355">
        <f t="shared" si="8"/>
        <v>668.06999999999994</v>
      </c>
      <c r="BY78" s="33">
        <f t="shared" si="9"/>
        <v>0</v>
      </c>
      <c r="BZ78" s="33">
        <f t="shared" si="6"/>
        <v>0</v>
      </c>
      <c r="CA78" s="33">
        <f t="shared" si="6"/>
        <v>0</v>
      </c>
      <c r="CB78" s="33">
        <f t="shared" si="6"/>
        <v>0</v>
      </c>
      <c r="CC78" s="33">
        <f t="shared" si="6"/>
        <v>0</v>
      </c>
      <c r="CD78" s="33">
        <f t="shared" si="6"/>
        <v>671.28</v>
      </c>
      <c r="CE78" s="33">
        <f t="shared" si="6"/>
        <v>0</v>
      </c>
      <c r="CF78" s="33">
        <f t="shared" si="6"/>
        <v>-3.21</v>
      </c>
      <c r="CG78" s="58">
        <f t="shared" si="7"/>
        <v>671.28</v>
      </c>
    </row>
    <row r="79" spans="1:85">
      <c r="A79" s="198">
        <v>4201</v>
      </c>
      <c r="B79" s="2">
        <v>103503</v>
      </c>
      <c r="C79" s="2" t="s">
        <v>181</v>
      </c>
      <c r="D79" s="2" t="s">
        <v>182</v>
      </c>
      <c r="E79" s="2" t="s">
        <v>71</v>
      </c>
      <c r="F79" s="208" t="s">
        <v>890</v>
      </c>
      <c r="H79" s="880">
        <v>0</v>
      </c>
      <c r="I79" s="880"/>
      <c r="J79" s="880"/>
      <c r="K79" s="880">
        <v>0</v>
      </c>
      <c r="L79" s="190">
        <v>0</v>
      </c>
      <c r="M79" s="190">
        <v>0</v>
      </c>
      <c r="N79" s="190">
        <v>0</v>
      </c>
      <c r="O79" s="190">
        <v>0</v>
      </c>
      <c r="P79" s="190">
        <v>0</v>
      </c>
      <c r="Q79" s="190">
        <v>0</v>
      </c>
      <c r="R79" s="190">
        <v>0</v>
      </c>
      <c r="S79" s="190">
        <v>0</v>
      </c>
      <c r="T79" s="209">
        <v>0</v>
      </c>
      <c r="U79" s="209"/>
      <c r="V79" s="209"/>
      <c r="W79" s="209"/>
      <c r="X79" s="190"/>
      <c r="Y79" s="190"/>
      <c r="Z79" s="190"/>
      <c r="AA79" s="190"/>
      <c r="AB79" s="190"/>
      <c r="AC79" s="190"/>
      <c r="AD79" s="190"/>
      <c r="AE79" s="190"/>
      <c r="AF79" s="209"/>
      <c r="AG79" s="209"/>
      <c r="AH79" s="209"/>
      <c r="AI79" s="67"/>
      <c r="AJ79" s="209"/>
      <c r="AK79" s="209"/>
      <c r="AL79" s="190"/>
      <c r="AM79" s="190"/>
      <c r="AN79" s="189"/>
      <c r="AO79" s="189"/>
      <c r="AP79" s="189"/>
      <c r="AQ79" s="348"/>
      <c r="AR79" s="348"/>
      <c r="AS79" s="354"/>
      <c r="AT79" s="354"/>
      <c r="AU79" s="354"/>
      <c r="AV79" s="196"/>
      <c r="AW79" s="354"/>
      <c r="AX79" s="354"/>
      <c r="AY79" s="354"/>
      <c r="AZ79" s="354"/>
      <c r="BA79" s="354"/>
      <c r="BB79" s="354"/>
      <c r="BC79" s="354"/>
      <c r="BD79" s="354"/>
      <c r="BE79" s="354"/>
      <c r="BF79" s="354"/>
      <c r="BG79" s="354"/>
      <c r="BH79" s="354"/>
      <c r="BI79" s="354"/>
      <c r="BJ79" s="354"/>
      <c r="BK79" s="354"/>
      <c r="BL79" s="354"/>
      <c r="BM79" s="354"/>
      <c r="BN79" s="354"/>
      <c r="BO79" s="355">
        <v>0</v>
      </c>
      <c r="BP79" s="888">
        <v>0</v>
      </c>
      <c r="BQ79" s="354"/>
      <c r="BR79" s="354"/>
      <c r="BS79" s="354"/>
      <c r="BT79" s="354"/>
      <c r="BU79" s="354"/>
      <c r="BV79" s="354"/>
      <c r="BW79" s="355">
        <f t="shared" si="8"/>
        <v>0</v>
      </c>
      <c r="BY79" s="33">
        <f t="shared" si="9"/>
        <v>0</v>
      </c>
      <c r="BZ79" s="33">
        <f t="shared" si="6"/>
        <v>0</v>
      </c>
      <c r="CA79" s="33">
        <f t="shared" si="6"/>
        <v>0</v>
      </c>
      <c r="CB79" s="33">
        <f t="shared" si="6"/>
        <v>0</v>
      </c>
      <c r="CC79" s="33">
        <f t="shared" si="6"/>
        <v>0</v>
      </c>
      <c r="CD79" s="33">
        <f t="shared" si="6"/>
        <v>0</v>
      </c>
      <c r="CE79" s="33">
        <f t="shared" si="6"/>
        <v>0</v>
      </c>
      <c r="CF79" s="33">
        <f t="shared" si="6"/>
        <v>0</v>
      </c>
      <c r="CG79" s="58">
        <f t="shared" si="7"/>
        <v>0</v>
      </c>
    </row>
    <row r="80" spans="1:85">
      <c r="A80" s="198">
        <v>4015</v>
      </c>
      <c r="B80" s="2">
        <v>103483</v>
      </c>
      <c r="C80" s="2" t="s">
        <v>183</v>
      </c>
      <c r="D80" s="2" t="s">
        <v>184</v>
      </c>
      <c r="E80" s="2" t="s">
        <v>71</v>
      </c>
      <c r="F80" s="208" t="s">
        <v>890</v>
      </c>
      <c r="H80" s="880">
        <v>0</v>
      </c>
      <c r="I80" s="880"/>
      <c r="J80" s="880"/>
      <c r="K80" s="880">
        <v>0</v>
      </c>
      <c r="L80" s="190">
        <v>0</v>
      </c>
      <c r="M80" s="190">
        <v>0</v>
      </c>
      <c r="N80" s="190">
        <v>0</v>
      </c>
      <c r="O80" s="190">
        <v>0</v>
      </c>
      <c r="P80" s="190">
        <v>0</v>
      </c>
      <c r="Q80" s="190">
        <v>0</v>
      </c>
      <c r="R80" s="190">
        <v>0</v>
      </c>
      <c r="S80" s="190">
        <v>0</v>
      </c>
      <c r="T80" s="209">
        <v>0</v>
      </c>
      <c r="U80" s="209"/>
      <c r="V80" s="209"/>
      <c r="W80" s="209"/>
      <c r="X80" s="190"/>
      <c r="Y80" s="190"/>
      <c r="Z80" s="190"/>
      <c r="AA80" s="190"/>
      <c r="AB80" s="190"/>
      <c r="AC80" s="190"/>
      <c r="AD80" s="190"/>
      <c r="AE80" s="190"/>
      <c r="AF80" s="209"/>
      <c r="AG80" s="209"/>
      <c r="AH80" s="209"/>
      <c r="AI80" s="67"/>
      <c r="AJ80" s="209"/>
      <c r="AK80" s="209"/>
      <c r="AL80" s="190"/>
      <c r="AM80" s="190"/>
      <c r="AN80" s="189"/>
      <c r="AO80" s="189"/>
      <c r="AP80" s="189"/>
      <c r="AQ80" s="348"/>
      <c r="AR80" s="348"/>
      <c r="AS80" s="354"/>
      <c r="AT80" s="354"/>
      <c r="AU80" s="354"/>
      <c r="AV80" s="196"/>
      <c r="AW80" s="354"/>
      <c r="AX80" s="354"/>
      <c r="AY80" s="354"/>
      <c r="AZ80" s="354"/>
      <c r="BA80" s="354"/>
      <c r="BB80" s="354"/>
      <c r="BC80" s="354"/>
      <c r="BD80" s="354"/>
      <c r="BE80" s="354"/>
      <c r="BF80" s="354"/>
      <c r="BG80" s="354"/>
      <c r="BH80" s="354"/>
      <c r="BI80" s="354"/>
      <c r="BJ80" s="354"/>
      <c r="BK80" s="354"/>
      <c r="BL80" s="354"/>
      <c r="BM80" s="354"/>
      <c r="BN80" s="354"/>
      <c r="BO80" s="355">
        <v>0</v>
      </c>
      <c r="BP80" s="888">
        <v>0</v>
      </c>
      <c r="BQ80" s="354"/>
      <c r="BR80" s="354"/>
      <c r="BS80" s="354"/>
      <c r="BT80" s="354"/>
      <c r="BU80" s="354"/>
      <c r="BV80" s="354"/>
      <c r="BW80" s="355">
        <f t="shared" si="8"/>
        <v>0</v>
      </c>
      <c r="BY80" s="33">
        <f t="shared" si="9"/>
        <v>0</v>
      </c>
      <c r="BZ80" s="33">
        <f t="shared" si="6"/>
        <v>0</v>
      </c>
      <c r="CA80" s="33">
        <f t="shared" si="6"/>
        <v>0</v>
      </c>
      <c r="CB80" s="33">
        <f t="shared" si="6"/>
        <v>0</v>
      </c>
      <c r="CC80" s="33">
        <f t="shared" si="6"/>
        <v>0</v>
      </c>
      <c r="CD80" s="33">
        <f t="shared" si="6"/>
        <v>0</v>
      </c>
      <c r="CE80" s="33">
        <f t="shared" si="6"/>
        <v>0</v>
      </c>
      <c r="CF80" s="33">
        <f t="shared" si="6"/>
        <v>0</v>
      </c>
      <c r="CG80" s="58">
        <f t="shared" si="7"/>
        <v>0</v>
      </c>
    </row>
    <row r="81" spans="1:85">
      <c r="A81" s="198">
        <v>3411</v>
      </c>
      <c r="B81" s="2">
        <v>103479</v>
      </c>
      <c r="C81" s="2" t="s">
        <v>185</v>
      </c>
      <c r="D81" s="2" t="s">
        <v>186</v>
      </c>
      <c r="E81" s="2" t="s">
        <v>39</v>
      </c>
      <c r="F81" s="208" t="s">
        <v>890</v>
      </c>
      <c r="H81" s="880">
        <v>0</v>
      </c>
      <c r="I81" s="880"/>
      <c r="J81" s="880"/>
      <c r="K81" s="880">
        <v>8485</v>
      </c>
      <c r="L81" s="190">
        <v>0</v>
      </c>
      <c r="M81" s="190">
        <v>0</v>
      </c>
      <c r="N81" s="190">
        <v>0</v>
      </c>
      <c r="O81" s="190">
        <v>0</v>
      </c>
      <c r="P81" s="190">
        <v>0</v>
      </c>
      <c r="Q81" s="190">
        <v>0</v>
      </c>
      <c r="R81" s="190">
        <v>0</v>
      </c>
      <c r="S81" s="190">
        <v>0</v>
      </c>
      <c r="T81" s="209">
        <v>0</v>
      </c>
      <c r="U81" s="209"/>
      <c r="V81" s="209"/>
      <c r="W81" s="209"/>
      <c r="X81" s="190"/>
      <c r="Y81" s="190"/>
      <c r="Z81" s="190"/>
      <c r="AA81" s="190"/>
      <c r="AB81" s="190"/>
      <c r="AC81" s="190"/>
      <c r="AD81" s="190"/>
      <c r="AE81" s="190"/>
      <c r="AF81" s="209"/>
      <c r="AG81" s="209"/>
      <c r="AH81" s="209"/>
      <c r="AI81" s="67"/>
      <c r="AJ81" s="209"/>
      <c r="AK81" s="209"/>
      <c r="AL81" s="190"/>
      <c r="AM81" s="190"/>
      <c r="AN81" s="189"/>
      <c r="AO81" s="189"/>
      <c r="AP81" s="189"/>
      <c r="AQ81" s="348"/>
      <c r="AR81" s="348"/>
      <c r="AS81" s="354"/>
      <c r="AT81" s="354"/>
      <c r="AU81" s="354"/>
      <c r="AV81" s="196"/>
      <c r="AW81" s="354"/>
      <c r="AX81" s="354"/>
      <c r="AY81" s="354"/>
      <c r="AZ81" s="354"/>
      <c r="BA81" s="354"/>
      <c r="BB81" s="354"/>
      <c r="BC81" s="354"/>
      <c r="BD81" s="354"/>
      <c r="BE81" s="354"/>
      <c r="BF81" s="354"/>
      <c r="BG81" s="354"/>
      <c r="BH81" s="354"/>
      <c r="BI81" s="354"/>
      <c r="BJ81" s="354"/>
      <c r="BK81" s="354"/>
      <c r="BL81" s="354"/>
      <c r="BM81" s="354"/>
      <c r="BN81" s="354"/>
      <c r="BO81" s="355">
        <v>0</v>
      </c>
      <c r="BP81" s="888">
        <v>0</v>
      </c>
      <c r="BQ81" s="354"/>
      <c r="BR81" s="354"/>
      <c r="BS81" s="354"/>
      <c r="BT81" s="354"/>
      <c r="BU81" s="354"/>
      <c r="BV81" s="354"/>
      <c r="BW81" s="355">
        <f t="shared" si="8"/>
        <v>8485</v>
      </c>
      <c r="BY81" s="33">
        <f t="shared" si="9"/>
        <v>0</v>
      </c>
      <c r="BZ81" s="33">
        <f t="shared" si="6"/>
        <v>0</v>
      </c>
      <c r="CA81" s="33">
        <f t="shared" si="6"/>
        <v>0</v>
      </c>
      <c r="CB81" s="33">
        <f t="shared" si="6"/>
        <v>0</v>
      </c>
      <c r="CC81" s="33">
        <f t="shared" si="6"/>
        <v>8485</v>
      </c>
      <c r="CD81" s="33">
        <f t="shared" si="6"/>
        <v>0</v>
      </c>
      <c r="CE81" s="33">
        <f t="shared" si="6"/>
        <v>0</v>
      </c>
      <c r="CF81" s="33">
        <f t="shared" si="6"/>
        <v>0</v>
      </c>
      <c r="CG81" s="58">
        <f t="shared" si="7"/>
        <v>8485</v>
      </c>
    </row>
    <row r="82" spans="1:85">
      <c r="A82" s="198">
        <v>2474</v>
      </c>
      <c r="B82" s="2">
        <v>131672</v>
      </c>
      <c r="C82" s="2" t="s">
        <v>187</v>
      </c>
      <c r="D82" s="2" t="s">
        <v>188</v>
      </c>
      <c r="E82" s="2" t="s">
        <v>39</v>
      </c>
      <c r="F82" s="208" t="s">
        <v>890</v>
      </c>
      <c r="H82" s="880">
        <v>0</v>
      </c>
      <c r="I82" s="880"/>
      <c r="J82" s="880"/>
      <c r="K82" s="880">
        <v>9770</v>
      </c>
      <c r="L82" s="190">
        <v>0</v>
      </c>
      <c r="M82" s="190">
        <v>0</v>
      </c>
      <c r="N82" s="190">
        <v>0</v>
      </c>
      <c r="O82" s="190">
        <v>0</v>
      </c>
      <c r="P82" s="190">
        <v>0</v>
      </c>
      <c r="Q82" s="190">
        <v>0</v>
      </c>
      <c r="R82" s="190">
        <v>0</v>
      </c>
      <c r="S82" s="190">
        <v>0</v>
      </c>
      <c r="T82" s="209">
        <v>0</v>
      </c>
      <c r="U82" s="209"/>
      <c r="V82" s="209"/>
      <c r="W82" s="209"/>
      <c r="X82" s="190"/>
      <c r="Y82" s="190"/>
      <c r="Z82" s="190"/>
      <c r="AA82" s="190"/>
      <c r="AB82" s="190"/>
      <c r="AC82" s="190"/>
      <c r="AD82" s="190"/>
      <c r="AE82" s="190"/>
      <c r="AF82" s="209"/>
      <c r="AG82" s="209"/>
      <c r="AH82" s="209"/>
      <c r="AI82" s="67"/>
      <c r="AJ82" s="209"/>
      <c r="AK82" s="209"/>
      <c r="AL82" s="190"/>
      <c r="AM82" s="190"/>
      <c r="AN82" s="189"/>
      <c r="AO82" s="189"/>
      <c r="AP82" s="189"/>
      <c r="AQ82" s="348"/>
      <c r="AR82" s="348"/>
      <c r="AS82" s="354"/>
      <c r="AT82" s="354"/>
      <c r="AU82" s="354"/>
      <c r="AV82" s="196"/>
      <c r="AW82" s="354"/>
      <c r="AX82" s="354"/>
      <c r="AY82" s="354"/>
      <c r="AZ82" s="354"/>
      <c r="BA82" s="354"/>
      <c r="BB82" s="354"/>
      <c r="BC82" s="354"/>
      <c r="BD82" s="354"/>
      <c r="BE82" s="354"/>
      <c r="BF82" s="354"/>
      <c r="BG82" s="354"/>
      <c r="BH82" s="354"/>
      <c r="BI82" s="354"/>
      <c r="BJ82" s="354"/>
      <c r="BK82" s="354"/>
      <c r="BL82" s="354"/>
      <c r="BM82" s="354"/>
      <c r="BN82" s="354"/>
      <c r="BO82" s="355">
        <v>734.9</v>
      </c>
      <c r="BP82" s="888">
        <v>-64.39</v>
      </c>
      <c r="BQ82" s="354"/>
      <c r="BR82" s="354"/>
      <c r="BS82" s="354"/>
      <c r="BT82" s="354"/>
      <c r="BU82" s="354"/>
      <c r="BV82" s="354"/>
      <c r="BW82" s="355">
        <f t="shared" si="8"/>
        <v>10440.51</v>
      </c>
      <c r="BY82" s="33">
        <f t="shared" si="9"/>
        <v>0</v>
      </c>
      <c r="BZ82" s="33">
        <f t="shared" si="6"/>
        <v>0</v>
      </c>
      <c r="CA82" s="33">
        <f t="shared" si="6"/>
        <v>0</v>
      </c>
      <c r="CB82" s="33">
        <f t="shared" si="6"/>
        <v>0</v>
      </c>
      <c r="CC82" s="33">
        <f t="shared" si="6"/>
        <v>9770</v>
      </c>
      <c r="CD82" s="33">
        <f t="shared" si="6"/>
        <v>734.9</v>
      </c>
      <c r="CE82" s="33">
        <f t="shared" si="6"/>
        <v>0</v>
      </c>
      <c r="CF82" s="33">
        <f t="shared" si="6"/>
        <v>-64.39</v>
      </c>
      <c r="CG82" s="58">
        <f t="shared" si="7"/>
        <v>10504.9</v>
      </c>
    </row>
    <row r="83" spans="1:85">
      <c r="A83" s="198">
        <v>4223</v>
      </c>
      <c r="B83" s="2">
        <v>103509</v>
      </c>
      <c r="C83" s="2" t="s">
        <v>189</v>
      </c>
      <c r="D83" s="2" t="s">
        <v>190</v>
      </c>
      <c r="E83" s="2" t="s">
        <v>71</v>
      </c>
      <c r="F83" s="208" t="s">
        <v>890</v>
      </c>
      <c r="H83" s="880">
        <v>0</v>
      </c>
      <c r="I83" s="880"/>
      <c r="J83" s="880"/>
      <c r="K83" s="880">
        <v>0</v>
      </c>
      <c r="L83" s="190">
        <v>0</v>
      </c>
      <c r="M83" s="190">
        <v>0</v>
      </c>
      <c r="N83" s="190">
        <v>0</v>
      </c>
      <c r="O83" s="190">
        <v>0</v>
      </c>
      <c r="P83" s="190">
        <v>0</v>
      </c>
      <c r="Q83" s="190">
        <v>0</v>
      </c>
      <c r="R83" s="190">
        <v>0</v>
      </c>
      <c r="S83" s="190">
        <v>0</v>
      </c>
      <c r="T83" s="209">
        <v>0</v>
      </c>
      <c r="U83" s="209"/>
      <c r="V83" s="209"/>
      <c r="W83" s="209"/>
      <c r="X83" s="190"/>
      <c r="Y83" s="190"/>
      <c r="Z83" s="190"/>
      <c r="AA83" s="190"/>
      <c r="AB83" s="190"/>
      <c r="AC83" s="190"/>
      <c r="AD83" s="190"/>
      <c r="AE83" s="190"/>
      <c r="AF83" s="209"/>
      <c r="AG83" s="209"/>
      <c r="AH83" s="209"/>
      <c r="AI83" s="67"/>
      <c r="AJ83" s="209"/>
      <c r="AK83" s="209"/>
      <c r="AL83" s="190"/>
      <c r="AM83" s="190"/>
      <c r="AN83" s="189"/>
      <c r="AO83" s="189"/>
      <c r="AP83" s="189"/>
      <c r="AQ83" s="348"/>
      <c r="AR83" s="348"/>
      <c r="AS83" s="354"/>
      <c r="AT83" s="354"/>
      <c r="AU83" s="354"/>
      <c r="AV83" s="196"/>
      <c r="AW83" s="354"/>
      <c r="AX83" s="354"/>
      <c r="AY83" s="354"/>
      <c r="AZ83" s="354"/>
      <c r="BA83" s="354"/>
      <c r="BB83" s="354"/>
      <c r="BC83" s="354"/>
      <c r="BD83" s="354"/>
      <c r="BE83" s="354"/>
      <c r="BF83" s="354"/>
      <c r="BG83" s="354"/>
      <c r="BH83" s="354"/>
      <c r="BI83" s="354"/>
      <c r="BJ83" s="354"/>
      <c r="BK83" s="354"/>
      <c r="BL83" s="354"/>
      <c r="BM83" s="354"/>
      <c r="BN83" s="354"/>
      <c r="BO83" s="355">
        <v>0</v>
      </c>
      <c r="BP83" s="888">
        <v>0</v>
      </c>
      <c r="BQ83" s="354"/>
      <c r="BR83" s="354"/>
      <c r="BS83" s="354"/>
      <c r="BT83" s="354"/>
      <c r="BU83" s="354"/>
      <c r="BV83" s="354"/>
      <c r="BW83" s="355">
        <f t="shared" si="8"/>
        <v>0</v>
      </c>
      <c r="BY83" s="33">
        <f t="shared" si="9"/>
        <v>0</v>
      </c>
      <c r="BZ83" s="33">
        <f t="shared" si="6"/>
        <v>0</v>
      </c>
      <c r="CA83" s="33">
        <f t="shared" si="6"/>
        <v>0</v>
      </c>
      <c r="CB83" s="33">
        <f t="shared" si="6"/>
        <v>0</v>
      </c>
      <c r="CC83" s="33">
        <f t="shared" si="6"/>
        <v>0</v>
      </c>
      <c r="CD83" s="33">
        <f t="shared" si="6"/>
        <v>0</v>
      </c>
      <c r="CE83" s="33">
        <f t="shared" si="6"/>
        <v>0</v>
      </c>
      <c r="CF83" s="33">
        <f t="shared" si="6"/>
        <v>0</v>
      </c>
      <c r="CG83" s="58">
        <f t="shared" si="7"/>
        <v>0</v>
      </c>
    </row>
    <row r="84" spans="1:85">
      <c r="A84" s="198">
        <v>3317</v>
      </c>
      <c r="B84" s="2">
        <v>103421</v>
      </c>
      <c r="C84" s="2" t="s">
        <v>191</v>
      </c>
      <c r="D84" s="2" t="s">
        <v>192</v>
      </c>
      <c r="E84" s="2" t="s">
        <v>39</v>
      </c>
      <c r="F84" s="208" t="s">
        <v>890</v>
      </c>
      <c r="H84" s="880">
        <v>0</v>
      </c>
      <c r="I84" s="880"/>
      <c r="J84" s="880"/>
      <c r="K84" s="880">
        <v>8885</v>
      </c>
      <c r="L84" s="190">
        <v>0</v>
      </c>
      <c r="M84" s="190">
        <v>0</v>
      </c>
      <c r="N84" s="190">
        <v>0</v>
      </c>
      <c r="O84" s="190">
        <v>0</v>
      </c>
      <c r="P84" s="190">
        <v>0</v>
      </c>
      <c r="Q84" s="190">
        <v>0</v>
      </c>
      <c r="R84" s="190">
        <v>0</v>
      </c>
      <c r="S84" s="190">
        <v>0</v>
      </c>
      <c r="T84" s="209">
        <v>2580.52</v>
      </c>
      <c r="U84" s="209"/>
      <c r="V84" s="209"/>
      <c r="W84" s="209"/>
      <c r="X84" s="190"/>
      <c r="Y84" s="190"/>
      <c r="Z84" s="190"/>
      <c r="AA84" s="190"/>
      <c r="AB84" s="190"/>
      <c r="AC84" s="190"/>
      <c r="AD84" s="190"/>
      <c r="AE84" s="190"/>
      <c r="AF84" s="209"/>
      <c r="AG84" s="209"/>
      <c r="AH84" s="209"/>
      <c r="AI84" s="67"/>
      <c r="AJ84" s="209"/>
      <c r="AK84" s="209"/>
      <c r="AL84" s="190"/>
      <c r="AM84" s="190"/>
      <c r="AN84" s="189"/>
      <c r="AO84" s="189"/>
      <c r="AP84" s="189"/>
      <c r="AQ84" s="348"/>
      <c r="AR84" s="348"/>
      <c r="AS84" s="354"/>
      <c r="AT84" s="354"/>
      <c r="AU84" s="354"/>
      <c r="AV84" s="196"/>
      <c r="AW84" s="354"/>
      <c r="AX84" s="354"/>
      <c r="AY84" s="354"/>
      <c r="AZ84" s="354"/>
      <c r="BA84" s="354"/>
      <c r="BB84" s="354"/>
      <c r="BC84" s="354"/>
      <c r="BD84" s="354"/>
      <c r="BE84" s="354"/>
      <c r="BF84" s="354"/>
      <c r="BG84" s="354"/>
      <c r="BH84" s="354"/>
      <c r="BI84" s="354"/>
      <c r="BJ84" s="354"/>
      <c r="BK84" s="354"/>
      <c r="BL84" s="354"/>
      <c r="BM84" s="354"/>
      <c r="BN84" s="354"/>
      <c r="BO84" s="355">
        <v>895.57</v>
      </c>
      <c r="BP84" s="888">
        <v>-51.7</v>
      </c>
      <c r="BQ84" s="354"/>
      <c r="BR84" s="354"/>
      <c r="BS84" s="354"/>
      <c r="BT84" s="354"/>
      <c r="BU84" s="354"/>
      <c r="BV84" s="354"/>
      <c r="BW84" s="355">
        <f t="shared" si="8"/>
        <v>12309.39</v>
      </c>
      <c r="BY84" s="33">
        <f t="shared" si="9"/>
        <v>0</v>
      </c>
      <c r="BZ84" s="33">
        <f t="shared" si="6"/>
        <v>0</v>
      </c>
      <c r="CA84" s="33">
        <f t="shared" si="6"/>
        <v>0</v>
      </c>
      <c r="CB84" s="33">
        <f t="shared" si="6"/>
        <v>0</v>
      </c>
      <c r="CC84" s="33">
        <f t="shared" si="6"/>
        <v>11465.52</v>
      </c>
      <c r="CD84" s="33">
        <f t="shared" si="6"/>
        <v>895.57</v>
      </c>
      <c r="CE84" s="33">
        <f t="shared" si="6"/>
        <v>0</v>
      </c>
      <c r="CF84" s="33">
        <f t="shared" si="6"/>
        <v>-51.7</v>
      </c>
      <c r="CG84" s="58">
        <f t="shared" si="7"/>
        <v>12361.09</v>
      </c>
    </row>
    <row r="85" spans="1:85">
      <c r="A85" s="198">
        <v>1023</v>
      </c>
      <c r="B85" s="2">
        <v>103136</v>
      </c>
      <c r="C85" s="2" t="s">
        <v>193</v>
      </c>
      <c r="D85" s="2" t="s">
        <v>194</v>
      </c>
      <c r="E85" s="2" t="s">
        <v>36</v>
      </c>
      <c r="F85" s="208" t="s">
        <v>890</v>
      </c>
      <c r="H85" s="880">
        <v>0</v>
      </c>
      <c r="I85" s="880"/>
      <c r="J85" s="880"/>
      <c r="K85" s="880">
        <v>0</v>
      </c>
      <c r="L85" s="190">
        <v>0</v>
      </c>
      <c r="M85" s="190">
        <v>0</v>
      </c>
      <c r="N85" s="190">
        <v>0</v>
      </c>
      <c r="O85" s="190">
        <v>0</v>
      </c>
      <c r="P85" s="190">
        <v>0</v>
      </c>
      <c r="Q85" s="190">
        <v>0</v>
      </c>
      <c r="R85" s="190">
        <v>0</v>
      </c>
      <c r="S85" s="190">
        <v>0</v>
      </c>
      <c r="T85" s="209">
        <v>0</v>
      </c>
      <c r="U85" s="209"/>
      <c r="V85" s="209"/>
      <c r="W85" s="209"/>
      <c r="X85" s="190"/>
      <c r="Y85" s="190"/>
      <c r="Z85" s="190"/>
      <c r="AA85" s="190"/>
      <c r="AB85" s="190"/>
      <c r="AC85" s="190"/>
      <c r="AD85" s="190"/>
      <c r="AE85" s="190"/>
      <c r="AF85" s="209"/>
      <c r="AG85" s="209"/>
      <c r="AH85" s="209"/>
      <c r="AI85" s="67"/>
      <c r="AJ85" s="209"/>
      <c r="AK85" s="209"/>
      <c r="AL85" s="190"/>
      <c r="AM85" s="190"/>
      <c r="AN85" s="189"/>
      <c r="AO85" s="189"/>
      <c r="AP85" s="189"/>
      <c r="AQ85" s="348"/>
      <c r="AR85" s="348"/>
      <c r="AS85" s="354"/>
      <c r="AT85" s="354"/>
      <c r="AU85" s="354"/>
      <c r="AV85" s="196"/>
      <c r="AW85" s="354"/>
      <c r="AX85" s="354"/>
      <c r="AY85" s="354"/>
      <c r="AZ85" s="354"/>
      <c r="BA85" s="354"/>
      <c r="BB85" s="354"/>
      <c r="BC85" s="354"/>
      <c r="BD85" s="354"/>
      <c r="BE85" s="354"/>
      <c r="BF85" s="354"/>
      <c r="BG85" s="354"/>
      <c r="BH85" s="354"/>
      <c r="BI85" s="354"/>
      <c r="BJ85" s="354"/>
      <c r="BK85" s="354"/>
      <c r="BL85" s="354"/>
      <c r="BM85" s="354"/>
      <c r="BN85" s="354"/>
      <c r="BO85" s="355">
        <v>0</v>
      </c>
      <c r="BP85" s="888">
        <v>0</v>
      </c>
      <c r="BQ85" s="354"/>
      <c r="BR85" s="354"/>
      <c r="BS85" s="354"/>
      <c r="BT85" s="354"/>
      <c r="BU85" s="354"/>
      <c r="BV85" s="354"/>
      <c r="BW85" s="355">
        <f t="shared" si="8"/>
        <v>0</v>
      </c>
      <c r="BY85" s="33">
        <f t="shared" si="9"/>
        <v>0</v>
      </c>
      <c r="BZ85" s="33">
        <f t="shared" si="6"/>
        <v>0</v>
      </c>
      <c r="CA85" s="33">
        <f t="shared" si="6"/>
        <v>0</v>
      </c>
      <c r="CB85" s="33">
        <f t="shared" si="6"/>
        <v>0</v>
      </c>
      <c r="CC85" s="33">
        <f t="shared" si="6"/>
        <v>0</v>
      </c>
      <c r="CD85" s="33">
        <f t="shared" si="6"/>
        <v>0</v>
      </c>
      <c r="CE85" s="33">
        <f t="shared" si="6"/>
        <v>0</v>
      </c>
      <c r="CF85" s="33">
        <f t="shared" si="6"/>
        <v>0</v>
      </c>
      <c r="CG85" s="58">
        <f t="shared" si="7"/>
        <v>0</v>
      </c>
    </row>
    <row r="86" spans="1:85">
      <c r="A86" s="198">
        <v>2015</v>
      </c>
      <c r="B86" s="2">
        <v>134102</v>
      </c>
      <c r="C86" s="2" t="s">
        <v>195</v>
      </c>
      <c r="D86" s="2" t="s">
        <v>196</v>
      </c>
      <c r="E86" s="2" t="s">
        <v>39</v>
      </c>
      <c r="F86" s="208" t="s">
        <v>890</v>
      </c>
      <c r="H86" s="880">
        <v>0</v>
      </c>
      <c r="I86" s="880"/>
      <c r="J86" s="880"/>
      <c r="K86" s="880">
        <v>9755</v>
      </c>
      <c r="L86" s="190">
        <v>0</v>
      </c>
      <c r="M86" s="190">
        <v>0</v>
      </c>
      <c r="N86" s="190">
        <v>0</v>
      </c>
      <c r="O86" s="190">
        <v>0</v>
      </c>
      <c r="P86" s="190">
        <v>0</v>
      </c>
      <c r="Q86" s="190">
        <v>0</v>
      </c>
      <c r="R86" s="190">
        <v>0</v>
      </c>
      <c r="S86" s="190">
        <v>0</v>
      </c>
      <c r="T86" s="209">
        <v>0</v>
      </c>
      <c r="U86" s="209"/>
      <c r="V86" s="209"/>
      <c r="W86" s="209"/>
      <c r="X86" s="190"/>
      <c r="Y86" s="190"/>
      <c r="Z86" s="190"/>
      <c r="AA86" s="190"/>
      <c r="AB86" s="190"/>
      <c r="AC86" s="190"/>
      <c r="AD86" s="190"/>
      <c r="AE86" s="190"/>
      <c r="AF86" s="209"/>
      <c r="AG86" s="209"/>
      <c r="AH86" s="209"/>
      <c r="AI86" s="67"/>
      <c r="AJ86" s="209"/>
      <c r="AK86" s="209"/>
      <c r="AL86" s="190"/>
      <c r="AM86" s="190"/>
      <c r="AN86" s="189"/>
      <c r="AO86" s="189"/>
      <c r="AP86" s="189"/>
      <c r="AQ86" s="348"/>
      <c r="AR86" s="348"/>
      <c r="AS86" s="354"/>
      <c r="AT86" s="354"/>
      <c r="AU86" s="354"/>
      <c r="AV86" s="196"/>
      <c r="AW86" s="354"/>
      <c r="AX86" s="354"/>
      <c r="AY86" s="354"/>
      <c r="AZ86" s="354"/>
      <c r="BA86" s="354"/>
      <c r="BB86" s="354"/>
      <c r="BC86" s="354"/>
      <c r="BD86" s="354"/>
      <c r="BE86" s="354"/>
      <c r="BF86" s="354"/>
      <c r="BG86" s="354"/>
      <c r="BH86" s="354"/>
      <c r="BI86" s="354"/>
      <c r="BJ86" s="354"/>
      <c r="BK86" s="354"/>
      <c r="BL86" s="354"/>
      <c r="BM86" s="354"/>
      <c r="BN86" s="354"/>
      <c r="BO86" s="355">
        <v>0</v>
      </c>
      <c r="BP86" s="888">
        <v>0</v>
      </c>
      <c r="BQ86" s="354"/>
      <c r="BR86" s="354"/>
      <c r="BS86" s="354"/>
      <c r="BT86" s="354"/>
      <c r="BU86" s="354"/>
      <c r="BV86" s="354"/>
      <c r="BW86" s="355">
        <f t="shared" si="8"/>
        <v>9755</v>
      </c>
      <c r="BY86" s="33">
        <f t="shared" si="9"/>
        <v>0</v>
      </c>
      <c r="BZ86" s="33">
        <f t="shared" si="6"/>
        <v>0</v>
      </c>
      <c r="CA86" s="33">
        <f t="shared" si="6"/>
        <v>0</v>
      </c>
      <c r="CB86" s="33">
        <f t="shared" si="6"/>
        <v>0</v>
      </c>
      <c r="CC86" s="33">
        <f t="shared" si="6"/>
        <v>9755</v>
      </c>
      <c r="CD86" s="33">
        <f t="shared" si="6"/>
        <v>0</v>
      </c>
      <c r="CE86" s="33">
        <f t="shared" si="6"/>
        <v>0</v>
      </c>
      <c r="CF86" s="33">
        <f t="shared" si="6"/>
        <v>0</v>
      </c>
      <c r="CG86" s="58">
        <f t="shared" si="7"/>
        <v>9755</v>
      </c>
    </row>
    <row r="87" spans="1:85">
      <c r="A87" s="198">
        <v>3352</v>
      </c>
      <c r="B87" s="2">
        <v>103444</v>
      </c>
      <c r="C87" s="2" t="s">
        <v>197</v>
      </c>
      <c r="D87" s="2" t="s">
        <v>198</v>
      </c>
      <c r="E87" s="2" t="s">
        <v>39</v>
      </c>
      <c r="F87" s="208" t="s">
        <v>890</v>
      </c>
      <c r="H87" s="880">
        <v>0</v>
      </c>
      <c r="I87" s="880"/>
      <c r="J87" s="880"/>
      <c r="K87" s="880">
        <v>8645</v>
      </c>
      <c r="L87" s="190">
        <v>54670.695</v>
      </c>
      <c r="M87" s="190">
        <v>6074.5216666666665</v>
      </c>
      <c r="N87" s="190">
        <v>6074.5216666666665</v>
      </c>
      <c r="O87" s="190">
        <v>6074.5216666666665</v>
      </c>
      <c r="P87" s="190">
        <v>0</v>
      </c>
      <c r="Q87" s="190">
        <v>0</v>
      </c>
      <c r="R87" s="190">
        <v>0</v>
      </c>
      <c r="S87" s="190">
        <v>0</v>
      </c>
      <c r="T87" s="209">
        <v>0</v>
      </c>
      <c r="U87" s="209"/>
      <c r="V87" s="209"/>
      <c r="W87" s="209"/>
      <c r="X87" s="190"/>
      <c r="Y87" s="190"/>
      <c r="Z87" s="190"/>
      <c r="AA87" s="190"/>
      <c r="AB87" s="190"/>
      <c r="AC87" s="190"/>
      <c r="AD87" s="190"/>
      <c r="AE87" s="190"/>
      <c r="AF87" s="209"/>
      <c r="AG87" s="209"/>
      <c r="AH87" s="209"/>
      <c r="AI87" s="67"/>
      <c r="AJ87" s="209"/>
      <c r="AK87" s="209"/>
      <c r="AL87" s="190"/>
      <c r="AM87" s="190"/>
      <c r="AN87" s="189"/>
      <c r="AO87" s="348"/>
      <c r="AP87" s="189"/>
      <c r="AQ87" s="348"/>
      <c r="AR87" s="348"/>
      <c r="AS87" s="354"/>
      <c r="AT87" s="354"/>
      <c r="AU87" s="354"/>
      <c r="AV87" s="196"/>
      <c r="AW87" s="354"/>
      <c r="AX87" s="354"/>
      <c r="AY87" s="354"/>
      <c r="AZ87" s="354"/>
      <c r="BA87" s="354"/>
      <c r="BB87" s="354"/>
      <c r="BC87" s="354"/>
      <c r="BD87" s="354"/>
      <c r="BE87" s="354"/>
      <c r="BF87" s="354"/>
      <c r="BG87" s="354"/>
      <c r="BH87" s="354"/>
      <c r="BI87" s="354"/>
      <c r="BJ87" s="354"/>
      <c r="BK87" s="354"/>
      <c r="BL87" s="354"/>
      <c r="BM87" s="354"/>
      <c r="BN87" s="354"/>
      <c r="BO87" s="355">
        <v>0</v>
      </c>
      <c r="BP87" s="888">
        <v>-2.21</v>
      </c>
      <c r="BQ87" s="354"/>
      <c r="BR87" s="354"/>
      <c r="BS87" s="354"/>
      <c r="BT87" s="354"/>
      <c r="BU87" s="354"/>
      <c r="BV87" s="354"/>
      <c r="BW87" s="355">
        <f t="shared" si="8"/>
        <v>81537.049999999988</v>
      </c>
      <c r="BY87" s="33">
        <f t="shared" si="9"/>
        <v>60745.216666666667</v>
      </c>
      <c r="BZ87" s="33">
        <f t="shared" si="6"/>
        <v>0</v>
      </c>
      <c r="CA87" s="33">
        <f t="shared" si="6"/>
        <v>0</v>
      </c>
      <c r="CB87" s="33">
        <f t="shared" si="6"/>
        <v>0</v>
      </c>
      <c r="CC87" s="33">
        <f t="shared" si="6"/>
        <v>8645</v>
      </c>
      <c r="CD87" s="33">
        <f t="shared" si="6"/>
        <v>0</v>
      </c>
      <c r="CE87" s="33">
        <f t="shared" si="6"/>
        <v>0</v>
      </c>
      <c r="CF87" s="33">
        <f t="shared" si="6"/>
        <v>-2.21</v>
      </c>
      <c r="CG87" s="58">
        <f t="shared" si="7"/>
        <v>69390.216666666674</v>
      </c>
    </row>
    <row r="88" spans="1:85">
      <c r="A88" s="198">
        <v>2005</v>
      </c>
      <c r="B88" s="2">
        <v>134098</v>
      </c>
      <c r="C88" s="2" t="s">
        <v>199</v>
      </c>
      <c r="D88" s="2" t="s">
        <v>200</v>
      </c>
      <c r="E88" s="2" t="s">
        <v>39</v>
      </c>
      <c r="F88" s="208" t="s">
        <v>890</v>
      </c>
      <c r="H88" s="880">
        <v>48</v>
      </c>
      <c r="I88" s="880"/>
      <c r="J88" s="880"/>
      <c r="K88" s="880">
        <v>10695</v>
      </c>
      <c r="L88" s="190">
        <v>0</v>
      </c>
      <c r="M88" s="190">
        <v>0</v>
      </c>
      <c r="N88" s="190">
        <v>0</v>
      </c>
      <c r="O88" s="190">
        <v>0</v>
      </c>
      <c r="P88" s="190">
        <v>0</v>
      </c>
      <c r="Q88" s="190">
        <v>0</v>
      </c>
      <c r="R88" s="190">
        <v>0</v>
      </c>
      <c r="S88" s="190">
        <v>0</v>
      </c>
      <c r="T88" s="209">
        <v>0</v>
      </c>
      <c r="U88" s="209"/>
      <c r="V88" s="209"/>
      <c r="W88" s="209"/>
      <c r="X88" s="190"/>
      <c r="Y88" s="190"/>
      <c r="Z88" s="190"/>
      <c r="AA88" s="190"/>
      <c r="AB88" s="190"/>
      <c r="AC88" s="190"/>
      <c r="AD88" s="190"/>
      <c r="AE88" s="190"/>
      <c r="AF88" s="209"/>
      <c r="AG88" s="209"/>
      <c r="AH88" s="209"/>
      <c r="AI88" s="67"/>
      <c r="AJ88" s="209"/>
      <c r="AK88" s="209"/>
      <c r="AL88" s="190"/>
      <c r="AM88" s="190"/>
      <c r="AN88" s="189"/>
      <c r="AO88" s="189"/>
      <c r="AP88" s="189"/>
      <c r="AQ88" s="348"/>
      <c r="AR88" s="348"/>
      <c r="AS88" s="354"/>
      <c r="AT88" s="354"/>
      <c r="AU88" s="354"/>
      <c r="AV88" s="196"/>
      <c r="AW88" s="354"/>
      <c r="AX88" s="354"/>
      <c r="AY88" s="354"/>
      <c r="AZ88" s="354"/>
      <c r="BA88" s="354"/>
      <c r="BB88" s="354"/>
      <c r="BC88" s="354"/>
      <c r="BD88" s="354"/>
      <c r="BE88" s="354"/>
      <c r="BF88" s="354"/>
      <c r="BG88" s="354"/>
      <c r="BH88" s="354"/>
      <c r="BI88" s="354"/>
      <c r="BJ88" s="354"/>
      <c r="BK88" s="354"/>
      <c r="BL88" s="354"/>
      <c r="BM88" s="354"/>
      <c r="BN88" s="354"/>
      <c r="BO88" s="355">
        <v>1903.39</v>
      </c>
      <c r="BP88" s="888">
        <v>-62</v>
      </c>
      <c r="BQ88" s="354"/>
      <c r="BR88" s="354"/>
      <c r="BS88" s="354"/>
      <c r="BT88" s="354"/>
      <c r="BU88" s="354"/>
      <c r="BV88" s="354"/>
      <c r="BW88" s="355">
        <f t="shared" si="8"/>
        <v>12584.39</v>
      </c>
      <c r="BY88" s="33">
        <f t="shared" si="9"/>
        <v>48</v>
      </c>
      <c r="BZ88" s="33">
        <f t="shared" si="6"/>
        <v>0</v>
      </c>
      <c r="CA88" s="33">
        <f t="shared" si="6"/>
        <v>0</v>
      </c>
      <c r="CB88" s="33">
        <f t="shared" si="6"/>
        <v>0</v>
      </c>
      <c r="CC88" s="33">
        <f t="shared" si="6"/>
        <v>10695</v>
      </c>
      <c r="CD88" s="33">
        <f t="shared" si="6"/>
        <v>1903.39</v>
      </c>
      <c r="CE88" s="33">
        <f t="shared" si="6"/>
        <v>0</v>
      </c>
      <c r="CF88" s="33">
        <f t="shared" si="6"/>
        <v>-62</v>
      </c>
      <c r="CG88" s="58">
        <f t="shared" si="7"/>
        <v>12646.39</v>
      </c>
    </row>
    <row r="89" spans="1:85">
      <c r="A89" s="198">
        <v>4063</v>
      </c>
      <c r="B89" s="2">
        <v>103486</v>
      </c>
      <c r="C89" s="2" t="s">
        <v>201</v>
      </c>
      <c r="D89" s="2" t="s">
        <v>202</v>
      </c>
      <c r="E89" s="2" t="s">
        <v>71</v>
      </c>
      <c r="F89" s="208" t="s">
        <v>890</v>
      </c>
      <c r="H89" s="880">
        <v>0</v>
      </c>
      <c r="I89" s="880"/>
      <c r="J89" s="880"/>
      <c r="K89" s="880">
        <v>0</v>
      </c>
      <c r="L89" s="190">
        <v>0</v>
      </c>
      <c r="M89" s="190">
        <v>0</v>
      </c>
      <c r="N89" s="190">
        <v>0</v>
      </c>
      <c r="O89" s="190">
        <v>0</v>
      </c>
      <c r="P89" s="190">
        <v>0</v>
      </c>
      <c r="Q89" s="190">
        <v>0</v>
      </c>
      <c r="R89" s="190">
        <v>0</v>
      </c>
      <c r="S89" s="190">
        <v>0</v>
      </c>
      <c r="T89" s="209">
        <v>0</v>
      </c>
      <c r="U89" s="209"/>
      <c r="V89" s="209"/>
      <c r="W89" s="209"/>
      <c r="X89" s="190"/>
      <c r="Y89" s="190"/>
      <c r="Z89" s="190"/>
      <c r="AA89" s="190"/>
      <c r="AB89" s="190"/>
      <c r="AC89" s="190"/>
      <c r="AD89" s="190"/>
      <c r="AE89" s="190"/>
      <c r="AF89" s="209"/>
      <c r="AG89" s="209"/>
      <c r="AH89" s="209"/>
      <c r="AI89" s="67"/>
      <c r="AJ89" s="209"/>
      <c r="AK89" s="209"/>
      <c r="AL89" s="190"/>
      <c r="AM89" s="190"/>
      <c r="AN89" s="189"/>
      <c r="AO89" s="189"/>
      <c r="AP89" s="189"/>
      <c r="AQ89" s="348"/>
      <c r="AR89" s="348"/>
      <c r="AS89" s="354"/>
      <c r="AT89" s="354"/>
      <c r="AU89" s="354"/>
      <c r="AV89" s="196"/>
      <c r="AW89" s="354"/>
      <c r="AX89" s="354"/>
      <c r="AY89" s="354"/>
      <c r="AZ89" s="354"/>
      <c r="BA89" s="354"/>
      <c r="BB89" s="354"/>
      <c r="BC89" s="354"/>
      <c r="BD89" s="354"/>
      <c r="BE89" s="354"/>
      <c r="BF89" s="354"/>
      <c r="BG89" s="354"/>
      <c r="BH89" s="354"/>
      <c r="BI89" s="354"/>
      <c r="BJ89" s="354"/>
      <c r="BK89" s="354"/>
      <c r="BL89" s="354"/>
      <c r="BM89" s="354"/>
      <c r="BN89" s="354"/>
      <c r="BO89" s="355">
        <v>0</v>
      </c>
      <c r="BP89" s="888">
        <v>0</v>
      </c>
      <c r="BQ89" s="354"/>
      <c r="BR89" s="354"/>
      <c r="BS89" s="354"/>
      <c r="BT89" s="354"/>
      <c r="BU89" s="354"/>
      <c r="BV89" s="354"/>
      <c r="BW89" s="355">
        <f t="shared" si="8"/>
        <v>0</v>
      </c>
      <c r="BY89" s="33">
        <f t="shared" si="9"/>
        <v>0</v>
      </c>
      <c r="BZ89" s="33">
        <f t="shared" si="6"/>
        <v>0</v>
      </c>
      <c r="CA89" s="33">
        <f t="shared" si="6"/>
        <v>0</v>
      </c>
      <c r="CB89" s="33">
        <f t="shared" si="6"/>
        <v>0</v>
      </c>
      <c r="CC89" s="33">
        <f t="shared" si="6"/>
        <v>0</v>
      </c>
      <c r="CD89" s="33">
        <f t="shared" si="6"/>
        <v>0</v>
      </c>
      <c r="CE89" s="33">
        <f t="shared" si="6"/>
        <v>0</v>
      </c>
      <c r="CF89" s="33">
        <f t="shared" si="6"/>
        <v>0</v>
      </c>
      <c r="CG89" s="58">
        <f t="shared" si="7"/>
        <v>0</v>
      </c>
    </row>
    <row r="90" spans="1:85">
      <c r="A90" s="198">
        <v>1016</v>
      </c>
      <c r="B90" s="2">
        <v>103129</v>
      </c>
      <c r="C90" s="2" t="s">
        <v>203</v>
      </c>
      <c r="D90" s="2" t="s">
        <v>204</v>
      </c>
      <c r="E90" s="2" t="s">
        <v>36</v>
      </c>
      <c r="F90" s="208" t="s">
        <v>890</v>
      </c>
      <c r="H90" s="880">
        <v>0</v>
      </c>
      <c r="I90" s="880"/>
      <c r="J90" s="880"/>
      <c r="K90" s="880">
        <v>0</v>
      </c>
      <c r="L90" s="190">
        <v>0</v>
      </c>
      <c r="M90" s="190">
        <v>0</v>
      </c>
      <c r="N90" s="190">
        <v>0</v>
      </c>
      <c r="O90" s="190">
        <v>0</v>
      </c>
      <c r="P90" s="190">
        <v>0</v>
      </c>
      <c r="Q90" s="190">
        <v>0</v>
      </c>
      <c r="R90" s="190">
        <v>0</v>
      </c>
      <c r="S90" s="190">
        <v>0</v>
      </c>
      <c r="T90" s="209">
        <v>0</v>
      </c>
      <c r="U90" s="209"/>
      <c r="V90" s="209"/>
      <c r="W90" s="209"/>
      <c r="X90" s="190"/>
      <c r="Y90" s="190"/>
      <c r="Z90" s="190"/>
      <c r="AA90" s="190"/>
      <c r="AB90" s="190"/>
      <c r="AC90" s="190"/>
      <c r="AD90" s="190"/>
      <c r="AE90" s="190"/>
      <c r="AF90" s="209"/>
      <c r="AG90" s="209"/>
      <c r="AH90" s="209"/>
      <c r="AI90" s="67"/>
      <c r="AJ90" s="209"/>
      <c r="AK90" s="209"/>
      <c r="AL90" s="190"/>
      <c r="AM90" s="190"/>
      <c r="AN90" s="189"/>
      <c r="AO90" s="189"/>
      <c r="AP90" s="189"/>
      <c r="AQ90" s="348"/>
      <c r="AR90" s="348"/>
      <c r="AS90" s="354"/>
      <c r="AT90" s="354"/>
      <c r="AU90" s="354"/>
      <c r="AV90" s="196"/>
      <c r="AW90" s="354"/>
      <c r="AX90" s="354"/>
      <c r="AY90" s="354"/>
      <c r="AZ90" s="354"/>
      <c r="BA90" s="354"/>
      <c r="BB90" s="354"/>
      <c r="BC90" s="354"/>
      <c r="BD90" s="354"/>
      <c r="BE90" s="354"/>
      <c r="BF90" s="354"/>
      <c r="BG90" s="354"/>
      <c r="BH90" s="354"/>
      <c r="BI90" s="354"/>
      <c r="BJ90" s="354"/>
      <c r="BK90" s="354"/>
      <c r="BL90" s="354"/>
      <c r="BM90" s="354"/>
      <c r="BN90" s="354"/>
      <c r="BO90" s="355">
        <v>1004.61</v>
      </c>
      <c r="BP90" s="888">
        <v>-2.61</v>
      </c>
      <c r="BQ90" s="354"/>
      <c r="BR90" s="354"/>
      <c r="BS90" s="354"/>
      <c r="BT90" s="354"/>
      <c r="BU90" s="354"/>
      <c r="BV90" s="354"/>
      <c r="BW90" s="355">
        <f t="shared" si="8"/>
        <v>1002</v>
      </c>
      <c r="BY90" s="33">
        <f t="shared" si="9"/>
        <v>0</v>
      </c>
      <c r="BZ90" s="33">
        <f t="shared" si="6"/>
        <v>0</v>
      </c>
      <c r="CA90" s="33">
        <f t="shared" si="6"/>
        <v>0</v>
      </c>
      <c r="CB90" s="33">
        <f t="shared" si="6"/>
        <v>0</v>
      </c>
      <c r="CC90" s="33">
        <f t="shared" si="6"/>
        <v>0</v>
      </c>
      <c r="CD90" s="33">
        <f t="shared" si="6"/>
        <v>1004.61</v>
      </c>
      <c r="CE90" s="33">
        <f t="shared" si="6"/>
        <v>0</v>
      </c>
      <c r="CF90" s="33">
        <f t="shared" si="6"/>
        <v>-2.61</v>
      </c>
      <c r="CG90" s="58">
        <f t="shared" si="7"/>
        <v>1004.61</v>
      </c>
    </row>
    <row r="91" spans="1:85">
      <c r="A91" s="198">
        <v>2115</v>
      </c>
      <c r="B91" s="2">
        <v>103221</v>
      </c>
      <c r="C91" s="2" t="s">
        <v>205</v>
      </c>
      <c r="D91" s="2" t="s">
        <v>206</v>
      </c>
      <c r="E91" s="2" t="s">
        <v>39</v>
      </c>
      <c r="F91" s="208" t="s">
        <v>890</v>
      </c>
      <c r="H91" s="880">
        <v>0</v>
      </c>
      <c r="I91" s="880"/>
      <c r="J91" s="880"/>
      <c r="K91" s="880">
        <v>9265</v>
      </c>
      <c r="L91" s="190">
        <v>0</v>
      </c>
      <c r="M91" s="190">
        <v>0</v>
      </c>
      <c r="N91" s="190">
        <v>0</v>
      </c>
      <c r="O91" s="190">
        <v>0</v>
      </c>
      <c r="P91" s="190">
        <v>0</v>
      </c>
      <c r="Q91" s="190">
        <v>0</v>
      </c>
      <c r="R91" s="190">
        <v>0</v>
      </c>
      <c r="S91" s="190">
        <v>0</v>
      </c>
      <c r="T91" s="209">
        <v>0</v>
      </c>
      <c r="U91" s="209"/>
      <c r="V91" s="209"/>
      <c r="W91" s="209"/>
      <c r="X91" s="190"/>
      <c r="Y91" s="190"/>
      <c r="Z91" s="190"/>
      <c r="AA91" s="190"/>
      <c r="AB91" s="190"/>
      <c r="AC91" s="190"/>
      <c r="AD91" s="190"/>
      <c r="AE91" s="190"/>
      <c r="AF91" s="209"/>
      <c r="AG91" s="209"/>
      <c r="AH91" s="209"/>
      <c r="AI91" s="67"/>
      <c r="AJ91" s="209"/>
      <c r="AK91" s="209"/>
      <c r="AL91" s="190"/>
      <c r="AM91" s="190"/>
      <c r="AN91" s="189"/>
      <c r="AO91" s="189"/>
      <c r="AP91" s="189"/>
      <c r="AQ91" s="348"/>
      <c r="AR91" s="348"/>
      <c r="AS91" s="354"/>
      <c r="AT91" s="354"/>
      <c r="AU91" s="354"/>
      <c r="AV91" s="196"/>
      <c r="AW91" s="354"/>
      <c r="AX91" s="354"/>
      <c r="AY91" s="354"/>
      <c r="AZ91" s="354"/>
      <c r="BA91" s="354"/>
      <c r="BB91" s="354"/>
      <c r="BC91" s="354"/>
      <c r="BD91" s="354"/>
      <c r="BE91" s="354"/>
      <c r="BF91" s="354"/>
      <c r="BG91" s="354"/>
      <c r="BH91" s="354"/>
      <c r="BI91" s="354"/>
      <c r="BJ91" s="354"/>
      <c r="BK91" s="354"/>
      <c r="BL91" s="354"/>
      <c r="BM91" s="354"/>
      <c r="BN91" s="354"/>
      <c r="BO91" s="355">
        <v>1189.23</v>
      </c>
      <c r="BP91" s="888">
        <v>-2.63</v>
      </c>
      <c r="BQ91" s="354"/>
      <c r="BR91" s="354"/>
      <c r="BS91" s="354"/>
      <c r="BT91" s="354"/>
      <c r="BU91" s="354"/>
      <c r="BV91" s="354"/>
      <c r="BW91" s="355">
        <f t="shared" si="8"/>
        <v>10451.6</v>
      </c>
      <c r="BY91" s="33">
        <f t="shared" si="9"/>
        <v>0</v>
      </c>
      <c r="BZ91" s="33">
        <f t="shared" si="6"/>
        <v>0</v>
      </c>
      <c r="CA91" s="33">
        <f t="shared" si="6"/>
        <v>0</v>
      </c>
      <c r="CB91" s="33">
        <f t="shared" si="6"/>
        <v>0</v>
      </c>
      <c r="CC91" s="33">
        <f t="shared" si="6"/>
        <v>9265</v>
      </c>
      <c r="CD91" s="33">
        <f t="shared" si="6"/>
        <v>1189.23</v>
      </c>
      <c r="CE91" s="33">
        <f t="shared" si="6"/>
        <v>0</v>
      </c>
      <c r="CF91" s="33">
        <f t="shared" si="6"/>
        <v>-2.63</v>
      </c>
      <c r="CG91" s="58">
        <f t="shared" si="7"/>
        <v>10454.23</v>
      </c>
    </row>
    <row r="92" spans="1:85">
      <c r="A92" s="198">
        <v>2441</v>
      </c>
      <c r="B92" s="2">
        <v>103368</v>
      </c>
      <c r="C92" s="2" t="s">
        <v>207</v>
      </c>
      <c r="D92" s="2" t="s">
        <v>208</v>
      </c>
      <c r="E92" s="2" t="s">
        <v>39</v>
      </c>
      <c r="F92" s="208" t="s">
        <v>890</v>
      </c>
      <c r="H92" s="880">
        <v>0</v>
      </c>
      <c r="I92" s="880"/>
      <c r="J92" s="880"/>
      <c r="K92" s="880">
        <v>9535</v>
      </c>
      <c r="L92" s="190">
        <v>0</v>
      </c>
      <c r="M92" s="190">
        <v>0</v>
      </c>
      <c r="N92" s="190">
        <v>0</v>
      </c>
      <c r="O92" s="190">
        <v>0</v>
      </c>
      <c r="P92" s="190">
        <v>0</v>
      </c>
      <c r="Q92" s="190">
        <v>0</v>
      </c>
      <c r="R92" s="190">
        <v>0</v>
      </c>
      <c r="S92" s="190">
        <v>0</v>
      </c>
      <c r="T92" s="209">
        <v>0</v>
      </c>
      <c r="U92" s="209"/>
      <c r="V92" s="209"/>
      <c r="W92" s="209"/>
      <c r="X92" s="190"/>
      <c r="Y92" s="190"/>
      <c r="Z92" s="190"/>
      <c r="AA92" s="190"/>
      <c r="AB92" s="190"/>
      <c r="AC92" s="190"/>
      <c r="AD92" s="190"/>
      <c r="AE92" s="190"/>
      <c r="AF92" s="209"/>
      <c r="AG92" s="209"/>
      <c r="AH92" s="209"/>
      <c r="AI92" s="67"/>
      <c r="AJ92" s="209"/>
      <c r="AK92" s="209"/>
      <c r="AL92" s="190"/>
      <c r="AM92" s="190"/>
      <c r="AN92" s="189"/>
      <c r="AO92" s="189"/>
      <c r="AP92" s="189"/>
      <c r="AQ92" s="348"/>
      <c r="AR92" s="348"/>
      <c r="AS92" s="354"/>
      <c r="AT92" s="354"/>
      <c r="AU92" s="354"/>
      <c r="AV92" s="196"/>
      <c r="AW92" s="354"/>
      <c r="AX92" s="354"/>
      <c r="AY92" s="354"/>
      <c r="AZ92" s="354"/>
      <c r="BA92" s="354"/>
      <c r="BB92" s="354"/>
      <c r="BC92" s="354"/>
      <c r="BD92" s="354"/>
      <c r="BE92" s="354"/>
      <c r="BF92" s="354"/>
      <c r="BG92" s="354"/>
      <c r="BH92" s="354"/>
      <c r="BI92" s="354"/>
      <c r="BJ92" s="354"/>
      <c r="BK92" s="354"/>
      <c r="BL92" s="354"/>
      <c r="BM92" s="354"/>
      <c r="BN92" s="354"/>
      <c r="BO92" s="355">
        <v>1999.24</v>
      </c>
      <c r="BP92" s="888">
        <v>-18.59</v>
      </c>
      <c r="BQ92" s="354"/>
      <c r="BR92" s="354"/>
      <c r="BS92" s="354"/>
      <c r="BT92" s="354"/>
      <c r="BU92" s="354"/>
      <c r="BV92" s="354"/>
      <c r="BW92" s="355">
        <f t="shared" si="8"/>
        <v>11515.65</v>
      </c>
      <c r="BY92" s="33">
        <f t="shared" si="9"/>
        <v>0</v>
      </c>
      <c r="BZ92" s="33">
        <f t="shared" si="6"/>
        <v>0</v>
      </c>
      <c r="CA92" s="33">
        <f t="shared" si="6"/>
        <v>0</v>
      </c>
      <c r="CB92" s="33">
        <f t="shared" si="6"/>
        <v>0</v>
      </c>
      <c r="CC92" s="33">
        <f t="shared" si="6"/>
        <v>9535</v>
      </c>
      <c r="CD92" s="33">
        <f t="shared" si="6"/>
        <v>1999.24</v>
      </c>
      <c r="CE92" s="33">
        <f t="shared" si="6"/>
        <v>0</v>
      </c>
      <c r="CF92" s="33">
        <f t="shared" si="6"/>
        <v>-18.59</v>
      </c>
      <c r="CG92" s="58">
        <f t="shared" si="7"/>
        <v>11534.24</v>
      </c>
    </row>
    <row r="93" spans="1:85">
      <c r="A93" s="198">
        <v>2321</v>
      </c>
      <c r="B93" s="2">
        <v>103339</v>
      </c>
      <c r="C93" s="2" t="s">
        <v>209</v>
      </c>
      <c r="D93" s="2" t="s">
        <v>210</v>
      </c>
      <c r="E93" s="2" t="s">
        <v>39</v>
      </c>
      <c r="F93" s="208" t="s">
        <v>890</v>
      </c>
      <c r="H93" s="880">
        <v>0</v>
      </c>
      <c r="I93" s="880"/>
      <c r="J93" s="880"/>
      <c r="K93" s="880">
        <v>8830</v>
      </c>
      <c r="L93" s="190">
        <v>0</v>
      </c>
      <c r="M93" s="190">
        <v>0</v>
      </c>
      <c r="N93" s="190">
        <v>0</v>
      </c>
      <c r="O93" s="190">
        <v>0</v>
      </c>
      <c r="P93" s="190">
        <v>0</v>
      </c>
      <c r="Q93" s="190">
        <v>0</v>
      </c>
      <c r="R93" s="190">
        <v>0</v>
      </c>
      <c r="S93" s="190">
        <v>0</v>
      </c>
      <c r="T93" s="209">
        <v>0</v>
      </c>
      <c r="U93" s="209"/>
      <c r="V93" s="209"/>
      <c r="W93" s="209"/>
      <c r="X93" s="190"/>
      <c r="Y93" s="190"/>
      <c r="Z93" s="190"/>
      <c r="AA93" s="190"/>
      <c r="AB93" s="190"/>
      <c r="AC93" s="190"/>
      <c r="AD93" s="190"/>
      <c r="AE93" s="190"/>
      <c r="AF93" s="209"/>
      <c r="AG93" s="209"/>
      <c r="AH93" s="209"/>
      <c r="AI93" s="67"/>
      <c r="AJ93" s="209"/>
      <c r="AK93" s="209"/>
      <c r="AL93" s="190"/>
      <c r="AM93" s="190"/>
      <c r="AN93" s="189"/>
      <c r="AO93" s="189"/>
      <c r="AP93" s="189"/>
      <c r="AQ93" s="348"/>
      <c r="AR93" s="348"/>
      <c r="AS93" s="354"/>
      <c r="AT93" s="354"/>
      <c r="AU93" s="354"/>
      <c r="AV93" s="196"/>
      <c r="AW93" s="354"/>
      <c r="AX93" s="354"/>
      <c r="AY93" s="354"/>
      <c r="AZ93" s="354"/>
      <c r="BA93" s="354"/>
      <c r="BB93" s="354"/>
      <c r="BC93" s="354"/>
      <c r="BD93" s="354"/>
      <c r="BE93" s="354"/>
      <c r="BF93" s="354"/>
      <c r="BG93" s="354"/>
      <c r="BH93" s="354"/>
      <c r="BI93" s="354"/>
      <c r="BJ93" s="354"/>
      <c r="BK93" s="354"/>
      <c r="BL93" s="354"/>
      <c r="BM93" s="354"/>
      <c r="BN93" s="354"/>
      <c r="BO93" s="355">
        <v>1948.7</v>
      </c>
      <c r="BP93" s="888">
        <v>-8.2799999999999994</v>
      </c>
      <c r="BQ93" s="354"/>
      <c r="BR93" s="354"/>
      <c r="BS93" s="354"/>
      <c r="BT93" s="354"/>
      <c r="BU93" s="354"/>
      <c r="BV93" s="354"/>
      <c r="BW93" s="355">
        <f t="shared" si="8"/>
        <v>10770.42</v>
      </c>
      <c r="BY93" s="33">
        <f t="shared" si="9"/>
        <v>0</v>
      </c>
      <c r="BZ93" s="33">
        <f t="shared" si="6"/>
        <v>0</v>
      </c>
      <c r="CA93" s="33">
        <f t="shared" si="6"/>
        <v>0</v>
      </c>
      <c r="CB93" s="33">
        <f t="shared" si="6"/>
        <v>0</v>
      </c>
      <c r="CC93" s="33">
        <f t="shared" si="6"/>
        <v>8830</v>
      </c>
      <c r="CD93" s="33">
        <f t="shared" si="6"/>
        <v>1948.7</v>
      </c>
      <c r="CE93" s="33">
        <f t="shared" si="6"/>
        <v>0</v>
      </c>
      <c r="CF93" s="33">
        <f t="shared" si="6"/>
        <v>-8.2799999999999994</v>
      </c>
      <c r="CG93" s="58">
        <f t="shared" si="7"/>
        <v>10778.7</v>
      </c>
    </row>
    <row r="94" spans="1:85">
      <c r="A94" s="198">
        <v>2189</v>
      </c>
      <c r="B94" s="2">
        <v>103265</v>
      </c>
      <c r="C94" s="2" t="s">
        <v>211</v>
      </c>
      <c r="D94" s="2" t="s">
        <v>212</v>
      </c>
      <c r="E94" s="2" t="s">
        <v>39</v>
      </c>
      <c r="F94" s="208" t="s">
        <v>890</v>
      </c>
      <c r="H94" s="880">
        <v>0</v>
      </c>
      <c r="I94" s="880"/>
      <c r="J94" s="880"/>
      <c r="K94" s="880">
        <v>8965</v>
      </c>
      <c r="L94" s="190">
        <v>0</v>
      </c>
      <c r="M94" s="190">
        <v>0</v>
      </c>
      <c r="N94" s="190">
        <v>0</v>
      </c>
      <c r="O94" s="190">
        <v>0</v>
      </c>
      <c r="P94" s="190">
        <v>0</v>
      </c>
      <c r="Q94" s="190">
        <v>0</v>
      </c>
      <c r="R94" s="190">
        <v>0</v>
      </c>
      <c r="S94" s="190">
        <v>0</v>
      </c>
      <c r="T94" s="209">
        <v>0</v>
      </c>
      <c r="U94" s="209"/>
      <c r="V94" s="209"/>
      <c r="W94" s="209"/>
      <c r="X94" s="190"/>
      <c r="Y94" s="190"/>
      <c r="Z94" s="190"/>
      <c r="AA94" s="190"/>
      <c r="AB94" s="190"/>
      <c r="AC94" s="190"/>
      <c r="AD94" s="190"/>
      <c r="AE94" s="190"/>
      <c r="AF94" s="209"/>
      <c r="AG94" s="209"/>
      <c r="AH94" s="209"/>
      <c r="AI94" s="67"/>
      <c r="AJ94" s="209"/>
      <c r="AK94" s="209"/>
      <c r="AL94" s="190"/>
      <c r="AM94" s="190"/>
      <c r="AN94" s="189"/>
      <c r="AO94" s="189"/>
      <c r="AP94" s="189"/>
      <c r="AQ94" s="348"/>
      <c r="AR94" s="348"/>
      <c r="AS94" s="354"/>
      <c r="AT94" s="354"/>
      <c r="AU94" s="354"/>
      <c r="AV94" s="196"/>
      <c r="AW94" s="354"/>
      <c r="AX94" s="354"/>
      <c r="AY94" s="354"/>
      <c r="AZ94" s="354"/>
      <c r="BA94" s="354"/>
      <c r="BB94" s="354"/>
      <c r="BC94" s="354"/>
      <c r="BD94" s="354"/>
      <c r="BE94" s="354"/>
      <c r="BF94" s="354"/>
      <c r="BG94" s="354"/>
      <c r="BH94" s="354"/>
      <c r="BI94" s="354"/>
      <c r="BJ94" s="354"/>
      <c r="BK94" s="354"/>
      <c r="BL94" s="354"/>
      <c r="BM94" s="354"/>
      <c r="BN94" s="354"/>
      <c r="BO94" s="355">
        <v>0</v>
      </c>
      <c r="BP94" s="888">
        <v>-18.64</v>
      </c>
      <c r="BQ94" s="354"/>
      <c r="BR94" s="354"/>
      <c r="BS94" s="354"/>
      <c r="BT94" s="354"/>
      <c r="BU94" s="354"/>
      <c r="BV94" s="354"/>
      <c r="BW94" s="355">
        <f t="shared" si="8"/>
        <v>8946.36</v>
      </c>
      <c r="BY94" s="33">
        <f t="shared" si="9"/>
        <v>0</v>
      </c>
      <c r="BZ94" s="33">
        <f t="shared" si="6"/>
        <v>0</v>
      </c>
      <c r="CA94" s="33">
        <f t="shared" si="6"/>
        <v>0</v>
      </c>
      <c r="CB94" s="33">
        <f t="shared" si="6"/>
        <v>0</v>
      </c>
      <c r="CC94" s="33">
        <f t="shared" si="6"/>
        <v>8965</v>
      </c>
      <c r="CD94" s="33">
        <f t="shared" si="6"/>
        <v>0</v>
      </c>
      <c r="CE94" s="33">
        <f t="shared" si="6"/>
        <v>0</v>
      </c>
      <c r="CF94" s="33">
        <f t="shared" si="6"/>
        <v>-18.64</v>
      </c>
      <c r="CG94" s="58">
        <f t="shared" si="7"/>
        <v>8965</v>
      </c>
    </row>
    <row r="95" spans="1:85">
      <c r="A95" s="198">
        <v>7060</v>
      </c>
      <c r="B95" s="2">
        <v>103630</v>
      </c>
      <c r="C95" s="2" t="s">
        <v>213</v>
      </c>
      <c r="D95" s="2" t="s">
        <v>214</v>
      </c>
      <c r="E95" s="2" t="s">
        <v>56</v>
      </c>
      <c r="F95" s="208" t="s">
        <v>890</v>
      </c>
      <c r="H95" s="880">
        <v>0</v>
      </c>
      <c r="I95" s="880"/>
      <c r="J95" s="880"/>
      <c r="K95" s="880">
        <v>8605</v>
      </c>
      <c r="L95" s="190">
        <v>0</v>
      </c>
      <c r="M95" s="190">
        <v>0</v>
      </c>
      <c r="N95" s="190">
        <v>0</v>
      </c>
      <c r="O95" s="190">
        <v>0</v>
      </c>
      <c r="P95" s="190">
        <v>0</v>
      </c>
      <c r="Q95" s="190">
        <v>0</v>
      </c>
      <c r="R95" s="190">
        <v>0</v>
      </c>
      <c r="S95" s="190">
        <v>0</v>
      </c>
      <c r="T95" s="209">
        <v>23979.42</v>
      </c>
      <c r="U95" s="209"/>
      <c r="V95" s="209"/>
      <c r="W95" s="209"/>
      <c r="X95" s="190"/>
      <c r="Y95" s="190"/>
      <c r="Z95" s="190"/>
      <c r="AA95" s="190"/>
      <c r="AB95" s="190"/>
      <c r="AC95" s="190"/>
      <c r="AD95" s="190"/>
      <c r="AE95" s="190"/>
      <c r="AF95" s="209"/>
      <c r="AG95" s="209"/>
      <c r="AH95" s="209"/>
      <c r="AI95" s="67"/>
      <c r="AJ95" s="209"/>
      <c r="AK95" s="209"/>
      <c r="AL95" s="190"/>
      <c r="AM95" s="190"/>
      <c r="AN95" s="189"/>
      <c r="AO95" s="189"/>
      <c r="AP95" s="189"/>
      <c r="AQ95" s="348"/>
      <c r="AR95" s="348"/>
      <c r="AS95" s="354"/>
      <c r="AT95" s="354"/>
      <c r="AU95" s="354"/>
      <c r="AV95" s="196"/>
      <c r="AW95" s="354"/>
      <c r="AX95" s="354"/>
      <c r="AY95" s="354"/>
      <c r="AZ95" s="354"/>
      <c r="BA95" s="354"/>
      <c r="BB95" s="354"/>
      <c r="BC95" s="354"/>
      <c r="BD95" s="354"/>
      <c r="BE95" s="354"/>
      <c r="BF95" s="354"/>
      <c r="BG95" s="354"/>
      <c r="BH95" s="354"/>
      <c r="BI95" s="354"/>
      <c r="BJ95" s="354"/>
      <c r="BK95" s="354"/>
      <c r="BL95" s="354"/>
      <c r="BM95" s="354"/>
      <c r="BN95" s="354"/>
      <c r="BO95" s="355">
        <v>2316.9499999999998</v>
      </c>
      <c r="BP95" s="888">
        <v>-56.99</v>
      </c>
      <c r="BQ95" s="354"/>
      <c r="BR95" s="354"/>
      <c r="BS95" s="354"/>
      <c r="BT95" s="354"/>
      <c r="BU95" s="354"/>
      <c r="BV95" s="354"/>
      <c r="BW95" s="355">
        <f t="shared" si="8"/>
        <v>34844.379999999997</v>
      </c>
      <c r="BY95" s="33">
        <f t="shared" si="9"/>
        <v>0</v>
      </c>
      <c r="BZ95" s="33">
        <f t="shared" si="6"/>
        <v>0</v>
      </c>
      <c r="CA95" s="33">
        <f t="shared" si="6"/>
        <v>0</v>
      </c>
      <c r="CB95" s="33">
        <f t="shared" si="6"/>
        <v>0</v>
      </c>
      <c r="CC95" s="33">
        <f t="shared" si="6"/>
        <v>32584.42</v>
      </c>
      <c r="CD95" s="33">
        <f t="shared" si="6"/>
        <v>2316.9499999999998</v>
      </c>
      <c r="CE95" s="33">
        <f t="shared" si="6"/>
        <v>0</v>
      </c>
      <c r="CF95" s="33">
        <f t="shared" si="6"/>
        <v>-56.99</v>
      </c>
      <c r="CG95" s="58">
        <f t="shared" si="7"/>
        <v>34901.369999999995</v>
      </c>
    </row>
    <row r="96" spans="1:85">
      <c r="A96" s="198">
        <v>1024</v>
      </c>
      <c r="B96" s="2">
        <v>103137</v>
      </c>
      <c r="C96" s="2" t="s">
        <v>215</v>
      </c>
      <c r="D96" s="2" t="s">
        <v>216</v>
      </c>
      <c r="E96" s="2" t="s">
        <v>36</v>
      </c>
      <c r="F96" s="208" t="s">
        <v>890</v>
      </c>
      <c r="H96" s="880">
        <v>0</v>
      </c>
      <c r="I96" s="880"/>
      <c r="J96" s="880"/>
      <c r="K96" s="880">
        <v>0</v>
      </c>
      <c r="L96" s="190">
        <v>0</v>
      </c>
      <c r="M96" s="190">
        <v>0</v>
      </c>
      <c r="N96" s="190">
        <v>0</v>
      </c>
      <c r="O96" s="190">
        <v>0</v>
      </c>
      <c r="P96" s="190">
        <v>0</v>
      </c>
      <c r="Q96" s="190">
        <v>0</v>
      </c>
      <c r="R96" s="190">
        <v>0</v>
      </c>
      <c r="S96" s="190">
        <v>0</v>
      </c>
      <c r="T96" s="209">
        <v>0</v>
      </c>
      <c r="U96" s="209"/>
      <c r="V96" s="209"/>
      <c r="W96" s="209"/>
      <c r="X96" s="190"/>
      <c r="Y96" s="190"/>
      <c r="Z96" s="190"/>
      <c r="AA96" s="190"/>
      <c r="AB96" s="190"/>
      <c r="AC96" s="190"/>
      <c r="AD96" s="190"/>
      <c r="AE96" s="190"/>
      <c r="AF96" s="209"/>
      <c r="AG96" s="209"/>
      <c r="AH96" s="209"/>
      <c r="AI96" s="67"/>
      <c r="AJ96" s="209"/>
      <c r="AK96" s="209"/>
      <c r="AL96" s="190"/>
      <c r="AM96" s="190"/>
      <c r="AN96" s="189"/>
      <c r="AO96" s="189"/>
      <c r="AP96" s="189"/>
      <c r="AQ96" s="348"/>
      <c r="AR96" s="348"/>
      <c r="AS96" s="354"/>
      <c r="AT96" s="354"/>
      <c r="AU96" s="354"/>
      <c r="AV96" s="196"/>
      <c r="AW96" s="354"/>
      <c r="AX96" s="354"/>
      <c r="AY96" s="354"/>
      <c r="AZ96" s="354"/>
      <c r="BA96" s="354"/>
      <c r="BB96" s="354"/>
      <c r="BC96" s="354"/>
      <c r="BD96" s="354"/>
      <c r="BE96" s="354"/>
      <c r="BF96" s="354"/>
      <c r="BG96" s="354"/>
      <c r="BH96" s="354"/>
      <c r="BI96" s="354"/>
      <c r="BJ96" s="354"/>
      <c r="BK96" s="354"/>
      <c r="BL96" s="354"/>
      <c r="BM96" s="354"/>
      <c r="BN96" s="354"/>
      <c r="BO96" s="355">
        <v>0</v>
      </c>
      <c r="BP96" s="888">
        <v>0</v>
      </c>
      <c r="BQ96" s="354"/>
      <c r="BR96" s="354"/>
      <c r="BS96" s="354"/>
      <c r="BT96" s="354"/>
      <c r="BU96" s="354"/>
      <c r="BV96" s="354"/>
      <c r="BW96" s="355">
        <f t="shared" si="8"/>
        <v>0</v>
      </c>
      <c r="BY96" s="33">
        <f t="shared" si="9"/>
        <v>0</v>
      </c>
      <c r="BZ96" s="33">
        <f t="shared" si="6"/>
        <v>0</v>
      </c>
      <c r="CA96" s="33">
        <f t="shared" si="6"/>
        <v>0</v>
      </c>
      <c r="CB96" s="33">
        <f t="shared" si="6"/>
        <v>0</v>
      </c>
      <c r="CC96" s="33">
        <f t="shared" si="6"/>
        <v>0</v>
      </c>
      <c r="CD96" s="33">
        <f t="shared" si="6"/>
        <v>0</v>
      </c>
      <c r="CE96" s="33">
        <f t="shared" si="6"/>
        <v>0</v>
      </c>
      <c r="CF96" s="33">
        <f t="shared" si="6"/>
        <v>0</v>
      </c>
      <c r="CG96" s="58">
        <f t="shared" si="7"/>
        <v>0</v>
      </c>
    </row>
    <row r="97" spans="1:85">
      <c r="A97" s="198">
        <v>7062</v>
      </c>
      <c r="B97" s="2">
        <v>103632</v>
      </c>
      <c r="C97" s="2" t="s">
        <v>217</v>
      </c>
      <c r="D97" s="2" t="s">
        <v>218</v>
      </c>
      <c r="E97" s="2" t="s">
        <v>56</v>
      </c>
      <c r="F97" s="208" t="s">
        <v>890</v>
      </c>
      <c r="H97" s="880">
        <v>0</v>
      </c>
      <c r="I97" s="880"/>
      <c r="J97" s="880"/>
      <c r="K97" s="880">
        <v>8095</v>
      </c>
      <c r="L97" s="190">
        <v>0</v>
      </c>
      <c r="M97" s="190">
        <v>0</v>
      </c>
      <c r="N97" s="190">
        <v>0</v>
      </c>
      <c r="O97" s="190">
        <v>0</v>
      </c>
      <c r="P97" s="190">
        <v>0</v>
      </c>
      <c r="Q97" s="190">
        <v>0</v>
      </c>
      <c r="R97" s="190">
        <v>0</v>
      </c>
      <c r="S97" s="190">
        <v>0</v>
      </c>
      <c r="T97" s="209">
        <v>0</v>
      </c>
      <c r="U97" s="209"/>
      <c r="V97" s="209"/>
      <c r="W97" s="209"/>
      <c r="X97" s="190"/>
      <c r="Y97" s="190"/>
      <c r="Z97" s="190"/>
      <c r="AA97" s="190"/>
      <c r="AB97" s="190"/>
      <c r="AC97" s="190"/>
      <c r="AD97" s="190"/>
      <c r="AE97" s="190"/>
      <c r="AF97" s="209"/>
      <c r="AG97" s="209"/>
      <c r="AH97" s="209"/>
      <c r="AI97" s="67"/>
      <c r="AJ97" s="209"/>
      <c r="AK97" s="209"/>
      <c r="AL97" s="190"/>
      <c r="AM97" s="190"/>
      <c r="AN97" s="189"/>
      <c r="AO97" s="189"/>
      <c r="AP97" s="189"/>
      <c r="AQ97" s="348"/>
      <c r="AR97" s="348"/>
      <c r="AS97" s="354"/>
      <c r="AT97" s="354"/>
      <c r="AU97" s="354"/>
      <c r="AV97" s="196"/>
      <c r="AW97" s="354"/>
      <c r="AX97" s="354"/>
      <c r="AY97" s="354"/>
      <c r="AZ97" s="354"/>
      <c r="BA97" s="354"/>
      <c r="BB97" s="354"/>
      <c r="BC97" s="354"/>
      <c r="BD97" s="354"/>
      <c r="BE97" s="354"/>
      <c r="BF97" s="354"/>
      <c r="BG97" s="354"/>
      <c r="BH97" s="354"/>
      <c r="BI97" s="354"/>
      <c r="BJ97" s="354"/>
      <c r="BK97" s="354"/>
      <c r="BL97" s="354"/>
      <c r="BM97" s="354"/>
      <c r="BN97" s="354"/>
      <c r="BO97" s="355">
        <v>6208.05</v>
      </c>
      <c r="BP97" s="888">
        <v>-55.07</v>
      </c>
      <c r="BQ97" s="354"/>
      <c r="BR97" s="354"/>
      <c r="BS97" s="354"/>
      <c r="BT97" s="354"/>
      <c r="BU97" s="354"/>
      <c r="BV97" s="354"/>
      <c r="BW97" s="355">
        <f t="shared" si="8"/>
        <v>14247.98</v>
      </c>
      <c r="BY97" s="33">
        <f t="shared" si="9"/>
        <v>0</v>
      </c>
      <c r="BZ97" s="33">
        <f t="shared" si="6"/>
        <v>0</v>
      </c>
      <c r="CA97" s="33">
        <f t="shared" si="6"/>
        <v>0</v>
      </c>
      <c r="CB97" s="33">
        <f t="shared" si="6"/>
        <v>0</v>
      </c>
      <c r="CC97" s="33">
        <f t="shared" si="6"/>
        <v>8095</v>
      </c>
      <c r="CD97" s="33">
        <f t="shared" si="6"/>
        <v>6208.05</v>
      </c>
      <c r="CE97" s="33">
        <f t="shared" si="6"/>
        <v>0</v>
      </c>
      <c r="CF97" s="33">
        <f t="shared" si="6"/>
        <v>-55.07</v>
      </c>
      <c r="CG97" s="58">
        <f t="shared" si="7"/>
        <v>14303.05</v>
      </c>
    </row>
    <row r="98" spans="1:85">
      <c r="A98" s="198">
        <v>2462</v>
      </c>
      <c r="B98" s="2">
        <v>103388</v>
      </c>
      <c r="C98" s="2" t="s">
        <v>219</v>
      </c>
      <c r="D98" s="2" t="s">
        <v>220</v>
      </c>
      <c r="E98" s="2" t="s">
        <v>39</v>
      </c>
      <c r="F98" s="208" t="s">
        <v>890</v>
      </c>
      <c r="H98" s="880">
        <v>0</v>
      </c>
      <c r="I98" s="880"/>
      <c r="J98" s="880"/>
      <c r="K98" s="880">
        <v>9810</v>
      </c>
      <c r="L98" s="190">
        <v>0</v>
      </c>
      <c r="M98" s="190">
        <v>0</v>
      </c>
      <c r="N98" s="190">
        <v>0</v>
      </c>
      <c r="O98" s="190">
        <v>0</v>
      </c>
      <c r="P98" s="190">
        <v>0</v>
      </c>
      <c r="Q98" s="190">
        <v>0</v>
      </c>
      <c r="R98" s="190">
        <v>0</v>
      </c>
      <c r="S98" s="190">
        <v>0</v>
      </c>
      <c r="T98" s="209">
        <v>0</v>
      </c>
      <c r="U98" s="209"/>
      <c r="V98" s="209"/>
      <c r="W98" s="209"/>
      <c r="X98" s="190"/>
      <c r="Y98" s="190"/>
      <c r="Z98" s="190"/>
      <c r="AA98" s="190"/>
      <c r="AB98" s="190"/>
      <c r="AC98" s="190"/>
      <c r="AD98" s="190"/>
      <c r="AE98" s="190"/>
      <c r="AF98" s="209"/>
      <c r="AG98" s="209"/>
      <c r="AH98" s="209"/>
      <c r="AI98" s="67"/>
      <c r="AJ98" s="209"/>
      <c r="AK98" s="209"/>
      <c r="AL98" s="190"/>
      <c r="AM98" s="190"/>
      <c r="AN98" s="189"/>
      <c r="AO98" s="189"/>
      <c r="AP98" s="189"/>
      <c r="AQ98" s="348"/>
      <c r="AR98" s="348"/>
      <c r="AS98" s="354"/>
      <c r="AT98" s="354"/>
      <c r="AU98" s="354"/>
      <c r="AV98" s="196"/>
      <c r="AW98" s="354"/>
      <c r="AX98" s="354"/>
      <c r="AY98" s="354"/>
      <c r="AZ98" s="354"/>
      <c r="BA98" s="354"/>
      <c r="BB98" s="354"/>
      <c r="BC98" s="354"/>
      <c r="BD98" s="354"/>
      <c r="BE98" s="354"/>
      <c r="BF98" s="354"/>
      <c r="BG98" s="354"/>
      <c r="BH98" s="354"/>
      <c r="BI98" s="354"/>
      <c r="BJ98" s="354"/>
      <c r="BK98" s="354"/>
      <c r="BL98" s="354"/>
      <c r="BM98" s="354"/>
      <c r="BN98" s="354"/>
      <c r="BO98" s="355">
        <v>0</v>
      </c>
      <c r="BP98" s="888">
        <v>0</v>
      </c>
      <c r="BQ98" s="354"/>
      <c r="BR98" s="354"/>
      <c r="BS98" s="354"/>
      <c r="BT98" s="354"/>
      <c r="BU98" s="354"/>
      <c r="BV98" s="354"/>
      <c r="BW98" s="355">
        <f t="shared" si="8"/>
        <v>9810</v>
      </c>
      <c r="BY98" s="33">
        <f t="shared" si="9"/>
        <v>0</v>
      </c>
      <c r="BZ98" s="33">
        <f t="shared" si="6"/>
        <v>0</v>
      </c>
      <c r="CA98" s="33">
        <f t="shared" si="6"/>
        <v>0</v>
      </c>
      <c r="CB98" s="33">
        <f t="shared" si="6"/>
        <v>0</v>
      </c>
      <c r="CC98" s="33">
        <f t="shared" si="6"/>
        <v>9810</v>
      </c>
      <c r="CD98" s="33">
        <f t="shared" si="6"/>
        <v>0</v>
      </c>
      <c r="CE98" s="33">
        <f t="shared" si="6"/>
        <v>0</v>
      </c>
      <c r="CF98" s="33">
        <f t="shared" si="6"/>
        <v>0</v>
      </c>
      <c r="CG98" s="58">
        <f t="shared" si="7"/>
        <v>9810</v>
      </c>
    </row>
    <row r="99" spans="1:85">
      <c r="A99" s="198">
        <v>7012</v>
      </c>
      <c r="B99" s="2">
        <v>103603</v>
      </c>
      <c r="C99" s="2" t="s">
        <v>221</v>
      </c>
      <c r="D99" s="2" t="s">
        <v>222</v>
      </c>
      <c r="E99" s="2" t="s">
        <v>56</v>
      </c>
      <c r="F99" s="208" t="s">
        <v>890</v>
      </c>
      <c r="H99" s="880">
        <v>0</v>
      </c>
      <c r="I99" s="880"/>
      <c r="J99" s="880"/>
      <c r="K99" s="880">
        <v>8225</v>
      </c>
      <c r="L99" s="190">
        <v>0</v>
      </c>
      <c r="M99" s="190">
        <v>0</v>
      </c>
      <c r="N99" s="190">
        <v>0</v>
      </c>
      <c r="O99" s="190">
        <v>0</v>
      </c>
      <c r="P99" s="190">
        <v>0</v>
      </c>
      <c r="Q99" s="190">
        <v>0</v>
      </c>
      <c r="R99" s="190">
        <v>0</v>
      </c>
      <c r="S99" s="190">
        <v>0</v>
      </c>
      <c r="T99" s="209">
        <v>0</v>
      </c>
      <c r="U99" s="209"/>
      <c r="V99" s="209"/>
      <c r="W99" s="209"/>
      <c r="X99" s="190"/>
      <c r="Y99" s="190"/>
      <c r="Z99" s="190"/>
      <c r="AA99" s="190"/>
      <c r="AB99" s="190"/>
      <c r="AC99" s="190"/>
      <c r="AD99" s="190"/>
      <c r="AE99" s="190"/>
      <c r="AF99" s="209"/>
      <c r="AG99" s="209"/>
      <c r="AH99" s="209"/>
      <c r="AI99" s="67"/>
      <c r="AJ99" s="209"/>
      <c r="AK99" s="209"/>
      <c r="AL99" s="190"/>
      <c r="AM99" s="190"/>
      <c r="AN99" s="189"/>
      <c r="AO99" s="189"/>
      <c r="AP99" s="189"/>
      <c r="AQ99" s="348"/>
      <c r="AR99" s="348"/>
      <c r="AS99" s="354"/>
      <c r="AT99" s="354"/>
      <c r="AU99" s="354"/>
      <c r="AV99" s="196"/>
      <c r="AW99" s="354"/>
      <c r="AX99" s="354"/>
      <c r="AY99" s="354"/>
      <c r="AZ99" s="354"/>
      <c r="BA99" s="354"/>
      <c r="BB99" s="354"/>
      <c r="BC99" s="354"/>
      <c r="BD99" s="354"/>
      <c r="BE99" s="354"/>
      <c r="BF99" s="354"/>
      <c r="BG99" s="354"/>
      <c r="BH99" s="354"/>
      <c r="BI99" s="354"/>
      <c r="BJ99" s="354"/>
      <c r="BK99" s="354"/>
      <c r="BL99" s="354"/>
      <c r="BM99" s="354"/>
      <c r="BN99" s="354"/>
      <c r="BO99" s="355">
        <v>0</v>
      </c>
      <c r="BP99" s="888">
        <v>-40.130000000000003</v>
      </c>
      <c r="BQ99" s="354"/>
      <c r="BR99" s="354"/>
      <c r="BS99" s="354"/>
      <c r="BT99" s="354"/>
      <c r="BU99" s="354"/>
      <c r="BV99" s="354"/>
      <c r="BW99" s="355">
        <f t="shared" si="8"/>
        <v>8184.87</v>
      </c>
      <c r="BY99" s="33">
        <f t="shared" si="9"/>
        <v>0</v>
      </c>
      <c r="BZ99" s="33">
        <f t="shared" si="6"/>
        <v>0</v>
      </c>
      <c r="CA99" s="33">
        <f t="shared" si="6"/>
        <v>0</v>
      </c>
      <c r="CB99" s="33">
        <f t="shared" si="6"/>
        <v>0</v>
      </c>
      <c r="CC99" s="33">
        <f t="shared" si="6"/>
        <v>8225</v>
      </c>
      <c r="CD99" s="33">
        <f t="shared" si="6"/>
        <v>0</v>
      </c>
      <c r="CE99" s="33">
        <f t="shared" si="6"/>
        <v>0</v>
      </c>
      <c r="CF99" s="33">
        <f t="shared" si="6"/>
        <v>-40.130000000000003</v>
      </c>
      <c r="CG99" s="58">
        <f t="shared" si="7"/>
        <v>8225</v>
      </c>
    </row>
    <row r="100" spans="1:85">
      <c r="A100" s="198">
        <v>2127</v>
      </c>
      <c r="B100" s="2">
        <v>103227</v>
      </c>
      <c r="C100" s="2" t="s">
        <v>223</v>
      </c>
      <c r="D100" s="2" t="s">
        <v>224</v>
      </c>
      <c r="E100" s="2" t="s">
        <v>39</v>
      </c>
      <c r="F100" s="208" t="s">
        <v>890</v>
      </c>
      <c r="H100" s="880">
        <v>0</v>
      </c>
      <c r="I100" s="880"/>
      <c r="J100" s="880"/>
      <c r="K100" s="880">
        <v>9790</v>
      </c>
      <c r="L100" s="190">
        <v>0</v>
      </c>
      <c r="M100" s="190">
        <v>0</v>
      </c>
      <c r="N100" s="190">
        <v>0</v>
      </c>
      <c r="O100" s="190">
        <v>0</v>
      </c>
      <c r="P100" s="190">
        <v>0</v>
      </c>
      <c r="Q100" s="190">
        <v>0</v>
      </c>
      <c r="R100" s="190">
        <v>0</v>
      </c>
      <c r="S100" s="190">
        <v>0</v>
      </c>
      <c r="T100" s="209">
        <v>9073.18</v>
      </c>
      <c r="U100" s="209"/>
      <c r="V100" s="209"/>
      <c r="W100" s="209"/>
      <c r="X100" s="190"/>
      <c r="Y100" s="190"/>
      <c r="Z100" s="190"/>
      <c r="AA100" s="190"/>
      <c r="AB100" s="190"/>
      <c r="AC100" s="190"/>
      <c r="AD100" s="190"/>
      <c r="AE100" s="190"/>
      <c r="AF100" s="209"/>
      <c r="AG100" s="209"/>
      <c r="AH100" s="209"/>
      <c r="AI100" s="67"/>
      <c r="AJ100" s="209"/>
      <c r="AK100" s="209"/>
      <c r="AL100" s="190"/>
      <c r="AM100" s="190"/>
      <c r="AN100" s="189"/>
      <c r="AO100" s="189"/>
      <c r="AP100" s="189"/>
      <c r="AQ100" s="348"/>
      <c r="AR100" s="348"/>
      <c r="AS100" s="354"/>
      <c r="AT100" s="354"/>
      <c r="AU100" s="354"/>
      <c r="AV100" s="196"/>
      <c r="AW100" s="354"/>
      <c r="AX100" s="354"/>
      <c r="AY100" s="354"/>
      <c r="AZ100" s="354"/>
      <c r="BA100" s="354"/>
      <c r="BB100" s="354"/>
      <c r="BC100" s="354"/>
      <c r="BD100" s="354"/>
      <c r="BE100" s="354"/>
      <c r="BF100" s="354"/>
      <c r="BG100" s="354"/>
      <c r="BH100" s="354"/>
      <c r="BI100" s="354"/>
      <c r="BJ100" s="354"/>
      <c r="BK100" s="354"/>
      <c r="BL100" s="354"/>
      <c r="BM100" s="354"/>
      <c r="BN100" s="354"/>
      <c r="BO100" s="355">
        <v>0</v>
      </c>
      <c r="BP100" s="888">
        <v>0</v>
      </c>
      <c r="BQ100" s="354"/>
      <c r="BR100" s="354"/>
      <c r="BS100" s="354"/>
      <c r="BT100" s="354"/>
      <c r="BU100" s="354"/>
      <c r="BV100" s="354"/>
      <c r="BW100" s="355">
        <f t="shared" si="8"/>
        <v>18863.18</v>
      </c>
      <c r="BY100" s="33">
        <f t="shared" si="9"/>
        <v>0</v>
      </c>
      <c r="BZ100" s="33">
        <f t="shared" si="6"/>
        <v>0</v>
      </c>
      <c r="CA100" s="33">
        <f t="shared" si="6"/>
        <v>0</v>
      </c>
      <c r="CB100" s="33">
        <f t="shared" si="6"/>
        <v>0</v>
      </c>
      <c r="CC100" s="33">
        <f t="shared" si="6"/>
        <v>18863.18</v>
      </c>
      <c r="CD100" s="33">
        <f t="shared" si="6"/>
        <v>0</v>
      </c>
      <c r="CE100" s="33">
        <f t="shared" si="6"/>
        <v>0</v>
      </c>
      <c r="CF100" s="33">
        <f t="shared" si="6"/>
        <v>0</v>
      </c>
      <c r="CG100" s="58">
        <f t="shared" si="7"/>
        <v>18863.18</v>
      </c>
    </row>
    <row r="101" spans="1:85">
      <c r="A101" s="198">
        <v>2129</v>
      </c>
      <c r="B101" s="2">
        <v>103229</v>
      </c>
      <c r="C101" s="2" t="s">
        <v>225</v>
      </c>
      <c r="D101" s="2" t="s">
        <v>226</v>
      </c>
      <c r="E101" s="2" t="s">
        <v>39</v>
      </c>
      <c r="F101" s="208" t="s">
        <v>890</v>
      </c>
      <c r="H101" s="880">
        <v>2011</v>
      </c>
      <c r="I101" s="880"/>
      <c r="J101" s="880"/>
      <c r="K101" s="880">
        <v>8850</v>
      </c>
      <c r="L101" s="190">
        <v>0</v>
      </c>
      <c r="M101" s="190">
        <v>0</v>
      </c>
      <c r="N101" s="190">
        <v>0</v>
      </c>
      <c r="O101" s="190">
        <v>0</v>
      </c>
      <c r="P101" s="190">
        <v>0</v>
      </c>
      <c r="Q101" s="190">
        <v>0</v>
      </c>
      <c r="R101" s="190">
        <v>0</v>
      </c>
      <c r="S101" s="190">
        <v>0</v>
      </c>
      <c r="T101" s="209">
        <v>0</v>
      </c>
      <c r="U101" s="209"/>
      <c r="V101" s="209"/>
      <c r="W101" s="209"/>
      <c r="X101" s="190"/>
      <c r="Y101" s="190"/>
      <c r="Z101" s="190"/>
      <c r="AA101" s="190"/>
      <c r="AB101" s="190"/>
      <c r="AC101" s="190"/>
      <c r="AD101" s="190"/>
      <c r="AE101" s="190"/>
      <c r="AF101" s="209"/>
      <c r="AG101" s="209"/>
      <c r="AH101" s="209"/>
      <c r="AI101" s="67"/>
      <c r="AJ101" s="209"/>
      <c r="AK101" s="209"/>
      <c r="AL101" s="190"/>
      <c r="AM101" s="190"/>
      <c r="AN101" s="189"/>
      <c r="AO101" s="189"/>
      <c r="AP101" s="189"/>
      <c r="AQ101" s="348"/>
      <c r="AR101" s="348"/>
      <c r="AS101" s="354"/>
      <c r="AT101" s="354"/>
      <c r="AU101" s="354"/>
      <c r="AV101" s="196"/>
      <c r="AW101" s="354"/>
      <c r="AX101" s="354"/>
      <c r="AY101" s="354"/>
      <c r="AZ101" s="354"/>
      <c r="BA101" s="354"/>
      <c r="BB101" s="354"/>
      <c r="BC101" s="354"/>
      <c r="BD101" s="354"/>
      <c r="BE101" s="354"/>
      <c r="BF101" s="354"/>
      <c r="BG101" s="354"/>
      <c r="BH101" s="354"/>
      <c r="BI101" s="354"/>
      <c r="BJ101" s="354"/>
      <c r="BK101" s="354"/>
      <c r="BL101" s="354"/>
      <c r="BM101" s="354"/>
      <c r="BN101" s="354"/>
      <c r="BO101" s="355">
        <v>0</v>
      </c>
      <c r="BP101" s="888">
        <v>0</v>
      </c>
      <c r="BQ101" s="354"/>
      <c r="BR101" s="354"/>
      <c r="BS101" s="354"/>
      <c r="BT101" s="354"/>
      <c r="BU101" s="354"/>
      <c r="BV101" s="354"/>
      <c r="BW101" s="355">
        <f t="shared" si="8"/>
        <v>10861</v>
      </c>
      <c r="BY101" s="33">
        <f t="shared" si="9"/>
        <v>2011</v>
      </c>
      <c r="BZ101" s="33">
        <f t="shared" si="6"/>
        <v>0</v>
      </c>
      <c r="CA101" s="33">
        <f t="shared" si="6"/>
        <v>0</v>
      </c>
      <c r="CB101" s="33">
        <f t="shared" si="6"/>
        <v>0</v>
      </c>
      <c r="CC101" s="33">
        <f t="shared" si="6"/>
        <v>8850</v>
      </c>
      <c r="CD101" s="33">
        <f t="shared" si="6"/>
        <v>0</v>
      </c>
      <c r="CE101" s="33">
        <f t="shared" si="6"/>
        <v>0</v>
      </c>
      <c r="CF101" s="33">
        <f t="shared" si="6"/>
        <v>0</v>
      </c>
      <c r="CG101" s="58">
        <f t="shared" si="7"/>
        <v>10861</v>
      </c>
    </row>
    <row r="102" spans="1:85">
      <c r="A102" s="198">
        <v>2128</v>
      </c>
      <c r="B102" s="2">
        <v>103228</v>
      </c>
      <c r="C102" s="2" t="s">
        <v>227</v>
      </c>
      <c r="D102" s="2" t="s">
        <v>228</v>
      </c>
      <c r="E102" s="2" t="s">
        <v>39</v>
      </c>
      <c r="F102" s="208" t="s">
        <v>890</v>
      </c>
      <c r="H102" s="880">
        <v>2011</v>
      </c>
      <c r="I102" s="880"/>
      <c r="J102" s="880"/>
      <c r="K102" s="880">
        <v>9830</v>
      </c>
      <c r="L102" s="190">
        <v>0</v>
      </c>
      <c r="M102" s="190">
        <v>0</v>
      </c>
      <c r="N102" s="190">
        <v>0</v>
      </c>
      <c r="O102" s="190">
        <v>0</v>
      </c>
      <c r="P102" s="190">
        <v>0</v>
      </c>
      <c r="Q102" s="190">
        <v>0</v>
      </c>
      <c r="R102" s="190">
        <v>0</v>
      </c>
      <c r="S102" s="190">
        <v>0</v>
      </c>
      <c r="T102" s="209">
        <v>0</v>
      </c>
      <c r="U102" s="209"/>
      <c r="V102" s="209"/>
      <c r="W102" s="209"/>
      <c r="X102" s="190"/>
      <c r="Y102" s="190"/>
      <c r="Z102" s="190"/>
      <c r="AA102" s="190"/>
      <c r="AB102" s="190"/>
      <c r="AC102" s="190"/>
      <c r="AD102" s="190"/>
      <c r="AE102" s="190"/>
      <c r="AF102" s="209"/>
      <c r="AG102" s="209"/>
      <c r="AH102" s="209"/>
      <c r="AI102" s="67"/>
      <c r="AJ102" s="209"/>
      <c r="AK102" s="209"/>
      <c r="AL102" s="190"/>
      <c r="AM102" s="190"/>
      <c r="AN102" s="189"/>
      <c r="AO102" s="189"/>
      <c r="AP102" s="189"/>
      <c r="AQ102" s="348"/>
      <c r="AR102" s="348"/>
      <c r="AS102" s="354"/>
      <c r="AT102" s="354"/>
      <c r="AU102" s="354"/>
      <c r="AV102" s="196"/>
      <c r="AW102" s="354"/>
      <c r="AX102" s="354"/>
      <c r="AY102" s="354"/>
      <c r="AZ102" s="354"/>
      <c r="BA102" s="354"/>
      <c r="BB102" s="354"/>
      <c r="BC102" s="354"/>
      <c r="BD102" s="354"/>
      <c r="BE102" s="354"/>
      <c r="BF102" s="354"/>
      <c r="BG102" s="354"/>
      <c r="BH102" s="354"/>
      <c r="BI102" s="354"/>
      <c r="BJ102" s="354"/>
      <c r="BK102" s="354"/>
      <c r="BL102" s="354"/>
      <c r="BM102" s="354"/>
      <c r="BN102" s="354"/>
      <c r="BO102" s="355">
        <v>0</v>
      </c>
      <c r="BP102" s="888">
        <v>0</v>
      </c>
      <c r="BQ102" s="354"/>
      <c r="BR102" s="354"/>
      <c r="BS102" s="354"/>
      <c r="BT102" s="354"/>
      <c r="BU102" s="354"/>
      <c r="BV102" s="354"/>
      <c r="BW102" s="355">
        <f t="shared" si="8"/>
        <v>11841</v>
      </c>
      <c r="BY102" s="33">
        <f t="shared" si="9"/>
        <v>2011</v>
      </c>
      <c r="BZ102" s="33">
        <f t="shared" si="6"/>
        <v>0</v>
      </c>
      <c r="CA102" s="33">
        <f t="shared" si="6"/>
        <v>0</v>
      </c>
      <c r="CB102" s="33">
        <f t="shared" si="6"/>
        <v>0</v>
      </c>
      <c r="CC102" s="33">
        <f t="shared" si="6"/>
        <v>9830</v>
      </c>
      <c r="CD102" s="33">
        <f t="shared" si="6"/>
        <v>0</v>
      </c>
      <c r="CE102" s="33">
        <f t="shared" si="6"/>
        <v>0</v>
      </c>
      <c r="CF102" s="33">
        <f t="shared" si="6"/>
        <v>0</v>
      </c>
      <c r="CG102" s="58">
        <f t="shared" si="7"/>
        <v>11841</v>
      </c>
    </row>
    <row r="103" spans="1:85">
      <c r="A103" s="198">
        <v>2420</v>
      </c>
      <c r="B103" s="2">
        <v>103353</v>
      </c>
      <c r="C103" s="2" t="s">
        <v>229</v>
      </c>
      <c r="D103" s="2" t="s">
        <v>230</v>
      </c>
      <c r="E103" s="2" t="s">
        <v>39</v>
      </c>
      <c r="F103" s="208" t="s">
        <v>890</v>
      </c>
      <c r="H103" s="880">
        <v>0</v>
      </c>
      <c r="I103" s="880"/>
      <c r="J103" s="880"/>
      <c r="K103" s="880">
        <v>9805</v>
      </c>
      <c r="L103" s="190">
        <v>0</v>
      </c>
      <c r="M103" s="190">
        <v>0</v>
      </c>
      <c r="N103" s="190">
        <v>0</v>
      </c>
      <c r="O103" s="190">
        <v>0</v>
      </c>
      <c r="P103" s="190">
        <v>0</v>
      </c>
      <c r="Q103" s="190">
        <v>0</v>
      </c>
      <c r="R103" s="190">
        <v>0</v>
      </c>
      <c r="S103" s="190">
        <v>0</v>
      </c>
      <c r="T103" s="209">
        <v>0</v>
      </c>
      <c r="U103" s="209"/>
      <c r="V103" s="209"/>
      <c r="W103" s="209"/>
      <c r="X103" s="190"/>
      <c r="Y103" s="190"/>
      <c r="Z103" s="190"/>
      <c r="AA103" s="190"/>
      <c r="AB103" s="190"/>
      <c r="AC103" s="190"/>
      <c r="AD103" s="190"/>
      <c r="AE103" s="190"/>
      <c r="AF103" s="209"/>
      <c r="AG103" s="209"/>
      <c r="AH103" s="209"/>
      <c r="AI103" s="67"/>
      <c r="AJ103" s="209"/>
      <c r="AK103" s="209"/>
      <c r="AL103" s="190"/>
      <c r="AM103" s="190"/>
      <c r="AN103" s="189"/>
      <c r="AO103" s="189"/>
      <c r="AP103" s="189"/>
      <c r="AQ103" s="348"/>
      <c r="AR103" s="348"/>
      <c r="AS103" s="354"/>
      <c r="AT103" s="354"/>
      <c r="AU103" s="354"/>
      <c r="AV103" s="196"/>
      <c r="AW103" s="354"/>
      <c r="AX103" s="354"/>
      <c r="AY103" s="354"/>
      <c r="AZ103" s="354"/>
      <c r="BA103" s="354"/>
      <c r="BB103" s="354"/>
      <c r="BC103" s="354"/>
      <c r="BD103" s="354"/>
      <c r="BE103" s="354"/>
      <c r="BF103" s="354"/>
      <c r="BG103" s="354"/>
      <c r="BH103" s="354"/>
      <c r="BI103" s="354"/>
      <c r="BJ103" s="354"/>
      <c r="BK103" s="354"/>
      <c r="BL103" s="354"/>
      <c r="BM103" s="354"/>
      <c r="BN103" s="354"/>
      <c r="BO103" s="355">
        <v>1737.3</v>
      </c>
      <c r="BP103" s="888">
        <v>-4.5999999999999996</v>
      </c>
      <c r="BQ103" s="354"/>
      <c r="BR103" s="354"/>
      <c r="BS103" s="354"/>
      <c r="BT103" s="354"/>
      <c r="BU103" s="354"/>
      <c r="BV103" s="354"/>
      <c r="BW103" s="355">
        <f t="shared" si="8"/>
        <v>11537.699999999999</v>
      </c>
      <c r="BY103" s="33">
        <f t="shared" si="9"/>
        <v>0</v>
      </c>
      <c r="BZ103" s="33">
        <f t="shared" si="6"/>
        <v>0</v>
      </c>
      <c r="CA103" s="33">
        <f t="shared" si="6"/>
        <v>0</v>
      </c>
      <c r="CB103" s="33">
        <f t="shared" si="6"/>
        <v>0</v>
      </c>
      <c r="CC103" s="33">
        <f t="shared" si="6"/>
        <v>9805</v>
      </c>
      <c r="CD103" s="33">
        <f t="shared" si="6"/>
        <v>1737.3</v>
      </c>
      <c r="CE103" s="33">
        <f t="shared" si="6"/>
        <v>0</v>
      </c>
      <c r="CF103" s="33">
        <f t="shared" si="6"/>
        <v>-4.5999999999999996</v>
      </c>
      <c r="CG103" s="58">
        <f t="shared" si="7"/>
        <v>11542.3</v>
      </c>
    </row>
    <row r="104" spans="1:85">
      <c r="A104" s="198">
        <v>2004</v>
      </c>
      <c r="B104" s="2">
        <v>134094</v>
      </c>
      <c r="C104" s="2" t="s">
        <v>231</v>
      </c>
      <c r="D104" s="2" t="s">
        <v>232</v>
      </c>
      <c r="E104" s="2" t="s">
        <v>39</v>
      </c>
      <c r="F104" s="208" t="s">
        <v>890</v>
      </c>
      <c r="H104" s="880">
        <v>0</v>
      </c>
      <c r="I104" s="880"/>
      <c r="J104" s="880"/>
      <c r="K104" s="880">
        <v>9270</v>
      </c>
      <c r="L104" s="190">
        <v>0</v>
      </c>
      <c r="M104" s="190">
        <v>0</v>
      </c>
      <c r="N104" s="190">
        <v>0</v>
      </c>
      <c r="O104" s="190">
        <v>0</v>
      </c>
      <c r="P104" s="190">
        <v>0</v>
      </c>
      <c r="Q104" s="190">
        <v>0</v>
      </c>
      <c r="R104" s="190">
        <v>0</v>
      </c>
      <c r="S104" s="190">
        <v>0</v>
      </c>
      <c r="T104" s="209">
        <v>6801.49</v>
      </c>
      <c r="U104" s="209"/>
      <c r="V104" s="209"/>
      <c r="W104" s="209"/>
      <c r="X104" s="190"/>
      <c r="Y104" s="190"/>
      <c r="Z104" s="190"/>
      <c r="AA104" s="190"/>
      <c r="AB104" s="190"/>
      <c r="AC104" s="190"/>
      <c r="AD104" s="190"/>
      <c r="AE104" s="190"/>
      <c r="AF104" s="209"/>
      <c r="AG104" s="209"/>
      <c r="AH104" s="209"/>
      <c r="AI104" s="67"/>
      <c r="AJ104" s="209"/>
      <c r="AK104" s="209"/>
      <c r="AL104" s="190"/>
      <c r="AM104" s="190"/>
      <c r="AN104" s="189"/>
      <c r="AO104" s="189"/>
      <c r="AP104" s="189"/>
      <c r="AQ104" s="348"/>
      <c r="AR104" s="348"/>
      <c r="AS104" s="354"/>
      <c r="AT104" s="354"/>
      <c r="AU104" s="354"/>
      <c r="AV104" s="196"/>
      <c r="AW104" s="354"/>
      <c r="AX104" s="354"/>
      <c r="AY104" s="354"/>
      <c r="AZ104" s="354"/>
      <c r="BA104" s="354"/>
      <c r="BB104" s="354"/>
      <c r="BC104" s="354"/>
      <c r="BD104" s="354"/>
      <c r="BE104" s="354"/>
      <c r="BF104" s="354"/>
      <c r="BG104" s="354"/>
      <c r="BH104" s="354"/>
      <c r="BI104" s="354"/>
      <c r="BJ104" s="354"/>
      <c r="BK104" s="354"/>
      <c r="BL104" s="354"/>
      <c r="BM104" s="354"/>
      <c r="BN104" s="354"/>
      <c r="BO104" s="355">
        <v>882.49</v>
      </c>
      <c r="BP104" s="888">
        <v>-64.25</v>
      </c>
      <c r="BQ104" s="354"/>
      <c r="BR104" s="354"/>
      <c r="BS104" s="354"/>
      <c r="BT104" s="354"/>
      <c r="BU104" s="354"/>
      <c r="BV104" s="354"/>
      <c r="BW104" s="355">
        <f t="shared" si="8"/>
        <v>16889.73</v>
      </c>
      <c r="BY104" s="33">
        <f t="shared" si="9"/>
        <v>0</v>
      </c>
      <c r="BZ104" s="33">
        <f t="shared" si="6"/>
        <v>0</v>
      </c>
      <c r="CA104" s="33">
        <f t="shared" si="6"/>
        <v>0</v>
      </c>
      <c r="CB104" s="33">
        <f t="shared" si="6"/>
        <v>0</v>
      </c>
      <c r="CC104" s="33">
        <f t="shared" si="6"/>
        <v>16071.49</v>
      </c>
      <c r="CD104" s="33">
        <f t="shared" si="6"/>
        <v>882.49</v>
      </c>
      <c r="CE104" s="33">
        <f t="shared" si="6"/>
        <v>0</v>
      </c>
      <c r="CF104" s="33">
        <f t="shared" si="6"/>
        <v>-64.25</v>
      </c>
      <c r="CG104" s="58">
        <f t="shared" ref="CG104:CG135" si="10">SUM(BY104:CE104)-AV104</f>
        <v>16953.98</v>
      </c>
    </row>
    <row r="105" spans="1:85">
      <c r="A105" s="198">
        <v>1012</v>
      </c>
      <c r="B105" s="2">
        <v>103126</v>
      </c>
      <c r="C105" s="2" t="s">
        <v>233</v>
      </c>
      <c r="D105" s="2" t="s">
        <v>234</v>
      </c>
      <c r="E105" s="2" t="s">
        <v>36</v>
      </c>
      <c r="F105" s="208" t="s">
        <v>890</v>
      </c>
      <c r="H105" s="880">
        <v>0</v>
      </c>
      <c r="I105" s="880"/>
      <c r="J105" s="880"/>
      <c r="K105" s="880">
        <v>0</v>
      </c>
      <c r="L105" s="190">
        <v>0</v>
      </c>
      <c r="M105" s="190">
        <v>0</v>
      </c>
      <c r="N105" s="190">
        <v>0</v>
      </c>
      <c r="O105" s="190">
        <v>0</v>
      </c>
      <c r="P105" s="190">
        <v>0</v>
      </c>
      <c r="Q105" s="190">
        <v>0</v>
      </c>
      <c r="R105" s="190">
        <v>0</v>
      </c>
      <c r="S105" s="190">
        <v>0</v>
      </c>
      <c r="T105" s="209">
        <v>0</v>
      </c>
      <c r="U105" s="209"/>
      <c r="V105" s="209"/>
      <c r="W105" s="209"/>
      <c r="X105" s="190"/>
      <c r="Y105" s="190"/>
      <c r="Z105" s="190"/>
      <c r="AA105" s="190"/>
      <c r="AB105" s="190"/>
      <c r="AC105" s="190"/>
      <c r="AD105" s="190"/>
      <c r="AE105" s="190"/>
      <c r="AF105" s="209"/>
      <c r="AG105" s="209"/>
      <c r="AH105" s="209"/>
      <c r="AI105" s="67"/>
      <c r="AJ105" s="209"/>
      <c r="AK105" s="209"/>
      <c r="AL105" s="190"/>
      <c r="AM105" s="190"/>
      <c r="AN105" s="189"/>
      <c r="AO105" s="189"/>
      <c r="AP105" s="189"/>
      <c r="AQ105" s="348"/>
      <c r="AR105" s="348"/>
      <c r="AS105" s="354"/>
      <c r="AT105" s="354"/>
      <c r="AU105" s="354"/>
      <c r="AV105" s="196"/>
      <c r="AW105" s="354"/>
      <c r="AX105" s="354"/>
      <c r="AY105" s="354"/>
      <c r="AZ105" s="354"/>
      <c r="BA105" s="354"/>
      <c r="BB105" s="354"/>
      <c r="BC105" s="354"/>
      <c r="BD105" s="354"/>
      <c r="BE105" s="354"/>
      <c r="BF105" s="354"/>
      <c r="BG105" s="354"/>
      <c r="BH105" s="354"/>
      <c r="BI105" s="354"/>
      <c r="BJ105" s="354"/>
      <c r="BK105" s="354"/>
      <c r="BL105" s="354"/>
      <c r="BM105" s="354"/>
      <c r="BN105" s="354"/>
      <c r="BO105" s="355">
        <v>2341.9299999999998</v>
      </c>
      <c r="BP105" s="888">
        <v>-38.25</v>
      </c>
      <c r="BQ105" s="354"/>
      <c r="BR105" s="354"/>
      <c r="BS105" s="354"/>
      <c r="BT105" s="354"/>
      <c r="BU105" s="354"/>
      <c r="BV105" s="354"/>
      <c r="BW105" s="355">
        <f t="shared" si="8"/>
        <v>2303.6799999999998</v>
      </c>
      <c r="BY105" s="33">
        <f t="shared" si="9"/>
        <v>0</v>
      </c>
      <c r="BZ105" s="33">
        <f t="shared" si="6"/>
        <v>0</v>
      </c>
      <c r="CA105" s="33">
        <f t="shared" si="6"/>
        <v>0</v>
      </c>
      <c r="CB105" s="33">
        <f t="shared" si="6"/>
        <v>0</v>
      </c>
      <c r="CC105" s="33">
        <f t="shared" si="6"/>
        <v>0</v>
      </c>
      <c r="CD105" s="33">
        <f t="shared" si="6"/>
        <v>2341.9299999999998</v>
      </c>
      <c r="CE105" s="33">
        <f t="shared" si="6"/>
        <v>0</v>
      </c>
      <c r="CF105" s="33">
        <f t="shared" si="6"/>
        <v>-38.25</v>
      </c>
      <c r="CG105" s="58">
        <f t="shared" si="10"/>
        <v>2341.9299999999998</v>
      </c>
    </row>
    <row r="106" spans="1:85">
      <c r="A106" s="198">
        <v>2133</v>
      </c>
      <c r="B106" s="2">
        <v>103233</v>
      </c>
      <c r="C106" s="2" t="s">
        <v>235</v>
      </c>
      <c r="D106" s="2" t="s">
        <v>236</v>
      </c>
      <c r="E106" s="2" t="s">
        <v>39</v>
      </c>
      <c r="F106" s="208" t="s">
        <v>890</v>
      </c>
      <c r="H106" s="880">
        <v>0</v>
      </c>
      <c r="I106" s="880"/>
      <c r="J106" s="880"/>
      <c r="K106" s="880">
        <v>9795</v>
      </c>
      <c r="L106" s="190">
        <v>0</v>
      </c>
      <c r="M106" s="190">
        <v>0</v>
      </c>
      <c r="N106" s="190">
        <v>0</v>
      </c>
      <c r="O106" s="190">
        <v>0</v>
      </c>
      <c r="P106" s="190">
        <v>0</v>
      </c>
      <c r="Q106" s="190">
        <v>0</v>
      </c>
      <c r="R106" s="190">
        <v>0</v>
      </c>
      <c r="S106" s="190">
        <v>0</v>
      </c>
      <c r="T106" s="209">
        <v>0</v>
      </c>
      <c r="U106" s="209"/>
      <c r="V106" s="209"/>
      <c r="W106" s="209"/>
      <c r="X106" s="190"/>
      <c r="Y106" s="190"/>
      <c r="Z106" s="190"/>
      <c r="AA106" s="190"/>
      <c r="AB106" s="190"/>
      <c r="AC106" s="190"/>
      <c r="AD106" s="190"/>
      <c r="AE106" s="190"/>
      <c r="AF106" s="209"/>
      <c r="AG106" s="209"/>
      <c r="AH106" s="209"/>
      <c r="AI106" s="67"/>
      <c r="AJ106" s="209"/>
      <c r="AK106" s="209"/>
      <c r="AL106" s="190"/>
      <c r="AM106" s="190"/>
      <c r="AN106" s="189"/>
      <c r="AO106" s="189"/>
      <c r="AP106" s="189"/>
      <c r="AQ106" s="348"/>
      <c r="AR106" s="348"/>
      <c r="AS106" s="354"/>
      <c r="AT106" s="354"/>
      <c r="AU106" s="354"/>
      <c r="AV106" s="196"/>
      <c r="AW106" s="354"/>
      <c r="AX106" s="354"/>
      <c r="AY106" s="354"/>
      <c r="AZ106" s="354"/>
      <c r="BA106" s="354"/>
      <c r="BB106" s="354"/>
      <c r="BC106" s="354"/>
      <c r="BD106" s="354"/>
      <c r="BE106" s="354"/>
      <c r="BF106" s="354"/>
      <c r="BG106" s="354"/>
      <c r="BH106" s="354"/>
      <c r="BI106" s="354"/>
      <c r="BJ106" s="354"/>
      <c r="BK106" s="354"/>
      <c r="BL106" s="354"/>
      <c r="BM106" s="354"/>
      <c r="BN106" s="354"/>
      <c r="BO106" s="355">
        <v>0</v>
      </c>
      <c r="BP106" s="888">
        <v>0</v>
      </c>
      <c r="BQ106" s="354"/>
      <c r="BR106" s="354"/>
      <c r="BS106" s="354"/>
      <c r="BT106" s="354"/>
      <c r="BU106" s="354"/>
      <c r="BV106" s="354"/>
      <c r="BW106" s="355">
        <f t="shared" si="8"/>
        <v>9795</v>
      </c>
      <c r="BY106" s="33">
        <f t="shared" si="9"/>
        <v>0</v>
      </c>
      <c r="BZ106" s="33">
        <f t="shared" si="6"/>
        <v>0</v>
      </c>
      <c r="CA106" s="33">
        <f t="shared" si="6"/>
        <v>0</v>
      </c>
      <c r="CB106" s="33">
        <f t="shared" si="6"/>
        <v>0</v>
      </c>
      <c r="CC106" s="33">
        <f t="shared" si="6"/>
        <v>9795</v>
      </c>
      <c r="CD106" s="33">
        <f t="shared" si="6"/>
        <v>0</v>
      </c>
      <c r="CE106" s="33">
        <f t="shared" si="6"/>
        <v>0</v>
      </c>
      <c r="CF106" s="33">
        <f t="shared" si="6"/>
        <v>0</v>
      </c>
      <c r="CG106" s="58">
        <f t="shared" si="10"/>
        <v>9795</v>
      </c>
    </row>
    <row r="107" spans="1:85">
      <c r="A107" s="198">
        <v>2406</v>
      </c>
      <c r="B107" s="2">
        <v>103345</v>
      </c>
      <c r="C107" s="2" t="s">
        <v>237</v>
      </c>
      <c r="D107" s="2" t="s">
        <v>238</v>
      </c>
      <c r="E107" s="2" t="s">
        <v>39</v>
      </c>
      <c r="F107" s="208" t="s">
        <v>890</v>
      </c>
      <c r="H107" s="880">
        <v>0</v>
      </c>
      <c r="I107" s="880"/>
      <c r="J107" s="880"/>
      <c r="K107" s="880">
        <v>8880</v>
      </c>
      <c r="L107" s="190">
        <v>0</v>
      </c>
      <c r="M107" s="190">
        <v>0</v>
      </c>
      <c r="N107" s="190">
        <v>0</v>
      </c>
      <c r="O107" s="190">
        <v>0</v>
      </c>
      <c r="P107" s="190">
        <v>0</v>
      </c>
      <c r="Q107" s="190">
        <v>0</v>
      </c>
      <c r="R107" s="190">
        <v>0</v>
      </c>
      <c r="S107" s="190">
        <v>0</v>
      </c>
      <c r="T107" s="209">
        <v>0</v>
      </c>
      <c r="U107" s="209"/>
      <c r="V107" s="209"/>
      <c r="W107" s="209"/>
      <c r="X107" s="190"/>
      <c r="Y107" s="190"/>
      <c r="Z107" s="190"/>
      <c r="AA107" s="190"/>
      <c r="AB107" s="190"/>
      <c r="AC107" s="190"/>
      <c r="AD107" s="190"/>
      <c r="AE107" s="190"/>
      <c r="AF107" s="209"/>
      <c r="AG107" s="209"/>
      <c r="AH107" s="209"/>
      <c r="AI107" s="67"/>
      <c r="AJ107" s="209"/>
      <c r="AK107" s="209"/>
      <c r="AL107" s="190"/>
      <c r="AM107" s="190"/>
      <c r="AN107" s="189"/>
      <c r="AO107" s="189"/>
      <c r="AP107" s="189"/>
      <c r="AQ107" s="348"/>
      <c r="AR107" s="348"/>
      <c r="AS107" s="354"/>
      <c r="AT107" s="354"/>
      <c r="AU107" s="354"/>
      <c r="AV107" s="196"/>
      <c r="AW107" s="354"/>
      <c r="AX107" s="354"/>
      <c r="AY107" s="354"/>
      <c r="AZ107" s="354"/>
      <c r="BA107" s="354"/>
      <c r="BB107" s="354"/>
      <c r="BC107" s="354"/>
      <c r="BD107" s="354"/>
      <c r="BE107" s="354"/>
      <c r="BF107" s="354"/>
      <c r="BG107" s="354"/>
      <c r="BH107" s="354"/>
      <c r="BI107" s="354"/>
      <c r="BJ107" s="354"/>
      <c r="BK107" s="354"/>
      <c r="BL107" s="354"/>
      <c r="BM107" s="354"/>
      <c r="BN107" s="354"/>
      <c r="BO107" s="355">
        <v>1128.98</v>
      </c>
      <c r="BP107" s="888">
        <v>-42.9</v>
      </c>
      <c r="BQ107" s="354"/>
      <c r="BR107" s="354"/>
      <c r="BS107" s="354"/>
      <c r="BT107" s="354"/>
      <c r="BU107" s="354"/>
      <c r="BV107" s="354"/>
      <c r="BW107" s="355">
        <f t="shared" si="8"/>
        <v>9966.08</v>
      </c>
      <c r="BY107" s="33">
        <f t="shared" si="9"/>
        <v>0</v>
      </c>
      <c r="BZ107" s="33">
        <f t="shared" si="6"/>
        <v>0</v>
      </c>
      <c r="CA107" s="33">
        <f t="shared" si="6"/>
        <v>0</v>
      </c>
      <c r="CB107" s="33">
        <f t="shared" si="6"/>
        <v>0</v>
      </c>
      <c r="CC107" s="33">
        <f t="shared" si="6"/>
        <v>8880</v>
      </c>
      <c r="CD107" s="33">
        <f t="shared" si="6"/>
        <v>1128.98</v>
      </c>
      <c r="CE107" s="33">
        <f t="shared" si="6"/>
        <v>0</v>
      </c>
      <c r="CF107" s="33">
        <f t="shared" si="6"/>
        <v>-42.9</v>
      </c>
      <c r="CG107" s="58">
        <f t="shared" si="10"/>
        <v>10008.98</v>
      </c>
    </row>
    <row r="108" spans="1:85">
      <c r="A108" s="198">
        <v>2416</v>
      </c>
      <c r="B108" s="2">
        <v>103351</v>
      </c>
      <c r="C108" s="2" t="s">
        <v>239</v>
      </c>
      <c r="D108" s="2" t="s">
        <v>240</v>
      </c>
      <c r="E108" s="2" t="s">
        <v>39</v>
      </c>
      <c r="F108" s="208" t="s">
        <v>890</v>
      </c>
      <c r="H108" s="880">
        <v>0</v>
      </c>
      <c r="I108" s="880"/>
      <c r="J108" s="880"/>
      <c r="K108" s="880">
        <v>9815</v>
      </c>
      <c r="L108" s="190">
        <v>0</v>
      </c>
      <c r="M108" s="190">
        <v>0</v>
      </c>
      <c r="N108" s="190">
        <v>0</v>
      </c>
      <c r="O108" s="190">
        <v>0</v>
      </c>
      <c r="P108" s="190">
        <v>0</v>
      </c>
      <c r="Q108" s="190">
        <v>0</v>
      </c>
      <c r="R108" s="190">
        <v>0</v>
      </c>
      <c r="S108" s="190">
        <v>0</v>
      </c>
      <c r="T108" s="209">
        <v>0</v>
      </c>
      <c r="U108" s="209"/>
      <c r="V108" s="209"/>
      <c r="W108" s="209"/>
      <c r="X108" s="190"/>
      <c r="Y108" s="190"/>
      <c r="Z108" s="190"/>
      <c r="AA108" s="190"/>
      <c r="AB108" s="190"/>
      <c r="AC108" s="190"/>
      <c r="AD108" s="190"/>
      <c r="AE108" s="190"/>
      <c r="AF108" s="209"/>
      <c r="AG108" s="209"/>
      <c r="AH108" s="209"/>
      <c r="AI108" s="67"/>
      <c r="AJ108" s="209"/>
      <c r="AK108" s="209"/>
      <c r="AL108" s="190"/>
      <c r="AM108" s="190"/>
      <c r="AN108" s="189"/>
      <c r="AO108" s="189"/>
      <c r="AP108" s="189"/>
      <c r="AQ108" s="348"/>
      <c r="AR108" s="348"/>
      <c r="AS108" s="354"/>
      <c r="AT108" s="354"/>
      <c r="AU108" s="354"/>
      <c r="AV108" s="196"/>
      <c r="AW108" s="354"/>
      <c r="AX108" s="354"/>
      <c r="AY108" s="354"/>
      <c r="AZ108" s="354"/>
      <c r="BA108" s="354"/>
      <c r="BB108" s="354"/>
      <c r="BC108" s="354"/>
      <c r="BD108" s="354"/>
      <c r="BE108" s="354"/>
      <c r="BF108" s="354"/>
      <c r="BG108" s="354"/>
      <c r="BH108" s="354"/>
      <c r="BI108" s="354"/>
      <c r="BJ108" s="354"/>
      <c r="BK108" s="354"/>
      <c r="BL108" s="354"/>
      <c r="BM108" s="354"/>
      <c r="BN108" s="354"/>
      <c r="BO108" s="355">
        <v>0</v>
      </c>
      <c r="BP108" s="888">
        <v>0</v>
      </c>
      <c r="BQ108" s="354"/>
      <c r="BR108" s="354"/>
      <c r="BS108" s="354"/>
      <c r="BT108" s="354"/>
      <c r="BU108" s="354"/>
      <c r="BV108" s="354"/>
      <c r="BW108" s="355">
        <f t="shared" si="8"/>
        <v>9815</v>
      </c>
      <c r="BY108" s="33">
        <f t="shared" si="9"/>
        <v>0</v>
      </c>
      <c r="BZ108" s="33">
        <f t="shared" si="6"/>
        <v>0</v>
      </c>
      <c r="CA108" s="33">
        <f t="shared" si="6"/>
        <v>0</v>
      </c>
      <c r="CB108" s="33">
        <f t="shared" si="6"/>
        <v>0</v>
      </c>
      <c r="CC108" s="33">
        <f t="shared" si="6"/>
        <v>9815</v>
      </c>
      <c r="CD108" s="33">
        <f t="shared" si="6"/>
        <v>0</v>
      </c>
      <c r="CE108" s="33">
        <f t="shared" si="6"/>
        <v>0</v>
      </c>
      <c r="CF108" s="33">
        <f t="shared" si="6"/>
        <v>0</v>
      </c>
      <c r="CG108" s="58">
        <f t="shared" si="10"/>
        <v>9815</v>
      </c>
    </row>
    <row r="109" spans="1:85">
      <c r="A109" s="198">
        <v>3003</v>
      </c>
      <c r="B109" s="2">
        <v>103398</v>
      </c>
      <c r="C109" s="2" t="s">
        <v>241</v>
      </c>
      <c r="D109" s="2" t="s">
        <v>242</v>
      </c>
      <c r="E109" s="2" t="s">
        <v>39</v>
      </c>
      <c r="F109" s="208" t="s">
        <v>890</v>
      </c>
      <c r="H109" s="880">
        <v>0</v>
      </c>
      <c r="I109" s="880"/>
      <c r="J109" s="880"/>
      <c r="K109" s="880">
        <v>8895</v>
      </c>
      <c r="L109" s="190">
        <v>0</v>
      </c>
      <c r="M109" s="190">
        <v>0</v>
      </c>
      <c r="N109" s="190">
        <v>0</v>
      </c>
      <c r="O109" s="190">
        <v>0</v>
      </c>
      <c r="P109" s="190">
        <v>0</v>
      </c>
      <c r="Q109" s="190">
        <v>0</v>
      </c>
      <c r="R109" s="190">
        <v>0</v>
      </c>
      <c r="S109" s="190">
        <v>0</v>
      </c>
      <c r="T109" s="209">
        <v>0</v>
      </c>
      <c r="U109" s="209"/>
      <c r="V109" s="209"/>
      <c r="W109" s="209"/>
      <c r="X109" s="190"/>
      <c r="Y109" s="190"/>
      <c r="Z109" s="190"/>
      <c r="AA109" s="190"/>
      <c r="AB109" s="190"/>
      <c r="AC109" s="190"/>
      <c r="AD109" s="190"/>
      <c r="AE109" s="190"/>
      <c r="AF109" s="209"/>
      <c r="AG109" s="209"/>
      <c r="AH109" s="209"/>
      <c r="AI109" s="67"/>
      <c r="AJ109" s="209"/>
      <c r="AK109" s="209"/>
      <c r="AL109" s="190"/>
      <c r="AM109" s="190"/>
      <c r="AN109" s="189"/>
      <c r="AO109" s="189"/>
      <c r="AP109" s="189"/>
      <c r="AQ109" s="348"/>
      <c r="AR109" s="348"/>
      <c r="AS109" s="354"/>
      <c r="AT109" s="354"/>
      <c r="AU109" s="354"/>
      <c r="AV109" s="196"/>
      <c r="AW109" s="354"/>
      <c r="AX109" s="354"/>
      <c r="AY109" s="354"/>
      <c r="AZ109" s="354"/>
      <c r="BA109" s="354"/>
      <c r="BB109" s="354"/>
      <c r="BC109" s="354"/>
      <c r="BD109" s="354"/>
      <c r="BE109" s="354"/>
      <c r="BF109" s="354"/>
      <c r="BG109" s="354"/>
      <c r="BH109" s="354"/>
      <c r="BI109" s="354"/>
      <c r="BJ109" s="354"/>
      <c r="BK109" s="354"/>
      <c r="BL109" s="354"/>
      <c r="BM109" s="354"/>
      <c r="BN109" s="354"/>
      <c r="BO109" s="355">
        <v>466.74</v>
      </c>
      <c r="BP109" s="888">
        <v>-5.08</v>
      </c>
      <c r="BQ109" s="354"/>
      <c r="BR109" s="354"/>
      <c r="BS109" s="354"/>
      <c r="BT109" s="354"/>
      <c r="BU109" s="354"/>
      <c r="BV109" s="354"/>
      <c r="BW109" s="355">
        <f t="shared" si="8"/>
        <v>9356.66</v>
      </c>
      <c r="BY109" s="33">
        <f t="shared" si="9"/>
        <v>0</v>
      </c>
      <c r="BZ109" s="33">
        <f t="shared" si="6"/>
        <v>0</v>
      </c>
      <c r="CA109" s="33">
        <f t="shared" si="6"/>
        <v>0</v>
      </c>
      <c r="CB109" s="33">
        <f t="shared" ref="BZ109:CF145" si="11">SUMIFS($H109:$BV109,$H$3:$BV$3,CB$7,$H$6:$BV$6,CB$6)</f>
        <v>0</v>
      </c>
      <c r="CC109" s="33">
        <f t="shared" si="11"/>
        <v>8895</v>
      </c>
      <c r="CD109" s="33">
        <f t="shared" si="11"/>
        <v>466.74</v>
      </c>
      <c r="CE109" s="33">
        <f t="shared" si="11"/>
        <v>0</v>
      </c>
      <c r="CF109" s="33">
        <f t="shared" si="11"/>
        <v>-5.08</v>
      </c>
      <c r="CG109" s="58">
        <f t="shared" si="10"/>
        <v>9361.74</v>
      </c>
    </row>
    <row r="110" spans="1:85">
      <c r="A110" s="198">
        <v>4245</v>
      </c>
      <c r="B110" s="2">
        <v>103519</v>
      </c>
      <c r="C110" s="2" t="s">
        <v>243</v>
      </c>
      <c r="D110" s="2" t="s">
        <v>244</v>
      </c>
      <c r="E110" s="2" t="s">
        <v>71</v>
      </c>
      <c r="F110" s="208" t="s">
        <v>890</v>
      </c>
      <c r="H110" s="880">
        <v>0</v>
      </c>
      <c r="I110" s="880"/>
      <c r="J110" s="880"/>
      <c r="K110" s="880">
        <v>0</v>
      </c>
      <c r="L110" s="190">
        <v>0</v>
      </c>
      <c r="M110" s="190">
        <v>0</v>
      </c>
      <c r="N110" s="190">
        <v>0</v>
      </c>
      <c r="O110" s="190">
        <v>0</v>
      </c>
      <c r="P110" s="190">
        <v>0</v>
      </c>
      <c r="Q110" s="190">
        <v>0</v>
      </c>
      <c r="R110" s="190">
        <v>0</v>
      </c>
      <c r="S110" s="190">
        <v>0</v>
      </c>
      <c r="T110" s="209">
        <v>0</v>
      </c>
      <c r="U110" s="209"/>
      <c r="V110" s="209"/>
      <c r="W110" s="209"/>
      <c r="X110" s="190"/>
      <c r="Y110" s="190"/>
      <c r="Z110" s="190"/>
      <c r="AA110" s="190"/>
      <c r="AB110" s="190"/>
      <c r="AC110" s="190"/>
      <c r="AD110" s="190"/>
      <c r="AE110" s="190"/>
      <c r="AF110" s="209"/>
      <c r="AG110" s="209"/>
      <c r="AH110" s="209"/>
      <c r="AI110" s="67"/>
      <c r="AJ110" s="209"/>
      <c r="AK110" s="209"/>
      <c r="AL110" s="190"/>
      <c r="AM110" s="190"/>
      <c r="AN110" s="189"/>
      <c r="AO110" s="189"/>
      <c r="AP110" s="189"/>
      <c r="AQ110" s="348"/>
      <c r="AR110" s="348"/>
      <c r="AS110" s="354"/>
      <c r="AT110" s="354"/>
      <c r="AU110" s="354"/>
      <c r="AV110" s="196"/>
      <c r="AW110" s="354"/>
      <c r="AX110" s="354"/>
      <c r="AY110" s="354"/>
      <c r="AZ110" s="354"/>
      <c r="BA110" s="354"/>
      <c r="BB110" s="354"/>
      <c r="BC110" s="354"/>
      <c r="BD110" s="354"/>
      <c r="BE110" s="354"/>
      <c r="BF110" s="354"/>
      <c r="BG110" s="354"/>
      <c r="BH110" s="354"/>
      <c r="BI110" s="354"/>
      <c r="BJ110" s="354"/>
      <c r="BK110" s="354"/>
      <c r="BL110" s="354"/>
      <c r="BM110" s="354"/>
      <c r="BN110" s="354"/>
      <c r="BO110" s="355">
        <v>0</v>
      </c>
      <c r="BP110" s="888">
        <v>0</v>
      </c>
      <c r="BQ110" s="354"/>
      <c r="BR110" s="354"/>
      <c r="BS110" s="354"/>
      <c r="BT110" s="354"/>
      <c r="BU110" s="354"/>
      <c r="BV110" s="354"/>
      <c r="BW110" s="355">
        <f t="shared" si="8"/>
        <v>0</v>
      </c>
      <c r="BY110" s="33">
        <f t="shared" si="9"/>
        <v>0</v>
      </c>
      <c r="BZ110" s="33">
        <f t="shared" si="11"/>
        <v>0</v>
      </c>
      <c r="CA110" s="33">
        <f t="shared" si="11"/>
        <v>0</v>
      </c>
      <c r="CB110" s="33">
        <f t="shared" si="11"/>
        <v>0</v>
      </c>
      <c r="CC110" s="33">
        <f t="shared" si="11"/>
        <v>0</v>
      </c>
      <c r="CD110" s="33">
        <f t="shared" si="11"/>
        <v>0</v>
      </c>
      <c r="CE110" s="33">
        <f t="shared" si="11"/>
        <v>0</v>
      </c>
      <c r="CF110" s="33">
        <f t="shared" si="11"/>
        <v>0</v>
      </c>
      <c r="CG110" s="58">
        <f t="shared" si="10"/>
        <v>0</v>
      </c>
    </row>
    <row r="111" spans="1:85">
      <c r="A111" s="198">
        <v>2457</v>
      </c>
      <c r="B111" s="2">
        <v>103384</v>
      </c>
      <c r="C111" s="2" t="s">
        <v>245</v>
      </c>
      <c r="D111" s="2" t="s">
        <v>246</v>
      </c>
      <c r="E111" s="2" t="s">
        <v>39</v>
      </c>
      <c r="F111" s="208" t="s">
        <v>890</v>
      </c>
      <c r="H111" s="880">
        <v>0</v>
      </c>
      <c r="I111" s="880"/>
      <c r="J111" s="880"/>
      <c r="K111" s="880">
        <v>9780</v>
      </c>
      <c r="L111" s="190">
        <v>0</v>
      </c>
      <c r="M111" s="190">
        <v>0</v>
      </c>
      <c r="N111" s="190">
        <v>0</v>
      </c>
      <c r="O111" s="190">
        <v>0</v>
      </c>
      <c r="P111" s="190">
        <v>0</v>
      </c>
      <c r="Q111" s="190">
        <v>0</v>
      </c>
      <c r="R111" s="190">
        <v>0</v>
      </c>
      <c r="S111" s="190">
        <v>0</v>
      </c>
      <c r="T111" s="209">
        <v>0</v>
      </c>
      <c r="U111" s="209"/>
      <c r="V111" s="209"/>
      <c r="W111" s="209"/>
      <c r="X111" s="190"/>
      <c r="Y111" s="190"/>
      <c r="Z111" s="190"/>
      <c r="AA111" s="190"/>
      <c r="AB111" s="190"/>
      <c r="AC111" s="190"/>
      <c r="AD111" s="190"/>
      <c r="AE111" s="190"/>
      <c r="AF111" s="209"/>
      <c r="AG111" s="209"/>
      <c r="AH111" s="209"/>
      <c r="AI111" s="67"/>
      <c r="AJ111" s="209"/>
      <c r="AK111" s="209"/>
      <c r="AL111" s="190"/>
      <c r="AM111" s="190"/>
      <c r="AN111" s="189"/>
      <c r="AO111" s="189"/>
      <c r="AP111" s="189"/>
      <c r="AQ111" s="348"/>
      <c r="AR111" s="348"/>
      <c r="AS111" s="354"/>
      <c r="AT111" s="354"/>
      <c r="AU111" s="354"/>
      <c r="AV111" s="196"/>
      <c r="AW111" s="354"/>
      <c r="AX111" s="354"/>
      <c r="AY111" s="354"/>
      <c r="AZ111" s="354"/>
      <c r="BA111" s="354"/>
      <c r="BB111" s="354"/>
      <c r="BC111" s="354"/>
      <c r="BD111" s="354"/>
      <c r="BE111" s="354"/>
      <c r="BF111" s="354"/>
      <c r="BG111" s="354"/>
      <c r="BH111" s="354"/>
      <c r="BI111" s="354"/>
      <c r="BJ111" s="354"/>
      <c r="BK111" s="354"/>
      <c r="BL111" s="354"/>
      <c r="BM111" s="354"/>
      <c r="BN111" s="354"/>
      <c r="BO111" s="355">
        <v>5567.52</v>
      </c>
      <c r="BP111" s="888">
        <v>-2.39</v>
      </c>
      <c r="BQ111" s="354"/>
      <c r="BR111" s="354"/>
      <c r="BS111" s="354"/>
      <c r="BT111" s="354"/>
      <c r="BU111" s="354"/>
      <c r="BV111" s="354"/>
      <c r="BW111" s="355">
        <f t="shared" si="8"/>
        <v>15345.130000000001</v>
      </c>
      <c r="BY111" s="33">
        <f t="shared" si="9"/>
        <v>0</v>
      </c>
      <c r="BZ111" s="33">
        <f t="shared" si="11"/>
        <v>0</v>
      </c>
      <c r="CA111" s="33">
        <f t="shared" si="11"/>
        <v>0</v>
      </c>
      <c r="CB111" s="33">
        <f t="shared" si="11"/>
        <v>0</v>
      </c>
      <c r="CC111" s="33">
        <f t="shared" si="11"/>
        <v>9780</v>
      </c>
      <c r="CD111" s="33">
        <f t="shared" si="11"/>
        <v>5567.52</v>
      </c>
      <c r="CE111" s="33">
        <f t="shared" si="11"/>
        <v>0</v>
      </c>
      <c r="CF111" s="33">
        <f t="shared" si="11"/>
        <v>-2.39</v>
      </c>
      <c r="CG111" s="58">
        <f t="shared" si="10"/>
        <v>15347.52</v>
      </c>
    </row>
    <row r="112" spans="1:85">
      <c r="A112" s="198">
        <v>2142</v>
      </c>
      <c r="B112" s="2">
        <v>103237</v>
      </c>
      <c r="C112" s="2" t="s">
        <v>247</v>
      </c>
      <c r="D112" s="2" t="s">
        <v>248</v>
      </c>
      <c r="E112" s="2" t="s">
        <v>39</v>
      </c>
      <c r="F112" s="208" t="s">
        <v>890</v>
      </c>
      <c r="H112" s="880">
        <v>0</v>
      </c>
      <c r="I112" s="880"/>
      <c r="J112" s="880"/>
      <c r="K112" s="880">
        <v>9775</v>
      </c>
      <c r="L112" s="190">
        <v>0</v>
      </c>
      <c r="M112" s="190">
        <v>0</v>
      </c>
      <c r="N112" s="190">
        <v>0</v>
      </c>
      <c r="O112" s="190">
        <v>0</v>
      </c>
      <c r="P112" s="190">
        <v>0</v>
      </c>
      <c r="Q112" s="190">
        <v>0</v>
      </c>
      <c r="R112" s="190">
        <v>0</v>
      </c>
      <c r="S112" s="190">
        <v>0</v>
      </c>
      <c r="T112" s="209">
        <v>0</v>
      </c>
      <c r="U112" s="209"/>
      <c r="V112" s="209"/>
      <c r="W112" s="209"/>
      <c r="X112" s="190"/>
      <c r="Y112" s="190"/>
      <c r="Z112" s="190"/>
      <c r="AA112" s="190"/>
      <c r="AB112" s="190"/>
      <c r="AC112" s="190"/>
      <c r="AD112" s="190"/>
      <c r="AE112" s="190"/>
      <c r="AF112" s="209"/>
      <c r="AG112" s="209"/>
      <c r="AH112" s="209"/>
      <c r="AI112" s="67"/>
      <c r="AJ112" s="209"/>
      <c r="AK112" s="209"/>
      <c r="AL112" s="190"/>
      <c r="AM112" s="190"/>
      <c r="AN112" s="189"/>
      <c r="AO112" s="189"/>
      <c r="AP112" s="189"/>
      <c r="AQ112" s="348"/>
      <c r="AR112" s="348"/>
      <c r="AS112" s="354"/>
      <c r="AT112" s="354"/>
      <c r="AU112" s="354"/>
      <c r="AV112" s="196"/>
      <c r="AW112" s="354"/>
      <c r="AX112" s="354"/>
      <c r="AY112" s="354"/>
      <c r="AZ112" s="354"/>
      <c r="BA112" s="354"/>
      <c r="BB112" s="354"/>
      <c r="BC112" s="354"/>
      <c r="BD112" s="354"/>
      <c r="BE112" s="354"/>
      <c r="BF112" s="354"/>
      <c r="BG112" s="354"/>
      <c r="BH112" s="354"/>
      <c r="BI112" s="354"/>
      <c r="BJ112" s="354"/>
      <c r="BK112" s="354"/>
      <c r="BL112" s="354"/>
      <c r="BM112" s="354"/>
      <c r="BN112" s="354"/>
      <c r="BO112" s="355">
        <v>3993.65</v>
      </c>
      <c r="BP112" s="888">
        <v>-28.79</v>
      </c>
      <c r="BQ112" s="354"/>
      <c r="BR112" s="354"/>
      <c r="BS112" s="354"/>
      <c r="BT112" s="354"/>
      <c r="BU112" s="354"/>
      <c r="BV112" s="354"/>
      <c r="BW112" s="355">
        <f t="shared" si="8"/>
        <v>13739.859999999999</v>
      </c>
      <c r="BY112" s="33">
        <f t="shared" si="9"/>
        <v>0</v>
      </c>
      <c r="BZ112" s="33">
        <f t="shared" si="11"/>
        <v>0</v>
      </c>
      <c r="CA112" s="33">
        <f t="shared" si="11"/>
        <v>0</v>
      </c>
      <c r="CB112" s="33">
        <f t="shared" si="11"/>
        <v>0</v>
      </c>
      <c r="CC112" s="33">
        <f t="shared" si="11"/>
        <v>9775</v>
      </c>
      <c r="CD112" s="33">
        <f t="shared" si="11"/>
        <v>3993.65</v>
      </c>
      <c r="CE112" s="33">
        <f t="shared" si="11"/>
        <v>0</v>
      </c>
      <c r="CF112" s="33">
        <f t="shared" si="11"/>
        <v>-28.79</v>
      </c>
      <c r="CG112" s="58">
        <f t="shared" si="10"/>
        <v>13768.65</v>
      </c>
    </row>
    <row r="113" spans="1:85">
      <c r="A113" s="198">
        <v>2469</v>
      </c>
      <c r="B113" s="2">
        <v>103395</v>
      </c>
      <c r="C113" s="2" t="s">
        <v>249</v>
      </c>
      <c r="D113" s="2" t="s">
        <v>250</v>
      </c>
      <c r="E113" s="2" t="s">
        <v>39</v>
      </c>
      <c r="F113" s="208" t="s">
        <v>890</v>
      </c>
      <c r="H113" s="880">
        <v>0</v>
      </c>
      <c r="I113" s="880"/>
      <c r="J113" s="880"/>
      <c r="K113" s="880">
        <v>9435</v>
      </c>
      <c r="L113" s="190">
        <v>0</v>
      </c>
      <c r="M113" s="190">
        <v>0</v>
      </c>
      <c r="N113" s="190">
        <v>0</v>
      </c>
      <c r="O113" s="190">
        <v>0</v>
      </c>
      <c r="P113" s="190">
        <v>0</v>
      </c>
      <c r="Q113" s="190">
        <v>0</v>
      </c>
      <c r="R113" s="190">
        <v>0</v>
      </c>
      <c r="S113" s="190">
        <v>0</v>
      </c>
      <c r="T113" s="209">
        <v>0</v>
      </c>
      <c r="U113" s="209"/>
      <c r="V113" s="209"/>
      <c r="W113" s="209"/>
      <c r="X113" s="190"/>
      <c r="Y113" s="190"/>
      <c r="Z113" s="190"/>
      <c r="AA113" s="190"/>
      <c r="AB113" s="190"/>
      <c r="AC113" s="190"/>
      <c r="AD113" s="190"/>
      <c r="AE113" s="190"/>
      <c r="AF113" s="209"/>
      <c r="AG113" s="209"/>
      <c r="AH113" s="209"/>
      <c r="AI113" s="67"/>
      <c r="AJ113" s="209"/>
      <c r="AK113" s="209"/>
      <c r="AL113" s="190"/>
      <c r="AM113" s="190"/>
      <c r="AN113" s="189"/>
      <c r="AO113" s="189"/>
      <c r="AP113" s="189"/>
      <c r="AQ113" s="348"/>
      <c r="AR113" s="348"/>
      <c r="AS113" s="354"/>
      <c r="AT113" s="354"/>
      <c r="AU113" s="354"/>
      <c r="AV113" s="196"/>
      <c r="AW113" s="354"/>
      <c r="AX113" s="354"/>
      <c r="AY113" s="354"/>
      <c r="AZ113" s="354"/>
      <c r="BA113" s="354"/>
      <c r="BB113" s="354"/>
      <c r="BC113" s="354"/>
      <c r="BD113" s="354"/>
      <c r="BE113" s="354"/>
      <c r="BF113" s="354"/>
      <c r="BG113" s="354"/>
      <c r="BH113" s="354"/>
      <c r="BI113" s="354"/>
      <c r="BJ113" s="354"/>
      <c r="BK113" s="354"/>
      <c r="BL113" s="354"/>
      <c r="BM113" s="354"/>
      <c r="BN113" s="354"/>
      <c r="BO113" s="355">
        <v>0</v>
      </c>
      <c r="BP113" s="888">
        <v>0</v>
      </c>
      <c r="BQ113" s="354"/>
      <c r="BR113" s="354"/>
      <c r="BS113" s="354"/>
      <c r="BT113" s="354"/>
      <c r="BU113" s="354"/>
      <c r="BV113" s="354"/>
      <c r="BW113" s="355">
        <f t="shared" si="8"/>
        <v>9435</v>
      </c>
      <c r="BY113" s="33">
        <f t="shared" si="9"/>
        <v>0</v>
      </c>
      <c r="BZ113" s="33">
        <f t="shared" si="11"/>
        <v>0</v>
      </c>
      <c r="CA113" s="33">
        <f t="shared" si="11"/>
        <v>0</v>
      </c>
      <c r="CB113" s="33">
        <f t="shared" si="11"/>
        <v>0</v>
      </c>
      <c r="CC113" s="33">
        <f t="shared" si="11"/>
        <v>9435</v>
      </c>
      <c r="CD113" s="33">
        <f t="shared" si="11"/>
        <v>0</v>
      </c>
      <c r="CE113" s="33">
        <f t="shared" si="11"/>
        <v>0</v>
      </c>
      <c r="CF113" s="33">
        <f t="shared" si="11"/>
        <v>0</v>
      </c>
      <c r="CG113" s="58">
        <f t="shared" si="10"/>
        <v>9435</v>
      </c>
    </row>
    <row r="114" spans="1:85">
      <c r="A114" s="198">
        <v>1028</v>
      </c>
      <c r="B114" s="2">
        <v>103141</v>
      </c>
      <c r="C114" s="2" t="s">
        <v>251</v>
      </c>
      <c r="D114" s="2" t="s">
        <v>252</v>
      </c>
      <c r="E114" s="2" t="s">
        <v>36</v>
      </c>
      <c r="F114" s="208" t="s">
        <v>890</v>
      </c>
      <c r="H114" s="880">
        <v>0</v>
      </c>
      <c r="I114" s="880"/>
      <c r="J114" s="880"/>
      <c r="K114" s="880">
        <v>0</v>
      </c>
      <c r="L114" s="190">
        <v>0</v>
      </c>
      <c r="M114" s="190">
        <v>0</v>
      </c>
      <c r="N114" s="190">
        <v>0</v>
      </c>
      <c r="O114" s="190">
        <v>0</v>
      </c>
      <c r="P114" s="190">
        <v>0</v>
      </c>
      <c r="Q114" s="190">
        <v>0</v>
      </c>
      <c r="R114" s="190">
        <v>0</v>
      </c>
      <c r="S114" s="190">
        <v>0</v>
      </c>
      <c r="T114" s="209">
        <v>0</v>
      </c>
      <c r="U114" s="209"/>
      <c r="V114" s="209"/>
      <c r="W114" s="209"/>
      <c r="X114" s="190"/>
      <c r="Y114" s="190"/>
      <c r="Z114" s="190"/>
      <c r="AA114" s="190"/>
      <c r="AB114" s="190"/>
      <c r="AC114" s="190"/>
      <c r="AD114" s="190"/>
      <c r="AE114" s="190"/>
      <c r="AF114" s="209"/>
      <c r="AG114" s="209"/>
      <c r="AH114" s="209"/>
      <c r="AI114" s="67"/>
      <c r="AJ114" s="209"/>
      <c r="AK114" s="209"/>
      <c r="AL114" s="190"/>
      <c r="AM114" s="190"/>
      <c r="AN114" s="189"/>
      <c r="AO114" s="189"/>
      <c r="AP114" s="189"/>
      <c r="AQ114" s="348"/>
      <c r="AR114" s="348"/>
      <c r="AS114" s="354"/>
      <c r="AT114" s="354"/>
      <c r="AU114" s="354"/>
      <c r="AV114" s="196"/>
      <c r="AW114" s="354"/>
      <c r="AX114" s="354"/>
      <c r="AY114" s="354"/>
      <c r="AZ114" s="354"/>
      <c r="BA114" s="354"/>
      <c r="BB114" s="354"/>
      <c r="BC114" s="354"/>
      <c r="BD114" s="354"/>
      <c r="BE114" s="354"/>
      <c r="BF114" s="354"/>
      <c r="BG114" s="354"/>
      <c r="BH114" s="354"/>
      <c r="BI114" s="354"/>
      <c r="BJ114" s="354"/>
      <c r="BK114" s="354"/>
      <c r="BL114" s="354"/>
      <c r="BM114" s="354"/>
      <c r="BN114" s="354"/>
      <c r="BO114" s="355">
        <v>0</v>
      </c>
      <c r="BP114" s="888">
        <v>0</v>
      </c>
      <c r="BQ114" s="354"/>
      <c r="BR114" s="354"/>
      <c r="BS114" s="354"/>
      <c r="BT114" s="354"/>
      <c r="BU114" s="354"/>
      <c r="BV114" s="354"/>
      <c r="BW114" s="355">
        <f t="shared" si="8"/>
        <v>0</v>
      </c>
      <c r="BY114" s="33">
        <f t="shared" si="9"/>
        <v>0</v>
      </c>
      <c r="BZ114" s="33">
        <f t="shared" si="11"/>
        <v>0</v>
      </c>
      <c r="CA114" s="33">
        <f t="shared" si="11"/>
        <v>0</v>
      </c>
      <c r="CB114" s="33">
        <f t="shared" si="11"/>
        <v>0</v>
      </c>
      <c r="CC114" s="33">
        <f t="shared" si="11"/>
        <v>0</v>
      </c>
      <c r="CD114" s="33">
        <f t="shared" si="11"/>
        <v>0</v>
      </c>
      <c r="CE114" s="33">
        <f t="shared" si="11"/>
        <v>0</v>
      </c>
      <c r="CF114" s="33">
        <f t="shared" si="11"/>
        <v>0</v>
      </c>
      <c r="CG114" s="58">
        <f t="shared" si="10"/>
        <v>0</v>
      </c>
    </row>
    <row r="115" spans="1:85">
      <c r="A115" s="198">
        <v>1049</v>
      </c>
      <c r="B115" s="2">
        <v>103145</v>
      </c>
      <c r="C115" s="2" t="s">
        <v>253</v>
      </c>
      <c r="D115" s="2" t="s">
        <v>254</v>
      </c>
      <c r="E115" s="2" t="s">
        <v>36</v>
      </c>
      <c r="F115" s="208" t="s">
        <v>890</v>
      </c>
      <c r="H115" s="880">
        <v>0</v>
      </c>
      <c r="I115" s="880"/>
      <c r="J115" s="880"/>
      <c r="K115" s="880">
        <v>0</v>
      </c>
      <c r="L115" s="190">
        <v>0</v>
      </c>
      <c r="M115" s="190">
        <v>0</v>
      </c>
      <c r="N115" s="190">
        <v>0</v>
      </c>
      <c r="O115" s="190">
        <v>0</v>
      </c>
      <c r="P115" s="190">
        <v>0</v>
      </c>
      <c r="Q115" s="190">
        <v>0</v>
      </c>
      <c r="R115" s="190">
        <v>0</v>
      </c>
      <c r="S115" s="190">
        <v>0</v>
      </c>
      <c r="T115" s="209">
        <v>0</v>
      </c>
      <c r="U115" s="209"/>
      <c r="V115" s="209"/>
      <c r="W115" s="209"/>
      <c r="X115" s="190"/>
      <c r="Y115" s="190"/>
      <c r="Z115" s="190"/>
      <c r="AA115" s="190"/>
      <c r="AB115" s="190"/>
      <c r="AC115" s="190"/>
      <c r="AD115" s="190"/>
      <c r="AE115" s="190"/>
      <c r="AF115" s="209"/>
      <c r="AG115" s="209"/>
      <c r="AH115" s="209"/>
      <c r="AI115" s="67"/>
      <c r="AJ115" s="209"/>
      <c r="AK115" s="209"/>
      <c r="AL115" s="190"/>
      <c r="AM115" s="190"/>
      <c r="AN115" s="189"/>
      <c r="AO115" s="189"/>
      <c r="AP115" s="189"/>
      <c r="AQ115" s="348"/>
      <c r="AR115" s="348"/>
      <c r="AS115" s="354"/>
      <c r="AT115" s="354"/>
      <c r="AU115" s="354"/>
      <c r="AV115" s="196"/>
      <c r="AW115" s="354"/>
      <c r="AX115" s="354"/>
      <c r="AY115" s="354"/>
      <c r="AZ115" s="354"/>
      <c r="BA115" s="354"/>
      <c r="BB115" s="354"/>
      <c r="BC115" s="354"/>
      <c r="BD115" s="354"/>
      <c r="BE115" s="354"/>
      <c r="BF115" s="354"/>
      <c r="BG115" s="354"/>
      <c r="BH115" s="354"/>
      <c r="BI115" s="354"/>
      <c r="BJ115" s="354"/>
      <c r="BK115" s="354"/>
      <c r="BL115" s="354"/>
      <c r="BM115" s="354"/>
      <c r="BN115" s="354"/>
      <c r="BO115" s="355">
        <v>0</v>
      </c>
      <c r="BP115" s="888">
        <v>0</v>
      </c>
      <c r="BQ115" s="354"/>
      <c r="BR115" s="354"/>
      <c r="BS115" s="354"/>
      <c r="BT115" s="354"/>
      <c r="BU115" s="354"/>
      <c r="BV115" s="354"/>
      <c r="BW115" s="355">
        <f t="shared" si="8"/>
        <v>0</v>
      </c>
      <c r="BY115" s="33">
        <f t="shared" si="9"/>
        <v>0</v>
      </c>
      <c r="BZ115" s="33">
        <f t="shared" si="11"/>
        <v>0</v>
      </c>
      <c r="CA115" s="33">
        <f t="shared" si="11"/>
        <v>0</v>
      </c>
      <c r="CB115" s="33">
        <f t="shared" si="11"/>
        <v>0</v>
      </c>
      <c r="CC115" s="33">
        <f t="shared" si="11"/>
        <v>0</v>
      </c>
      <c r="CD115" s="33">
        <f t="shared" si="11"/>
        <v>0</v>
      </c>
      <c r="CE115" s="33">
        <f t="shared" si="11"/>
        <v>0</v>
      </c>
      <c r="CF115" s="33">
        <f t="shared" si="11"/>
        <v>0</v>
      </c>
      <c r="CG115" s="58">
        <f t="shared" si="10"/>
        <v>0</v>
      </c>
    </row>
    <row r="116" spans="1:85">
      <c r="A116" s="198">
        <v>3351</v>
      </c>
      <c r="B116" s="2">
        <v>103443</v>
      </c>
      <c r="C116" s="2" t="s">
        <v>255</v>
      </c>
      <c r="D116" s="2" t="s">
        <v>256</v>
      </c>
      <c r="E116" s="2" t="s">
        <v>39</v>
      </c>
      <c r="F116" s="208" t="s">
        <v>890</v>
      </c>
      <c r="H116" s="880">
        <v>0</v>
      </c>
      <c r="I116" s="880"/>
      <c r="J116" s="880"/>
      <c r="K116" s="880">
        <v>8895</v>
      </c>
      <c r="L116" s="190">
        <v>0</v>
      </c>
      <c r="M116" s="190">
        <v>0</v>
      </c>
      <c r="N116" s="190">
        <v>0</v>
      </c>
      <c r="O116" s="190">
        <v>0</v>
      </c>
      <c r="P116" s="190">
        <v>0</v>
      </c>
      <c r="Q116" s="190">
        <v>0</v>
      </c>
      <c r="R116" s="190">
        <v>0</v>
      </c>
      <c r="S116" s="190">
        <v>0</v>
      </c>
      <c r="T116" s="209">
        <v>0</v>
      </c>
      <c r="U116" s="209"/>
      <c r="V116" s="209"/>
      <c r="W116" s="209"/>
      <c r="X116" s="190"/>
      <c r="Y116" s="190"/>
      <c r="Z116" s="190"/>
      <c r="AA116" s="190"/>
      <c r="AB116" s="190"/>
      <c r="AC116" s="190"/>
      <c r="AD116" s="190"/>
      <c r="AE116" s="190"/>
      <c r="AF116" s="209"/>
      <c r="AG116" s="209"/>
      <c r="AH116" s="209"/>
      <c r="AI116" s="67"/>
      <c r="AJ116" s="209"/>
      <c r="AK116" s="209"/>
      <c r="AL116" s="190"/>
      <c r="AM116" s="190"/>
      <c r="AN116" s="189"/>
      <c r="AO116" s="189"/>
      <c r="AP116" s="189"/>
      <c r="AQ116" s="348"/>
      <c r="AR116" s="348"/>
      <c r="AS116" s="354"/>
      <c r="AT116" s="354"/>
      <c r="AU116" s="354"/>
      <c r="AV116" s="196"/>
      <c r="AW116" s="354"/>
      <c r="AX116" s="354"/>
      <c r="AY116" s="354"/>
      <c r="AZ116" s="354"/>
      <c r="BA116" s="354"/>
      <c r="BB116" s="354"/>
      <c r="BC116" s="354"/>
      <c r="BD116" s="354"/>
      <c r="BE116" s="354"/>
      <c r="BF116" s="354"/>
      <c r="BG116" s="354"/>
      <c r="BH116" s="354"/>
      <c r="BI116" s="354"/>
      <c r="BJ116" s="354"/>
      <c r="BK116" s="354"/>
      <c r="BL116" s="354"/>
      <c r="BM116" s="354"/>
      <c r="BN116" s="354"/>
      <c r="BO116" s="355">
        <v>1528.75</v>
      </c>
      <c r="BP116" s="888">
        <v>-27.5</v>
      </c>
      <c r="BQ116" s="354"/>
      <c r="BR116" s="354"/>
      <c r="BS116" s="354"/>
      <c r="BT116" s="354"/>
      <c r="BU116" s="354"/>
      <c r="BV116" s="354"/>
      <c r="BW116" s="355">
        <f t="shared" si="8"/>
        <v>10396.25</v>
      </c>
      <c r="BY116" s="33">
        <f t="shared" si="9"/>
        <v>0</v>
      </c>
      <c r="BZ116" s="33">
        <f t="shared" si="11"/>
        <v>0</v>
      </c>
      <c r="CA116" s="33">
        <f t="shared" si="11"/>
        <v>0</v>
      </c>
      <c r="CB116" s="33">
        <f t="shared" si="11"/>
        <v>0</v>
      </c>
      <c r="CC116" s="33">
        <f t="shared" si="11"/>
        <v>8895</v>
      </c>
      <c r="CD116" s="33">
        <f t="shared" si="11"/>
        <v>1528.75</v>
      </c>
      <c r="CE116" s="33">
        <f t="shared" si="11"/>
        <v>0</v>
      </c>
      <c r="CF116" s="33">
        <f t="shared" si="11"/>
        <v>-27.5</v>
      </c>
      <c r="CG116" s="58">
        <f t="shared" si="10"/>
        <v>10423.75</v>
      </c>
    </row>
    <row r="117" spans="1:85">
      <c r="A117" s="198">
        <v>3328</v>
      </c>
      <c r="B117" s="2">
        <v>103430</v>
      </c>
      <c r="C117" s="2" t="s">
        <v>257</v>
      </c>
      <c r="D117" s="2" t="s">
        <v>258</v>
      </c>
      <c r="E117" s="2" t="s">
        <v>39</v>
      </c>
      <c r="F117" s="208" t="s">
        <v>890</v>
      </c>
      <c r="H117" s="880">
        <v>0</v>
      </c>
      <c r="I117" s="880"/>
      <c r="J117" s="880"/>
      <c r="K117" s="880">
        <v>8890</v>
      </c>
      <c r="L117" s="190">
        <v>0</v>
      </c>
      <c r="M117" s="190">
        <v>0</v>
      </c>
      <c r="N117" s="190">
        <v>0</v>
      </c>
      <c r="O117" s="190">
        <v>0</v>
      </c>
      <c r="P117" s="190">
        <v>0</v>
      </c>
      <c r="Q117" s="190">
        <v>0</v>
      </c>
      <c r="R117" s="190">
        <v>0</v>
      </c>
      <c r="S117" s="190">
        <v>0</v>
      </c>
      <c r="T117" s="209">
        <v>0</v>
      </c>
      <c r="U117" s="209"/>
      <c r="V117" s="209"/>
      <c r="W117" s="209"/>
      <c r="X117" s="190"/>
      <c r="Y117" s="190"/>
      <c r="Z117" s="190"/>
      <c r="AA117" s="190"/>
      <c r="AB117" s="190"/>
      <c r="AC117" s="190"/>
      <c r="AD117" s="190"/>
      <c r="AE117" s="190"/>
      <c r="AF117" s="209"/>
      <c r="AG117" s="209"/>
      <c r="AH117" s="209"/>
      <c r="AI117" s="67"/>
      <c r="AJ117" s="209"/>
      <c r="AK117" s="209"/>
      <c r="AL117" s="190"/>
      <c r="AM117" s="190"/>
      <c r="AN117" s="189"/>
      <c r="AO117" s="189"/>
      <c r="AP117" s="189"/>
      <c r="AQ117" s="348"/>
      <c r="AR117" s="348"/>
      <c r="AS117" s="354"/>
      <c r="AT117" s="354"/>
      <c r="AU117" s="354"/>
      <c r="AV117" s="196"/>
      <c r="AW117" s="354"/>
      <c r="AX117" s="354"/>
      <c r="AY117" s="354"/>
      <c r="AZ117" s="354"/>
      <c r="BA117" s="354"/>
      <c r="BB117" s="354"/>
      <c r="BC117" s="354"/>
      <c r="BD117" s="354"/>
      <c r="BE117" s="354"/>
      <c r="BF117" s="354"/>
      <c r="BG117" s="354"/>
      <c r="BH117" s="354"/>
      <c r="BI117" s="354"/>
      <c r="BJ117" s="354"/>
      <c r="BK117" s="354"/>
      <c r="BL117" s="354"/>
      <c r="BM117" s="354"/>
      <c r="BN117" s="354"/>
      <c r="BO117" s="355">
        <v>1589.19</v>
      </c>
      <c r="BP117" s="888">
        <v>-8.1999999999999993</v>
      </c>
      <c r="BQ117" s="354"/>
      <c r="BR117" s="354"/>
      <c r="BS117" s="354"/>
      <c r="BT117" s="354"/>
      <c r="BU117" s="354"/>
      <c r="BV117" s="354"/>
      <c r="BW117" s="355">
        <f t="shared" si="8"/>
        <v>10470.99</v>
      </c>
      <c r="BY117" s="33">
        <f t="shared" si="9"/>
        <v>0</v>
      </c>
      <c r="BZ117" s="33">
        <f t="shared" si="11"/>
        <v>0</v>
      </c>
      <c r="CA117" s="33">
        <f t="shared" si="11"/>
        <v>0</v>
      </c>
      <c r="CB117" s="33">
        <f t="shared" si="11"/>
        <v>0</v>
      </c>
      <c r="CC117" s="33">
        <f t="shared" si="11"/>
        <v>8890</v>
      </c>
      <c r="CD117" s="33">
        <f t="shared" si="11"/>
        <v>1589.19</v>
      </c>
      <c r="CE117" s="33">
        <f t="shared" si="11"/>
        <v>0</v>
      </c>
      <c r="CF117" s="33">
        <f t="shared" si="11"/>
        <v>-8.1999999999999993</v>
      </c>
      <c r="CG117" s="58">
        <f t="shared" si="10"/>
        <v>10479.19</v>
      </c>
    </row>
    <row r="118" spans="1:85">
      <c r="A118" s="198">
        <v>2150</v>
      </c>
      <c r="B118" s="2">
        <v>103241</v>
      </c>
      <c r="C118" s="2" t="s">
        <v>259</v>
      </c>
      <c r="D118" s="2" t="s">
        <v>260</v>
      </c>
      <c r="E118" s="2" t="s">
        <v>39</v>
      </c>
      <c r="F118" s="208" t="s">
        <v>890</v>
      </c>
      <c r="H118" s="880">
        <v>0</v>
      </c>
      <c r="I118" s="880"/>
      <c r="J118" s="880"/>
      <c r="K118" s="880">
        <v>9155</v>
      </c>
      <c r="L118" s="190">
        <v>0</v>
      </c>
      <c r="M118" s="190">
        <v>0</v>
      </c>
      <c r="N118" s="190">
        <v>0</v>
      </c>
      <c r="O118" s="190">
        <v>0</v>
      </c>
      <c r="P118" s="190">
        <v>0</v>
      </c>
      <c r="Q118" s="190">
        <v>0</v>
      </c>
      <c r="R118" s="190">
        <v>0</v>
      </c>
      <c r="S118" s="190">
        <v>0</v>
      </c>
      <c r="T118" s="209">
        <v>0</v>
      </c>
      <c r="U118" s="209"/>
      <c r="V118" s="209"/>
      <c r="W118" s="209"/>
      <c r="X118" s="190"/>
      <c r="Y118" s="190"/>
      <c r="Z118" s="190"/>
      <c r="AA118" s="190"/>
      <c r="AB118" s="190"/>
      <c r="AC118" s="190"/>
      <c r="AD118" s="190"/>
      <c r="AE118" s="190"/>
      <c r="AF118" s="209"/>
      <c r="AG118" s="209"/>
      <c r="AH118" s="209"/>
      <c r="AI118" s="67"/>
      <c r="AJ118" s="209"/>
      <c r="AK118" s="209"/>
      <c r="AL118" s="190"/>
      <c r="AM118" s="190"/>
      <c r="AN118" s="189"/>
      <c r="AO118" s="189"/>
      <c r="AP118" s="189"/>
      <c r="AQ118" s="348"/>
      <c r="AR118" s="348"/>
      <c r="AS118" s="354"/>
      <c r="AT118" s="354"/>
      <c r="AU118" s="354"/>
      <c r="AV118" s="196"/>
      <c r="AW118" s="354"/>
      <c r="AX118" s="354"/>
      <c r="AY118" s="354"/>
      <c r="AZ118" s="354"/>
      <c r="BA118" s="354"/>
      <c r="BB118" s="354"/>
      <c r="BC118" s="354"/>
      <c r="BD118" s="354"/>
      <c r="BE118" s="354"/>
      <c r="BF118" s="354"/>
      <c r="BG118" s="354"/>
      <c r="BH118" s="354"/>
      <c r="BI118" s="354"/>
      <c r="BJ118" s="354"/>
      <c r="BK118" s="354"/>
      <c r="BL118" s="354"/>
      <c r="BM118" s="354"/>
      <c r="BN118" s="354"/>
      <c r="BO118" s="355">
        <v>0</v>
      </c>
      <c r="BP118" s="888">
        <v>-27.23</v>
      </c>
      <c r="BQ118" s="354"/>
      <c r="BR118" s="354"/>
      <c r="BS118" s="354"/>
      <c r="BT118" s="354"/>
      <c r="BU118" s="354"/>
      <c r="BV118" s="354"/>
      <c r="BW118" s="355">
        <f t="shared" si="8"/>
        <v>9127.77</v>
      </c>
      <c r="BY118" s="33">
        <f t="shared" si="9"/>
        <v>0</v>
      </c>
      <c r="BZ118" s="33">
        <f t="shared" si="11"/>
        <v>0</v>
      </c>
      <c r="CA118" s="33">
        <f t="shared" si="11"/>
        <v>0</v>
      </c>
      <c r="CB118" s="33">
        <f t="shared" si="11"/>
        <v>0</v>
      </c>
      <c r="CC118" s="33">
        <f t="shared" si="11"/>
        <v>9155</v>
      </c>
      <c r="CD118" s="33">
        <f t="shared" si="11"/>
        <v>0</v>
      </c>
      <c r="CE118" s="33">
        <f t="shared" si="11"/>
        <v>0</v>
      </c>
      <c r="CF118" s="33">
        <f t="shared" si="11"/>
        <v>-27.23</v>
      </c>
      <c r="CG118" s="58">
        <f t="shared" si="10"/>
        <v>9155</v>
      </c>
    </row>
    <row r="119" spans="1:85">
      <c r="A119" s="198">
        <v>2425</v>
      </c>
      <c r="B119" s="2">
        <v>103356</v>
      </c>
      <c r="C119" s="2" t="s">
        <v>261</v>
      </c>
      <c r="D119" s="2" t="s">
        <v>262</v>
      </c>
      <c r="E119" s="2" t="s">
        <v>39</v>
      </c>
      <c r="F119" s="208" t="s">
        <v>890</v>
      </c>
      <c r="H119" s="880">
        <v>0</v>
      </c>
      <c r="I119" s="880"/>
      <c r="J119" s="880"/>
      <c r="K119" s="880">
        <v>8905</v>
      </c>
      <c r="L119" s="190">
        <v>0</v>
      </c>
      <c r="M119" s="190">
        <v>0</v>
      </c>
      <c r="N119" s="190">
        <v>0</v>
      </c>
      <c r="O119" s="190">
        <v>0</v>
      </c>
      <c r="P119" s="190">
        <v>0</v>
      </c>
      <c r="Q119" s="190">
        <v>0</v>
      </c>
      <c r="R119" s="190">
        <v>0</v>
      </c>
      <c r="S119" s="190">
        <v>0</v>
      </c>
      <c r="T119" s="209">
        <v>0</v>
      </c>
      <c r="U119" s="209"/>
      <c r="V119" s="209"/>
      <c r="W119" s="209"/>
      <c r="X119" s="190"/>
      <c r="Y119" s="190"/>
      <c r="Z119" s="190"/>
      <c r="AA119" s="190"/>
      <c r="AB119" s="190"/>
      <c r="AC119" s="190"/>
      <c r="AD119" s="190"/>
      <c r="AE119" s="190"/>
      <c r="AF119" s="209"/>
      <c r="AG119" s="209"/>
      <c r="AH119" s="209"/>
      <c r="AI119" s="67"/>
      <c r="AJ119" s="209"/>
      <c r="AK119" s="209"/>
      <c r="AL119" s="190"/>
      <c r="AM119" s="190"/>
      <c r="AN119" s="189"/>
      <c r="AO119" s="189"/>
      <c r="AP119" s="189"/>
      <c r="AQ119" s="348"/>
      <c r="AR119" s="348"/>
      <c r="AS119" s="354"/>
      <c r="AT119" s="354"/>
      <c r="AU119" s="354"/>
      <c r="AV119" s="196"/>
      <c r="AW119" s="354"/>
      <c r="AX119" s="354"/>
      <c r="AY119" s="354"/>
      <c r="AZ119" s="354"/>
      <c r="BA119" s="354"/>
      <c r="BB119" s="354"/>
      <c r="BC119" s="354"/>
      <c r="BD119" s="354"/>
      <c r="BE119" s="354"/>
      <c r="BF119" s="354"/>
      <c r="BG119" s="354"/>
      <c r="BH119" s="354"/>
      <c r="BI119" s="354"/>
      <c r="BJ119" s="354"/>
      <c r="BK119" s="354"/>
      <c r="BL119" s="354"/>
      <c r="BM119" s="354"/>
      <c r="BN119" s="354"/>
      <c r="BO119" s="355">
        <v>0</v>
      </c>
      <c r="BP119" s="888">
        <v>-42.69</v>
      </c>
      <c r="BQ119" s="354"/>
      <c r="BR119" s="354"/>
      <c r="BS119" s="354"/>
      <c r="BT119" s="354"/>
      <c r="BU119" s="354"/>
      <c r="BV119" s="354"/>
      <c r="BW119" s="355">
        <f t="shared" si="8"/>
        <v>8862.31</v>
      </c>
      <c r="BY119" s="33">
        <f t="shared" si="9"/>
        <v>0</v>
      </c>
      <c r="BZ119" s="33">
        <f t="shared" si="11"/>
        <v>0</v>
      </c>
      <c r="CA119" s="33">
        <f t="shared" si="11"/>
        <v>0</v>
      </c>
      <c r="CB119" s="33">
        <f t="shared" si="11"/>
        <v>0</v>
      </c>
      <c r="CC119" s="33">
        <f t="shared" si="11"/>
        <v>8905</v>
      </c>
      <c r="CD119" s="33">
        <f t="shared" si="11"/>
        <v>0</v>
      </c>
      <c r="CE119" s="33">
        <f t="shared" si="11"/>
        <v>0</v>
      </c>
      <c r="CF119" s="33">
        <f t="shared" si="11"/>
        <v>-42.69</v>
      </c>
      <c r="CG119" s="58">
        <f t="shared" si="10"/>
        <v>8905</v>
      </c>
    </row>
    <row r="120" spans="1:85">
      <c r="A120" s="198">
        <v>1008</v>
      </c>
      <c r="B120" s="2">
        <v>103123</v>
      </c>
      <c r="C120" s="2" t="s">
        <v>263</v>
      </c>
      <c r="D120" s="2" t="s">
        <v>264</v>
      </c>
      <c r="E120" s="2" t="s">
        <v>36</v>
      </c>
      <c r="F120" s="208" t="s">
        <v>890</v>
      </c>
      <c r="H120" s="880">
        <v>0</v>
      </c>
      <c r="I120" s="880"/>
      <c r="J120" s="880"/>
      <c r="K120" s="880">
        <v>0</v>
      </c>
      <c r="L120" s="190">
        <v>0</v>
      </c>
      <c r="M120" s="190">
        <v>0</v>
      </c>
      <c r="N120" s="190">
        <v>0</v>
      </c>
      <c r="O120" s="190">
        <v>0</v>
      </c>
      <c r="P120" s="190">
        <v>0</v>
      </c>
      <c r="Q120" s="190">
        <v>0</v>
      </c>
      <c r="R120" s="190">
        <v>0</v>
      </c>
      <c r="S120" s="190">
        <v>0</v>
      </c>
      <c r="T120" s="209">
        <v>0</v>
      </c>
      <c r="U120" s="209"/>
      <c r="V120" s="209"/>
      <c r="W120" s="209"/>
      <c r="X120" s="190"/>
      <c r="Y120" s="190"/>
      <c r="Z120" s="190"/>
      <c r="AA120" s="190"/>
      <c r="AB120" s="190"/>
      <c r="AC120" s="190"/>
      <c r="AD120" s="190"/>
      <c r="AE120" s="190"/>
      <c r="AF120" s="209"/>
      <c r="AG120" s="209"/>
      <c r="AH120" s="209"/>
      <c r="AI120" s="67"/>
      <c r="AJ120" s="209"/>
      <c r="AK120" s="209"/>
      <c r="AL120" s="190"/>
      <c r="AM120" s="190"/>
      <c r="AN120" s="189"/>
      <c r="AO120" s="189"/>
      <c r="AP120" s="189"/>
      <c r="AQ120" s="348"/>
      <c r="AR120" s="348"/>
      <c r="AS120" s="354"/>
      <c r="AT120" s="354"/>
      <c r="AU120" s="354"/>
      <c r="AV120" s="196"/>
      <c r="AW120" s="354"/>
      <c r="AX120" s="354"/>
      <c r="AY120" s="354"/>
      <c r="AZ120" s="354"/>
      <c r="BA120" s="354"/>
      <c r="BB120" s="354"/>
      <c r="BC120" s="354"/>
      <c r="BD120" s="354"/>
      <c r="BE120" s="354"/>
      <c r="BF120" s="354"/>
      <c r="BG120" s="354"/>
      <c r="BH120" s="354"/>
      <c r="BI120" s="354"/>
      <c r="BJ120" s="354"/>
      <c r="BK120" s="354"/>
      <c r="BL120" s="354"/>
      <c r="BM120" s="354"/>
      <c r="BN120" s="354"/>
      <c r="BO120" s="355">
        <v>368.5</v>
      </c>
      <c r="BP120" s="888">
        <v>-25.85</v>
      </c>
      <c r="BQ120" s="354"/>
      <c r="BR120" s="354"/>
      <c r="BS120" s="354"/>
      <c r="BT120" s="354"/>
      <c r="BU120" s="354"/>
      <c r="BV120" s="354"/>
      <c r="BW120" s="355">
        <f t="shared" si="8"/>
        <v>342.65</v>
      </c>
      <c r="BY120" s="33">
        <f t="shared" si="9"/>
        <v>0</v>
      </c>
      <c r="BZ120" s="33">
        <f t="shared" si="11"/>
        <v>0</v>
      </c>
      <c r="CA120" s="33">
        <f t="shared" si="11"/>
        <v>0</v>
      </c>
      <c r="CB120" s="33">
        <f t="shared" si="11"/>
        <v>0</v>
      </c>
      <c r="CC120" s="33">
        <f t="shared" si="11"/>
        <v>0</v>
      </c>
      <c r="CD120" s="33">
        <f t="shared" si="11"/>
        <v>368.5</v>
      </c>
      <c r="CE120" s="33">
        <f t="shared" si="11"/>
        <v>0</v>
      </c>
      <c r="CF120" s="33">
        <f t="shared" si="11"/>
        <v>-25.85</v>
      </c>
      <c r="CG120" s="58">
        <f t="shared" si="10"/>
        <v>368.5</v>
      </c>
    </row>
    <row r="121" spans="1:85">
      <c r="A121" s="198">
        <v>7034</v>
      </c>
      <c r="B121" s="2">
        <v>103614</v>
      </c>
      <c r="C121" s="2" t="s">
        <v>265</v>
      </c>
      <c r="D121" s="2" t="s">
        <v>266</v>
      </c>
      <c r="E121" s="2" t="s">
        <v>56</v>
      </c>
      <c r="F121" s="208" t="s">
        <v>890</v>
      </c>
      <c r="H121" s="880">
        <v>0</v>
      </c>
      <c r="I121" s="880"/>
      <c r="J121" s="880"/>
      <c r="K121" s="880">
        <v>8140</v>
      </c>
      <c r="L121" s="190">
        <v>0</v>
      </c>
      <c r="M121" s="190">
        <v>0</v>
      </c>
      <c r="N121" s="190">
        <v>0</v>
      </c>
      <c r="O121" s="190">
        <v>0</v>
      </c>
      <c r="P121" s="190">
        <v>0</v>
      </c>
      <c r="Q121" s="190">
        <v>0</v>
      </c>
      <c r="R121" s="190">
        <v>0</v>
      </c>
      <c r="S121" s="190">
        <v>0</v>
      </c>
      <c r="T121" s="209">
        <v>0</v>
      </c>
      <c r="U121" s="209"/>
      <c r="V121" s="209"/>
      <c r="W121" s="209"/>
      <c r="X121" s="190"/>
      <c r="Y121" s="190"/>
      <c r="Z121" s="190"/>
      <c r="AA121" s="190"/>
      <c r="AB121" s="190"/>
      <c r="AC121" s="190"/>
      <c r="AD121" s="190"/>
      <c r="AE121" s="190"/>
      <c r="AF121" s="209"/>
      <c r="AG121" s="209"/>
      <c r="AH121" s="209"/>
      <c r="AI121" s="67"/>
      <c r="AJ121" s="209"/>
      <c r="AK121" s="209"/>
      <c r="AL121" s="190"/>
      <c r="AM121" s="190"/>
      <c r="AN121" s="189"/>
      <c r="AO121" s="189"/>
      <c r="AP121" s="189"/>
      <c r="AQ121" s="348"/>
      <c r="AR121" s="348"/>
      <c r="AS121" s="354"/>
      <c r="AT121" s="354"/>
      <c r="AU121" s="354"/>
      <c r="AV121" s="196"/>
      <c r="AW121" s="354"/>
      <c r="AX121" s="354"/>
      <c r="AY121" s="354"/>
      <c r="AZ121" s="354"/>
      <c r="BA121" s="354"/>
      <c r="BB121" s="354"/>
      <c r="BC121" s="354"/>
      <c r="BD121" s="354"/>
      <c r="BE121" s="354"/>
      <c r="BF121" s="354"/>
      <c r="BG121" s="354"/>
      <c r="BH121" s="354"/>
      <c r="BI121" s="354"/>
      <c r="BJ121" s="354"/>
      <c r="BK121" s="354"/>
      <c r="BL121" s="354"/>
      <c r="BM121" s="354"/>
      <c r="BN121" s="354"/>
      <c r="BO121" s="355">
        <v>1605.37</v>
      </c>
      <c r="BP121" s="888">
        <v>-37.51</v>
      </c>
      <c r="BQ121" s="354"/>
      <c r="BR121" s="354"/>
      <c r="BS121" s="354"/>
      <c r="BT121" s="354"/>
      <c r="BU121" s="354"/>
      <c r="BV121" s="354"/>
      <c r="BW121" s="355">
        <f t="shared" si="8"/>
        <v>9707.8599999999988</v>
      </c>
      <c r="BY121" s="33">
        <f t="shared" si="9"/>
        <v>0</v>
      </c>
      <c r="BZ121" s="33">
        <f t="shared" si="11"/>
        <v>0</v>
      </c>
      <c r="CA121" s="33">
        <f t="shared" si="11"/>
        <v>0</v>
      </c>
      <c r="CB121" s="33">
        <f t="shared" si="11"/>
        <v>0</v>
      </c>
      <c r="CC121" s="33">
        <f t="shared" si="11"/>
        <v>8140</v>
      </c>
      <c r="CD121" s="33">
        <f t="shared" si="11"/>
        <v>1605.37</v>
      </c>
      <c r="CE121" s="33">
        <f t="shared" si="11"/>
        <v>0</v>
      </c>
      <c r="CF121" s="33">
        <f t="shared" si="11"/>
        <v>-37.51</v>
      </c>
      <c r="CG121" s="58">
        <f t="shared" si="10"/>
        <v>9745.369999999999</v>
      </c>
    </row>
    <row r="122" spans="1:85">
      <c r="A122" s="198">
        <v>4173</v>
      </c>
      <c r="B122" s="2">
        <v>103497</v>
      </c>
      <c r="C122" s="2" t="s">
        <v>267</v>
      </c>
      <c r="D122" s="2" t="s">
        <v>268</v>
      </c>
      <c r="E122" s="2" t="s">
        <v>71</v>
      </c>
      <c r="F122" s="208" t="s">
        <v>890</v>
      </c>
      <c r="H122" s="880">
        <v>0</v>
      </c>
      <c r="I122" s="880"/>
      <c r="J122" s="880"/>
      <c r="K122" s="880">
        <v>0</v>
      </c>
      <c r="L122" s="190">
        <v>0</v>
      </c>
      <c r="M122" s="190">
        <v>0</v>
      </c>
      <c r="N122" s="190">
        <v>0</v>
      </c>
      <c r="O122" s="190">
        <v>0</v>
      </c>
      <c r="P122" s="190">
        <v>0</v>
      </c>
      <c r="Q122" s="190">
        <v>0</v>
      </c>
      <c r="R122" s="190">
        <v>0</v>
      </c>
      <c r="S122" s="190">
        <v>0</v>
      </c>
      <c r="T122" s="209">
        <v>0</v>
      </c>
      <c r="U122" s="209"/>
      <c r="V122" s="209"/>
      <c r="W122" s="209"/>
      <c r="X122" s="190"/>
      <c r="Y122" s="190"/>
      <c r="Z122" s="190"/>
      <c r="AA122" s="190"/>
      <c r="AB122" s="190"/>
      <c r="AC122" s="190"/>
      <c r="AD122" s="190"/>
      <c r="AE122" s="190"/>
      <c r="AF122" s="209"/>
      <c r="AG122" s="209"/>
      <c r="AH122" s="209"/>
      <c r="AI122" s="67"/>
      <c r="AJ122" s="209"/>
      <c r="AK122" s="209"/>
      <c r="AL122" s="190"/>
      <c r="AM122" s="190"/>
      <c r="AN122" s="189"/>
      <c r="AO122" s="189"/>
      <c r="AP122" s="189"/>
      <c r="AQ122" s="348"/>
      <c r="AR122" s="348"/>
      <c r="AS122" s="354"/>
      <c r="AT122" s="354"/>
      <c r="AU122" s="354"/>
      <c r="AV122" s="196"/>
      <c r="AW122" s="354"/>
      <c r="AX122" s="354"/>
      <c r="AY122" s="354"/>
      <c r="AZ122" s="354"/>
      <c r="BA122" s="354"/>
      <c r="BB122" s="354"/>
      <c r="BC122" s="354"/>
      <c r="BD122" s="354"/>
      <c r="BE122" s="354"/>
      <c r="BF122" s="354"/>
      <c r="BG122" s="354"/>
      <c r="BH122" s="354"/>
      <c r="BI122" s="354"/>
      <c r="BJ122" s="354"/>
      <c r="BK122" s="354"/>
      <c r="BL122" s="354"/>
      <c r="BM122" s="354"/>
      <c r="BN122" s="354"/>
      <c r="BO122" s="355">
        <v>0</v>
      </c>
      <c r="BP122" s="888">
        <v>0</v>
      </c>
      <c r="BQ122" s="354"/>
      <c r="BR122" s="354"/>
      <c r="BS122" s="354"/>
      <c r="BT122" s="354"/>
      <c r="BU122" s="354"/>
      <c r="BV122" s="354"/>
      <c r="BW122" s="355">
        <f t="shared" si="8"/>
        <v>0</v>
      </c>
      <c r="BY122" s="33">
        <f t="shared" si="9"/>
        <v>0</v>
      </c>
      <c r="BZ122" s="33">
        <f t="shared" si="11"/>
        <v>0</v>
      </c>
      <c r="CA122" s="33">
        <f t="shared" si="11"/>
        <v>0</v>
      </c>
      <c r="CB122" s="33">
        <f t="shared" si="11"/>
        <v>0</v>
      </c>
      <c r="CC122" s="33">
        <f t="shared" si="11"/>
        <v>0</v>
      </c>
      <c r="CD122" s="33">
        <f t="shared" si="11"/>
        <v>0</v>
      </c>
      <c r="CE122" s="33">
        <f t="shared" si="11"/>
        <v>0</v>
      </c>
      <c r="CF122" s="33">
        <f t="shared" si="11"/>
        <v>0</v>
      </c>
      <c r="CG122" s="58">
        <f t="shared" si="10"/>
        <v>0</v>
      </c>
    </row>
    <row r="123" spans="1:85">
      <c r="A123" s="198">
        <v>2157</v>
      </c>
      <c r="B123" s="2">
        <v>103246</v>
      </c>
      <c r="C123" s="2" t="s">
        <v>269</v>
      </c>
      <c r="D123" s="2" t="s">
        <v>270</v>
      </c>
      <c r="E123" s="2" t="s">
        <v>39</v>
      </c>
      <c r="F123" s="208" t="s">
        <v>890</v>
      </c>
      <c r="H123" s="880">
        <v>0</v>
      </c>
      <c r="I123" s="880"/>
      <c r="J123" s="880"/>
      <c r="K123" s="880">
        <v>9655</v>
      </c>
      <c r="L123" s="190">
        <v>0</v>
      </c>
      <c r="M123" s="190">
        <v>0</v>
      </c>
      <c r="N123" s="190">
        <v>0</v>
      </c>
      <c r="O123" s="190">
        <v>0</v>
      </c>
      <c r="P123" s="190">
        <v>0</v>
      </c>
      <c r="Q123" s="190">
        <v>0</v>
      </c>
      <c r="R123" s="190">
        <v>0</v>
      </c>
      <c r="S123" s="190">
        <v>0</v>
      </c>
      <c r="T123" s="209">
        <v>0</v>
      </c>
      <c r="U123" s="209"/>
      <c r="V123" s="209"/>
      <c r="W123" s="209"/>
      <c r="X123" s="190"/>
      <c r="Y123" s="190"/>
      <c r="Z123" s="190"/>
      <c r="AA123" s="190"/>
      <c r="AB123" s="190"/>
      <c r="AC123" s="190"/>
      <c r="AD123" s="190"/>
      <c r="AE123" s="190"/>
      <c r="AF123" s="209"/>
      <c r="AG123" s="209"/>
      <c r="AH123" s="209"/>
      <c r="AI123" s="67"/>
      <c r="AJ123" s="209"/>
      <c r="AK123" s="209"/>
      <c r="AL123" s="190"/>
      <c r="AM123" s="190"/>
      <c r="AN123" s="189"/>
      <c r="AO123" s="189"/>
      <c r="AP123" s="189"/>
      <c r="AQ123" s="348"/>
      <c r="AR123" s="348"/>
      <c r="AS123" s="354"/>
      <c r="AT123" s="354"/>
      <c r="AU123" s="354"/>
      <c r="AV123" s="196"/>
      <c r="AW123" s="354"/>
      <c r="AX123" s="354"/>
      <c r="AY123" s="354"/>
      <c r="AZ123" s="354"/>
      <c r="BA123" s="354"/>
      <c r="BB123" s="354"/>
      <c r="BC123" s="354"/>
      <c r="BD123" s="354"/>
      <c r="BE123" s="354"/>
      <c r="BF123" s="354"/>
      <c r="BG123" s="354"/>
      <c r="BH123" s="354"/>
      <c r="BI123" s="354"/>
      <c r="BJ123" s="354"/>
      <c r="BK123" s="354"/>
      <c r="BL123" s="354"/>
      <c r="BM123" s="354"/>
      <c r="BN123" s="354"/>
      <c r="BO123" s="355">
        <v>0</v>
      </c>
      <c r="BP123" s="888">
        <v>-80.099999999999994</v>
      </c>
      <c r="BQ123" s="354"/>
      <c r="BR123" s="354"/>
      <c r="BS123" s="354"/>
      <c r="BT123" s="354"/>
      <c r="BU123" s="354"/>
      <c r="BV123" s="354"/>
      <c r="BW123" s="355">
        <f t="shared" si="8"/>
        <v>9574.9</v>
      </c>
      <c r="BY123" s="33">
        <f t="shared" si="9"/>
        <v>0</v>
      </c>
      <c r="BZ123" s="33">
        <f t="shared" si="11"/>
        <v>0</v>
      </c>
      <c r="CA123" s="33">
        <f t="shared" si="11"/>
        <v>0</v>
      </c>
      <c r="CB123" s="33">
        <f t="shared" si="11"/>
        <v>0</v>
      </c>
      <c r="CC123" s="33">
        <f t="shared" si="11"/>
        <v>9655</v>
      </c>
      <c r="CD123" s="33">
        <f t="shared" si="11"/>
        <v>0</v>
      </c>
      <c r="CE123" s="33">
        <f t="shared" si="11"/>
        <v>0</v>
      </c>
      <c r="CF123" s="33">
        <f t="shared" si="11"/>
        <v>-80.099999999999994</v>
      </c>
      <c r="CG123" s="58">
        <f t="shared" si="10"/>
        <v>9655</v>
      </c>
    </row>
    <row r="124" spans="1:85">
      <c r="A124" s="198">
        <v>2159</v>
      </c>
      <c r="B124" s="2">
        <v>103247</v>
      </c>
      <c r="C124" s="2" t="s">
        <v>271</v>
      </c>
      <c r="D124" s="2" t="s">
        <v>272</v>
      </c>
      <c r="E124" s="2" t="s">
        <v>39</v>
      </c>
      <c r="F124" s="208" t="s">
        <v>890</v>
      </c>
      <c r="H124" s="880">
        <v>0</v>
      </c>
      <c r="I124" s="880"/>
      <c r="J124" s="880"/>
      <c r="K124" s="880">
        <v>8860</v>
      </c>
      <c r="L124" s="190">
        <v>0</v>
      </c>
      <c r="M124" s="190">
        <v>0</v>
      </c>
      <c r="N124" s="190">
        <v>0</v>
      </c>
      <c r="O124" s="190">
        <v>0</v>
      </c>
      <c r="P124" s="190">
        <v>0</v>
      </c>
      <c r="Q124" s="190">
        <v>0</v>
      </c>
      <c r="R124" s="190">
        <v>0</v>
      </c>
      <c r="S124" s="190">
        <v>0</v>
      </c>
      <c r="T124" s="209">
        <v>2580.52</v>
      </c>
      <c r="U124" s="209"/>
      <c r="V124" s="209"/>
      <c r="W124" s="209"/>
      <c r="X124" s="190"/>
      <c r="Y124" s="190"/>
      <c r="Z124" s="190"/>
      <c r="AA124" s="190"/>
      <c r="AB124" s="190"/>
      <c r="AC124" s="190"/>
      <c r="AD124" s="190"/>
      <c r="AE124" s="190"/>
      <c r="AF124" s="209"/>
      <c r="AG124" s="209"/>
      <c r="AH124" s="209"/>
      <c r="AI124" s="67"/>
      <c r="AJ124" s="209"/>
      <c r="AK124" s="209"/>
      <c r="AL124" s="190"/>
      <c r="AM124" s="190"/>
      <c r="AN124" s="189"/>
      <c r="AO124" s="189"/>
      <c r="AP124" s="189"/>
      <c r="AQ124" s="348"/>
      <c r="AR124" s="348"/>
      <c r="AS124" s="354"/>
      <c r="AT124" s="354"/>
      <c r="AU124" s="354"/>
      <c r="AV124" s="196"/>
      <c r="AW124" s="354"/>
      <c r="AX124" s="354"/>
      <c r="AY124" s="354"/>
      <c r="AZ124" s="354"/>
      <c r="BA124" s="354"/>
      <c r="BB124" s="354"/>
      <c r="BC124" s="354"/>
      <c r="BD124" s="354"/>
      <c r="BE124" s="354"/>
      <c r="BF124" s="354"/>
      <c r="BG124" s="354"/>
      <c r="BH124" s="354"/>
      <c r="BI124" s="354"/>
      <c r="BJ124" s="354"/>
      <c r="BK124" s="354"/>
      <c r="BL124" s="354"/>
      <c r="BM124" s="354"/>
      <c r="BN124" s="354"/>
      <c r="BO124" s="355">
        <v>538.98</v>
      </c>
      <c r="BP124" s="888">
        <v>-2.16</v>
      </c>
      <c r="BQ124" s="354"/>
      <c r="BR124" s="354"/>
      <c r="BS124" s="354"/>
      <c r="BT124" s="354"/>
      <c r="BU124" s="354"/>
      <c r="BV124" s="354"/>
      <c r="BW124" s="355">
        <f t="shared" si="8"/>
        <v>11977.34</v>
      </c>
      <c r="BY124" s="33">
        <f t="shared" si="9"/>
        <v>0</v>
      </c>
      <c r="BZ124" s="33">
        <f t="shared" si="11"/>
        <v>0</v>
      </c>
      <c r="CA124" s="33">
        <f t="shared" si="11"/>
        <v>0</v>
      </c>
      <c r="CB124" s="33">
        <f t="shared" si="11"/>
        <v>0</v>
      </c>
      <c r="CC124" s="33">
        <f t="shared" si="11"/>
        <v>11440.52</v>
      </c>
      <c r="CD124" s="33">
        <f t="shared" si="11"/>
        <v>538.98</v>
      </c>
      <c r="CE124" s="33">
        <f t="shared" si="11"/>
        <v>0</v>
      </c>
      <c r="CF124" s="33">
        <f t="shared" si="11"/>
        <v>-2.16</v>
      </c>
      <c r="CG124" s="58">
        <f t="shared" si="10"/>
        <v>11979.5</v>
      </c>
    </row>
    <row r="125" spans="1:85">
      <c r="A125" s="198">
        <v>2161</v>
      </c>
      <c r="B125" s="2">
        <v>103249</v>
      </c>
      <c r="C125" s="2" t="s">
        <v>273</v>
      </c>
      <c r="D125" s="2" t="s">
        <v>274</v>
      </c>
      <c r="E125" s="2" t="s">
        <v>39</v>
      </c>
      <c r="F125" s="208" t="s">
        <v>890</v>
      </c>
      <c r="H125" s="880">
        <v>0</v>
      </c>
      <c r="I125" s="880"/>
      <c r="J125" s="880"/>
      <c r="K125" s="880">
        <v>8875</v>
      </c>
      <c r="L125" s="190">
        <v>0</v>
      </c>
      <c r="M125" s="190">
        <v>0</v>
      </c>
      <c r="N125" s="190">
        <v>0</v>
      </c>
      <c r="O125" s="190">
        <v>0</v>
      </c>
      <c r="P125" s="190">
        <v>0</v>
      </c>
      <c r="Q125" s="190">
        <v>0</v>
      </c>
      <c r="R125" s="190">
        <v>0</v>
      </c>
      <c r="S125" s="190">
        <v>0</v>
      </c>
      <c r="T125" s="209">
        <v>0</v>
      </c>
      <c r="U125" s="209"/>
      <c r="V125" s="209"/>
      <c r="W125" s="209"/>
      <c r="X125" s="190"/>
      <c r="Y125" s="190"/>
      <c r="Z125" s="190"/>
      <c r="AA125" s="190"/>
      <c r="AB125" s="190"/>
      <c r="AC125" s="190"/>
      <c r="AD125" s="190"/>
      <c r="AE125" s="190"/>
      <c r="AF125" s="209"/>
      <c r="AG125" s="209"/>
      <c r="AH125" s="209"/>
      <c r="AI125" s="67"/>
      <c r="AJ125" s="209"/>
      <c r="AK125" s="209"/>
      <c r="AL125" s="190"/>
      <c r="AM125" s="190"/>
      <c r="AN125" s="189"/>
      <c r="AO125" s="189"/>
      <c r="AP125" s="189"/>
      <c r="AQ125" s="348"/>
      <c r="AR125" s="348"/>
      <c r="AS125" s="354"/>
      <c r="AT125" s="354"/>
      <c r="AU125" s="354"/>
      <c r="AV125" s="196"/>
      <c r="AW125" s="354"/>
      <c r="AX125" s="354"/>
      <c r="AY125" s="354"/>
      <c r="AZ125" s="354"/>
      <c r="BA125" s="354"/>
      <c r="BB125" s="354"/>
      <c r="BC125" s="354"/>
      <c r="BD125" s="354"/>
      <c r="BE125" s="354"/>
      <c r="BF125" s="354"/>
      <c r="BG125" s="354"/>
      <c r="BH125" s="354"/>
      <c r="BI125" s="354"/>
      <c r="BJ125" s="354"/>
      <c r="BK125" s="354"/>
      <c r="BL125" s="354"/>
      <c r="BM125" s="354"/>
      <c r="BN125" s="354"/>
      <c r="BO125" s="355">
        <v>1690.07</v>
      </c>
      <c r="BP125" s="888">
        <v>-20.97</v>
      </c>
      <c r="BQ125" s="354"/>
      <c r="BR125" s="354"/>
      <c r="BS125" s="354"/>
      <c r="BT125" s="354"/>
      <c r="BU125" s="354"/>
      <c r="BV125" s="354"/>
      <c r="BW125" s="355">
        <f t="shared" si="8"/>
        <v>10544.1</v>
      </c>
      <c r="BY125" s="33">
        <f t="shared" si="9"/>
        <v>0</v>
      </c>
      <c r="BZ125" s="33">
        <f t="shared" si="11"/>
        <v>0</v>
      </c>
      <c r="CA125" s="33">
        <f t="shared" si="11"/>
        <v>0</v>
      </c>
      <c r="CB125" s="33">
        <f t="shared" si="11"/>
        <v>0</v>
      </c>
      <c r="CC125" s="33">
        <f t="shared" si="11"/>
        <v>8875</v>
      </c>
      <c r="CD125" s="33">
        <f t="shared" si="11"/>
        <v>1690.07</v>
      </c>
      <c r="CE125" s="33">
        <f t="shared" si="11"/>
        <v>0</v>
      </c>
      <c r="CF125" s="33">
        <f t="shared" si="11"/>
        <v>-20.97</v>
      </c>
      <c r="CG125" s="58">
        <f t="shared" si="10"/>
        <v>10565.07</v>
      </c>
    </row>
    <row r="126" spans="1:85">
      <c r="A126" s="198">
        <v>2160</v>
      </c>
      <c r="B126" s="2">
        <v>103248</v>
      </c>
      <c r="C126" s="2" t="s">
        <v>275</v>
      </c>
      <c r="D126" s="2" t="s">
        <v>276</v>
      </c>
      <c r="E126" s="2" t="s">
        <v>39</v>
      </c>
      <c r="F126" s="208" t="s">
        <v>890</v>
      </c>
      <c r="H126" s="880">
        <v>0</v>
      </c>
      <c r="I126" s="880"/>
      <c r="J126" s="880"/>
      <c r="K126" s="880">
        <v>9675</v>
      </c>
      <c r="L126" s="190">
        <v>0</v>
      </c>
      <c r="M126" s="190">
        <v>0</v>
      </c>
      <c r="N126" s="190">
        <v>0</v>
      </c>
      <c r="O126" s="190">
        <v>0</v>
      </c>
      <c r="P126" s="190">
        <v>0</v>
      </c>
      <c r="Q126" s="190">
        <v>0</v>
      </c>
      <c r="R126" s="190">
        <v>0</v>
      </c>
      <c r="S126" s="190">
        <v>0</v>
      </c>
      <c r="T126" s="209">
        <v>0</v>
      </c>
      <c r="U126" s="209"/>
      <c r="V126" s="209"/>
      <c r="W126" s="209"/>
      <c r="X126" s="190"/>
      <c r="Y126" s="190"/>
      <c r="Z126" s="190"/>
      <c r="AA126" s="190"/>
      <c r="AB126" s="190"/>
      <c r="AC126" s="190"/>
      <c r="AD126" s="190"/>
      <c r="AE126" s="190"/>
      <c r="AF126" s="209"/>
      <c r="AG126" s="209"/>
      <c r="AH126" s="209"/>
      <c r="AI126" s="67"/>
      <c r="AJ126" s="209"/>
      <c r="AK126" s="209"/>
      <c r="AL126" s="190"/>
      <c r="AM126" s="190"/>
      <c r="AN126" s="189"/>
      <c r="AO126" s="189"/>
      <c r="AP126" s="189"/>
      <c r="AQ126" s="348"/>
      <c r="AR126" s="348"/>
      <c r="AS126" s="354"/>
      <c r="AT126" s="354"/>
      <c r="AU126" s="354"/>
      <c r="AV126" s="196"/>
      <c r="AW126" s="354"/>
      <c r="AX126" s="354"/>
      <c r="AY126" s="354"/>
      <c r="AZ126" s="354"/>
      <c r="BA126" s="354"/>
      <c r="BB126" s="354"/>
      <c r="BC126" s="354"/>
      <c r="BD126" s="354"/>
      <c r="BE126" s="354"/>
      <c r="BF126" s="354"/>
      <c r="BG126" s="354"/>
      <c r="BH126" s="354"/>
      <c r="BI126" s="354"/>
      <c r="BJ126" s="354"/>
      <c r="BK126" s="354"/>
      <c r="BL126" s="354"/>
      <c r="BM126" s="354"/>
      <c r="BN126" s="354"/>
      <c r="BO126" s="355">
        <v>1832.77</v>
      </c>
      <c r="BP126" s="888">
        <v>-21.31</v>
      </c>
      <c r="BQ126" s="354"/>
      <c r="BR126" s="354"/>
      <c r="BS126" s="354"/>
      <c r="BT126" s="354"/>
      <c r="BU126" s="354"/>
      <c r="BV126" s="354"/>
      <c r="BW126" s="355">
        <f t="shared" si="8"/>
        <v>11486.460000000001</v>
      </c>
      <c r="BY126" s="33">
        <f t="shared" si="9"/>
        <v>0</v>
      </c>
      <c r="BZ126" s="33">
        <f t="shared" si="11"/>
        <v>0</v>
      </c>
      <c r="CA126" s="33">
        <f t="shared" si="11"/>
        <v>0</v>
      </c>
      <c r="CB126" s="33">
        <f t="shared" si="11"/>
        <v>0</v>
      </c>
      <c r="CC126" s="33">
        <f t="shared" si="11"/>
        <v>9675</v>
      </c>
      <c r="CD126" s="33">
        <f t="shared" si="11"/>
        <v>1832.77</v>
      </c>
      <c r="CE126" s="33">
        <f t="shared" si="11"/>
        <v>0</v>
      </c>
      <c r="CF126" s="33">
        <f t="shared" si="11"/>
        <v>-21.31</v>
      </c>
      <c r="CG126" s="58">
        <f t="shared" si="10"/>
        <v>11507.77</v>
      </c>
    </row>
    <row r="127" spans="1:85">
      <c r="A127" s="198">
        <v>2063</v>
      </c>
      <c r="B127" s="2">
        <v>103193</v>
      </c>
      <c r="C127" s="2" t="s">
        <v>277</v>
      </c>
      <c r="D127" s="2" t="s">
        <v>278</v>
      </c>
      <c r="E127" s="2" t="s">
        <v>39</v>
      </c>
      <c r="F127" s="208" t="s">
        <v>890</v>
      </c>
      <c r="H127" s="880">
        <v>0</v>
      </c>
      <c r="I127" s="880"/>
      <c r="J127" s="880"/>
      <c r="K127" s="880">
        <v>9675</v>
      </c>
      <c r="L127" s="190">
        <v>0</v>
      </c>
      <c r="M127" s="190">
        <v>0</v>
      </c>
      <c r="N127" s="190">
        <v>0</v>
      </c>
      <c r="O127" s="190">
        <v>0</v>
      </c>
      <c r="P127" s="190">
        <v>0</v>
      </c>
      <c r="Q127" s="190">
        <v>0</v>
      </c>
      <c r="R127" s="190">
        <v>0</v>
      </c>
      <c r="S127" s="190">
        <v>0</v>
      </c>
      <c r="T127" s="209">
        <v>2580.52</v>
      </c>
      <c r="U127" s="209"/>
      <c r="V127" s="209"/>
      <c r="W127" s="209"/>
      <c r="X127" s="190"/>
      <c r="Y127" s="190"/>
      <c r="Z127" s="190"/>
      <c r="AA127" s="190"/>
      <c r="AB127" s="190"/>
      <c r="AC127" s="190"/>
      <c r="AD127" s="190"/>
      <c r="AE127" s="190"/>
      <c r="AF127" s="209"/>
      <c r="AG127" s="209"/>
      <c r="AH127" s="209"/>
      <c r="AI127" s="67"/>
      <c r="AJ127" s="209"/>
      <c r="AK127" s="209"/>
      <c r="AL127" s="190"/>
      <c r="AM127" s="190"/>
      <c r="AN127" s="189"/>
      <c r="AO127" s="189"/>
      <c r="AP127" s="189"/>
      <c r="AQ127" s="348"/>
      <c r="AR127" s="348"/>
      <c r="AS127" s="354"/>
      <c r="AT127" s="354"/>
      <c r="AU127" s="354"/>
      <c r="AV127" s="196"/>
      <c r="AW127" s="354"/>
      <c r="AX127" s="354"/>
      <c r="AY127" s="354"/>
      <c r="AZ127" s="354"/>
      <c r="BA127" s="354"/>
      <c r="BB127" s="354"/>
      <c r="BC127" s="354"/>
      <c r="BD127" s="354"/>
      <c r="BE127" s="354"/>
      <c r="BF127" s="354"/>
      <c r="BG127" s="354"/>
      <c r="BH127" s="354"/>
      <c r="BI127" s="354"/>
      <c r="BJ127" s="354"/>
      <c r="BK127" s="354"/>
      <c r="BL127" s="354"/>
      <c r="BM127" s="354"/>
      <c r="BN127" s="354"/>
      <c r="BO127" s="355">
        <v>795.47</v>
      </c>
      <c r="BP127" s="888">
        <v>-16.5</v>
      </c>
      <c r="BQ127" s="354"/>
      <c r="BR127" s="354"/>
      <c r="BS127" s="354"/>
      <c r="BT127" s="354"/>
      <c r="BU127" s="354"/>
      <c r="BV127" s="354"/>
      <c r="BW127" s="355">
        <f t="shared" si="8"/>
        <v>13034.49</v>
      </c>
      <c r="BY127" s="33">
        <f t="shared" si="9"/>
        <v>0</v>
      </c>
      <c r="BZ127" s="33">
        <f t="shared" si="11"/>
        <v>0</v>
      </c>
      <c r="CA127" s="33">
        <f t="shared" si="11"/>
        <v>0</v>
      </c>
      <c r="CB127" s="33">
        <f t="shared" si="11"/>
        <v>0</v>
      </c>
      <c r="CC127" s="33">
        <f t="shared" si="11"/>
        <v>12255.52</v>
      </c>
      <c r="CD127" s="33">
        <f t="shared" si="11"/>
        <v>795.47</v>
      </c>
      <c r="CE127" s="33">
        <f t="shared" si="11"/>
        <v>0</v>
      </c>
      <c r="CF127" s="33">
        <f t="shared" si="11"/>
        <v>-16.5</v>
      </c>
      <c r="CG127" s="58">
        <f t="shared" si="10"/>
        <v>13050.99</v>
      </c>
    </row>
    <row r="128" spans="1:85">
      <c r="A128" s="198">
        <v>1018</v>
      </c>
      <c r="B128" s="2">
        <v>103131</v>
      </c>
      <c r="C128" s="2" t="s">
        <v>279</v>
      </c>
      <c r="D128" s="2" t="s">
        <v>280</v>
      </c>
      <c r="E128" s="2" t="s">
        <v>36</v>
      </c>
      <c r="F128" s="208" t="s">
        <v>890</v>
      </c>
      <c r="H128" s="880">
        <v>0</v>
      </c>
      <c r="I128" s="880"/>
      <c r="J128" s="880"/>
      <c r="K128" s="880">
        <v>0</v>
      </c>
      <c r="L128" s="190">
        <v>0</v>
      </c>
      <c r="M128" s="190">
        <v>0</v>
      </c>
      <c r="N128" s="190">
        <v>0</v>
      </c>
      <c r="O128" s="190">
        <v>0</v>
      </c>
      <c r="P128" s="190">
        <v>0</v>
      </c>
      <c r="Q128" s="190">
        <v>0</v>
      </c>
      <c r="R128" s="190">
        <v>0</v>
      </c>
      <c r="S128" s="190">
        <v>0</v>
      </c>
      <c r="T128" s="209">
        <v>0</v>
      </c>
      <c r="U128" s="209"/>
      <c r="V128" s="209"/>
      <c r="W128" s="209"/>
      <c r="X128" s="190"/>
      <c r="Y128" s="190"/>
      <c r="Z128" s="190"/>
      <c r="AA128" s="190"/>
      <c r="AB128" s="190"/>
      <c r="AC128" s="190"/>
      <c r="AD128" s="190"/>
      <c r="AE128" s="190"/>
      <c r="AF128" s="209"/>
      <c r="AG128" s="209"/>
      <c r="AH128" s="209"/>
      <c r="AI128" s="67"/>
      <c r="AJ128" s="209"/>
      <c r="AK128" s="209"/>
      <c r="AL128" s="190"/>
      <c r="AM128" s="190"/>
      <c r="AN128" s="189"/>
      <c r="AO128" s="189"/>
      <c r="AP128" s="189"/>
      <c r="AQ128" s="348"/>
      <c r="AR128" s="348"/>
      <c r="AS128" s="354"/>
      <c r="AT128" s="354"/>
      <c r="AU128" s="354"/>
      <c r="AV128" s="196"/>
      <c r="AW128" s="354"/>
      <c r="AX128" s="354"/>
      <c r="AY128" s="354"/>
      <c r="AZ128" s="354"/>
      <c r="BA128" s="354"/>
      <c r="BB128" s="354"/>
      <c r="BC128" s="354"/>
      <c r="BD128" s="354"/>
      <c r="BE128" s="354"/>
      <c r="BF128" s="354"/>
      <c r="BG128" s="354"/>
      <c r="BH128" s="354"/>
      <c r="BI128" s="354"/>
      <c r="BJ128" s="354"/>
      <c r="BK128" s="354"/>
      <c r="BL128" s="354"/>
      <c r="BM128" s="354"/>
      <c r="BN128" s="354"/>
      <c r="BO128" s="355">
        <v>0</v>
      </c>
      <c r="BP128" s="888">
        <v>0</v>
      </c>
      <c r="BQ128" s="354"/>
      <c r="BR128" s="354"/>
      <c r="BS128" s="354"/>
      <c r="BT128" s="354"/>
      <c r="BU128" s="354"/>
      <c r="BV128" s="354"/>
      <c r="BW128" s="355">
        <f t="shared" si="8"/>
        <v>0</v>
      </c>
      <c r="BY128" s="33">
        <f t="shared" si="9"/>
        <v>0</v>
      </c>
      <c r="BZ128" s="33">
        <f t="shared" si="11"/>
        <v>0</v>
      </c>
      <c r="CA128" s="33">
        <f t="shared" si="11"/>
        <v>0</v>
      </c>
      <c r="CB128" s="33">
        <f t="shared" si="11"/>
        <v>0</v>
      </c>
      <c r="CC128" s="33">
        <f t="shared" si="11"/>
        <v>0</v>
      </c>
      <c r="CD128" s="33">
        <f t="shared" si="11"/>
        <v>0</v>
      </c>
      <c r="CE128" s="33">
        <f t="shared" si="11"/>
        <v>0</v>
      </c>
      <c r="CF128" s="33">
        <f t="shared" si="11"/>
        <v>0</v>
      </c>
      <c r="CG128" s="58">
        <f t="shared" si="10"/>
        <v>0</v>
      </c>
    </row>
    <row r="129" spans="1:85">
      <c r="A129" s="198">
        <v>1000</v>
      </c>
      <c r="B129" s="2">
        <v>137796</v>
      </c>
      <c r="C129" s="2" t="s">
        <v>281</v>
      </c>
      <c r="D129" s="2" t="s">
        <v>282</v>
      </c>
      <c r="E129" s="2" t="s">
        <v>36</v>
      </c>
      <c r="F129" s="208" t="s">
        <v>890</v>
      </c>
      <c r="H129" s="880">
        <v>0</v>
      </c>
      <c r="I129" s="880"/>
      <c r="J129" s="880"/>
      <c r="K129" s="880">
        <v>0</v>
      </c>
      <c r="L129" s="190">
        <v>0</v>
      </c>
      <c r="M129" s="190">
        <v>0</v>
      </c>
      <c r="N129" s="190">
        <v>0</v>
      </c>
      <c r="O129" s="190">
        <v>0</v>
      </c>
      <c r="P129" s="190">
        <v>0</v>
      </c>
      <c r="Q129" s="190">
        <v>0</v>
      </c>
      <c r="R129" s="190">
        <v>0</v>
      </c>
      <c r="S129" s="190">
        <v>0</v>
      </c>
      <c r="T129" s="209">
        <v>0</v>
      </c>
      <c r="U129" s="209"/>
      <c r="V129" s="209"/>
      <c r="W129" s="209"/>
      <c r="X129" s="190"/>
      <c r="Y129" s="190"/>
      <c r="Z129" s="190"/>
      <c r="AA129" s="190"/>
      <c r="AB129" s="190"/>
      <c r="AC129" s="190"/>
      <c r="AD129" s="190"/>
      <c r="AE129" s="190"/>
      <c r="AF129" s="209"/>
      <c r="AG129" s="209"/>
      <c r="AH129" s="209"/>
      <c r="AI129" s="67"/>
      <c r="AJ129" s="209"/>
      <c r="AK129" s="209"/>
      <c r="AL129" s="190"/>
      <c r="AM129" s="190"/>
      <c r="AN129" s="189"/>
      <c r="AO129" s="189"/>
      <c r="AP129" s="189"/>
      <c r="AQ129" s="348"/>
      <c r="AR129" s="348"/>
      <c r="AS129" s="354"/>
      <c r="AT129" s="354"/>
      <c r="AU129" s="354"/>
      <c r="AV129" s="196"/>
      <c r="AW129" s="354"/>
      <c r="AX129" s="354"/>
      <c r="AY129" s="354"/>
      <c r="AZ129" s="354"/>
      <c r="BA129" s="354"/>
      <c r="BB129" s="354"/>
      <c r="BC129" s="354"/>
      <c r="BD129" s="354"/>
      <c r="BE129" s="354"/>
      <c r="BF129" s="354"/>
      <c r="BG129" s="354"/>
      <c r="BH129" s="354"/>
      <c r="BI129" s="354"/>
      <c r="BJ129" s="354"/>
      <c r="BK129" s="354"/>
      <c r="BL129" s="354"/>
      <c r="BM129" s="354"/>
      <c r="BN129" s="354"/>
      <c r="BO129" s="355">
        <v>0</v>
      </c>
      <c r="BP129" s="888">
        <v>0</v>
      </c>
      <c r="BQ129" s="354"/>
      <c r="BR129" s="354"/>
      <c r="BS129" s="354"/>
      <c r="BT129" s="354"/>
      <c r="BU129" s="354"/>
      <c r="BV129" s="354"/>
      <c r="BW129" s="355">
        <f t="shared" si="8"/>
        <v>0</v>
      </c>
      <c r="BY129" s="33">
        <f t="shared" si="9"/>
        <v>0</v>
      </c>
      <c r="BZ129" s="33">
        <f t="shared" si="11"/>
        <v>0</v>
      </c>
      <c r="CA129" s="33">
        <f t="shared" si="11"/>
        <v>0</v>
      </c>
      <c r="CB129" s="33">
        <f t="shared" si="11"/>
        <v>0</v>
      </c>
      <c r="CC129" s="33">
        <f t="shared" si="11"/>
        <v>0</v>
      </c>
      <c r="CD129" s="33">
        <f t="shared" si="11"/>
        <v>0</v>
      </c>
      <c r="CE129" s="33">
        <f t="shared" si="11"/>
        <v>0</v>
      </c>
      <c r="CF129" s="33">
        <f t="shared" si="11"/>
        <v>0</v>
      </c>
      <c r="CG129" s="58">
        <f t="shared" si="10"/>
        <v>0</v>
      </c>
    </row>
    <row r="130" spans="1:85">
      <c r="A130" s="198">
        <v>7033</v>
      </c>
      <c r="B130" s="2">
        <v>103613</v>
      </c>
      <c r="C130" s="2" t="s">
        <v>283</v>
      </c>
      <c r="D130" s="2" t="s">
        <v>284</v>
      </c>
      <c r="E130" s="2" t="s">
        <v>56</v>
      </c>
      <c r="F130" s="208" t="s">
        <v>890</v>
      </c>
      <c r="H130" s="880">
        <v>0</v>
      </c>
      <c r="I130" s="880"/>
      <c r="J130" s="880"/>
      <c r="K130" s="880">
        <v>0</v>
      </c>
      <c r="L130" s="190">
        <v>0</v>
      </c>
      <c r="M130" s="190">
        <v>0</v>
      </c>
      <c r="N130" s="190">
        <v>0</v>
      </c>
      <c r="O130" s="190">
        <v>0</v>
      </c>
      <c r="P130" s="190">
        <v>0</v>
      </c>
      <c r="Q130" s="190">
        <v>0</v>
      </c>
      <c r="R130" s="190">
        <v>0</v>
      </c>
      <c r="S130" s="190">
        <v>0</v>
      </c>
      <c r="T130" s="209">
        <v>0</v>
      </c>
      <c r="U130" s="209"/>
      <c r="V130" s="209"/>
      <c r="W130" s="209"/>
      <c r="X130" s="190"/>
      <c r="Y130" s="190"/>
      <c r="Z130" s="190"/>
      <c r="AA130" s="190"/>
      <c r="AB130" s="190"/>
      <c r="AC130" s="190"/>
      <c r="AD130" s="190"/>
      <c r="AE130" s="190"/>
      <c r="AF130" s="209"/>
      <c r="AG130" s="209"/>
      <c r="AH130" s="209"/>
      <c r="AI130" s="67"/>
      <c r="AJ130" s="209"/>
      <c r="AK130" s="209"/>
      <c r="AL130" s="190"/>
      <c r="AM130" s="190"/>
      <c r="AN130" s="189"/>
      <c r="AO130" s="189"/>
      <c r="AP130" s="189"/>
      <c r="AQ130" s="348"/>
      <c r="AR130" s="348"/>
      <c r="AS130" s="354"/>
      <c r="AT130" s="354"/>
      <c r="AU130" s="354"/>
      <c r="AV130" s="196"/>
      <c r="AW130" s="354"/>
      <c r="AX130" s="354"/>
      <c r="AY130" s="354"/>
      <c r="AZ130" s="354"/>
      <c r="BA130" s="354"/>
      <c r="BB130" s="354"/>
      <c r="BC130" s="354"/>
      <c r="BD130" s="354"/>
      <c r="BE130" s="354"/>
      <c r="BF130" s="354"/>
      <c r="BG130" s="354"/>
      <c r="BH130" s="354"/>
      <c r="BI130" s="354"/>
      <c r="BJ130" s="354"/>
      <c r="BK130" s="354"/>
      <c r="BL130" s="354"/>
      <c r="BM130" s="354"/>
      <c r="BN130" s="354"/>
      <c r="BO130" s="355">
        <v>0</v>
      </c>
      <c r="BP130" s="888">
        <v>0</v>
      </c>
      <c r="BQ130" s="354"/>
      <c r="BR130" s="354"/>
      <c r="BS130" s="354"/>
      <c r="BT130" s="354"/>
      <c r="BU130" s="354"/>
      <c r="BV130" s="354"/>
      <c r="BW130" s="355">
        <f t="shared" si="8"/>
        <v>0</v>
      </c>
      <c r="BY130" s="33">
        <f t="shared" si="9"/>
        <v>0</v>
      </c>
      <c r="BZ130" s="33">
        <f t="shared" si="11"/>
        <v>0</v>
      </c>
      <c r="CA130" s="33">
        <f t="shared" si="11"/>
        <v>0</v>
      </c>
      <c r="CB130" s="33">
        <f t="shared" si="11"/>
        <v>0</v>
      </c>
      <c r="CC130" s="33">
        <f t="shared" si="11"/>
        <v>0</v>
      </c>
      <c r="CD130" s="33">
        <f t="shared" si="11"/>
        <v>0</v>
      </c>
      <c r="CE130" s="33">
        <f t="shared" si="11"/>
        <v>0</v>
      </c>
      <c r="CF130" s="33">
        <f t="shared" si="11"/>
        <v>0</v>
      </c>
      <c r="CG130" s="58">
        <f t="shared" si="10"/>
        <v>0</v>
      </c>
    </row>
    <row r="131" spans="1:85">
      <c r="A131" s="198">
        <v>4177</v>
      </c>
      <c r="B131" s="2">
        <v>103498</v>
      </c>
      <c r="C131" s="2" t="s">
        <v>285</v>
      </c>
      <c r="D131" s="2" t="s">
        <v>286</v>
      </c>
      <c r="E131" s="2" t="s">
        <v>71</v>
      </c>
      <c r="F131" s="208" t="s">
        <v>890</v>
      </c>
      <c r="H131" s="880">
        <v>0</v>
      </c>
      <c r="I131" s="880"/>
      <c r="J131" s="880"/>
      <c r="K131" s="880">
        <v>0</v>
      </c>
      <c r="L131" s="190">
        <v>0</v>
      </c>
      <c r="M131" s="190">
        <v>0</v>
      </c>
      <c r="N131" s="190">
        <v>0</v>
      </c>
      <c r="O131" s="190">
        <v>0</v>
      </c>
      <c r="P131" s="190">
        <v>18965.466666666667</v>
      </c>
      <c r="Q131" s="190">
        <v>9482.7333333333336</v>
      </c>
      <c r="R131" s="190">
        <v>9482.7333333333336</v>
      </c>
      <c r="S131" s="190">
        <v>9482.7333333333336</v>
      </c>
      <c r="T131" s="209">
        <v>0</v>
      </c>
      <c r="U131" s="209"/>
      <c r="V131" s="209"/>
      <c r="W131" s="209"/>
      <c r="X131" s="190"/>
      <c r="Y131" s="190"/>
      <c r="Z131" s="190"/>
      <c r="AA131" s="190"/>
      <c r="AB131" s="190"/>
      <c r="AC131" s="190"/>
      <c r="AD131" s="190"/>
      <c r="AE131" s="190"/>
      <c r="AF131" s="209"/>
      <c r="AG131" s="209"/>
      <c r="AH131" s="209"/>
      <c r="AI131" s="67"/>
      <c r="AJ131" s="209"/>
      <c r="AK131" s="209"/>
      <c r="AL131" s="190"/>
      <c r="AM131" s="190"/>
      <c r="AN131" s="189"/>
      <c r="AO131" s="189"/>
      <c r="AP131" s="189"/>
      <c r="AQ131" s="348"/>
      <c r="AR131" s="348"/>
      <c r="AS131" s="354"/>
      <c r="AT131" s="354"/>
      <c r="AU131" s="354"/>
      <c r="AV131" s="196"/>
      <c r="AW131" s="354"/>
      <c r="AX131" s="354"/>
      <c r="AY131" s="354"/>
      <c r="AZ131" s="354"/>
      <c r="BA131" s="354"/>
      <c r="BB131" s="354"/>
      <c r="BC131" s="354"/>
      <c r="BD131" s="354"/>
      <c r="BE131" s="354"/>
      <c r="BF131" s="354"/>
      <c r="BG131" s="354"/>
      <c r="BH131" s="354"/>
      <c r="BI131" s="354"/>
      <c r="BJ131" s="354"/>
      <c r="BK131" s="354"/>
      <c r="BL131" s="354"/>
      <c r="BM131" s="354"/>
      <c r="BN131" s="354"/>
      <c r="BO131" s="355">
        <v>0</v>
      </c>
      <c r="BP131" s="888">
        <v>0</v>
      </c>
      <c r="BQ131" s="354"/>
      <c r="BR131" s="354"/>
      <c r="BS131" s="354"/>
      <c r="BT131" s="354"/>
      <c r="BU131" s="354"/>
      <c r="BV131" s="354"/>
      <c r="BW131" s="355">
        <f t="shared" si="8"/>
        <v>47413.666666666672</v>
      </c>
      <c r="BY131" s="33">
        <f t="shared" si="9"/>
        <v>28448.2</v>
      </c>
      <c r="BZ131" s="33">
        <f t="shared" si="11"/>
        <v>0</v>
      </c>
      <c r="CA131" s="33">
        <f t="shared" si="11"/>
        <v>0</v>
      </c>
      <c r="CB131" s="33">
        <f t="shared" si="11"/>
        <v>0</v>
      </c>
      <c r="CC131" s="33">
        <f t="shared" si="11"/>
        <v>0</v>
      </c>
      <c r="CD131" s="33">
        <f t="shared" si="11"/>
        <v>0</v>
      </c>
      <c r="CE131" s="33">
        <f t="shared" si="11"/>
        <v>0</v>
      </c>
      <c r="CF131" s="33">
        <f t="shared" si="11"/>
        <v>0</v>
      </c>
      <c r="CG131" s="58">
        <f t="shared" si="10"/>
        <v>28448.2</v>
      </c>
    </row>
    <row r="132" spans="1:85">
      <c r="A132" s="198">
        <v>2169</v>
      </c>
      <c r="B132" s="2">
        <v>103252</v>
      </c>
      <c r="C132" s="2" t="s">
        <v>287</v>
      </c>
      <c r="D132" s="2" t="s">
        <v>288</v>
      </c>
      <c r="E132" s="2" t="s">
        <v>39</v>
      </c>
      <c r="F132" s="208" t="s">
        <v>890</v>
      </c>
      <c r="H132" s="880">
        <v>0</v>
      </c>
      <c r="I132" s="880"/>
      <c r="J132" s="880"/>
      <c r="K132" s="880">
        <v>9645</v>
      </c>
      <c r="L132" s="190">
        <v>0</v>
      </c>
      <c r="M132" s="190">
        <v>0</v>
      </c>
      <c r="N132" s="190">
        <v>0</v>
      </c>
      <c r="O132" s="190">
        <v>0</v>
      </c>
      <c r="P132" s="190">
        <v>0</v>
      </c>
      <c r="Q132" s="190">
        <v>0</v>
      </c>
      <c r="R132" s="190">
        <v>0</v>
      </c>
      <c r="S132" s="190">
        <v>0</v>
      </c>
      <c r="T132" s="209">
        <v>0</v>
      </c>
      <c r="U132" s="209"/>
      <c r="V132" s="209"/>
      <c r="W132" s="209"/>
      <c r="X132" s="190"/>
      <c r="Y132" s="190"/>
      <c r="Z132" s="190"/>
      <c r="AA132" s="190"/>
      <c r="AB132" s="190"/>
      <c r="AC132" s="190"/>
      <c r="AD132" s="190"/>
      <c r="AE132" s="190"/>
      <c r="AF132" s="209"/>
      <c r="AG132" s="209"/>
      <c r="AH132" s="209"/>
      <c r="AI132" s="67"/>
      <c r="AJ132" s="209"/>
      <c r="AK132" s="209"/>
      <c r="AL132" s="190"/>
      <c r="AM132" s="190"/>
      <c r="AN132" s="189"/>
      <c r="AO132" s="189"/>
      <c r="AP132" s="189"/>
      <c r="AQ132" s="348"/>
      <c r="AR132" s="348"/>
      <c r="AS132" s="354"/>
      <c r="AT132" s="354"/>
      <c r="AU132" s="354"/>
      <c r="AV132" s="196"/>
      <c r="AW132" s="354"/>
      <c r="AX132" s="354"/>
      <c r="AY132" s="354"/>
      <c r="AZ132" s="354"/>
      <c r="BA132" s="354"/>
      <c r="BB132" s="354"/>
      <c r="BC132" s="354"/>
      <c r="BD132" s="354"/>
      <c r="BE132" s="354"/>
      <c r="BF132" s="354"/>
      <c r="BG132" s="354"/>
      <c r="BH132" s="354"/>
      <c r="BI132" s="354"/>
      <c r="BJ132" s="354"/>
      <c r="BK132" s="354"/>
      <c r="BL132" s="354"/>
      <c r="BM132" s="354"/>
      <c r="BN132" s="354"/>
      <c r="BO132" s="355">
        <v>3631.71</v>
      </c>
      <c r="BP132" s="888">
        <v>-27.57</v>
      </c>
      <c r="BQ132" s="354"/>
      <c r="BR132" s="354"/>
      <c r="BS132" s="354"/>
      <c r="BT132" s="354"/>
      <c r="BU132" s="354"/>
      <c r="BV132" s="354"/>
      <c r="BW132" s="355">
        <f t="shared" si="8"/>
        <v>13249.14</v>
      </c>
      <c r="BY132" s="33">
        <f t="shared" si="9"/>
        <v>0</v>
      </c>
      <c r="BZ132" s="33">
        <f t="shared" si="11"/>
        <v>0</v>
      </c>
      <c r="CA132" s="33">
        <f t="shared" si="11"/>
        <v>0</v>
      </c>
      <c r="CB132" s="33">
        <f t="shared" si="11"/>
        <v>0</v>
      </c>
      <c r="CC132" s="33">
        <f t="shared" si="11"/>
        <v>9645</v>
      </c>
      <c r="CD132" s="33">
        <f t="shared" si="11"/>
        <v>3631.71</v>
      </c>
      <c r="CE132" s="33">
        <f t="shared" si="11"/>
        <v>0</v>
      </c>
      <c r="CF132" s="33">
        <f t="shared" si="11"/>
        <v>-27.57</v>
      </c>
      <c r="CG132" s="58">
        <f t="shared" si="10"/>
        <v>13276.71</v>
      </c>
    </row>
    <row r="133" spans="1:85">
      <c r="A133" s="198">
        <v>2008</v>
      </c>
      <c r="B133" s="2">
        <v>103157</v>
      </c>
      <c r="C133" s="2" t="s">
        <v>289</v>
      </c>
      <c r="D133" s="2" t="s">
        <v>290</v>
      </c>
      <c r="E133" s="2" t="s">
        <v>39</v>
      </c>
      <c r="F133" s="208" t="s">
        <v>890</v>
      </c>
      <c r="H133" s="880">
        <v>0</v>
      </c>
      <c r="I133" s="880"/>
      <c r="J133" s="880"/>
      <c r="K133" s="880">
        <v>9800</v>
      </c>
      <c r="L133" s="190">
        <v>0</v>
      </c>
      <c r="M133" s="190">
        <v>0</v>
      </c>
      <c r="N133" s="190">
        <v>0</v>
      </c>
      <c r="O133" s="190">
        <v>0</v>
      </c>
      <c r="P133" s="190">
        <v>0</v>
      </c>
      <c r="Q133" s="190">
        <v>0</v>
      </c>
      <c r="R133" s="190">
        <v>0</v>
      </c>
      <c r="S133" s="190">
        <v>0</v>
      </c>
      <c r="T133" s="209">
        <v>0</v>
      </c>
      <c r="U133" s="209"/>
      <c r="V133" s="209"/>
      <c r="W133" s="209"/>
      <c r="X133" s="190"/>
      <c r="Y133" s="190"/>
      <c r="Z133" s="190"/>
      <c r="AA133" s="190"/>
      <c r="AB133" s="190"/>
      <c r="AC133" s="190"/>
      <c r="AD133" s="190"/>
      <c r="AE133" s="190"/>
      <c r="AF133" s="209"/>
      <c r="AG133" s="209"/>
      <c r="AH133" s="209"/>
      <c r="AI133" s="67"/>
      <c r="AJ133" s="209"/>
      <c r="AK133" s="209"/>
      <c r="AL133" s="190"/>
      <c r="AM133" s="190"/>
      <c r="AN133" s="189"/>
      <c r="AO133" s="189"/>
      <c r="AP133" s="189"/>
      <c r="AQ133" s="348"/>
      <c r="AR133" s="348"/>
      <c r="AS133" s="354"/>
      <c r="AT133" s="354"/>
      <c r="AU133" s="354"/>
      <c r="AV133" s="196"/>
      <c r="AW133" s="354"/>
      <c r="AX133" s="354"/>
      <c r="AY133" s="354"/>
      <c r="AZ133" s="354"/>
      <c r="BA133" s="354"/>
      <c r="BB133" s="354"/>
      <c r="BC133" s="354"/>
      <c r="BD133" s="354"/>
      <c r="BE133" s="354"/>
      <c r="BF133" s="354"/>
      <c r="BG133" s="354"/>
      <c r="BH133" s="354"/>
      <c r="BI133" s="354"/>
      <c r="BJ133" s="354"/>
      <c r="BK133" s="354"/>
      <c r="BL133" s="354"/>
      <c r="BM133" s="354"/>
      <c r="BN133" s="354"/>
      <c r="BO133" s="355">
        <v>2233.4699999999998</v>
      </c>
      <c r="BP133" s="888">
        <v>-27.54</v>
      </c>
      <c r="BQ133" s="354"/>
      <c r="BR133" s="354"/>
      <c r="BS133" s="354"/>
      <c r="BT133" s="354"/>
      <c r="BU133" s="354"/>
      <c r="BV133" s="354"/>
      <c r="BW133" s="355">
        <f t="shared" si="8"/>
        <v>12005.929999999998</v>
      </c>
      <c r="BY133" s="33">
        <f t="shared" si="9"/>
        <v>0</v>
      </c>
      <c r="BZ133" s="33">
        <f t="shared" si="11"/>
        <v>0</v>
      </c>
      <c r="CA133" s="33">
        <f t="shared" si="11"/>
        <v>0</v>
      </c>
      <c r="CB133" s="33">
        <f t="shared" si="11"/>
        <v>0</v>
      </c>
      <c r="CC133" s="33">
        <f t="shared" si="11"/>
        <v>9800</v>
      </c>
      <c r="CD133" s="33">
        <f t="shared" si="11"/>
        <v>2233.4699999999998</v>
      </c>
      <c r="CE133" s="33">
        <f t="shared" si="11"/>
        <v>0</v>
      </c>
      <c r="CF133" s="33">
        <f t="shared" si="11"/>
        <v>-27.54</v>
      </c>
      <c r="CG133" s="58">
        <f t="shared" si="10"/>
        <v>12033.47</v>
      </c>
    </row>
    <row r="134" spans="1:85">
      <c r="A134" s="198">
        <v>1038</v>
      </c>
      <c r="B134" s="2">
        <v>103142</v>
      </c>
      <c r="C134" s="2" t="s">
        <v>291</v>
      </c>
      <c r="D134" s="2" t="s">
        <v>292</v>
      </c>
      <c r="E134" s="2" t="s">
        <v>36</v>
      </c>
      <c r="F134" s="208" t="s">
        <v>890</v>
      </c>
      <c r="H134" s="880">
        <v>0</v>
      </c>
      <c r="I134" s="880"/>
      <c r="J134" s="880"/>
      <c r="K134" s="880">
        <v>0</v>
      </c>
      <c r="L134" s="190">
        <v>0</v>
      </c>
      <c r="M134" s="190">
        <v>0</v>
      </c>
      <c r="N134" s="190">
        <v>0</v>
      </c>
      <c r="O134" s="190">
        <v>0</v>
      </c>
      <c r="P134" s="190">
        <v>0</v>
      </c>
      <c r="Q134" s="190">
        <v>0</v>
      </c>
      <c r="R134" s="190">
        <v>0</v>
      </c>
      <c r="S134" s="190">
        <v>0</v>
      </c>
      <c r="T134" s="209">
        <v>0</v>
      </c>
      <c r="U134" s="209"/>
      <c r="V134" s="209"/>
      <c r="W134" s="209"/>
      <c r="X134" s="190"/>
      <c r="Y134" s="190"/>
      <c r="Z134" s="190"/>
      <c r="AA134" s="190"/>
      <c r="AB134" s="190"/>
      <c r="AC134" s="190"/>
      <c r="AD134" s="190"/>
      <c r="AE134" s="190"/>
      <c r="AF134" s="209"/>
      <c r="AG134" s="209"/>
      <c r="AH134" s="209"/>
      <c r="AI134" s="67"/>
      <c r="AJ134" s="209"/>
      <c r="AK134" s="209"/>
      <c r="AL134" s="190"/>
      <c r="AM134" s="190"/>
      <c r="AN134" s="189"/>
      <c r="AO134" s="189"/>
      <c r="AP134" s="189"/>
      <c r="AQ134" s="348"/>
      <c r="AR134" s="348"/>
      <c r="AS134" s="354"/>
      <c r="AT134" s="354"/>
      <c r="AU134" s="354"/>
      <c r="AV134" s="196"/>
      <c r="AW134" s="354"/>
      <c r="AX134" s="354"/>
      <c r="AY134" s="354"/>
      <c r="AZ134" s="354"/>
      <c r="BA134" s="354"/>
      <c r="BB134" s="354"/>
      <c r="BC134" s="354"/>
      <c r="BD134" s="354"/>
      <c r="BE134" s="354"/>
      <c r="BF134" s="354"/>
      <c r="BG134" s="354"/>
      <c r="BH134" s="354"/>
      <c r="BI134" s="354"/>
      <c r="BJ134" s="354"/>
      <c r="BK134" s="354"/>
      <c r="BL134" s="354"/>
      <c r="BM134" s="354"/>
      <c r="BN134" s="354"/>
      <c r="BO134" s="355">
        <v>0</v>
      </c>
      <c r="BP134" s="888">
        <v>0</v>
      </c>
      <c r="BQ134" s="354"/>
      <c r="BR134" s="354"/>
      <c r="BS134" s="354"/>
      <c r="BT134" s="354"/>
      <c r="BU134" s="354"/>
      <c r="BV134" s="354"/>
      <c r="BW134" s="355">
        <f t="shared" si="8"/>
        <v>0</v>
      </c>
      <c r="BY134" s="33">
        <f t="shared" si="9"/>
        <v>0</v>
      </c>
      <c r="BZ134" s="33">
        <f t="shared" si="11"/>
        <v>0</v>
      </c>
      <c r="CA134" s="33">
        <f t="shared" si="11"/>
        <v>0</v>
      </c>
      <c r="CB134" s="33">
        <f t="shared" si="11"/>
        <v>0</v>
      </c>
      <c r="CC134" s="33">
        <f t="shared" si="11"/>
        <v>0</v>
      </c>
      <c r="CD134" s="33">
        <f t="shared" si="11"/>
        <v>0</v>
      </c>
      <c r="CE134" s="33">
        <f t="shared" si="11"/>
        <v>0</v>
      </c>
      <c r="CF134" s="33">
        <f t="shared" si="11"/>
        <v>0</v>
      </c>
      <c r="CG134" s="58">
        <f t="shared" si="10"/>
        <v>0</v>
      </c>
    </row>
    <row r="135" spans="1:85">
      <c r="A135" s="198">
        <v>2174</v>
      </c>
      <c r="B135" s="2">
        <v>103255</v>
      </c>
      <c r="C135" s="2" t="s">
        <v>293</v>
      </c>
      <c r="D135" s="2" t="s">
        <v>294</v>
      </c>
      <c r="E135" s="2" t="s">
        <v>39</v>
      </c>
      <c r="F135" s="208" t="s">
        <v>890</v>
      </c>
      <c r="H135" s="880">
        <v>0</v>
      </c>
      <c r="I135" s="880"/>
      <c r="J135" s="880">
        <v>-1752</v>
      </c>
      <c r="K135" s="880">
        <v>9035</v>
      </c>
      <c r="L135" s="190">
        <v>0</v>
      </c>
      <c r="M135" s="190">
        <v>0</v>
      </c>
      <c r="N135" s="190">
        <v>0</v>
      </c>
      <c r="O135" s="190">
        <v>0</v>
      </c>
      <c r="P135" s="190">
        <v>0</v>
      </c>
      <c r="Q135" s="190">
        <v>0</v>
      </c>
      <c r="R135" s="190">
        <v>0</v>
      </c>
      <c r="S135" s="190">
        <v>0</v>
      </c>
      <c r="T135" s="209">
        <v>0</v>
      </c>
      <c r="U135" s="209"/>
      <c r="V135" s="209"/>
      <c r="W135" s="209"/>
      <c r="X135" s="190"/>
      <c r="Y135" s="190"/>
      <c r="Z135" s="190"/>
      <c r="AA135" s="190"/>
      <c r="AB135" s="190"/>
      <c r="AC135" s="190"/>
      <c r="AD135" s="190"/>
      <c r="AE135" s="190"/>
      <c r="AF135" s="209"/>
      <c r="AG135" s="209"/>
      <c r="AH135" s="209"/>
      <c r="AI135" s="67"/>
      <c r="AJ135" s="209"/>
      <c r="AK135" s="209"/>
      <c r="AL135" s="190"/>
      <c r="AM135" s="190"/>
      <c r="AN135" s="189"/>
      <c r="AO135" s="189"/>
      <c r="AP135" s="189"/>
      <c r="AQ135" s="348"/>
      <c r="AR135" s="348"/>
      <c r="AS135" s="354"/>
      <c r="AT135" s="354"/>
      <c r="AU135" s="354"/>
      <c r="AV135" s="196"/>
      <c r="AW135" s="354"/>
      <c r="AX135" s="354"/>
      <c r="AY135" s="354"/>
      <c r="AZ135" s="354"/>
      <c r="BA135" s="354"/>
      <c r="BB135" s="354"/>
      <c r="BC135" s="354"/>
      <c r="BD135" s="354"/>
      <c r="BE135" s="354"/>
      <c r="BF135" s="354"/>
      <c r="BG135" s="354"/>
      <c r="BH135" s="354"/>
      <c r="BI135" s="354"/>
      <c r="BJ135" s="354"/>
      <c r="BK135" s="354"/>
      <c r="BL135" s="354"/>
      <c r="BM135" s="354"/>
      <c r="BN135" s="354"/>
      <c r="BO135" s="355">
        <v>0</v>
      </c>
      <c r="BP135" s="888">
        <v>0</v>
      </c>
      <c r="BQ135" s="354"/>
      <c r="BR135" s="354"/>
      <c r="BS135" s="354"/>
      <c r="BT135" s="354"/>
      <c r="BU135" s="354"/>
      <c r="BV135" s="354"/>
      <c r="BW135" s="355">
        <f t="shared" si="8"/>
        <v>7283</v>
      </c>
      <c r="BY135" s="33">
        <f t="shared" si="9"/>
        <v>0</v>
      </c>
      <c r="BZ135" s="33">
        <f t="shared" si="11"/>
        <v>0</v>
      </c>
      <c r="CA135" s="33">
        <f t="shared" si="11"/>
        <v>0</v>
      </c>
      <c r="CB135" s="33">
        <f t="shared" si="11"/>
        <v>0</v>
      </c>
      <c r="CC135" s="33">
        <f t="shared" si="11"/>
        <v>7283</v>
      </c>
      <c r="CD135" s="33">
        <f t="shared" si="11"/>
        <v>0</v>
      </c>
      <c r="CE135" s="33">
        <f t="shared" si="11"/>
        <v>0</v>
      </c>
      <c r="CF135" s="33">
        <f t="shared" si="11"/>
        <v>0</v>
      </c>
      <c r="CG135" s="58">
        <f t="shared" si="10"/>
        <v>7283</v>
      </c>
    </row>
    <row r="136" spans="1:85">
      <c r="A136" s="198">
        <v>2176</v>
      </c>
      <c r="B136" s="2">
        <v>103256</v>
      </c>
      <c r="C136" s="2" t="s">
        <v>295</v>
      </c>
      <c r="D136" s="2" t="s">
        <v>296</v>
      </c>
      <c r="E136" s="2" t="s">
        <v>39</v>
      </c>
      <c r="F136" s="208" t="s">
        <v>890</v>
      </c>
      <c r="H136" s="880">
        <v>0</v>
      </c>
      <c r="I136" s="880"/>
      <c r="J136" s="880"/>
      <c r="K136" s="880">
        <v>10810</v>
      </c>
      <c r="L136" s="190">
        <v>0</v>
      </c>
      <c r="M136" s="190">
        <v>0</v>
      </c>
      <c r="N136" s="190">
        <v>0</v>
      </c>
      <c r="O136" s="190">
        <v>0</v>
      </c>
      <c r="P136" s="190">
        <v>0</v>
      </c>
      <c r="Q136" s="190">
        <v>0</v>
      </c>
      <c r="R136" s="190">
        <v>0</v>
      </c>
      <c r="S136" s="190">
        <v>0</v>
      </c>
      <c r="T136" s="209">
        <v>2580.52</v>
      </c>
      <c r="U136" s="209"/>
      <c r="V136" s="209"/>
      <c r="W136" s="209"/>
      <c r="X136" s="190"/>
      <c r="Y136" s="190"/>
      <c r="Z136" s="190"/>
      <c r="AA136" s="190"/>
      <c r="AB136" s="190"/>
      <c r="AC136" s="190"/>
      <c r="AD136" s="190"/>
      <c r="AE136" s="190"/>
      <c r="AF136" s="209"/>
      <c r="AG136" s="209"/>
      <c r="AH136" s="209"/>
      <c r="AI136" s="67"/>
      <c r="AJ136" s="209"/>
      <c r="AK136" s="209"/>
      <c r="AL136" s="190"/>
      <c r="AM136" s="190"/>
      <c r="AN136" s="189"/>
      <c r="AO136" s="189"/>
      <c r="AP136" s="189"/>
      <c r="AQ136" s="348"/>
      <c r="AR136" s="348"/>
      <c r="AS136" s="354"/>
      <c r="AT136" s="354"/>
      <c r="AU136" s="354"/>
      <c r="AV136" s="196"/>
      <c r="AW136" s="354"/>
      <c r="AX136" s="354"/>
      <c r="AY136" s="354"/>
      <c r="AZ136" s="354"/>
      <c r="BA136" s="354"/>
      <c r="BB136" s="354"/>
      <c r="BC136" s="354"/>
      <c r="BD136" s="354"/>
      <c r="BE136" s="354"/>
      <c r="BF136" s="354"/>
      <c r="BG136" s="354"/>
      <c r="BH136" s="354"/>
      <c r="BI136" s="354"/>
      <c r="BJ136" s="354"/>
      <c r="BK136" s="354"/>
      <c r="BL136" s="354"/>
      <c r="BM136" s="354"/>
      <c r="BN136" s="354"/>
      <c r="BO136" s="355">
        <v>0</v>
      </c>
      <c r="BP136" s="888">
        <v>0</v>
      </c>
      <c r="BQ136" s="354"/>
      <c r="BR136" s="354"/>
      <c r="BS136" s="354"/>
      <c r="BT136" s="354"/>
      <c r="BU136" s="354"/>
      <c r="BV136" s="354"/>
      <c r="BW136" s="355">
        <f t="shared" si="8"/>
        <v>13390.52</v>
      </c>
      <c r="BY136" s="33">
        <f t="shared" si="9"/>
        <v>0</v>
      </c>
      <c r="BZ136" s="33">
        <f t="shared" si="11"/>
        <v>0</v>
      </c>
      <c r="CA136" s="33">
        <f t="shared" si="11"/>
        <v>0</v>
      </c>
      <c r="CB136" s="33">
        <f t="shared" si="11"/>
        <v>0</v>
      </c>
      <c r="CC136" s="33">
        <f t="shared" si="11"/>
        <v>13390.52</v>
      </c>
      <c r="CD136" s="33">
        <f t="shared" si="11"/>
        <v>0</v>
      </c>
      <c r="CE136" s="33">
        <f t="shared" si="11"/>
        <v>0</v>
      </c>
      <c r="CF136" s="33">
        <f t="shared" si="11"/>
        <v>0</v>
      </c>
      <c r="CG136" s="58">
        <f t="shared" ref="CG136:CG167" si="12">SUM(BY136:CE136)-AV136</f>
        <v>13390.52</v>
      </c>
    </row>
    <row r="137" spans="1:85">
      <c r="A137" s="198">
        <v>7047</v>
      </c>
      <c r="B137" s="2">
        <v>103623</v>
      </c>
      <c r="C137" s="2" t="s">
        <v>297</v>
      </c>
      <c r="D137" s="2" t="s">
        <v>298</v>
      </c>
      <c r="E137" s="2" t="s">
        <v>56</v>
      </c>
      <c r="F137" s="208" t="s">
        <v>890</v>
      </c>
      <c r="H137" s="880">
        <v>0</v>
      </c>
      <c r="I137" s="880"/>
      <c r="J137" s="880"/>
      <c r="K137" s="880">
        <v>8495</v>
      </c>
      <c r="L137" s="190">
        <v>0</v>
      </c>
      <c r="M137" s="190">
        <v>0</v>
      </c>
      <c r="N137" s="190">
        <v>0</v>
      </c>
      <c r="O137" s="190">
        <v>0</v>
      </c>
      <c r="P137" s="190">
        <v>0</v>
      </c>
      <c r="Q137" s="190">
        <v>0</v>
      </c>
      <c r="R137" s="190">
        <v>0</v>
      </c>
      <c r="S137" s="190">
        <v>0</v>
      </c>
      <c r="T137" s="209">
        <v>0</v>
      </c>
      <c r="U137" s="209"/>
      <c r="V137" s="209"/>
      <c r="W137" s="209"/>
      <c r="X137" s="190"/>
      <c r="Y137" s="190"/>
      <c r="Z137" s="190"/>
      <c r="AA137" s="190"/>
      <c r="AB137" s="190"/>
      <c r="AC137" s="190"/>
      <c r="AD137" s="190"/>
      <c r="AE137" s="190"/>
      <c r="AF137" s="209"/>
      <c r="AG137" s="209"/>
      <c r="AH137" s="209"/>
      <c r="AI137" s="67"/>
      <c r="AJ137" s="209"/>
      <c r="AK137" s="209"/>
      <c r="AL137" s="190"/>
      <c r="AM137" s="190"/>
      <c r="AN137" s="189"/>
      <c r="AO137" s="189"/>
      <c r="AP137" s="189"/>
      <c r="AQ137" s="348"/>
      <c r="AR137" s="348"/>
      <c r="AS137" s="354"/>
      <c r="AT137" s="354"/>
      <c r="AU137" s="354"/>
      <c r="AV137" s="196"/>
      <c r="AW137" s="354"/>
      <c r="AX137" s="354"/>
      <c r="AY137" s="354"/>
      <c r="AZ137" s="354"/>
      <c r="BA137" s="354"/>
      <c r="BB137" s="354"/>
      <c r="BC137" s="354"/>
      <c r="BD137" s="354"/>
      <c r="BE137" s="354"/>
      <c r="BF137" s="354"/>
      <c r="BG137" s="354"/>
      <c r="BH137" s="354"/>
      <c r="BI137" s="354"/>
      <c r="BJ137" s="354"/>
      <c r="BK137" s="354"/>
      <c r="BL137" s="354"/>
      <c r="BM137" s="354"/>
      <c r="BN137" s="354"/>
      <c r="BO137" s="355">
        <v>0</v>
      </c>
      <c r="BP137" s="888">
        <v>-133.05000000000001</v>
      </c>
      <c r="BQ137" s="354"/>
      <c r="BR137" s="354"/>
      <c r="BS137" s="354"/>
      <c r="BT137" s="354"/>
      <c r="BU137" s="354"/>
      <c r="BV137" s="354"/>
      <c r="BW137" s="355">
        <f t="shared" ref="BW137:BW193" si="13">SUM(H137:BV137)</f>
        <v>8361.9500000000007</v>
      </c>
      <c r="BY137" s="33">
        <f t="shared" ref="BY137:BY193" si="14">SUMIFS($H137:$BV137,$H$3:$BV$3,BY$7,$H$6:$BV$6,BY$6)</f>
        <v>0</v>
      </c>
      <c r="BZ137" s="33">
        <f t="shared" si="11"/>
        <v>0</v>
      </c>
      <c r="CA137" s="33">
        <f t="shared" si="11"/>
        <v>0</v>
      </c>
      <c r="CB137" s="33">
        <f t="shared" si="11"/>
        <v>0</v>
      </c>
      <c r="CC137" s="33">
        <f t="shared" si="11"/>
        <v>8495</v>
      </c>
      <c r="CD137" s="33">
        <f t="shared" si="11"/>
        <v>0</v>
      </c>
      <c r="CE137" s="33">
        <f t="shared" si="11"/>
        <v>0</v>
      </c>
      <c r="CF137" s="33">
        <f t="shared" si="11"/>
        <v>-133.05000000000001</v>
      </c>
      <c r="CG137" s="58">
        <f t="shared" si="12"/>
        <v>8495</v>
      </c>
    </row>
    <row r="138" spans="1:85">
      <c r="A138" s="198">
        <v>3410</v>
      </c>
      <c r="B138" s="2">
        <v>103478</v>
      </c>
      <c r="C138" s="2" t="s">
        <v>299</v>
      </c>
      <c r="D138" s="2" t="s">
        <v>300</v>
      </c>
      <c r="E138" s="2" t="s">
        <v>39</v>
      </c>
      <c r="F138" s="208" t="s">
        <v>890</v>
      </c>
      <c r="H138" s="880">
        <v>0</v>
      </c>
      <c r="I138" s="880"/>
      <c r="J138" s="880"/>
      <c r="K138" s="880">
        <v>8895</v>
      </c>
      <c r="L138" s="190">
        <v>0</v>
      </c>
      <c r="M138" s="190">
        <v>0</v>
      </c>
      <c r="N138" s="190">
        <v>0</v>
      </c>
      <c r="O138" s="190">
        <v>0</v>
      </c>
      <c r="P138" s="190">
        <v>0</v>
      </c>
      <c r="Q138" s="190">
        <v>0</v>
      </c>
      <c r="R138" s="190">
        <v>0</v>
      </c>
      <c r="S138" s="190">
        <v>0</v>
      </c>
      <c r="T138" s="209">
        <v>0</v>
      </c>
      <c r="U138" s="209"/>
      <c r="V138" s="209"/>
      <c r="W138" s="209"/>
      <c r="X138" s="190"/>
      <c r="Y138" s="190"/>
      <c r="Z138" s="190"/>
      <c r="AA138" s="190"/>
      <c r="AB138" s="190"/>
      <c r="AC138" s="190"/>
      <c r="AD138" s="190"/>
      <c r="AE138" s="190"/>
      <c r="AF138" s="209"/>
      <c r="AG138" s="209"/>
      <c r="AH138" s="209"/>
      <c r="AI138" s="67"/>
      <c r="AJ138" s="209"/>
      <c r="AK138" s="209"/>
      <c r="AL138" s="190"/>
      <c r="AM138" s="190"/>
      <c r="AN138" s="189"/>
      <c r="AO138" s="189"/>
      <c r="AP138" s="189"/>
      <c r="AQ138" s="348"/>
      <c r="AR138" s="348"/>
      <c r="AS138" s="354"/>
      <c r="AT138" s="354"/>
      <c r="AU138" s="354"/>
      <c r="AV138" s="196"/>
      <c r="AW138" s="354"/>
      <c r="AX138" s="354"/>
      <c r="AY138" s="354"/>
      <c r="AZ138" s="354"/>
      <c r="BA138" s="354"/>
      <c r="BB138" s="354"/>
      <c r="BC138" s="354"/>
      <c r="BD138" s="354"/>
      <c r="BE138" s="354"/>
      <c r="BF138" s="354"/>
      <c r="BG138" s="354"/>
      <c r="BH138" s="354"/>
      <c r="BI138" s="354"/>
      <c r="BJ138" s="354"/>
      <c r="BK138" s="354"/>
      <c r="BL138" s="354"/>
      <c r="BM138" s="354"/>
      <c r="BN138" s="354"/>
      <c r="BO138" s="355">
        <v>1864.78</v>
      </c>
      <c r="BP138" s="888">
        <v>-61.76</v>
      </c>
      <c r="BQ138" s="354"/>
      <c r="BR138" s="354"/>
      <c r="BS138" s="354"/>
      <c r="BT138" s="354"/>
      <c r="BU138" s="354"/>
      <c r="BV138" s="354"/>
      <c r="BW138" s="355">
        <f t="shared" si="13"/>
        <v>10698.02</v>
      </c>
      <c r="BY138" s="33">
        <f t="shared" si="14"/>
        <v>0</v>
      </c>
      <c r="BZ138" s="33">
        <f t="shared" si="11"/>
        <v>0</v>
      </c>
      <c r="CA138" s="33">
        <f t="shared" si="11"/>
        <v>0</v>
      </c>
      <c r="CB138" s="33">
        <f t="shared" si="11"/>
        <v>0</v>
      </c>
      <c r="CC138" s="33">
        <f t="shared" si="11"/>
        <v>8895</v>
      </c>
      <c r="CD138" s="33">
        <f t="shared" si="11"/>
        <v>1864.78</v>
      </c>
      <c r="CE138" s="33">
        <f t="shared" si="11"/>
        <v>0</v>
      </c>
      <c r="CF138" s="33">
        <f t="shared" si="11"/>
        <v>-61.76</v>
      </c>
      <c r="CG138" s="58">
        <f t="shared" si="12"/>
        <v>10759.78</v>
      </c>
    </row>
    <row r="139" spans="1:85">
      <c r="A139" s="198">
        <v>3381</v>
      </c>
      <c r="B139" s="2">
        <v>103466</v>
      </c>
      <c r="C139" s="2" t="s">
        <v>301</v>
      </c>
      <c r="D139" s="2" t="s">
        <v>302</v>
      </c>
      <c r="E139" s="2" t="s">
        <v>39</v>
      </c>
      <c r="F139" s="208" t="s">
        <v>890</v>
      </c>
      <c r="H139" s="880">
        <v>0</v>
      </c>
      <c r="I139" s="880"/>
      <c r="J139" s="880"/>
      <c r="K139" s="880">
        <v>8895</v>
      </c>
      <c r="L139" s="190">
        <v>0</v>
      </c>
      <c r="M139" s="190">
        <v>0</v>
      </c>
      <c r="N139" s="190">
        <v>0</v>
      </c>
      <c r="O139" s="190">
        <v>0</v>
      </c>
      <c r="P139" s="190">
        <v>0</v>
      </c>
      <c r="Q139" s="190">
        <v>0</v>
      </c>
      <c r="R139" s="190">
        <v>0</v>
      </c>
      <c r="S139" s="190">
        <v>0</v>
      </c>
      <c r="T139" s="209">
        <v>0</v>
      </c>
      <c r="U139" s="209"/>
      <c r="V139" s="209"/>
      <c r="W139" s="209"/>
      <c r="X139" s="190"/>
      <c r="Y139" s="190"/>
      <c r="Z139" s="190"/>
      <c r="AA139" s="190"/>
      <c r="AB139" s="190"/>
      <c r="AC139" s="190"/>
      <c r="AD139" s="190"/>
      <c r="AE139" s="190"/>
      <c r="AF139" s="209"/>
      <c r="AG139" s="209"/>
      <c r="AH139" s="209"/>
      <c r="AI139" s="67"/>
      <c r="AJ139" s="209"/>
      <c r="AK139" s="209"/>
      <c r="AL139" s="190"/>
      <c r="AM139" s="190"/>
      <c r="AN139" s="189"/>
      <c r="AO139" s="189"/>
      <c r="AP139" s="189"/>
      <c r="AQ139" s="348"/>
      <c r="AR139" s="348"/>
      <c r="AS139" s="354"/>
      <c r="AT139" s="354"/>
      <c r="AU139" s="354"/>
      <c r="AV139" s="196"/>
      <c r="AW139" s="354"/>
      <c r="AX139" s="354"/>
      <c r="AY139" s="354"/>
      <c r="AZ139" s="354"/>
      <c r="BA139" s="354"/>
      <c r="BB139" s="354"/>
      <c r="BC139" s="354"/>
      <c r="BD139" s="354"/>
      <c r="BE139" s="354"/>
      <c r="BF139" s="354"/>
      <c r="BG139" s="354"/>
      <c r="BH139" s="354"/>
      <c r="BI139" s="354"/>
      <c r="BJ139" s="354"/>
      <c r="BK139" s="354"/>
      <c r="BL139" s="354"/>
      <c r="BM139" s="354"/>
      <c r="BN139" s="354"/>
      <c r="BO139" s="355">
        <v>0</v>
      </c>
      <c r="BP139" s="888">
        <v>0</v>
      </c>
      <c r="BQ139" s="354"/>
      <c r="BR139" s="354"/>
      <c r="BS139" s="354"/>
      <c r="BT139" s="354"/>
      <c r="BU139" s="354"/>
      <c r="BV139" s="354"/>
      <c r="BW139" s="355">
        <f t="shared" si="13"/>
        <v>8895</v>
      </c>
      <c r="BY139" s="33">
        <f t="shared" si="14"/>
        <v>0</v>
      </c>
      <c r="BZ139" s="33">
        <f t="shared" si="11"/>
        <v>0</v>
      </c>
      <c r="CA139" s="33">
        <f t="shared" si="11"/>
        <v>0</v>
      </c>
      <c r="CB139" s="33">
        <f t="shared" si="11"/>
        <v>0</v>
      </c>
      <c r="CC139" s="33">
        <f t="shared" si="11"/>
        <v>8895</v>
      </c>
      <c r="CD139" s="33">
        <f t="shared" si="11"/>
        <v>0</v>
      </c>
      <c r="CE139" s="33">
        <f t="shared" si="11"/>
        <v>0</v>
      </c>
      <c r="CF139" s="33">
        <f t="shared" si="11"/>
        <v>0</v>
      </c>
      <c r="CG139" s="58">
        <f t="shared" si="12"/>
        <v>8895</v>
      </c>
    </row>
    <row r="140" spans="1:85">
      <c r="A140" s="198">
        <v>3335</v>
      </c>
      <c r="B140" s="2">
        <v>103434</v>
      </c>
      <c r="C140" s="2" t="s">
        <v>303</v>
      </c>
      <c r="D140" s="2" t="s">
        <v>304</v>
      </c>
      <c r="E140" s="2" t="s">
        <v>39</v>
      </c>
      <c r="F140" s="208" t="s">
        <v>890</v>
      </c>
      <c r="H140" s="880">
        <v>0</v>
      </c>
      <c r="I140" s="880"/>
      <c r="J140" s="880"/>
      <c r="K140" s="880">
        <v>8860</v>
      </c>
      <c r="L140" s="190">
        <v>0</v>
      </c>
      <c r="M140" s="190">
        <v>0</v>
      </c>
      <c r="N140" s="190">
        <v>0</v>
      </c>
      <c r="O140" s="190">
        <v>0</v>
      </c>
      <c r="P140" s="190">
        <v>0</v>
      </c>
      <c r="Q140" s="190">
        <v>0</v>
      </c>
      <c r="R140" s="190">
        <v>0</v>
      </c>
      <c r="S140" s="190">
        <v>0</v>
      </c>
      <c r="T140" s="209">
        <v>0</v>
      </c>
      <c r="U140" s="209"/>
      <c r="V140" s="209"/>
      <c r="W140" s="209"/>
      <c r="X140" s="190"/>
      <c r="Y140" s="190"/>
      <c r="Z140" s="190"/>
      <c r="AA140" s="190"/>
      <c r="AB140" s="190"/>
      <c r="AC140" s="190"/>
      <c r="AD140" s="190"/>
      <c r="AE140" s="190"/>
      <c r="AF140" s="209"/>
      <c r="AG140" s="209"/>
      <c r="AH140" s="209"/>
      <c r="AI140" s="67"/>
      <c r="AJ140" s="209"/>
      <c r="AK140" s="209"/>
      <c r="AL140" s="190"/>
      <c r="AM140" s="190"/>
      <c r="AN140" s="189"/>
      <c r="AO140" s="189"/>
      <c r="AP140" s="189"/>
      <c r="AQ140" s="348"/>
      <c r="AR140" s="348"/>
      <c r="AS140" s="354"/>
      <c r="AT140" s="354"/>
      <c r="AU140" s="354"/>
      <c r="AV140" s="196"/>
      <c r="AW140" s="354"/>
      <c r="AX140" s="354"/>
      <c r="AY140" s="354"/>
      <c r="AZ140" s="354"/>
      <c r="BA140" s="354"/>
      <c r="BB140" s="354"/>
      <c r="BC140" s="354"/>
      <c r="BD140" s="354"/>
      <c r="BE140" s="354"/>
      <c r="BF140" s="354"/>
      <c r="BG140" s="354"/>
      <c r="BH140" s="354"/>
      <c r="BI140" s="354"/>
      <c r="BJ140" s="354"/>
      <c r="BK140" s="354"/>
      <c r="BL140" s="354"/>
      <c r="BM140" s="354"/>
      <c r="BN140" s="354"/>
      <c r="BO140" s="355">
        <v>15.37</v>
      </c>
      <c r="BP140" s="888">
        <v>-55.15</v>
      </c>
      <c r="BQ140" s="354"/>
      <c r="BR140" s="354"/>
      <c r="BS140" s="354"/>
      <c r="BT140" s="354"/>
      <c r="BU140" s="354"/>
      <c r="BV140" s="354"/>
      <c r="BW140" s="355">
        <f t="shared" si="13"/>
        <v>8820.2200000000012</v>
      </c>
      <c r="BY140" s="33">
        <f t="shared" si="14"/>
        <v>0</v>
      </c>
      <c r="BZ140" s="33">
        <f t="shared" si="11"/>
        <v>0</v>
      </c>
      <c r="CA140" s="33">
        <f t="shared" si="11"/>
        <v>0</v>
      </c>
      <c r="CB140" s="33">
        <f t="shared" si="11"/>
        <v>0</v>
      </c>
      <c r="CC140" s="33">
        <f t="shared" si="11"/>
        <v>8860</v>
      </c>
      <c r="CD140" s="33">
        <f t="shared" si="11"/>
        <v>15.37</v>
      </c>
      <c r="CE140" s="33">
        <f t="shared" si="11"/>
        <v>0</v>
      </c>
      <c r="CF140" s="33">
        <f t="shared" si="11"/>
        <v>-55.15</v>
      </c>
      <c r="CG140" s="58">
        <f t="shared" si="12"/>
        <v>8875.3700000000008</v>
      </c>
    </row>
    <row r="141" spans="1:85">
      <c r="A141" s="198">
        <v>2183</v>
      </c>
      <c r="B141" s="2">
        <v>103261</v>
      </c>
      <c r="C141" s="2" t="s">
        <v>305</v>
      </c>
      <c r="D141" s="2" t="s">
        <v>306</v>
      </c>
      <c r="E141" s="2" t="s">
        <v>39</v>
      </c>
      <c r="F141" s="208" t="s">
        <v>890</v>
      </c>
      <c r="H141" s="880">
        <v>5455</v>
      </c>
      <c r="I141" s="880">
        <v>346</v>
      </c>
      <c r="J141" s="880"/>
      <c r="K141" s="880">
        <v>9590</v>
      </c>
      <c r="L141" s="190">
        <v>0</v>
      </c>
      <c r="M141" s="190">
        <v>0</v>
      </c>
      <c r="N141" s="190">
        <v>0</v>
      </c>
      <c r="O141" s="190">
        <v>0</v>
      </c>
      <c r="P141" s="190">
        <v>0</v>
      </c>
      <c r="Q141" s="190">
        <v>0</v>
      </c>
      <c r="R141" s="190">
        <v>0</v>
      </c>
      <c r="S141" s="190">
        <v>0</v>
      </c>
      <c r="T141" s="209">
        <v>9019.42</v>
      </c>
      <c r="U141" s="209"/>
      <c r="V141" s="209"/>
      <c r="W141" s="209"/>
      <c r="X141" s="190"/>
      <c r="Y141" s="190"/>
      <c r="Z141" s="190"/>
      <c r="AA141" s="190"/>
      <c r="AB141" s="190"/>
      <c r="AC141" s="190"/>
      <c r="AD141" s="190"/>
      <c r="AE141" s="190"/>
      <c r="AF141" s="209"/>
      <c r="AG141" s="209"/>
      <c r="AH141" s="209"/>
      <c r="AI141" s="67"/>
      <c r="AJ141" s="209"/>
      <c r="AK141" s="209"/>
      <c r="AL141" s="190"/>
      <c r="AM141" s="190"/>
      <c r="AN141" s="189"/>
      <c r="AO141" s="189"/>
      <c r="AP141" s="189"/>
      <c r="AQ141" s="348"/>
      <c r="AR141" s="348"/>
      <c r="AS141" s="354"/>
      <c r="AT141" s="354"/>
      <c r="AU141" s="354"/>
      <c r="AV141" s="196"/>
      <c r="AW141" s="354"/>
      <c r="AX141" s="354"/>
      <c r="AY141" s="354"/>
      <c r="AZ141" s="354"/>
      <c r="BA141" s="354"/>
      <c r="BB141" s="354"/>
      <c r="BC141" s="354"/>
      <c r="BD141" s="354"/>
      <c r="BE141" s="354"/>
      <c r="BF141" s="354"/>
      <c r="BG141" s="354"/>
      <c r="BH141" s="354"/>
      <c r="BI141" s="354"/>
      <c r="BJ141" s="354"/>
      <c r="BK141" s="354"/>
      <c r="BL141" s="354"/>
      <c r="BM141" s="354"/>
      <c r="BN141" s="354"/>
      <c r="BO141" s="355">
        <v>0</v>
      </c>
      <c r="BP141" s="888">
        <v>0</v>
      </c>
      <c r="BQ141" s="354"/>
      <c r="BR141" s="354"/>
      <c r="BS141" s="354"/>
      <c r="BT141" s="354"/>
      <c r="BU141" s="354"/>
      <c r="BV141" s="354"/>
      <c r="BW141" s="355">
        <f t="shared" si="13"/>
        <v>24410.42</v>
      </c>
      <c r="BY141" s="33">
        <f t="shared" si="14"/>
        <v>5801</v>
      </c>
      <c r="BZ141" s="33">
        <f t="shared" si="11"/>
        <v>0</v>
      </c>
      <c r="CA141" s="33">
        <f t="shared" si="11"/>
        <v>0</v>
      </c>
      <c r="CB141" s="33">
        <f t="shared" si="11"/>
        <v>0</v>
      </c>
      <c r="CC141" s="33">
        <f t="shared" si="11"/>
        <v>18609.419999999998</v>
      </c>
      <c r="CD141" s="33">
        <f t="shared" si="11"/>
        <v>0</v>
      </c>
      <c r="CE141" s="33">
        <f t="shared" si="11"/>
        <v>0</v>
      </c>
      <c r="CF141" s="33">
        <f t="shared" si="11"/>
        <v>0</v>
      </c>
      <c r="CG141" s="58">
        <f t="shared" si="12"/>
        <v>24410.42</v>
      </c>
    </row>
    <row r="142" spans="1:85">
      <c r="A142" s="198">
        <v>3372</v>
      </c>
      <c r="B142" s="2">
        <v>103460</v>
      </c>
      <c r="C142" s="2" t="s">
        <v>307</v>
      </c>
      <c r="D142" s="2" t="s">
        <v>308</v>
      </c>
      <c r="E142" s="2" t="s">
        <v>39</v>
      </c>
      <c r="F142" s="208" t="s">
        <v>890</v>
      </c>
      <c r="H142" s="880">
        <v>0</v>
      </c>
      <c r="I142" s="880"/>
      <c r="J142" s="880"/>
      <c r="K142" s="880">
        <v>10410</v>
      </c>
      <c r="L142" s="190">
        <v>0</v>
      </c>
      <c r="M142" s="190">
        <v>0</v>
      </c>
      <c r="N142" s="190">
        <v>0</v>
      </c>
      <c r="O142" s="190">
        <v>0</v>
      </c>
      <c r="P142" s="190">
        <v>0</v>
      </c>
      <c r="Q142" s="190">
        <v>0</v>
      </c>
      <c r="R142" s="190">
        <v>0</v>
      </c>
      <c r="S142" s="190">
        <v>0</v>
      </c>
      <c r="T142" s="209">
        <v>2580.52</v>
      </c>
      <c r="U142" s="209"/>
      <c r="V142" s="209"/>
      <c r="W142" s="209"/>
      <c r="X142" s="190"/>
      <c r="Y142" s="190"/>
      <c r="Z142" s="190"/>
      <c r="AA142" s="190"/>
      <c r="AB142" s="190"/>
      <c r="AC142" s="190"/>
      <c r="AD142" s="190"/>
      <c r="AE142" s="190"/>
      <c r="AF142" s="209"/>
      <c r="AG142" s="209"/>
      <c r="AH142" s="209"/>
      <c r="AI142" s="67"/>
      <c r="AJ142" s="209"/>
      <c r="AK142" s="209"/>
      <c r="AL142" s="190"/>
      <c r="AM142" s="190"/>
      <c r="AN142" s="189"/>
      <c r="AO142" s="189"/>
      <c r="AP142" s="189"/>
      <c r="AQ142" s="348"/>
      <c r="AR142" s="348"/>
      <c r="AS142" s="354"/>
      <c r="AT142" s="354"/>
      <c r="AU142" s="354"/>
      <c r="AV142" s="196"/>
      <c r="AW142" s="354"/>
      <c r="AX142" s="354"/>
      <c r="AY142" s="354"/>
      <c r="AZ142" s="354"/>
      <c r="BA142" s="354"/>
      <c r="BB142" s="354"/>
      <c r="BC142" s="354"/>
      <c r="BD142" s="354"/>
      <c r="BE142" s="354"/>
      <c r="BF142" s="354"/>
      <c r="BG142" s="354"/>
      <c r="BH142" s="354"/>
      <c r="BI142" s="354"/>
      <c r="BJ142" s="354"/>
      <c r="BK142" s="354"/>
      <c r="BL142" s="354"/>
      <c r="BM142" s="354"/>
      <c r="BN142" s="354"/>
      <c r="BO142" s="355">
        <v>1934.11</v>
      </c>
      <c r="BP142" s="888">
        <v>-28.93</v>
      </c>
      <c r="BQ142" s="354"/>
      <c r="BR142" s="354"/>
      <c r="BS142" s="354"/>
      <c r="BT142" s="354"/>
      <c r="BU142" s="354"/>
      <c r="BV142" s="354"/>
      <c r="BW142" s="355">
        <f t="shared" si="13"/>
        <v>14895.7</v>
      </c>
      <c r="BY142" s="33">
        <f t="shared" si="14"/>
        <v>0</v>
      </c>
      <c r="BZ142" s="33">
        <f t="shared" si="11"/>
        <v>0</v>
      </c>
      <c r="CA142" s="33">
        <f t="shared" si="11"/>
        <v>0</v>
      </c>
      <c r="CB142" s="33">
        <f t="shared" si="11"/>
        <v>0</v>
      </c>
      <c r="CC142" s="33">
        <f t="shared" si="11"/>
        <v>12990.52</v>
      </c>
      <c r="CD142" s="33">
        <f t="shared" si="11"/>
        <v>1934.11</v>
      </c>
      <c r="CE142" s="33">
        <f t="shared" si="11"/>
        <v>0</v>
      </c>
      <c r="CF142" s="33">
        <f t="shared" si="11"/>
        <v>-28.93</v>
      </c>
      <c r="CG142" s="58">
        <f t="shared" si="12"/>
        <v>14924.630000000001</v>
      </c>
    </row>
    <row r="143" spans="1:85">
      <c r="A143" s="198">
        <v>3375</v>
      </c>
      <c r="B143" s="2">
        <v>103462</v>
      </c>
      <c r="C143" s="2" t="s">
        <v>309</v>
      </c>
      <c r="D143" s="2" t="s">
        <v>310</v>
      </c>
      <c r="E143" s="2" t="s">
        <v>39</v>
      </c>
      <c r="F143" s="208" t="s">
        <v>890</v>
      </c>
      <c r="H143" s="880">
        <v>0</v>
      </c>
      <c r="I143" s="880"/>
      <c r="J143" s="880"/>
      <c r="K143" s="880">
        <v>9755</v>
      </c>
      <c r="L143" s="190">
        <v>0</v>
      </c>
      <c r="M143" s="190">
        <v>0</v>
      </c>
      <c r="N143" s="190">
        <v>0</v>
      </c>
      <c r="O143" s="190">
        <v>0</v>
      </c>
      <c r="P143" s="190">
        <v>0</v>
      </c>
      <c r="Q143" s="190">
        <v>0</v>
      </c>
      <c r="R143" s="190">
        <v>0</v>
      </c>
      <c r="S143" s="190">
        <v>0</v>
      </c>
      <c r="T143" s="209">
        <v>0</v>
      </c>
      <c r="U143" s="209"/>
      <c r="V143" s="209"/>
      <c r="W143" s="209"/>
      <c r="X143" s="190"/>
      <c r="Y143" s="190"/>
      <c r="Z143" s="190"/>
      <c r="AA143" s="190"/>
      <c r="AB143" s="190"/>
      <c r="AC143" s="190"/>
      <c r="AD143" s="190"/>
      <c r="AE143" s="190"/>
      <c r="AF143" s="209"/>
      <c r="AG143" s="209"/>
      <c r="AH143" s="209"/>
      <c r="AI143" s="67"/>
      <c r="AJ143" s="209"/>
      <c r="AK143" s="209"/>
      <c r="AL143" s="190"/>
      <c r="AM143" s="190"/>
      <c r="AN143" s="189"/>
      <c r="AO143" s="189"/>
      <c r="AP143" s="189"/>
      <c r="AQ143" s="348"/>
      <c r="AR143" s="348"/>
      <c r="AS143" s="354"/>
      <c r="AT143" s="354"/>
      <c r="AU143" s="354"/>
      <c r="AV143" s="196"/>
      <c r="AW143" s="354"/>
      <c r="AX143" s="354"/>
      <c r="AY143" s="354"/>
      <c r="AZ143" s="354"/>
      <c r="BA143" s="354"/>
      <c r="BB143" s="354"/>
      <c r="BC143" s="354"/>
      <c r="BD143" s="354"/>
      <c r="BE143" s="354"/>
      <c r="BF143" s="354"/>
      <c r="BG143" s="354"/>
      <c r="BH143" s="354"/>
      <c r="BI143" s="354"/>
      <c r="BJ143" s="354"/>
      <c r="BK143" s="354"/>
      <c r="BL143" s="354"/>
      <c r="BM143" s="354"/>
      <c r="BN143" s="354"/>
      <c r="BO143" s="355">
        <v>0</v>
      </c>
      <c r="BP143" s="888">
        <v>0</v>
      </c>
      <c r="BQ143" s="354"/>
      <c r="BR143" s="354"/>
      <c r="BS143" s="354"/>
      <c r="BT143" s="354"/>
      <c r="BU143" s="354"/>
      <c r="BV143" s="354"/>
      <c r="BW143" s="355">
        <f t="shared" si="13"/>
        <v>9755</v>
      </c>
      <c r="BY143" s="33">
        <f t="shared" si="14"/>
        <v>0</v>
      </c>
      <c r="BZ143" s="33">
        <f t="shared" si="11"/>
        <v>0</v>
      </c>
      <c r="CA143" s="33">
        <f t="shared" si="11"/>
        <v>0</v>
      </c>
      <c r="CB143" s="33">
        <f t="shared" si="11"/>
        <v>0</v>
      </c>
      <c r="CC143" s="33">
        <f t="shared" si="11"/>
        <v>9755</v>
      </c>
      <c r="CD143" s="33">
        <f t="shared" si="11"/>
        <v>0</v>
      </c>
      <c r="CE143" s="33">
        <f t="shared" si="11"/>
        <v>0</v>
      </c>
      <c r="CF143" s="33">
        <f t="shared" si="11"/>
        <v>0</v>
      </c>
      <c r="CG143" s="58">
        <f t="shared" si="12"/>
        <v>9755</v>
      </c>
    </row>
    <row r="144" spans="1:85">
      <c r="A144" s="198">
        <v>3331</v>
      </c>
      <c r="B144" s="2">
        <v>103433</v>
      </c>
      <c r="C144" s="2" t="s">
        <v>311</v>
      </c>
      <c r="D144" s="2" t="s">
        <v>312</v>
      </c>
      <c r="E144" s="2" t="s">
        <v>39</v>
      </c>
      <c r="F144" s="208" t="s">
        <v>890</v>
      </c>
      <c r="H144" s="880">
        <v>0</v>
      </c>
      <c r="I144" s="880"/>
      <c r="J144" s="880"/>
      <c r="K144" s="880">
        <v>8910</v>
      </c>
      <c r="L144" s="190">
        <v>0</v>
      </c>
      <c r="M144" s="190">
        <v>0</v>
      </c>
      <c r="N144" s="190">
        <v>0</v>
      </c>
      <c r="O144" s="190">
        <v>0</v>
      </c>
      <c r="P144" s="190">
        <v>0</v>
      </c>
      <c r="Q144" s="190">
        <v>0</v>
      </c>
      <c r="R144" s="190">
        <v>0</v>
      </c>
      <c r="S144" s="190">
        <v>0</v>
      </c>
      <c r="T144" s="209">
        <v>0</v>
      </c>
      <c r="U144" s="209"/>
      <c r="V144" s="209"/>
      <c r="W144" s="209"/>
      <c r="X144" s="190"/>
      <c r="Y144" s="190"/>
      <c r="Z144" s="190"/>
      <c r="AA144" s="190"/>
      <c r="AB144" s="190"/>
      <c r="AC144" s="190"/>
      <c r="AD144" s="190"/>
      <c r="AE144" s="190"/>
      <c r="AF144" s="209"/>
      <c r="AG144" s="209"/>
      <c r="AH144" s="209"/>
      <c r="AI144" s="67"/>
      <c r="AJ144" s="209"/>
      <c r="AK144" s="209"/>
      <c r="AL144" s="190"/>
      <c r="AM144" s="190"/>
      <c r="AN144" s="189"/>
      <c r="AO144" s="189"/>
      <c r="AP144" s="189"/>
      <c r="AQ144" s="348"/>
      <c r="AR144" s="348"/>
      <c r="AS144" s="354"/>
      <c r="AT144" s="354"/>
      <c r="AU144" s="354"/>
      <c r="AV144" s="196"/>
      <c r="AW144" s="354"/>
      <c r="AX144" s="354"/>
      <c r="AY144" s="354"/>
      <c r="AZ144" s="354"/>
      <c r="BA144" s="354"/>
      <c r="BB144" s="354"/>
      <c r="BC144" s="354"/>
      <c r="BD144" s="354"/>
      <c r="BE144" s="354"/>
      <c r="BF144" s="354"/>
      <c r="BG144" s="354"/>
      <c r="BH144" s="354"/>
      <c r="BI144" s="354"/>
      <c r="BJ144" s="354"/>
      <c r="BK144" s="354"/>
      <c r="BL144" s="354"/>
      <c r="BM144" s="354"/>
      <c r="BN144" s="354"/>
      <c r="BO144" s="355">
        <v>1159.6500000000001</v>
      </c>
      <c r="BP144" s="888">
        <v>-42.48</v>
      </c>
      <c r="BQ144" s="354"/>
      <c r="BR144" s="354"/>
      <c r="BS144" s="354"/>
      <c r="BT144" s="354"/>
      <c r="BU144" s="354"/>
      <c r="BV144" s="354"/>
      <c r="BW144" s="355">
        <f t="shared" si="13"/>
        <v>10027.17</v>
      </c>
      <c r="BY144" s="33">
        <f t="shared" si="14"/>
        <v>0</v>
      </c>
      <c r="BZ144" s="33">
        <f t="shared" si="11"/>
        <v>0</v>
      </c>
      <c r="CA144" s="33">
        <f t="shared" si="11"/>
        <v>0</v>
      </c>
      <c r="CB144" s="33">
        <f t="shared" si="11"/>
        <v>0</v>
      </c>
      <c r="CC144" s="33">
        <f t="shared" si="11"/>
        <v>8910</v>
      </c>
      <c r="CD144" s="33">
        <f t="shared" si="11"/>
        <v>1159.6500000000001</v>
      </c>
      <c r="CE144" s="33">
        <f t="shared" si="11"/>
        <v>0</v>
      </c>
      <c r="CF144" s="33">
        <f t="shared" si="11"/>
        <v>-42.48</v>
      </c>
      <c r="CG144" s="58">
        <f t="shared" si="12"/>
        <v>10069.65</v>
      </c>
    </row>
    <row r="145" spans="1:85">
      <c r="A145" s="198">
        <v>3386</v>
      </c>
      <c r="B145" s="2">
        <v>103470</v>
      </c>
      <c r="C145" s="2" t="s">
        <v>313</v>
      </c>
      <c r="D145" s="2" t="s">
        <v>314</v>
      </c>
      <c r="E145" s="2" t="s">
        <v>39</v>
      </c>
      <c r="F145" s="208" t="s">
        <v>890</v>
      </c>
      <c r="H145" s="880">
        <v>0</v>
      </c>
      <c r="I145" s="880"/>
      <c r="J145" s="880"/>
      <c r="K145" s="880">
        <v>8905</v>
      </c>
      <c r="L145" s="190">
        <v>0</v>
      </c>
      <c r="M145" s="190">
        <v>0</v>
      </c>
      <c r="N145" s="190">
        <v>0</v>
      </c>
      <c r="O145" s="190">
        <v>0</v>
      </c>
      <c r="P145" s="190">
        <v>0</v>
      </c>
      <c r="Q145" s="190">
        <v>0</v>
      </c>
      <c r="R145" s="190">
        <v>0</v>
      </c>
      <c r="S145" s="190">
        <v>0</v>
      </c>
      <c r="T145" s="209">
        <v>0</v>
      </c>
      <c r="U145" s="209"/>
      <c r="V145" s="209"/>
      <c r="W145" s="209"/>
      <c r="X145" s="190"/>
      <c r="Y145" s="190"/>
      <c r="Z145" s="190"/>
      <c r="AA145" s="190"/>
      <c r="AB145" s="190"/>
      <c r="AC145" s="190"/>
      <c r="AD145" s="190"/>
      <c r="AE145" s="190"/>
      <c r="AF145" s="209"/>
      <c r="AG145" s="209"/>
      <c r="AH145" s="209"/>
      <c r="AI145" s="67"/>
      <c r="AJ145" s="209"/>
      <c r="AK145" s="209"/>
      <c r="AL145" s="190"/>
      <c r="AM145" s="190"/>
      <c r="AN145" s="189"/>
      <c r="AO145" s="189"/>
      <c r="AP145" s="189"/>
      <c r="AQ145" s="348"/>
      <c r="AR145" s="348"/>
      <c r="AS145" s="354"/>
      <c r="AT145" s="354"/>
      <c r="AU145" s="354"/>
      <c r="AV145" s="196"/>
      <c r="AW145" s="354"/>
      <c r="AX145" s="354"/>
      <c r="AY145" s="354"/>
      <c r="AZ145" s="354"/>
      <c r="BA145" s="354"/>
      <c r="BB145" s="354"/>
      <c r="BC145" s="354"/>
      <c r="BD145" s="354"/>
      <c r="BE145" s="354"/>
      <c r="BF145" s="354"/>
      <c r="BG145" s="354"/>
      <c r="BH145" s="354"/>
      <c r="BI145" s="354"/>
      <c r="BJ145" s="354"/>
      <c r="BK145" s="354"/>
      <c r="BL145" s="354"/>
      <c r="BM145" s="354"/>
      <c r="BN145" s="354"/>
      <c r="BO145" s="355">
        <v>1302.29</v>
      </c>
      <c r="BP145" s="888">
        <v>-62.4</v>
      </c>
      <c r="BQ145" s="354"/>
      <c r="BR145" s="354"/>
      <c r="BS145" s="354"/>
      <c r="BT145" s="354"/>
      <c r="BU145" s="354"/>
      <c r="BV145" s="354"/>
      <c r="BW145" s="355">
        <f t="shared" si="13"/>
        <v>10144.890000000001</v>
      </c>
      <c r="BY145" s="33">
        <f t="shared" si="14"/>
        <v>0</v>
      </c>
      <c r="BZ145" s="33">
        <f t="shared" si="11"/>
        <v>0</v>
      </c>
      <c r="CA145" s="33">
        <f t="shared" si="11"/>
        <v>0</v>
      </c>
      <c r="CB145" s="33">
        <f t="shared" si="11"/>
        <v>0</v>
      </c>
      <c r="CC145" s="33">
        <f t="shared" si="11"/>
        <v>8905</v>
      </c>
      <c r="CD145" s="33">
        <f t="shared" si="11"/>
        <v>1302.29</v>
      </c>
      <c r="CE145" s="33">
        <f t="shared" ref="BZ145:CF182" si="15">SUMIFS($H145:$BV145,$H$3:$BV$3,CE$7,$H$6:$BV$6,CE$6)</f>
        <v>0</v>
      </c>
      <c r="CF145" s="33">
        <f t="shared" si="15"/>
        <v>-62.4</v>
      </c>
      <c r="CG145" s="58">
        <f t="shared" si="12"/>
        <v>10207.290000000001</v>
      </c>
    </row>
    <row r="146" spans="1:85">
      <c r="A146" s="198">
        <v>3363</v>
      </c>
      <c r="B146" s="2">
        <v>103455</v>
      </c>
      <c r="C146" s="2" t="s">
        <v>315</v>
      </c>
      <c r="D146" s="2" t="s">
        <v>316</v>
      </c>
      <c r="E146" s="2" t="s">
        <v>39</v>
      </c>
      <c r="F146" s="208" t="s">
        <v>890</v>
      </c>
      <c r="H146" s="880">
        <v>0</v>
      </c>
      <c r="I146" s="880"/>
      <c r="J146" s="880"/>
      <c r="K146" s="880">
        <v>9290</v>
      </c>
      <c r="L146" s="190">
        <v>0</v>
      </c>
      <c r="M146" s="190">
        <v>0</v>
      </c>
      <c r="N146" s="190">
        <v>0</v>
      </c>
      <c r="O146" s="190">
        <v>0</v>
      </c>
      <c r="P146" s="190">
        <v>0</v>
      </c>
      <c r="Q146" s="190">
        <v>0</v>
      </c>
      <c r="R146" s="190">
        <v>0</v>
      </c>
      <c r="S146" s="190">
        <v>0</v>
      </c>
      <c r="T146" s="209">
        <v>0</v>
      </c>
      <c r="U146" s="209"/>
      <c r="V146" s="209"/>
      <c r="W146" s="209"/>
      <c r="X146" s="190"/>
      <c r="Y146" s="190"/>
      <c r="Z146" s="190"/>
      <c r="AA146" s="190"/>
      <c r="AB146" s="190"/>
      <c r="AC146" s="190"/>
      <c r="AD146" s="190"/>
      <c r="AE146" s="190"/>
      <c r="AF146" s="209"/>
      <c r="AG146" s="209"/>
      <c r="AH146" s="209"/>
      <c r="AI146" s="67"/>
      <c r="AJ146" s="209"/>
      <c r="AK146" s="209"/>
      <c r="AL146" s="190"/>
      <c r="AM146" s="190"/>
      <c r="AN146" s="189"/>
      <c r="AO146" s="189"/>
      <c r="AP146" s="189"/>
      <c r="AQ146" s="348"/>
      <c r="AR146" s="348"/>
      <c r="AS146" s="354"/>
      <c r="AT146" s="354"/>
      <c r="AU146" s="354"/>
      <c r="AV146" s="196"/>
      <c r="AW146" s="354"/>
      <c r="AX146" s="354"/>
      <c r="AY146" s="354"/>
      <c r="AZ146" s="354"/>
      <c r="BA146" s="354"/>
      <c r="BB146" s="354"/>
      <c r="BC146" s="354"/>
      <c r="BD146" s="354"/>
      <c r="BE146" s="354"/>
      <c r="BF146" s="354"/>
      <c r="BG146" s="354"/>
      <c r="BH146" s="354"/>
      <c r="BI146" s="354"/>
      <c r="BJ146" s="354"/>
      <c r="BK146" s="354"/>
      <c r="BL146" s="354"/>
      <c r="BM146" s="354"/>
      <c r="BN146" s="354"/>
      <c r="BO146" s="355">
        <v>0</v>
      </c>
      <c r="BP146" s="888">
        <v>0</v>
      </c>
      <c r="BQ146" s="354"/>
      <c r="BR146" s="354"/>
      <c r="BS146" s="354"/>
      <c r="BT146" s="354"/>
      <c r="BU146" s="354"/>
      <c r="BV146" s="354"/>
      <c r="BW146" s="355">
        <f t="shared" si="13"/>
        <v>9290</v>
      </c>
      <c r="BY146" s="33">
        <f t="shared" si="14"/>
        <v>0</v>
      </c>
      <c r="BZ146" s="33">
        <f t="shared" si="15"/>
        <v>0</v>
      </c>
      <c r="CA146" s="33">
        <f t="shared" si="15"/>
        <v>0</v>
      </c>
      <c r="CB146" s="33">
        <f t="shared" si="15"/>
        <v>0</v>
      </c>
      <c r="CC146" s="33">
        <f t="shared" si="15"/>
        <v>9290</v>
      </c>
      <c r="CD146" s="33">
        <f t="shared" si="15"/>
        <v>0</v>
      </c>
      <c r="CE146" s="33">
        <f t="shared" si="15"/>
        <v>0</v>
      </c>
      <c r="CF146" s="33">
        <f t="shared" si="15"/>
        <v>0</v>
      </c>
      <c r="CG146" s="58">
        <f t="shared" si="12"/>
        <v>9290</v>
      </c>
    </row>
    <row r="147" spans="1:85">
      <c r="A147" s="198">
        <v>3355</v>
      </c>
      <c r="B147" s="2">
        <v>103447</v>
      </c>
      <c r="C147" s="2" t="s">
        <v>317</v>
      </c>
      <c r="D147" s="2" t="s">
        <v>318</v>
      </c>
      <c r="E147" s="2" t="s">
        <v>39</v>
      </c>
      <c r="F147" s="208" t="s">
        <v>890</v>
      </c>
      <c r="H147" s="880">
        <v>0</v>
      </c>
      <c r="I147" s="880"/>
      <c r="J147" s="880"/>
      <c r="K147" s="880">
        <v>9770</v>
      </c>
      <c r="L147" s="190">
        <v>0</v>
      </c>
      <c r="M147" s="190">
        <v>0</v>
      </c>
      <c r="N147" s="190">
        <v>0</v>
      </c>
      <c r="O147" s="190">
        <v>0</v>
      </c>
      <c r="P147" s="190">
        <v>0</v>
      </c>
      <c r="Q147" s="190">
        <v>0</v>
      </c>
      <c r="R147" s="190">
        <v>0</v>
      </c>
      <c r="S147" s="190">
        <v>0</v>
      </c>
      <c r="T147" s="209">
        <v>0</v>
      </c>
      <c r="U147" s="209"/>
      <c r="V147" s="209"/>
      <c r="W147" s="209"/>
      <c r="X147" s="190"/>
      <c r="Y147" s="190"/>
      <c r="Z147" s="190"/>
      <c r="AA147" s="190"/>
      <c r="AB147" s="190"/>
      <c r="AC147" s="190"/>
      <c r="AD147" s="190"/>
      <c r="AE147" s="190"/>
      <c r="AF147" s="209"/>
      <c r="AG147" s="209"/>
      <c r="AH147" s="209"/>
      <c r="AI147" s="67"/>
      <c r="AJ147" s="209"/>
      <c r="AK147" s="209"/>
      <c r="AL147" s="190"/>
      <c r="AM147" s="190"/>
      <c r="AN147" s="189"/>
      <c r="AO147" s="189"/>
      <c r="AP147" s="189"/>
      <c r="AQ147" s="348"/>
      <c r="AR147" s="348"/>
      <c r="AS147" s="354"/>
      <c r="AT147" s="354"/>
      <c r="AU147" s="354"/>
      <c r="AV147" s="196"/>
      <c r="AW147" s="354"/>
      <c r="AX147" s="354"/>
      <c r="AY147" s="354"/>
      <c r="AZ147" s="354"/>
      <c r="BA147" s="354"/>
      <c r="BB147" s="354"/>
      <c r="BC147" s="354"/>
      <c r="BD147" s="354"/>
      <c r="BE147" s="354"/>
      <c r="BF147" s="354"/>
      <c r="BG147" s="354"/>
      <c r="BH147" s="354"/>
      <c r="BI147" s="354"/>
      <c r="BJ147" s="354"/>
      <c r="BK147" s="354"/>
      <c r="BL147" s="354"/>
      <c r="BM147" s="354"/>
      <c r="BN147" s="354"/>
      <c r="BO147" s="355">
        <v>1803.61</v>
      </c>
      <c r="BP147" s="888">
        <v>-47.61</v>
      </c>
      <c r="BQ147" s="354"/>
      <c r="BR147" s="354"/>
      <c r="BS147" s="354"/>
      <c r="BT147" s="354"/>
      <c r="BU147" s="354"/>
      <c r="BV147" s="354"/>
      <c r="BW147" s="355">
        <f t="shared" si="13"/>
        <v>11526</v>
      </c>
      <c r="BY147" s="33">
        <f t="shared" si="14"/>
        <v>0</v>
      </c>
      <c r="BZ147" s="33">
        <f t="shared" si="15"/>
        <v>0</v>
      </c>
      <c r="CA147" s="33">
        <f t="shared" si="15"/>
        <v>0</v>
      </c>
      <c r="CB147" s="33">
        <f t="shared" si="15"/>
        <v>0</v>
      </c>
      <c r="CC147" s="33">
        <f t="shared" si="15"/>
        <v>9770</v>
      </c>
      <c r="CD147" s="33">
        <f t="shared" si="15"/>
        <v>1803.61</v>
      </c>
      <c r="CE147" s="33">
        <f t="shared" si="15"/>
        <v>0</v>
      </c>
      <c r="CF147" s="33">
        <f t="shared" si="15"/>
        <v>-47.61</v>
      </c>
      <c r="CG147" s="58">
        <f t="shared" si="12"/>
        <v>11573.61</v>
      </c>
    </row>
    <row r="148" spans="1:85">
      <c r="A148" s="198">
        <v>3367</v>
      </c>
      <c r="B148" s="2">
        <v>103458</v>
      </c>
      <c r="C148" s="2" t="s">
        <v>319</v>
      </c>
      <c r="D148" s="2" t="s">
        <v>320</v>
      </c>
      <c r="E148" s="2" t="s">
        <v>39</v>
      </c>
      <c r="F148" s="208" t="s">
        <v>890</v>
      </c>
      <c r="H148" s="880">
        <v>0</v>
      </c>
      <c r="I148" s="880"/>
      <c r="J148" s="880"/>
      <c r="K148" s="880">
        <v>8885</v>
      </c>
      <c r="L148" s="190">
        <v>0</v>
      </c>
      <c r="M148" s="190">
        <v>0</v>
      </c>
      <c r="N148" s="190">
        <v>0</v>
      </c>
      <c r="O148" s="190">
        <v>0</v>
      </c>
      <c r="P148" s="190">
        <v>0</v>
      </c>
      <c r="Q148" s="190">
        <v>0</v>
      </c>
      <c r="R148" s="190">
        <v>0</v>
      </c>
      <c r="S148" s="190">
        <v>0</v>
      </c>
      <c r="T148" s="209">
        <v>0</v>
      </c>
      <c r="U148" s="209"/>
      <c r="V148" s="209"/>
      <c r="W148" s="209"/>
      <c r="X148" s="190"/>
      <c r="Y148" s="190"/>
      <c r="Z148" s="190"/>
      <c r="AA148" s="190"/>
      <c r="AB148" s="190"/>
      <c r="AC148" s="190"/>
      <c r="AD148" s="190"/>
      <c r="AE148" s="190"/>
      <c r="AF148" s="209"/>
      <c r="AG148" s="209"/>
      <c r="AH148" s="209"/>
      <c r="AI148" s="67"/>
      <c r="AJ148" s="209"/>
      <c r="AK148" s="209"/>
      <c r="AL148" s="190"/>
      <c r="AM148" s="190"/>
      <c r="AN148" s="189"/>
      <c r="AO148" s="189"/>
      <c r="AP148" s="189"/>
      <c r="AQ148" s="348"/>
      <c r="AR148" s="348"/>
      <c r="AS148" s="354"/>
      <c r="AT148" s="354"/>
      <c r="AU148" s="354"/>
      <c r="AV148" s="196"/>
      <c r="AW148" s="354"/>
      <c r="AX148" s="354"/>
      <c r="AY148" s="354"/>
      <c r="AZ148" s="354"/>
      <c r="BA148" s="354"/>
      <c r="BB148" s="354"/>
      <c r="BC148" s="354"/>
      <c r="BD148" s="354"/>
      <c r="BE148" s="354"/>
      <c r="BF148" s="354"/>
      <c r="BG148" s="354"/>
      <c r="BH148" s="354"/>
      <c r="BI148" s="354"/>
      <c r="BJ148" s="354"/>
      <c r="BK148" s="354"/>
      <c r="BL148" s="354"/>
      <c r="BM148" s="354"/>
      <c r="BN148" s="354"/>
      <c r="BO148" s="355">
        <v>899.86</v>
      </c>
      <c r="BP148" s="888">
        <v>-29.65</v>
      </c>
      <c r="BQ148" s="354"/>
      <c r="BR148" s="354"/>
      <c r="BS148" s="354"/>
      <c r="BT148" s="354"/>
      <c r="BU148" s="354"/>
      <c r="BV148" s="354"/>
      <c r="BW148" s="355">
        <f t="shared" si="13"/>
        <v>9755.2100000000009</v>
      </c>
      <c r="BY148" s="33">
        <f t="shared" si="14"/>
        <v>0</v>
      </c>
      <c r="BZ148" s="33">
        <f t="shared" si="15"/>
        <v>0</v>
      </c>
      <c r="CA148" s="33">
        <f t="shared" si="15"/>
        <v>0</v>
      </c>
      <c r="CB148" s="33">
        <f t="shared" si="15"/>
        <v>0</v>
      </c>
      <c r="CC148" s="33">
        <f t="shared" si="15"/>
        <v>8885</v>
      </c>
      <c r="CD148" s="33">
        <f t="shared" si="15"/>
        <v>899.86</v>
      </c>
      <c r="CE148" s="33">
        <f t="shared" si="15"/>
        <v>0</v>
      </c>
      <c r="CF148" s="33">
        <f t="shared" si="15"/>
        <v>-29.65</v>
      </c>
      <c r="CG148" s="58">
        <f t="shared" si="12"/>
        <v>9784.86</v>
      </c>
    </row>
    <row r="149" spans="1:85">
      <c r="A149" s="198">
        <v>3010</v>
      </c>
      <c r="B149" s="2">
        <v>103401</v>
      </c>
      <c r="C149" s="2" t="s">
        <v>321</v>
      </c>
      <c r="D149" s="2" t="s">
        <v>322</v>
      </c>
      <c r="E149" s="2" t="s">
        <v>39</v>
      </c>
      <c r="F149" s="208" t="s">
        <v>890</v>
      </c>
      <c r="H149" s="880">
        <v>0</v>
      </c>
      <c r="I149" s="880"/>
      <c r="J149" s="880"/>
      <c r="K149" s="880">
        <v>9795</v>
      </c>
      <c r="L149" s="190">
        <v>0</v>
      </c>
      <c r="M149" s="190">
        <v>0</v>
      </c>
      <c r="N149" s="190">
        <v>0</v>
      </c>
      <c r="O149" s="190">
        <v>0</v>
      </c>
      <c r="P149" s="190">
        <v>0</v>
      </c>
      <c r="Q149" s="190">
        <v>0</v>
      </c>
      <c r="R149" s="190">
        <v>0</v>
      </c>
      <c r="S149" s="190">
        <v>0</v>
      </c>
      <c r="T149" s="209">
        <v>0</v>
      </c>
      <c r="U149" s="209"/>
      <c r="V149" s="209"/>
      <c r="W149" s="209"/>
      <c r="X149" s="190"/>
      <c r="Y149" s="190"/>
      <c r="Z149" s="190"/>
      <c r="AA149" s="190"/>
      <c r="AB149" s="190"/>
      <c r="AC149" s="190"/>
      <c r="AD149" s="190"/>
      <c r="AE149" s="190"/>
      <c r="AF149" s="209"/>
      <c r="AG149" s="209"/>
      <c r="AH149" s="209"/>
      <c r="AI149" s="67"/>
      <c r="AJ149" s="209"/>
      <c r="AK149" s="209"/>
      <c r="AL149" s="190"/>
      <c r="AM149" s="190"/>
      <c r="AN149" s="189"/>
      <c r="AO149" s="189"/>
      <c r="AP149" s="189"/>
      <c r="AQ149" s="348"/>
      <c r="AR149" s="348"/>
      <c r="AS149" s="354"/>
      <c r="AT149" s="354"/>
      <c r="AU149" s="354"/>
      <c r="AV149" s="196"/>
      <c r="AW149" s="354"/>
      <c r="AX149" s="354"/>
      <c r="AY149" s="354"/>
      <c r="AZ149" s="354"/>
      <c r="BA149" s="354"/>
      <c r="BB149" s="354"/>
      <c r="BC149" s="354"/>
      <c r="BD149" s="354"/>
      <c r="BE149" s="354"/>
      <c r="BF149" s="354"/>
      <c r="BG149" s="354"/>
      <c r="BH149" s="354"/>
      <c r="BI149" s="354"/>
      <c r="BJ149" s="354"/>
      <c r="BK149" s="354"/>
      <c r="BL149" s="354"/>
      <c r="BM149" s="354"/>
      <c r="BN149" s="354"/>
      <c r="BO149" s="355">
        <v>2826.6</v>
      </c>
      <c r="BP149" s="888">
        <v>-30.01</v>
      </c>
      <c r="BQ149" s="354"/>
      <c r="BR149" s="354"/>
      <c r="BS149" s="354"/>
      <c r="BT149" s="354"/>
      <c r="BU149" s="354"/>
      <c r="BV149" s="354"/>
      <c r="BW149" s="355">
        <f t="shared" si="13"/>
        <v>12591.59</v>
      </c>
      <c r="BY149" s="33">
        <f t="shared" si="14"/>
        <v>0</v>
      </c>
      <c r="BZ149" s="33">
        <f t="shared" si="15"/>
        <v>0</v>
      </c>
      <c r="CA149" s="33">
        <f t="shared" si="15"/>
        <v>0</v>
      </c>
      <c r="CB149" s="33">
        <f t="shared" si="15"/>
        <v>0</v>
      </c>
      <c r="CC149" s="33">
        <f t="shared" si="15"/>
        <v>9795</v>
      </c>
      <c r="CD149" s="33">
        <f t="shared" si="15"/>
        <v>2826.6</v>
      </c>
      <c r="CE149" s="33">
        <f t="shared" si="15"/>
        <v>0</v>
      </c>
      <c r="CF149" s="33">
        <f t="shared" si="15"/>
        <v>-30.01</v>
      </c>
      <c r="CG149" s="58">
        <f t="shared" si="12"/>
        <v>12621.6</v>
      </c>
    </row>
    <row r="150" spans="1:85">
      <c r="A150" s="198">
        <v>4625</v>
      </c>
      <c r="B150" s="2">
        <v>103534</v>
      </c>
      <c r="C150" s="2" t="s">
        <v>323</v>
      </c>
      <c r="D150" s="2" t="s">
        <v>324</v>
      </c>
      <c r="E150" s="2" t="s">
        <v>71</v>
      </c>
      <c r="F150" s="208" t="s">
        <v>890</v>
      </c>
      <c r="H150" s="880">
        <v>0</v>
      </c>
      <c r="I150" s="880"/>
      <c r="J150" s="880"/>
      <c r="K150" s="880">
        <v>0</v>
      </c>
      <c r="L150" s="190">
        <v>0</v>
      </c>
      <c r="M150" s="190">
        <v>0</v>
      </c>
      <c r="N150" s="190">
        <v>0</v>
      </c>
      <c r="O150" s="190">
        <v>0</v>
      </c>
      <c r="P150" s="190">
        <v>0</v>
      </c>
      <c r="Q150" s="190">
        <v>0</v>
      </c>
      <c r="R150" s="190">
        <v>0</v>
      </c>
      <c r="S150" s="190">
        <v>0</v>
      </c>
      <c r="T150" s="209">
        <v>0</v>
      </c>
      <c r="U150" s="209"/>
      <c r="V150" s="209"/>
      <c r="W150" s="209"/>
      <c r="X150" s="190"/>
      <c r="Y150" s="190"/>
      <c r="Z150" s="190"/>
      <c r="AA150" s="190"/>
      <c r="AB150" s="190"/>
      <c r="AC150" s="190"/>
      <c r="AD150" s="190"/>
      <c r="AE150" s="190"/>
      <c r="AF150" s="209"/>
      <c r="AG150" s="209"/>
      <c r="AH150" s="209"/>
      <c r="AI150" s="67"/>
      <c r="AJ150" s="209"/>
      <c r="AK150" s="209"/>
      <c r="AL150" s="190"/>
      <c r="AM150" s="190"/>
      <c r="AN150" s="189"/>
      <c r="AO150" s="189"/>
      <c r="AP150" s="189"/>
      <c r="AQ150" s="348"/>
      <c r="AR150" s="348"/>
      <c r="AS150" s="354"/>
      <c r="AT150" s="354"/>
      <c r="AU150" s="354"/>
      <c r="AV150" s="196"/>
      <c r="AW150" s="354"/>
      <c r="AX150" s="354"/>
      <c r="AY150" s="354"/>
      <c r="AZ150" s="354"/>
      <c r="BA150" s="354"/>
      <c r="BB150" s="354"/>
      <c r="BC150" s="354"/>
      <c r="BD150" s="354"/>
      <c r="BE150" s="354"/>
      <c r="BF150" s="354"/>
      <c r="BG150" s="354"/>
      <c r="BH150" s="354"/>
      <c r="BI150" s="354"/>
      <c r="BJ150" s="354"/>
      <c r="BK150" s="354"/>
      <c r="BL150" s="354"/>
      <c r="BM150" s="354"/>
      <c r="BN150" s="354"/>
      <c r="BO150" s="355">
        <v>2704.5</v>
      </c>
      <c r="BP150" s="888">
        <v>-31.32</v>
      </c>
      <c r="BQ150" s="354"/>
      <c r="BR150" s="354"/>
      <c r="BS150" s="354"/>
      <c r="BT150" s="354"/>
      <c r="BU150" s="354"/>
      <c r="BV150" s="354"/>
      <c r="BW150" s="355">
        <f t="shared" si="13"/>
        <v>2673.18</v>
      </c>
      <c r="BY150" s="33">
        <f t="shared" si="14"/>
        <v>0</v>
      </c>
      <c r="BZ150" s="33">
        <f t="shared" si="15"/>
        <v>0</v>
      </c>
      <c r="CA150" s="33">
        <f t="shared" si="15"/>
        <v>0</v>
      </c>
      <c r="CB150" s="33">
        <f t="shared" si="15"/>
        <v>0</v>
      </c>
      <c r="CC150" s="33">
        <f t="shared" si="15"/>
        <v>0</v>
      </c>
      <c r="CD150" s="33">
        <f t="shared" si="15"/>
        <v>2704.5</v>
      </c>
      <c r="CE150" s="33">
        <f t="shared" si="15"/>
        <v>0</v>
      </c>
      <c r="CF150" s="33">
        <f t="shared" si="15"/>
        <v>-31.32</v>
      </c>
      <c r="CG150" s="58">
        <f t="shared" si="12"/>
        <v>2704.5</v>
      </c>
    </row>
    <row r="151" spans="1:85">
      <c r="A151" s="198">
        <v>3377</v>
      </c>
      <c r="B151" s="2">
        <v>103463</v>
      </c>
      <c r="C151" s="2" t="s">
        <v>325</v>
      </c>
      <c r="D151" s="2" t="s">
        <v>326</v>
      </c>
      <c r="E151" s="2" t="s">
        <v>39</v>
      </c>
      <c r="F151" s="208" t="s">
        <v>890</v>
      </c>
      <c r="H151" s="880">
        <v>0</v>
      </c>
      <c r="I151" s="880"/>
      <c r="J151" s="880"/>
      <c r="K151" s="880">
        <v>8815</v>
      </c>
      <c r="L151" s="190">
        <v>0</v>
      </c>
      <c r="M151" s="190">
        <v>0</v>
      </c>
      <c r="N151" s="190">
        <v>0</v>
      </c>
      <c r="O151" s="190">
        <v>0</v>
      </c>
      <c r="P151" s="190">
        <v>0</v>
      </c>
      <c r="Q151" s="190">
        <v>0</v>
      </c>
      <c r="R151" s="190">
        <v>0</v>
      </c>
      <c r="S151" s="190">
        <v>0</v>
      </c>
      <c r="T151" s="209">
        <v>0</v>
      </c>
      <c r="U151" s="209"/>
      <c r="V151" s="209"/>
      <c r="W151" s="209"/>
      <c r="X151" s="190"/>
      <c r="Y151" s="190"/>
      <c r="Z151" s="190"/>
      <c r="AA151" s="190"/>
      <c r="AB151" s="190"/>
      <c r="AC151" s="190"/>
      <c r="AD151" s="190"/>
      <c r="AE151" s="190"/>
      <c r="AF151" s="209"/>
      <c r="AG151" s="209"/>
      <c r="AH151" s="209"/>
      <c r="AI151" s="67"/>
      <c r="AJ151" s="209"/>
      <c r="AK151" s="209"/>
      <c r="AL151" s="190"/>
      <c r="AM151" s="190"/>
      <c r="AN151" s="189"/>
      <c r="AO151" s="189"/>
      <c r="AP151" s="189"/>
      <c r="AQ151" s="348"/>
      <c r="AR151" s="348"/>
      <c r="AS151" s="354"/>
      <c r="AT151" s="354"/>
      <c r="AU151" s="354"/>
      <c r="AV151" s="196"/>
      <c r="AW151" s="354"/>
      <c r="AX151" s="354"/>
      <c r="AY151" s="354"/>
      <c r="AZ151" s="354"/>
      <c r="BA151" s="354"/>
      <c r="BB151" s="354"/>
      <c r="BC151" s="354"/>
      <c r="BD151" s="354"/>
      <c r="BE151" s="354"/>
      <c r="BF151" s="354"/>
      <c r="BG151" s="354"/>
      <c r="BH151" s="354"/>
      <c r="BI151" s="354"/>
      <c r="BJ151" s="354"/>
      <c r="BK151" s="354"/>
      <c r="BL151" s="354"/>
      <c r="BM151" s="354"/>
      <c r="BN151" s="354"/>
      <c r="BO151" s="355">
        <v>0</v>
      </c>
      <c r="BP151" s="888">
        <v>0</v>
      </c>
      <c r="BQ151" s="354"/>
      <c r="BR151" s="354"/>
      <c r="BS151" s="354"/>
      <c r="BT151" s="354"/>
      <c r="BU151" s="354"/>
      <c r="BV151" s="354"/>
      <c r="BW151" s="355">
        <f t="shared" si="13"/>
        <v>8815</v>
      </c>
      <c r="BY151" s="33">
        <f t="shared" si="14"/>
        <v>0</v>
      </c>
      <c r="BZ151" s="33">
        <f t="shared" si="15"/>
        <v>0</v>
      </c>
      <c r="CA151" s="33">
        <f t="shared" si="15"/>
        <v>0</v>
      </c>
      <c r="CB151" s="33">
        <f t="shared" si="15"/>
        <v>0</v>
      </c>
      <c r="CC151" s="33">
        <f t="shared" si="15"/>
        <v>8815</v>
      </c>
      <c r="CD151" s="33">
        <f t="shared" si="15"/>
        <v>0</v>
      </c>
      <c r="CE151" s="33">
        <f t="shared" si="15"/>
        <v>0</v>
      </c>
      <c r="CF151" s="33">
        <f t="shared" si="15"/>
        <v>0</v>
      </c>
      <c r="CG151" s="58">
        <f t="shared" si="12"/>
        <v>8815</v>
      </c>
    </row>
    <row r="152" spans="1:85">
      <c r="A152" s="198">
        <v>3371</v>
      </c>
      <c r="B152" s="2">
        <v>103459</v>
      </c>
      <c r="C152" s="2" t="s">
        <v>327</v>
      </c>
      <c r="D152" s="2" t="s">
        <v>328</v>
      </c>
      <c r="E152" s="2" t="s">
        <v>39</v>
      </c>
      <c r="F152" s="208" t="s">
        <v>890</v>
      </c>
      <c r="H152" s="880">
        <v>0</v>
      </c>
      <c r="I152" s="880"/>
      <c r="J152" s="880"/>
      <c r="K152" s="880">
        <v>0</v>
      </c>
      <c r="L152" s="190">
        <v>0</v>
      </c>
      <c r="M152" s="190">
        <v>0</v>
      </c>
      <c r="N152" s="190">
        <v>0</v>
      </c>
      <c r="O152" s="190">
        <v>0</v>
      </c>
      <c r="P152" s="190">
        <v>0</v>
      </c>
      <c r="Q152" s="190">
        <v>0</v>
      </c>
      <c r="R152" s="190">
        <v>0</v>
      </c>
      <c r="S152" s="190">
        <v>0</v>
      </c>
      <c r="T152" s="209">
        <v>0</v>
      </c>
      <c r="U152" s="209"/>
      <c r="V152" s="209"/>
      <c r="W152" s="209"/>
      <c r="X152" s="190"/>
      <c r="Y152" s="190"/>
      <c r="Z152" s="190"/>
      <c r="AA152" s="190"/>
      <c r="AB152" s="190"/>
      <c r="AC152" s="190"/>
      <c r="AD152" s="190"/>
      <c r="AE152" s="190"/>
      <c r="AF152" s="209"/>
      <c r="AG152" s="209"/>
      <c r="AH152" s="209"/>
      <c r="AI152" s="67"/>
      <c r="AJ152" s="209"/>
      <c r="AK152" s="209"/>
      <c r="AL152" s="190"/>
      <c r="AM152" s="190"/>
      <c r="AN152" s="189"/>
      <c r="AO152" s="189"/>
      <c r="AP152" s="189"/>
      <c r="AQ152" s="348"/>
      <c r="AR152" s="348"/>
      <c r="AS152" s="354"/>
      <c r="AT152" s="354"/>
      <c r="AU152" s="354"/>
      <c r="AV152" s="196"/>
      <c r="AW152" s="354"/>
      <c r="AX152" s="354"/>
      <c r="AY152" s="354"/>
      <c r="AZ152" s="354"/>
      <c r="BA152" s="354"/>
      <c r="BB152" s="354"/>
      <c r="BC152" s="354"/>
      <c r="BD152" s="354"/>
      <c r="BE152" s="354"/>
      <c r="BF152" s="354"/>
      <c r="BG152" s="354"/>
      <c r="BH152" s="354"/>
      <c r="BI152" s="354"/>
      <c r="BJ152" s="354"/>
      <c r="BK152" s="354"/>
      <c r="BL152" s="354"/>
      <c r="BM152" s="354"/>
      <c r="BN152" s="354"/>
      <c r="BO152" s="355">
        <v>0</v>
      </c>
      <c r="BP152" s="888">
        <v>0</v>
      </c>
      <c r="BQ152" s="354"/>
      <c r="BR152" s="354"/>
      <c r="BS152" s="354"/>
      <c r="BT152" s="354"/>
      <c r="BU152" s="354"/>
      <c r="BV152" s="354"/>
      <c r="BW152" s="355">
        <f t="shared" si="13"/>
        <v>0</v>
      </c>
      <c r="BY152" s="33">
        <f t="shared" si="14"/>
        <v>0</v>
      </c>
      <c r="BZ152" s="33">
        <f t="shared" si="15"/>
        <v>0</v>
      </c>
      <c r="CA152" s="33">
        <f t="shared" si="15"/>
        <v>0</v>
      </c>
      <c r="CB152" s="33">
        <f t="shared" si="15"/>
        <v>0</v>
      </c>
      <c r="CC152" s="33">
        <f t="shared" si="15"/>
        <v>0</v>
      </c>
      <c r="CD152" s="33">
        <f t="shared" si="15"/>
        <v>0</v>
      </c>
      <c r="CE152" s="33">
        <f t="shared" si="15"/>
        <v>0</v>
      </c>
      <c r="CF152" s="33">
        <f t="shared" si="15"/>
        <v>0</v>
      </c>
      <c r="CG152" s="58">
        <f t="shared" si="12"/>
        <v>0</v>
      </c>
    </row>
    <row r="153" spans="1:85">
      <c r="A153" s="198">
        <v>3307</v>
      </c>
      <c r="B153" s="2">
        <v>103416</v>
      </c>
      <c r="C153" s="2" t="s">
        <v>329</v>
      </c>
      <c r="D153" s="2" t="s">
        <v>330</v>
      </c>
      <c r="E153" s="2" t="s">
        <v>39</v>
      </c>
      <c r="F153" s="208" t="s">
        <v>890</v>
      </c>
      <c r="H153" s="880">
        <v>0</v>
      </c>
      <c r="I153" s="880"/>
      <c r="J153" s="880"/>
      <c r="K153" s="880">
        <v>0</v>
      </c>
      <c r="L153" s="190">
        <v>0</v>
      </c>
      <c r="M153" s="190">
        <v>0</v>
      </c>
      <c r="N153" s="190">
        <v>0</v>
      </c>
      <c r="O153" s="190">
        <v>0</v>
      </c>
      <c r="P153" s="190">
        <v>0</v>
      </c>
      <c r="Q153" s="190">
        <v>0</v>
      </c>
      <c r="R153" s="190">
        <v>0</v>
      </c>
      <c r="S153" s="190">
        <v>0</v>
      </c>
      <c r="T153" s="209">
        <v>0</v>
      </c>
      <c r="U153" s="209"/>
      <c r="V153" s="209"/>
      <c r="W153" s="209"/>
      <c r="X153" s="190"/>
      <c r="Y153" s="190"/>
      <c r="Z153" s="190"/>
      <c r="AA153" s="190"/>
      <c r="AB153" s="190"/>
      <c r="AC153" s="190"/>
      <c r="AD153" s="190"/>
      <c r="AE153" s="190"/>
      <c r="AF153" s="209"/>
      <c r="AG153" s="209"/>
      <c r="AH153" s="209"/>
      <c r="AI153" s="67"/>
      <c r="AJ153" s="209"/>
      <c r="AK153" s="209"/>
      <c r="AL153" s="190"/>
      <c r="AM153" s="190"/>
      <c r="AN153" s="189"/>
      <c r="AO153" s="189"/>
      <c r="AP153" s="189"/>
      <c r="AQ153" s="348"/>
      <c r="AR153" s="348"/>
      <c r="AS153" s="354"/>
      <c r="AT153" s="354"/>
      <c r="AU153" s="354"/>
      <c r="AV153" s="196"/>
      <c r="AW153" s="354"/>
      <c r="AX153" s="354"/>
      <c r="AY153" s="354"/>
      <c r="AZ153" s="354"/>
      <c r="BA153" s="354"/>
      <c r="BB153" s="354"/>
      <c r="BC153" s="354"/>
      <c r="BD153" s="354"/>
      <c r="BE153" s="354"/>
      <c r="BF153" s="354"/>
      <c r="BG153" s="354"/>
      <c r="BH153" s="354"/>
      <c r="BI153" s="354"/>
      <c r="BJ153" s="354"/>
      <c r="BK153" s="354"/>
      <c r="BL153" s="354"/>
      <c r="BM153" s="354"/>
      <c r="BN153" s="354"/>
      <c r="BO153" s="355">
        <v>650.67999999999995</v>
      </c>
      <c r="BP153" s="888">
        <v>-51.51</v>
      </c>
      <c r="BQ153" s="354"/>
      <c r="BR153" s="354"/>
      <c r="BS153" s="354"/>
      <c r="BT153" s="354"/>
      <c r="BU153" s="354"/>
      <c r="BV153" s="354"/>
      <c r="BW153" s="355">
        <f t="shared" si="13"/>
        <v>599.16999999999996</v>
      </c>
      <c r="BY153" s="33">
        <f t="shared" si="14"/>
        <v>0</v>
      </c>
      <c r="BZ153" s="33">
        <f t="shared" si="15"/>
        <v>0</v>
      </c>
      <c r="CA153" s="33">
        <f t="shared" si="15"/>
        <v>0</v>
      </c>
      <c r="CB153" s="33">
        <f t="shared" si="15"/>
        <v>0</v>
      </c>
      <c r="CC153" s="33">
        <f t="shared" si="15"/>
        <v>0</v>
      </c>
      <c r="CD153" s="33">
        <f t="shared" si="15"/>
        <v>650.67999999999995</v>
      </c>
      <c r="CE153" s="33">
        <f t="shared" si="15"/>
        <v>0</v>
      </c>
      <c r="CF153" s="33">
        <f t="shared" si="15"/>
        <v>-51.51</v>
      </c>
      <c r="CG153" s="58">
        <f t="shared" si="12"/>
        <v>650.67999999999995</v>
      </c>
    </row>
    <row r="154" spans="1:85">
      <c r="A154" s="198">
        <v>3361</v>
      </c>
      <c r="B154" s="2">
        <v>103453</v>
      </c>
      <c r="C154" s="2" t="s">
        <v>331</v>
      </c>
      <c r="D154" s="2" t="s">
        <v>332</v>
      </c>
      <c r="E154" s="2" t="s">
        <v>39</v>
      </c>
      <c r="F154" s="208" t="s">
        <v>890</v>
      </c>
      <c r="H154" s="880">
        <v>0</v>
      </c>
      <c r="I154" s="880"/>
      <c r="J154" s="880"/>
      <c r="K154" s="880">
        <v>9425</v>
      </c>
      <c r="L154" s="190">
        <v>0</v>
      </c>
      <c r="M154" s="190">
        <v>0</v>
      </c>
      <c r="N154" s="190">
        <v>0</v>
      </c>
      <c r="O154" s="190">
        <v>0</v>
      </c>
      <c r="P154" s="190">
        <v>0</v>
      </c>
      <c r="Q154" s="190">
        <v>0</v>
      </c>
      <c r="R154" s="190">
        <v>0</v>
      </c>
      <c r="S154" s="190">
        <v>0</v>
      </c>
      <c r="T154" s="209">
        <v>0</v>
      </c>
      <c r="U154" s="209"/>
      <c r="V154" s="209"/>
      <c r="W154" s="209"/>
      <c r="X154" s="190"/>
      <c r="Y154" s="190"/>
      <c r="Z154" s="190"/>
      <c r="AA154" s="190"/>
      <c r="AB154" s="190"/>
      <c r="AC154" s="190"/>
      <c r="AD154" s="190"/>
      <c r="AE154" s="190"/>
      <c r="AF154" s="209"/>
      <c r="AG154" s="209"/>
      <c r="AH154" s="209"/>
      <c r="AI154" s="67"/>
      <c r="AJ154" s="209"/>
      <c r="AK154" s="209"/>
      <c r="AL154" s="190"/>
      <c r="AM154" s="190"/>
      <c r="AN154" s="189"/>
      <c r="AO154" s="189"/>
      <c r="AP154" s="189"/>
      <c r="AQ154" s="348"/>
      <c r="AR154" s="348"/>
      <c r="AS154" s="354"/>
      <c r="AT154" s="354"/>
      <c r="AU154" s="354"/>
      <c r="AV154" s="196"/>
      <c r="AW154" s="354"/>
      <c r="AX154" s="354"/>
      <c r="AY154" s="354"/>
      <c r="AZ154" s="354"/>
      <c r="BA154" s="354"/>
      <c r="BB154" s="354"/>
      <c r="BC154" s="354"/>
      <c r="BD154" s="354"/>
      <c r="BE154" s="354"/>
      <c r="BF154" s="354"/>
      <c r="BG154" s="354"/>
      <c r="BH154" s="354"/>
      <c r="BI154" s="354"/>
      <c r="BJ154" s="354"/>
      <c r="BK154" s="354"/>
      <c r="BL154" s="354"/>
      <c r="BM154" s="354"/>
      <c r="BN154" s="354"/>
      <c r="BO154" s="355">
        <v>973.74</v>
      </c>
      <c r="BP154" s="888">
        <v>-54.89</v>
      </c>
      <c r="BQ154" s="354"/>
      <c r="BR154" s="354"/>
      <c r="BS154" s="354"/>
      <c r="BT154" s="354"/>
      <c r="BU154" s="354"/>
      <c r="BV154" s="354"/>
      <c r="BW154" s="355">
        <f t="shared" si="13"/>
        <v>10343.85</v>
      </c>
      <c r="BY154" s="33">
        <f t="shared" si="14"/>
        <v>0</v>
      </c>
      <c r="BZ154" s="33">
        <f t="shared" si="15"/>
        <v>0</v>
      </c>
      <c r="CA154" s="33">
        <f t="shared" si="15"/>
        <v>0</v>
      </c>
      <c r="CB154" s="33">
        <f t="shared" si="15"/>
        <v>0</v>
      </c>
      <c r="CC154" s="33">
        <f t="shared" si="15"/>
        <v>9425</v>
      </c>
      <c r="CD154" s="33">
        <f t="shared" si="15"/>
        <v>973.74</v>
      </c>
      <c r="CE154" s="33">
        <f t="shared" si="15"/>
        <v>0</v>
      </c>
      <c r="CF154" s="33">
        <f t="shared" si="15"/>
        <v>-54.89</v>
      </c>
      <c r="CG154" s="58">
        <f t="shared" si="12"/>
        <v>10398.74</v>
      </c>
    </row>
    <row r="155" spans="1:85">
      <c r="A155" s="198">
        <v>3382</v>
      </c>
      <c r="B155" s="2">
        <v>103467</v>
      </c>
      <c r="C155" s="2" t="s">
        <v>333</v>
      </c>
      <c r="D155" s="2" t="s">
        <v>334</v>
      </c>
      <c r="E155" s="2" t="s">
        <v>39</v>
      </c>
      <c r="F155" s="208" t="s">
        <v>890</v>
      </c>
      <c r="H155" s="880">
        <v>0</v>
      </c>
      <c r="I155" s="880"/>
      <c r="J155" s="880"/>
      <c r="K155" s="880">
        <v>8885</v>
      </c>
      <c r="L155" s="190">
        <v>0</v>
      </c>
      <c r="M155" s="190">
        <v>0</v>
      </c>
      <c r="N155" s="190">
        <v>0</v>
      </c>
      <c r="O155" s="190">
        <v>0</v>
      </c>
      <c r="P155" s="190">
        <v>0</v>
      </c>
      <c r="Q155" s="190">
        <v>0</v>
      </c>
      <c r="R155" s="190">
        <v>0</v>
      </c>
      <c r="S155" s="190">
        <v>0</v>
      </c>
      <c r="T155" s="209">
        <v>0</v>
      </c>
      <c r="U155" s="209"/>
      <c r="V155" s="209"/>
      <c r="W155" s="209"/>
      <c r="X155" s="190"/>
      <c r="Y155" s="190"/>
      <c r="Z155" s="190"/>
      <c r="AA155" s="190"/>
      <c r="AB155" s="190"/>
      <c r="AC155" s="190"/>
      <c r="AD155" s="190"/>
      <c r="AE155" s="190"/>
      <c r="AF155" s="209"/>
      <c r="AG155" s="209"/>
      <c r="AH155" s="209"/>
      <c r="AI155" s="67"/>
      <c r="AJ155" s="209"/>
      <c r="AK155" s="209"/>
      <c r="AL155" s="190"/>
      <c r="AM155" s="190"/>
      <c r="AN155" s="189"/>
      <c r="AO155" s="189"/>
      <c r="AP155" s="189"/>
      <c r="AQ155" s="348"/>
      <c r="AR155" s="348"/>
      <c r="AS155" s="354"/>
      <c r="AT155" s="354"/>
      <c r="AU155" s="354"/>
      <c r="AV155" s="196"/>
      <c r="AW155" s="354"/>
      <c r="AX155" s="354"/>
      <c r="AY155" s="354"/>
      <c r="AZ155" s="354"/>
      <c r="BA155" s="354"/>
      <c r="BB155" s="354"/>
      <c r="BC155" s="354"/>
      <c r="BD155" s="354"/>
      <c r="BE155" s="354"/>
      <c r="BF155" s="354"/>
      <c r="BG155" s="354"/>
      <c r="BH155" s="354"/>
      <c r="BI155" s="354"/>
      <c r="BJ155" s="354"/>
      <c r="BK155" s="354"/>
      <c r="BL155" s="354"/>
      <c r="BM155" s="354"/>
      <c r="BN155" s="354"/>
      <c r="BO155" s="355">
        <v>0</v>
      </c>
      <c r="BP155" s="888">
        <v>0</v>
      </c>
      <c r="BQ155" s="354"/>
      <c r="BR155" s="354"/>
      <c r="BS155" s="354"/>
      <c r="BT155" s="354"/>
      <c r="BU155" s="354"/>
      <c r="BV155" s="354"/>
      <c r="BW155" s="355">
        <f t="shared" si="13"/>
        <v>8885</v>
      </c>
      <c r="BY155" s="33">
        <f t="shared" si="14"/>
        <v>0</v>
      </c>
      <c r="BZ155" s="33">
        <f t="shared" si="15"/>
        <v>0</v>
      </c>
      <c r="CA155" s="33">
        <f t="shared" si="15"/>
        <v>0</v>
      </c>
      <c r="CB155" s="33">
        <f t="shared" si="15"/>
        <v>0</v>
      </c>
      <c r="CC155" s="33">
        <f t="shared" si="15"/>
        <v>8885</v>
      </c>
      <c r="CD155" s="33">
        <f t="shared" si="15"/>
        <v>0</v>
      </c>
      <c r="CE155" s="33">
        <f t="shared" si="15"/>
        <v>0</v>
      </c>
      <c r="CF155" s="33">
        <f t="shared" si="15"/>
        <v>0</v>
      </c>
      <c r="CG155" s="58">
        <f t="shared" si="12"/>
        <v>8885</v>
      </c>
    </row>
    <row r="156" spans="1:85">
      <c r="A156" s="198">
        <v>3344</v>
      </c>
      <c r="B156" s="2">
        <v>103438</v>
      </c>
      <c r="C156" s="2" t="s">
        <v>335</v>
      </c>
      <c r="D156" s="2" t="s">
        <v>336</v>
      </c>
      <c r="E156" s="2" t="s">
        <v>39</v>
      </c>
      <c r="F156" s="208" t="s">
        <v>890</v>
      </c>
      <c r="H156" s="880">
        <v>0</v>
      </c>
      <c r="I156" s="880"/>
      <c r="J156" s="880"/>
      <c r="K156" s="880">
        <v>9795</v>
      </c>
      <c r="L156" s="190">
        <v>0</v>
      </c>
      <c r="M156" s="190">
        <v>0</v>
      </c>
      <c r="N156" s="190">
        <v>0</v>
      </c>
      <c r="O156" s="190">
        <v>0</v>
      </c>
      <c r="P156" s="190">
        <v>0</v>
      </c>
      <c r="Q156" s="190">
        <v>0</v>
      </c>
      <c r="R156" s="190">
        <v>0</v>
      </c>
      <c r="S156" s="190">
        <v>0</v>
      </c>
      <c r="T156" s="209">
        <v>0</v>
      </c>
      <c r="U156" s="209"/>
      <c r="V156" s="209"/>
      <c r="W156" s="209"/>
      <c r="X156" s="190"/>
      <c r="Y156" s="190"/>
      <c r="Z156" s="190"/>
      <c r="AA156" s="190"/>
      <c r="AB156" s="190"/>
      <c r="AC156" s="190"/>
      <c r="AD156" s="190"/>
      <c r="AE156" s="190"/>
      <c r="AF156" s="209"/>
      <c r="AG156" s="209"/>
      <c r="AH156" s="209"/>
      <c r="AI156" s="67"/>
      <c r="AJ156" s="209"/>
      <c r="AK156" s="209"/>
      <c r="AL156" s="190"/>
      <c r="AM156" s="190"/>
      <c r="AN156" s="189"/>
      <c r="AO156" s="189"/>
      <c r="AP156" s="189"/>
      <c r="AQ156" s="348"/>
      <c r="AR156" s="348"/>
      <c r="AS156" s="354"/>
      <c r="AT156" s="354"/>
      <c r="AU156" s="354"/>
      <c r="AV156" s="196"/>
      <c r="AW156" s="354"/>
      <c r="AX156" s="354"/>
      <c r="AY156" s="354"/>
      <c r="AZ156" s="354"/>
      <c r="BA156" s="354"/>
      <c r="BB156" s="354"/>
      <c r="BC156" s="354"/>
      <c r="BD156" s="354"/>
      <c r="BE156" s="354"/>
      <c r="BF156" s="354"/>
      <c r="BG156" s="354"/>
      <c r="BH156" s="354"/>
      <c r="BI156" s="354"/>
      <c r="BJ156" s="354"/>
      <c r="BK156" s="354"/>
      <c r="BL156" s="354"/>
      <c r="BM156" s="354"/>
      <c r="BN156" s="354"/>
      <c r="BO156" s="355">
        <v>1436.67</v>
      </c>
      <c r="BP156" s="888">
        <v>-52.47</v>
      </c>
      <c r="BQ156" s="354"/>
      <c r="BR156" s="354"/>
      <c r="BS156" s="354"/>
      <c r="BT156" s="354"/>
      <c r="BU156" s="354"/>
      <c r="BV156" s="354"/>
      <c r="BW156" s="355">
        <f t="shared" si="13"/>
        <v>11179.2</v>
      </c>
      <c r="BY156" s="33">
        <f t="shared" si="14"/>
        <v>0</v>
      </c>
      <c r="BZ156" s="33">
        <f t="shared" si="15"/>
        <v>0</v>
      </c>
      <c r="CA156" s="33">
        <f t="shared" si="15"/>
        <v>0</v>
      </c>
      <c r="CB156" s="33">
        <f t="shared" si="15"/>
        <v>0</v>
      </c>
      <c r="CC156" s="33">
        <f t="shared" si="15"/>
        <v>9795</v>
      </c>
      <c r="CD156" s="33">
        <f t="shared" si="15"/>
        <v>1436.67</v>
      </c>
      <c r="CE156" s="33">
        <f t="shared" si="15"/>
        <v>0</v>
      </c>
      <c r="CF156" s="33">
        <f t="shared" si="15"/>
        <v>-52.47</v>
      </c>
      <c r="CG156" s="58">
        <f t="shared" si="12"/>
        <v>11231.67</v>
      </c>
    </row>
    <row r="157" spans="1:85">
      <c r="A157" s="198">
        <v>3025</v>
      </c>
      <c r="B157" s="2">
        <v>103410</v>
      </c>
      <c r="C157" s="2" t="s">
        <v>337</v>
      </c>
      <c r="D157" s="2" t="s">
        <v>338</v>
      </c>
      <c r="E157" s="2" t="s">
        <v>39</v>
      </c>
      <c r="F157" s="208" t="s">
        <v>890</v>
      </c>
      <c r="H157" s="880">
        <v>0</v>
      </c>
      <c r="I157" s="880"/>
      <c r="J157" s="880"/>
      <c r="K157" s="880">
        <v>9765</v>
      </c>
      <c r="L157" s="190">
        <v>0</v>
      </c>
      <c r="M157" s="190">
        <v>0</v>
      </c>
      <c r="N157" s="190">
        <v>0</v>
      </c>
      <c r="O157" s="190">
        <v>0</v>
      </c>
      <c r="P157" s="190">
        <v>0</v>
      </c>
      <c r="Q157" s="190">
        <v>0</v>
      </c>
      <c r="R157" s="190">
        <v>0</v>
      </c>
      <c r="S157" s="190">
        <v>0</v>
      </c>
      <c r="T157" s="209">
        <v>0</v>
      </c>
      <c r="U157" s="209"/>
      <c r="V157" s="209"/>
      <c r="W157" s="209"/>
      <c r="X157" s="190"/>
      <c r="Y157" s="190"/>
      <c r="Z157" s="190"/>
      <c r="AA157" s="190"/>
      <c r="AB157" s="190"/>
      <c r="AC157" s="190"/>
      <c r="AD157" s="190"/>
      <c r="AE157" s="190"/>
      <c r="AF157" s="209"/>
      <c r="AG157" s="209"/>
      <c r="AH157" s="209"/>
      <c r="AI157" s="67"/>
      <c r="AJ157" s="209"/>
      <c r="AK157" s="209"/>
      <c r="AL157" s="190"/>
      <c r="AM157" s="190"/>
      <c r="AN157" s="189"/>
      <c r="AO157" s="189"/>
      <c r="AP157" s="189"/>
      <c r="AQ157" s="348"/>
      <c r="AR157" s="348"/>
      <c r="AS157" s="354"/>
      <c r="AT157" s="354"/>
      <c r="AU157" s="354"/>
      <c r="AV157" s="196"/>
      <c r="AW157" s="354"/>
      <c r="AX157" s="354"/>
      <c r="AY157" s="354"/>
      <c r="AZ157" s="354"/>
      <c r="BA157" s="354"/>
      <c r="BB157" s="354"/>
      <c r="BC157" s="354"/>
      <c r="BD157" s="354"/>
      <c r="BE157" s="354"/>
      <c r="BF157" s="354"/>
      <c r="BG157" s="354"/>
      <c r="BH157" s="354"/>
      <c r="BI157" s="354"/>
      <c r="BJ157" s="354"/>
      <c r="BK157" s="354"/>
      <c r="BL157" s="354"/>
      <c r="BM157" s="354"/>
      <c r="BN157" s="354"/>
      <c r="BO157" s="355">
        <v>1774.28</v>
      </c>
      <c r="BP157" s="888">
        <v>-24.18</v>
      </c>
      <c r="BQ157" s="354"/>
      <c r="BR157" s="354"/>
      <c r="BS157" s="354"/>
      <c r="BT157" s="354"/>
      <c r="BU157" s="354"/>
      <c r="BV157" s="354"/>
      <c r="BW157" s="355">
        <f t="shared" si="13"/>
        <v>11515.1</v>
      </c>
      <c r="BY157" s="33">
        <f t="shared" si="14"/>
        <v>0</v>
      </c>
      <c r="BZ157" s="33">
        <f t="shared" si="15"/>
        <v>0</v>
      </c>
      <c r="CA157" s="33">
        <f t="shared" si="15"/>
        <v>0</v>
      </c>
      <c r="CB157" s="33">
        <f t="shared" si="15"/>
        <v>0</v>
      </c>
      <c r="CC157" s="33">
        <f t="shared" si="15"/>
        <v>9765</v>
      </c>
      <c r="CD157" s="33">
        <f t="shared" si="15"/>
        <v>1774.28</v>
      </c>
      <c r="CE157" s="33">
        <f t="shared" si="15"/>
        <v>0</v>
      </c>
      <c r="CF157" s="33">
        <f t="shared" si="15"/>
        <v>-24.18</v>
      </c>
      <c r="CG157" s="58">
        <f t="shared" si="12"/>
        <v>11539.28</v>
      </c>
    </row>
    <row r="158" spans="1:85">
      <c r="A158" s="198">
        <v>3016</v>
      </c>
      <c r="B158" s="2">
        <v>103404</v>
      </c>
      <c r="C158" s="2" t="s">
        <v>339</v>
      </c>
      <c r="D158" s="2" t="s">
        <v>340</v>
      </c>
      <c r="E158" s="2" t="s">
        <v>39</v>
      </c>
      <c r="F158" s="208" t="s">
        <v>890</v>
      </c>
      <c r="H158" s="880">
        <v>0</v>
      </c>
      <c r="I158" s="880"/>
      <c r="J158" s="880"/>
      <c r="K158" s="880">
        <v>8895</v>
      </c>
      <c r="L158" s="190">
        <v>0</v>
      </c>
      <c r="M158" s="190">
        <v>0</v>
      </c>
      <c r="N158" s="190">
        <v>0</v>
      </c>
      <c r="O158" s="190">
        <v>0</v>
      </c>
      <c r="P158" s="190">
        <v>0</v>
      </c>
      <c r="Q158" s="190">
        <v>0</v>
      </c>
      <c r="R158" s="190">
        <v>0</v>
      </c>
      <c r="S158" s="190">
        <v>0</v>
      </c>
      <c r="T158" s="209">
        <v>2580.52</v>
      </c>
      <c r="U158" s="209"/>
      <c r="V158" s="209"/>
      <c r="W158" s="209"/>
      <c r="X158" s="190"/>
      <c r="Y158" s="190"/>
      <c r="Z158" s="190"/>
      <c r="AA158" s="190"/>
      <c r="AB158" s="190"/>
      <c r="AC158" s="190"/>
      <c r="AD158" s="190"/>
      <c r="AE158" s="190"/>
      <c r="AF158" s="209"/>
      <c r="AG158" s="209"/>
      <c r="AH158" s="209"/>
      <c r="AI158" s="67"/>
      <c r="AJ158" s="209"/>
      <c r="AK158" s="209"/>
      <c r="AL158" s="190"/>
      <c r="AM158" s="190"/>
      <c r="AN158" s="189"/>
      <c r="AO158" s="189"/>
      <c r="AP158" s="189"/>
      <c r="AQ158" s="348"/>
      <c r="AR158" s="348"/>
      <c r="AS158" s="354"/>
      <c r="AT158" s="354"/>
      <c r="AU158" s="354"/>
      <c r="AV158" s="196"/>
      <c r="AW158" s="354"/>
      <c r="AX158" s="354"/>
      <c r="AY158" s="354"/>
      <c r="AZ158" s="354"/>
      <c r="BA158" s="354"/>
      <c r="BB158" s="354"/>
      <c r="BC158" s="354"/>
      <c r="BD158" s="354"/>
      <c r="BE158" s="354"/>
      <c r="BF158" s="354"/>
      <c r="BG158" s="354"/>
      <c r="BH158" s="354"/>
      <c r="BI158" s="354"/>
      <c r="BJ158" s="354"/>
      <c r="BK158" s="354"/>
      <c r="BL158" s="354"/>
      <c r="BM158" s="354"/>
      <c r="BN158" s="354"/>
      <c r="BO158" s="355">
        <v>0</v>
      </c>
      <c r="BP158" s="888">
        <v>0</v>
      </c>
      <c r="BQ158" s="354"/>
      <c r="BR158" s="354"/>
      <c r="BS158" s="354"/>
      <c r="BT158" s="354"/>
      <c r="BU158" s="354"/>
      <c r="BV158" s="354"/>
      <c r="BW158" s="355">
        <f t="shared" si="13"/>
        <v>11475.52</v>
      </c>
      <c r="BY158" s="33">
        <f t="shared" si="14"/>
        <v>0</v>
      </c>
      <c r="BZ158" s="33">
        <f t="shared" si="15"/>
        <v>0</v>
      </c>
      <c r="CA158" s="33">
        <f t="shared" si="15"/>
        <v>0</v>
      </c>
      <c r="CB158" s="33">
        <f t="shared" si="15"/>
        <v>0</v>
      </c>
      <c r="CC158" s="33">
        <f t="shared" si="15"/>
        <v>11475.52</v>
      </c>
      <c r="CD158" s="33">
        <f t="shared" si="15"/>
        <v>0</v>
      </c>
      <c r="CE158" s="33">
        <f t="shared" si="15"/>
        <v>0</v>
      </c>
      <c r="CF158" s="33">
        <f t="shared" si="15"/>
        <v>0</v>
      </c>
      <c r="CG158" s="58">
        <f t="shared" si="12"/>
        <v>11475.52</v>
      </c>
    </row>
    <row r="159" spans="1:85">
      <c r="A159" s="198">
        <v>3346</v>
      </c>
      <c r="B159" s="2">
        <v>103439</v>
      </c>
      <c r="C159" s="2" t="s">
        <v>341</v>
      </c>
      <c r="D159" s="2" t="s">
        <v>342</v>
      </c>
      <c r="E159" s="2" t="s">
        <v>39</v>
      </c>
      <c r="F159" s="208" t="s">
        <v>890</v>
      </c>
      <c r="H159" s="880">
        <v>0</v>
      </c>
      <c r="I159" s="880"/>
      <c r="J159" s="880"/>
      <c r="K159" s="880">
        <v>9495</v>
      </c>
      <c r="L159" s="190">
        <v>71935.125</v>
      </c>
      <c r="M159" s="190">
        <v>7992.791666666667</v>
      </c>
      <c r="N159" s="190">
        <v>7992.791666666667</v>
      </c>
      <c r="O159" s="190">
        <v>7992.791666666667</v>
      </c>
      <c r="P159" s="190">
        <v>0</v>
      </c>
      <c r="Q159" s="190">
        <v>0</v>
      </c>
      <c r="R159" s="190">
        <v>0</v>
      </c>
      <c r="S159" s="190">
        <v>0</v>
      </c>
      <c r="T159" s="209">
        <v>8007.85</v>
      </c>
      <c r="U159" s="209"/>
      <c r="V159" s="209"/>
      <c r="W159" s="209"/>
      <c r="X159" s="190"/>
      <c r="Y159" s="190"/>
      <c r="Z159" s="190"/>
      <c r="AA159" s="190"/>
      <c r="AB159" s="190"/>
      <c r="AC159" s="190"/>
      <c r="AD159" s="190"/>
      <c r="AE159" s="190"/>
      <c r="AF159" s="209"/>
      <c r="AG159" s="209"/>
      <c r="AH159" s="209"/>
      <c r="AI159" s="67"/>
      <c r="AJ159" s="209"/>
      <c r="AK159" s="209"/>
      <c r="AL159" s="190"/>
      <c r="AM159" s="190"/>
      <c r="AN159" s="189"/>
      <c r="AO159" s="189"/>
      <c r="AP159" s="189"/>
      <c r="AQ159" s="348"/>
      <c r="AR159" s="348"/>
      <c r="AS159" s="354"/>
      <c r="AT159" s="354"/>
      <c r="AU159" s="354"/>
      <c r="AV159" s="196"/>
      <c r="AW159" s="354"/>
      <c r="AX159" s="354"/>
      <c r="AY159" s="354"/>
      <c r="AZ159" s="354"/>
      <c r="BA159" s="354"/>
      <c r="BB159" s="354"/>
      <c r="BC159" s="354"/>
      <c r="BD159" s="354"/>
      <c r="BE159" s="354"/>
      <c r="BF159" s="354"/>
      <c r="BG159" s="354"/>
      <c r="BH159" s="354"/>
      <c r="BI159" s="354"/>
      <c r="BJ159" s="354"/>
      <c r="BK159" s="354"/>
      <c r="BL159" s="354"/>
      <c r="BM159" s="354"/>
      <c r="BN159" s="354"/>
      <c r="BO159" s="355">
        <v>0</v>
      </c>
      <c r="BP159" s="888">
        <v>-59.76</v>
      </c>
      <c r="BQ159" s="354"/>
      <c r="BR159" s="354"/>
      <c r="BS159" s="354"/>
      <c r="BT159" s="354"/>
      <c r="BU159" s="354"/>
      <c r="BV159" s="354"/>
      <c r="BW159" s="355">
        <f t="shared" si="13"/>
        <v>113356.59000000003</v>
      </c>
      <c r="BY159" s="33">
        <f t="shared" si="14"/>
        <v>79927.916666666672</v>
      </c>
      <c r="BZ159" s="33">
        <f t="shared" si="15"/>
        <v>0</v>
      </c>
      <c r="CA159" s="33">
        <f t="shared" si="15"/>
        <v>0</v>
      </c>
      <c r="CB159" s="33">
        <f t="shared" si="15"/>
        <v>0</v>
      </c>
      <c r="CC159" s="33">
        <f t="shared" si="15"/>
        <v>17502.849999999999</v>
      </c>
      <c r="CD159" s="33">
        <f t="shared" si="15"/>
        <v>0</v>
      </c>
      <c r="CE159" s="33">
        <f t="shared" si="15"/>
        <v>0</v>
      </c>
      <c r="CF159" s="33">
        <f t="shared" si="15"/>
        <v>-59.76</v>
      </c>
      <c r="CG159" s="58">
        <f t="shared" si="12"/>
        <v>97430.766666666663</v>
      </c>
    </row>
    <row r="160" spans="1:85">
      <c r="A160" s="198">
        <v>4606</v>
      </c>
      <c r="B160" s="2">
        <v>103531</v>
      </c>
      <c r="C160" s="2" t="s">
        <v>343</v>
      </c>
      <c r="D160" s="2" t="s">
        <v>344</v>
      </c>
      <c r="E160" s="2" t="s">
        <v>71</v>
      </c>
      <c r="F160" s="208" t="s">
        <v>890</v>
      </c>
      <c r="H160" s="880">
        <v>0</v>
      </c>
      <c r="I160" s="880"/>
      <c r="J160" s="880"/>
      <c r="K160" s="880">
        <v>0</v>
      </c>
      <c r="L160" s="190">
        <v>0</v>
      </c>
      <c r="M160" s="190">
        <v>0</v>
      </c>
      <c r="N160" s="190">
        <v>0</v>
      </c>
      <c r="O160" s="190">
        <v>0</v>
      </c>
      <c r="P160" s="190">
        <v>0</v>
      </c>
      <c r="Q160" s="190">
        <v>0</v>
      </c>
      <c r="R160" s="190">
        <v>0</v>
      </c>
      <c r="S160" s="190">
        <v>0</v>
      </c>
      <c r="T160" s="209">
        <v>0</v>
      </c>
      <c r="U160" s="209"/>
      <c r="V160" s="209"/>
      <c r="W160" s="209"/>
      <c r="X160" s="190"/>
      <c r="Y160" s="190"/>
      <c r="Z160" s="190"/>
      <c r="AA160" s="190"/>
      <c r="AB160" s="190"/>
      <c r="AC160" s="190"/>
      <c r="AD160" s="190"/>
      <c r="AE160" s="190"/>
      <c r="AF160" s="209"/>
      <c r="AG160" s="209"/>
      <c r="AH160" s="209"/>
      <c r="AI160" s="67"/>
      <c r="AJ160" s="209"/>
      <c r="AK160" s="209"/>
      <c r="AL160" s="190"/>
      <c r="AM160" s="190"/>
      <c r="AN160" s="189"/>
      <c r="AO160" s="189"/>
      <c r="AP160" s="189"/>
      <c r="AQ160" s="348"/>
      <c r="AR160" s="348"/>
      <c r="AS160" s="354"/>
      <c r="AT160" s="354"/>
      <c r="AU160" s="354"/>
      <c r="AV160" s="196"/>
      <c r="AW160" s="354"/>
      <c r="AX160" s="354"/>
      <c r="AY160" s="354"/>
      <c r="AZ160" s="354"/>
      <c r="BA160" s="354"/>
      <c r="BB160" s="354"/>
      <c r="BC160" s="354"/>
      <c r="BD160" s="354"/>
      <c r="BE160" s="354"/>
      <c r="BF160" s="354"/>
      <c r="BG160" s="354"/>
      <c r="BH160" s="354"/>
      <c r="BI160" s="354"/>
      <c r="BJ160" s="354"/>
      <c r="BK160" s="354"/>
      <c r="BL160" s="354"/>
      <c r="BM160" s="354"/>
      <c r="BN160" s="354"/>
      <c r="BO160" s="355">
        <v>0</v>
      </c>
      <c r="BP160" s="888">
        <v>0</v>
      </c>
      <c r="BQ160" s="354"/>
      <c r="BR160" s="354"/>
      <c r="BS160" s="354"/>
      <c r="BT160" s="354"/>
      <c r="BU160" s="354"/>
      <c r="BV160" s="354"/>
      <c r="BW160" s="355">
        <f t="shared" si="13"/>
        <v>0</v>
      </c>
      <c r="BY160" s="33">
        <f t="shared" si="14"/>
        <v>0</v>
      </c>
      <c r="BZ160" s="33">
        <f t="shared" si="15"/>
        <v>0</v>
      </c>
      <c r="CA160" s="33">
        <f t="shared" si="15"/>
        <v>0</v>
      </c>
      <c r="CB160" s="33">
        <f t="shared" si="15"/>
        <v>0</v>
      </c>
      <c r="CC160" s="33">
        <f t="shared" si="15"/>
        <v>0</v>
      </c>
      <c r="CD160" s="33">
        <f t="shared" si="15"/>
        <v>0</v>
      </c>
      <c r="CE160" s="33">
        <f t="shared" si="15"/>
        <v>0</v>
      </c>
      <c r="CF160" s="33">
        <f t="shared" si="15"/>
        <v>0</v>
      </c>
      <c r="CG160" s="58">
        <f t="shared" si="12"/>
        <v>0</v>
      </c>
    </row>
    <row r="161" spans="1:85">
      <c r="A161" s="198">
        <v>3428</v>
      </c>
      <c r="B161" s="2">
        <v>134476</v>
      </c>
      <c r="C161" s="2" t="s">
        <v>345</v>
      </c>
      <c r="D161" s="2" t="s">
        <v>346</v>
      </c>
      <c r="E161" s="2" t="s">
        <v>39</v>
      </c>
      <c r="F161" s="208" t="s">
        <v>890</v>
      </c>
      <c r="H161" s="880">
        <v>0</v>
      </c>
      <c r="I161" s="880"/>
      <c r="J161" s="880"/>
      <c r="K161" s="880">
        <v>9795</v>
      </c>
      <c r="L161" s="190">
        <v>0</v>
      </c>
      <c r="M161" s="190">
        <v>0</v>
      </c>
      <c r="N161" s="190">
        <v>0</v>
      </c>
      <c r="O161" s="190">
        <v>0</v>
      </c>
      <c r="P161" s="190">
        <v>0</v>
      </c>
      <c r="Q161" s="190">
        <v>0</v>
      </c>
      <c r="R161" s="190">
        <v>0</v>
      </c>
      <c r="S161" s="190">
        <v>0</v>
      </c>
      <c r="T161" s="209">
        <v>0</v>
      </c>
      <c r="U161" s="209"/>
      <c r="V161" s="209"/>
      <c r="W161" s="209"/>
      <c r="X161" s="190"/>
      <c r="Y161" s="190"/>
      <c r="Z161" s="190"/>
      <c r="AA161" s="190"/>
      <c r="AB161" s="190"/>
      <c r="AC161" s="190"/>
      <c r="AD161" s="190"/>
      <c r="AE161" s="190"/>
      <c r="AF161" s="209"/>
      <c r="AG161" s="209"/>
      <c r="AH161" s="209"/>
      <c r="AI161" s="67"/>
      <c r="AJ161" s="209"/>
      <c r="AK161" s="209"/>
      <c r="AL161" s="190"/>
      <c r="AM161" s="190"/>
      <c r="AN161" s="189"/>
      <c r="AO161" s="189"/>
      <c r="AP161" s="189"/>
      <c r="AQ161" s="348"/>
      <c r="AR161" s="348"/>
      <c r="AS161" s="354"/>
      <c r="AT161" s="354"/>
      <c r="AU161" s="354"/>
      <c r="AV161" s="196"/>
      <c r="AW161" s="354"/>
      <c r="AX161" s="354"/>
      <c r="AY161" s="354"/>
      <c r="AZ161" s="354"/>
      <c r="BA161" s="354"/>
      <c r="BB161" s="354"/>
      <c r="BC161" s="354"/>
      <c r="BD161" s="354"/>
      <c r="BE161" s="354"/>
      <c r="BF161" s="354"/>
      <c r="BG161" s="354"/>
      <c r="BH161" s="354"/>
      <c r="BI161" s="354"/>
      <c r="BJ161" s="354"/>
      <c r="BK161" s="354"/>
      <c r="BL161" s="354"/>
      <c r="BM161" s="354"/>
      <c r="BN161" s="354"/>
      <c r="BO161" s="355">
        <v>0</v>
      </c>
      <c r="BP161" s="888">
        <v>0</v>
      </c>
      <c r="BQ161" s="354"/>
      <c r="BR161" s="354"/>
      <c r="BS161" s="354"/>
      <c r="BT161" s="354"/>
      <c r="BU161" s="354"/>
      <c r="BV161" s="354"/>
      <c r="BW161" s="355">
        <f t="shared" si="13"/>
        <v>9795</v>
      </c>
      <c r="BY161" s="33">
        <f t="shared" si="14"/>
        <v>0</v>
      </c>
      <c r="BZ161" s="33">
        <f t="shared" si="15"/>
        <v>0</v>
      </c>
      <c r="CA161" s="33">
        <f t="shared" si="15"/>
        <v>0</v>
      </c>
      <c r="CB161" s="33">
        <f t="shared" si="15"/>
        <v>0</v>
      </c>
      <c r="CC161" s="33">
        <f t="shared" si="15"/>
        <v>9795</v>
      </c>
      <c r="CD161" s="33">
        <f t="shared" si="15"/>
        <v>0</v>
      </c>
      <c r="CE161" s="33">
        <f t="shared" si="15"/>
        <v>0</v>
      </c>
      <c r="CF161" s="33">
        <f t="shared" si="15"/>
        <v>0</v>
      </c>
      <c r="CG161" s="58">
        <f t="shared" si="12"/>
        <v>9795</v>
      </c>
    </row>
    <row r="162" spans="1:85">
      <c r="A162" s="198">
        <v>3019</v>
      </c>
      <c r="B162" s="2">
        <v>103406</v>
      </c>
      <c r="C162" s="2" t="s">
        <v>347</v>
      </c>
      <c r="D162" s="2" t="s">
        <v>348</v>
      </c>
      <c r="E162" s="2" t="s">
        <v>39</v>
      </c>
      <c r="F162" s="208" t="s">
        <v>890</v>
      </c>
      <c r="H162" s="880">
        <v>0</v>
      </c>
      <c r="I162" s="880"/>
      <c r="J162" s="880"/>
      <c r="K162" s="880">
        <v>9725</v>
      </c>
      <c r="L162" s="190">
        <v>0</v>
      </c>
      <c r="M162" s="190">
        <v>0</v>
      </c>
      <c r="N162" s="190">
        <v>0</v>
      </c>
      <c r="O162" s="190">
        <v>0</v>
      </c>
      <c r="P162" s="190">
        <v>0</v>
      </c>
      <c r="Q162" s="190">
        <v>0</v>
      </c>
      <c r="R162" s="190">
        <v>0</v>
      </c>
      <c r="S162" s="190">
        <v>0</v>
      </c>
      <c r="T162" s="209">
        <v>2580.52</v>
      </c>
      <c r="U162" s="209"/>
      <c r="V162" s="209"/>
      <c r="W162" s="209"/>
      <c r="X162" s="190"/>
      <c r="Y162" s="190"/>
      <c r="Z162" s="190"/>
      <c r="AA162" s="190"/>
      <c r="AB162" s="190"/>
      <c r="AC162" s="190"/>
      <c r="AD162" s="190"/>
      <c r="AE162" s="190"/>
      <c r="AF162" s="209"/>
      <c r="AG162" s="209"/>
      <c r="AH162" s="209"/>
      <c r="AI162" s="67"/>
      <c r="AJ162" s="209"/>
      <c r="AK162" s="209"/>
      <c r="AL162" s="190"/>
      <c r="AM162" s="190"/>
      <c r="AN162" s="189"/>
      <c r="AO162" s="189"/>
      <c r="AP162" s="189"/>
      <c r="AQ162" s="348"/>
      <c r="AR162" s="348"/>
      <c r="AS162" s="354"/>
      <c r="AT162" s="354"/>
      <c r="AU162" s="354"/>
      <c r="AV162" s="196"/>
      <c r="AW162" s="354"/>
      <c r="AX162" s="354"/>
      <c r="AY162" s="354"/>
      <c r="AZ162" s="354"/>
      <c r="BA162" s="354"/>
      <c r="BB162" s="354"/>
      <c r="BC162" s="354"/>
      <c r="BD162" s="354"/>
      <c r="BE162" s="354"/>
      <c r="BF162" s="354"/>
      <c r="BG162" s="354"/>
      <c r="BH162" s="354"/>
      <c r="BI162" s="354"/>
      <c r="BJ162" s="354"/>
      <c r="BK162" s="354"/>
      <c r="BL162" s="354"/>
      <c r="BM162" s="354"/>
      <c r="BN162" s="354"/>
      <c r="BO162" s="355">
        <v>2576.7199999999998</v>
      </c>
      <c r="BP162" s="888">
        <v>-36.36</v>
      </c>
      <c r="BQ162" s="354"/>
      <c r="BR162" s="354"/>
      <c r="BS162" s="354"/>
      <c r="BT162" s="354"/>
      <c r="BU162" s="354"/>
      <c r="BV162" s="354"/>
      <c r="BW162" s="355">
        <f t="shared" si="13"/>
        <v>14845.88</v>
      </c>
      <c r="BY162" s="33">
        <f t="shared" si="14"/>
        <v>0</v>
      </c>
      <c r="BZ162" s="33">
        <f t="shared" si="15"/>
        <v>0</v>
      </c>
      <c r="CA162" s="33">
        <f t="shared" si="15"/>
        <v>0</v>
      </c>
      <c r="CB162" s="33">
        <f t="shared" si="15"/>
        <v>0</v>
      </c>
      <c r="CC162" s="33">
        <f t="shared" si="15"/>
        <v>12305.52</v>
      </c>
      <c r="CD162" s="33">
        <f t="shared" si="15"/>
        <v>2576.7199999999998</v>
      </c>
      <c r="CE162" s="33">
        <f t="shared" si="15"/>
        <v>0</v>
      </c>
      <c r="CF162" s="33">
        <f t="shared" si="15"/>
        <v>-36.36</v>
      </c>
      <c r="CG162" s="58">
        <f t="shared" si="12"/>
        <v>14882.24</v>
      </c>
    </row>
    <row r="163" spans="1:85">
      <c r="A163" s="198">
        <v>1009</v>
      </c>
      <c r="B163" s="2">
        <v>103124</v>
      </c>
      <c r="C163" s="2" t="s">
        <v>349</v>
      </c>
      <c r="D163" s="2" t="s">
        <v>350</v>
      </c>
      <c r="E163" s="2" t="s">
        <v>36</v>
      </c>
      <c r="F163" s="208" t="s">
        <v>890</v>
      </c>
      <c r="H163" s="880">
        <v>0</v>
      </c>
      <c r="I163" s="880"/>
      <c r="J163" s="880"/>
      <c r="K163" s="880">
        <v>0</v>
      </c>
      <c r="L163" s="190">
        <v>0</v>
      </c>
      <c r="M163" s="190">
        <v>0</v>
      </c>
      <c r="N163" s="190">
        <v>0</v>
      </c>
      <c r="O163" s="190">
        <v>0</v>
      </c>
      <c r="P163" s="190">
        <v>0</v>
      </c>
      <c r="Q163" s="190">
        <v>0</v>
      </c>
      <c r="R163" s="190">
        <v>0</v>
      </c>
      <c r="S163" s="190">
        <v>0</v>
      </c>
      <c r="T163" s="209">
        <v>0</v>
      </c>
      <c r="U163" s="209"/>
      <c r="V163" s="209"/>
      <c r="W163" s="209"/>
      <c r="X163" s="190"/>
      <c r="Y163" s="190"/>
      <c r="Z163" s="190"/>
      <c r="AA163" s="190"/>
      <c r="AB163" s="190"/>
      <c r="AC163" s="190"/>
      <c r="AD163" s="190"/>
      <c r="AE163" s="190"/>
      <c r="AF163" s="209"/>
      <c r="AG163" s="209"/>
      <c r="AH163" s="209"/>
      <c r="AI163" s="67"/>
      <c r="AJ163" s="209"/>
      <c r="AK163" s="209"/>
      <c r="AL163" s="190"/>
      <c r="AM163" s="190"/>
      <c r="AN163" s="189"/>
      <c r="AO163" s="189"/>
      <c r="AP163" s="189"/>
      <c r="AQ163" s="348"/>
      <c r="AR163" s="348"/>
      <c r="AS163" s="354"/>
      <c r="AT163" s="354"/>
      <c r="AU163" s="354"/>
      <c r="AV163" s="196"/>
      <c r="AW163" s="354"/>
      <c r="AX163" s="354"/>
      <c r="AY163" s="354"/>
      <c r="AZ163" s="354"/>
      <c r="BA163" s="354"/>
      <c r="BB163" s="354"/>
      <c r="BC163" s="354"/>
      <c r="BD163" s="354"/>
      <c r="BE163" s="354"/>
      <c r="BF163" s="354"/>
      <c r="BG163" s="354"/>
      <c r="BH163" s="354"/>
      <c r="BI163" s="354"/>
      <c r="BJ163" s="354"/>
      <c r="BK163" s="354"/>
      <c r="BL163" s="354"/>
      <c r="BM163" s="354"/>
      <c r="BN163" s="354"/>
      <c r="BO163" s="355">
        <v>0</v>
      </c>
      <c r="BP163" s="888">
        <v>0</v>
      </c>
      <c r="BQ163" s="354"/>
      <c r="BR163" s="354"/>
      <c r="BS163" s="354"/>
      <c r="BT163" s="354"/>
      <c r="BU163" s="354"/>
      <c r="BV163" s="354"/>
      <c r="BW163" s="355">
        <f t="shared" si="13"/>
        <v>0</v>
      </c>
      <c r="BY163" s="33">
        <f t="shared" si="14"/>
        <v>0</v>
      </c>
      <c r="BZ163" s="33">
        <f t="shared" si="15"/>
        <v>0</v>
      </c>
      <c r="CA163" s="33">
        <f t="shared" si="15"/>
        <v>0</v>
      </c>
      <c r="CB163" s="33">
        <f t="shared" si="15"/>
        <v>0</v>
      </c>
      <c r="CC163" s="33">
        <f t="shared" si="15"/>
        <v>0</v>
      </c>
      <c r="CD163" s="33">
        <f t="shared" si="15"/>
        <v>0</v>
      </c>
      <c r="CE163" s="33">
        <f t="shared" si="15"/>
        <v>0</v>
      </c>
      <c r="CF163" s="33">
        <f t="shared" si="15"/>
        <v>0</v>
      </c>
      <c r="CG163" s="58">
        <f t="shared" si="12"/>
        <v>0</v>
      </c>
    </row>
    <row r="164" spans="1:85">
      <c r="A164" s="198">
        <v>2178</v>
      </c>
      <c r="B164" s="2">
        <v>103257</v>
      </c>
      <c r="C164" s="2" t="s">
        <v>351</v>
      </c>
      <c r="D164" s="2" t="s">
        <v>352</v>
      </c>
      <c r="E164" s="2" t="s">
        <v>39</v>
      </c>
      <c r="F164" s="208" t="s">
        <v>890</v>
      </c>
      <c r="H164" s="880">
        <v>0</v>
      </c>
      <c r="I164" s="880"/>
      <c r="J164" s="880"/>
      <c r="K164" s="880">
        <v>8885</v>
      </c>
      <c r="L164" s="190">
        <v>0</v>
      </c>
      <c r="M164" s="190">
        <v>0</v>
      </c>
      <c r="N164" s="190">
        <v>0</v>
      </c>
      <c r="O164" s="190">
        <v>0</v>
      </c>
      <c r="P164" s="190">
        <v>0</v>
      </c>
      <c r="Q164" s="190">
        <v>0</v>
      </c>
      <c r="R164" s="190">
        <v>0</v>
      </c>
      <c r="S164" s="190">
        <v>0</v>
      </c>
      <c r="T164" s="209">
        <v>0</v>
      </c>
      <c r="U164" s="209"/>
      <c r="V164" s="209"/>
      <c r="W164" s="209"/>
      <c r="X164" s="190"/>
      <c r="Y164" s="190"/>
      <c r="Z164" s="190"/>
      <c r="AA164" s="190"/>
      <c r="AB164" s="190"/>
      <c r="AC164" s="190"/>
      <c r="AD164" s="190"/>
      <c r="AE164" s="190"/>
      <c r="AF164" s="209"/>
      <c r="AG164" s="209"/>
      <c r="AH164" s="209"/>
      <c r="AI164" s="67"/>
      <c r="AJ164" s="209"/>
      <c r="AK164" s="209"/>
      <c r="AL164" s="190"/>
      <c r="AM164" s="190"/>
      <c r="AN164" s="189"/>
      <c r="AO164" s="189"/>
      <c r="AP164" s="189"/>
      <c r="AQ164" s="348"/>
      <c r="AR164" s="348"/>
      <c r="AS164" s="354"/>
      <c r="AT164" s="354"/>
      <c r="AU164" s="354"/>
      <c r="AV164" s="196"/>
      <c r="AW164" s="354"/>
      <c r="AX164" s="354"/>
      <c r="AY164" s="354"/>
      <c r="AZ164" s="354"/>
      <c r="BA164" s="354"/>
      <c r="BB164" s="354"/>
      <c r="BC164" s="354"/>
      <c r="BD164" s="354"/>
      <c r="BE164" s="354"/>
      <c r="BF164" s="354"/>
      <c r="BG164" s="354"/>
      <c r="BH164" s="354"/>
      <c r="BI164" s="354"/>
      <c r="BJ164" s="354"/>
      <c r="BK164" s="354"/>
      <c r="BL164" s="354"/>
      <c r="BM164" s="354"/>
      <c r="BN164" s="354"/>
      <c r="BO164" s="355">
        <v>537.14</v>
      </c>
      <c r="BP164" s="888">
        <v>-2.0099999999999998</v>
      </c>
      <c r="BQ164" s="354"/>
      <c r="BR164" s="354"/>
      <c r="BS164" s="354"/>
      <c r="BT164" s="354"/>
      <c r="BU164" s="354"/>
      <c r="BV164" s="354"/>
      <c r="BW164" s="355">
        <f t="shared" si="13"/>
        <v>9420.1299999999992</v>
      </c>
      <c r="BY164" s="33">
        <f t="shared" si="14"/>
        <v>0</v>
      </c>
      <c r="BZ164" s="33">
        <f t="shared" si="15"/>
        <v>0</v>
      </c>
      <c r="CA164" s="33">
        <f t="shared" si="15"/>
        <v>0</v>
      </c>
      <c r="CB164" s="33">
        <f t="shared" si="15"/>
        <v>0</v>
      </c>
      <c r="CC164" s="33">
        <f t="shared" si="15"/>
        <v>8885</v>
      </c>
      <c r="CD164" s="33">
        <f t="shared" si="15"/>
        <v>537.14</v>
      </c>
      <c r="CE164" s="33">
        <f t="shared" si="15"/>
        <v>0</v>
      </c>
      <c r="CF164" s="33">
        <f t="shared" si="15"/>
        <v>-2.0099999999999998</v>
      </c>
      <c r="CG164" s="58">
        <f t="shared" si="12"/>
        <v>9422.14</v>
      </c>
    </row>
    <row r="165" spans="1:85">
      <c r="A165" s="198">
        <v>2184</v>
      </c>
      <c r="B165" s="2">
        <v>103262</v>
      </c>
      <c r="C165" s="2" t="s">
        <v>353</v>
      </c>
      <c r="D165" s="2" t="s">
        <v>354</v>
      </c>
      <c r="E165" s="2" t="s">
        <v>39</v>
      </c>
      <c r="F165" s="208" t="s">
        <v>890</v>
      </c>
      <c r="H165" s="880">
        <v>0</v>
      </c>
      <c r="I165" s="880"/>
      <c r="J165" s="880"/>
      <c r="K165" s="880">
        <v>9780</v>
      </c>
      <c r="L165" s="190">
        <v>0</v>
      </c>
      <c r="M165" s="190">
        <v>0</v>
      </c>
      <c r="N165" s="190">
        <v>0</v>
      </c>
      <c r="O165" s="190">
        <v>0</v>
      </c>
      <c r="P165" s="190">
        <v>0</v>
      </c>
      <c r="Q165" s="190">
        <v>0</v>
      </c>
      <c r="R165" s="190">
        <v>0</v>
      </c>
      <c r="S165" s="190">
        <v>0</v>
      </c>
      <c r="T165" s="209">
        <v>2580.52</v>
      </c>
      <c r="U165" s="209"/>
      <c r="V165" s="209"/>
      <c r="W165" s="209"/>
      <c r="X165" s="190"/>
      <c r="Y165" s="190"/>
      <c r="Z165" s="190"/>
      <c r="AA165" s="190"/>
      <c r="AB165" s="190"/>
      <c r="AC165" s="190"/>
      <c r="AD165" s="190"/>
      <c r="AE165" s="190"/>
      <c r="AF165" s="209"/>
      <c r="AG165" s="209"/>
      <c r="AH165" s="209"/>
      <c r="AI165" s="67"/>
      <c r="AJ165" s="209"/>
      <c r="AK165" s="209"/>
      <c r="AL165" s="190"/>
      <c r="AM165" s="190"/>
      <c r="AN165" s="189"/>
      <c r="AO165" s="189"/>
      <c r="AP165" s="189"/>
      <c r="AQ165" s="348"/>
      <c r="AR165" s="348"/>
      <c r="AS165" s="354"/>
      <c r="AT165" s="354"/>
      <c r="AU165" s="354"/>
      <c r="AV165" s="196"/>
      <c r="AW165" s="354"/>
      <c r="AX165" s="354"/>
      <c r="AY165" s="354"/>
      <c r="AZ165" s="354"/>
      <c r="BA165" s="354"/>
      <c r="BB165" s="354"/>
      <c r="BC165" s="354"/>
      <c r="BD165" s="354"/>
      <c r="BE165" s="354"/>
      <c r="BF165" s="354"/>
      <c r="BG165" s="354"/>
      <c r="BH165" s="354"/>
      <c r="BI165" s="354"/>
      <c r="BJ165" s="354"/>
      <c r="BK165" s="354"/>
      <c r="BL165" s="354"/>
      <c r="BM165" s="354"/>
      <c r="BN165" s="354"/>
      <c r="BO165" s="355">
        <v>3752.91</v>
      </c>
      <c r="BP165" s="888">
        <v>-62.41</v>
      </c>
      <c r="BQ165" s="354"/>
      <c r="BR165" s="354"/>
      <c r="BS165" s="354"/>
      <c r="BT165" s="354"/>
      <c r="BU165" s="354"/>
      <c r="BV165" s="354"/>
      <c r="BW165" s="355">
        <f t="shared" si="13"/>
        <v>16051.02</v>
      </c>
      <c r="BY165" s="33">
        <f t="shared" si="14"/>
        <v>0</v>
      </c>
      <c r="BZ165" s="33">
        <f t="shared" si="15"/>
        <v>0</v>
      </c>
      <c r="CA165" s="33">
        <f t="shared" si="15"/>
        <v>0</v>
      </c>
      <c r="CB165" s="33">
        <f t="shared" si="15"/>
        <v>0</v>
      </c>
      <c r="CC165" s="33">
        <f t="shared" si="15"/>
        <v>12360.52</v>
      </c>
      <c r="CD165" s="33">
        <f t="shared" si="15"/>
        <v>3752.91</v>
      </c>
      <c r="CE165" s="33">
        <f t="shared" si="15"/>
        <v>0</v>
      </c>
      <c r="CF165" s="33">
        <f t="shared" si="15"/>
        <v>-62.41</v>
      </c>
      <c r="CG165" s="58">
        <f t="shared" si="12"/>
        <v>16113.43</v>
      </c>
    </row>
    <row r="166" spans="1:85">
      <c r="A166" s="198">
        <v>2190</v>
      </c>
      <c r="B166" s="2">
        <v>103266</v>
      </c>
      <c r="C166" s="2" t="s">
        <v>355</v>
      </c>
      <c r="D166" s="2" t="s">
        <v>356</v>
      </c>
      <c r="E166" s="2" t="s">
        <v>39</v>
      </c>
      <c r="F166" s="208" t="s">
        <v>890</v>
      </c>
      <c r="H166" s="880">
        <v>0</v>
      </c>
      <c r="I166" s="880"/>
      <c r="J166" s="880"/>
      <c r="K166" s="880">
        <v>8740</v>
      </c>
      <c r="L166" s="190">
        <v>25896.645000000004</v>
      </c>
      <c r="M166" s="190">
        <v>2877.4050000000002</v>
      </c>
      <c r="N166" s="190">
        <v>2877.4050000000002</v>
      </c>
      <c r="O166" s="190">
        <v>2877.4050000000002</v>
      </c>
      <c r="P166" s="190">
        <v>0</v>
      </c>
      <c r="Q166" s="190">
        <v>0</v>
      </c>
      <c r="R166" s="190">
        <v>0</v>
      </c>
      <c r="S166" s="190">
        <v>0</v>
      </c>
      <c r="T166" s="209">
        <v>0</v>
      </c>
      <c r="U166" s="209"/>
      <c r="V166" s="209"/>
      <c r="W166" s="209"/>
      <c r="X166" s="190"/>
      <c r="Y166" s="190"/>
      <c r="Z166" s="190"/>
      <c r="AA166" s="190"/>
      <c r="AB166" s="190"/>
      <c r="AC166" s="190"/>
      <c r="AD166" s="190"/>
      <c r="AE166" s="190"/>
      <c r="AF166" s="209"/>
      <c r="AG166" s="209"/>
      <c r="AH166" s="209"/>
      <c r="AI166" s="67"/>
      <c r="AJ166" s="209"/>
      <c r="AK166" s="209"/>
      <c r="AL166" s="190"/>
      <c r="AM166" s="190"/>
      <c r="AN166" s="189"/>
      <c r="AO166" s="189"/>
      <c r="AP166" s="189"/>
      <c r="AQ166" s="348"/>
      <c r="AR166" s="348"/>
      <c r="AS166" s="354"/>
      <c r="AT166" s="354"/>
      <c r="AU166" s="354"/>
      <c r="AV166" s="196"/>
      <c r="AW166" s="354"/>
      <c r="AX166" s="354"/>
      <c r="AY166" s="354"/>
      <c r="AZ166" s="354"/>
      <c r="BA166" s="354"/>
      <c r="BB166" s="354"/>
      <c r="BC166" s="354"/>
      <c r="BD166" s="354"/>
      <c r="BE166" s="354"/>
      <c r="BF166" s="354"/>
      <c r="BG166" s="354"/>
      <c r="BH166" s="354"/>
      <c r="BI166" s="354"/>
      <c r="BJ166" s="354"/>
      <c r="BK166" s="354"/>
      <c r="BL166" s="354"/>
      <c r="BM166" s="354"/>
      <c r="BN166" s="354"/>
      <c r="BO166" s="355">
        <v>267.49</v>
      </c>
      <c r="BP166" s="888">
        <v>-6.91</v>
      </c>
      <c r="BQ166" s="354"/>
      <c r="BR166" s="354"/>
      <c r="BS166" s="354"/>
      <c r="BT166" s="354"/>
      <c r="BU166" s="354"/>
      <c r="BV166" s="354"/>
      <c r="BW166" s="355">
        <f t="shared" si="13"/>
        <v>43529.439999999995</v>
      </c>
      <c r="BY166" s="33">
        <f t="shared" si="14"/>
        <v>28774.050000000003</v>
      </c>
      <c r="BZ166" s="33">
        <f t="shared" si="15"/>
        <v>0</v>
      </c>
      <c r="CA166" s="33">
        <f t="shared" si="15"/>
        <v>0</v>
      </c>
      <c r="CB166" s="33">
        <f t="shared" si="15"/>
        <v>0</v>
      </c>
      <c r="CC166" s="33">
        <f t="shared" si="15"/>
        <v>8740</v>
      </c>
      <c r="CD166" s="33">
        <f t="shared" si="15"/>
        <v>267.49</v>
      </c>
      <c r="CE166" s="33">
        <f t="shared" si="15"/>
        <v>0</v>
      </c>
      <c r="CF166" s="33">
        <f t="shared" si="15"/>
        <v>-6.91</v>
      </c>
      <c r="CG166" s="58">
        <f t="shared" si="12"/>
        <v>37781.54</v>
      </c>
    </row>
    <row r="167" spans="1:85">
      <c r="A167" s="198">
        <v>7035</v>
      </c>
      <c r="B167" s="2">
        <v>103615</v>
      </c>
      <c r="C167" s="2" t="s">
        <v>357</v>
      </c>
      <c r="D167" s="2" t="s">
        <v>358</v>
      </c>
      <c r="E167" s="2" t="s">
        <v>56</v>
      </c>
      <c r="F167" s="208" t="s">
        <v>890</v>
      </c>
      <c r="H167" s="880">
        <v>0</v>
      </c>
      <c r="I167" s="880"/>
      <c r="J167" s="880"/>
      <c r="K167" s="880">
        <v>8710</v>
      </c>
      <c r="L167" s="190">
        <v>0</v>
      </c>
      <c r="M167" s="190">
        <v>0</v>
      </c>
      <c r="N167" s="190">
        <v>0</v>
      </c>
      <c r="O167" s="190">
        <v>0</v>
      </c>
      <c r="P167" s="190">
        <v>0</v>
      </c>
      <c r="Q167" s="190">
        <v>0</v>
      </c>
      <c r="R167" s="190">
        <v>0</v>
      </c>
      <c r="S167" s="190">
        <v>0</v>
      </c>
      <c r="T167" s="209">
        <v>0</v>
      </c>
      <c r="U167" s="209"/>
      <c r="V167" s="209"/>
      <c r="W167" s="209"/>
      <c r="X167" s="190"/>
      <c r="Y167" s="190"/>
      <c r="Z167" s="190"/>
      <c r="AA167" s="190"/>
      <c r="AB167" s="190"/>
      <c r="AC167" s="190"/>
      <c r="AD167" s="190"/>
      <c r="AE167" s="190"/>
      <c r="AF167" s="209"/>
      <c r="AG167" s="209"/>
      <c r="AH167" s="209"/>
      <c r="AI167" s="67"/>
      <c r="AJ167" s="209"/>
      <c r="AK167" s="209"/>
      <c r="AL167" s="190"/>
      <c r="AM167" s="190"/>
      <c r="AN167" s="189"/>
      <c r="AO167" s="189"/>
      <c r="AP167" s="189"/>
      <c r="AQ167" s="348"/>
      <c r="AR167" s="348"/>
      <c r="AS167" s="354"/>
      <c r="AT167" s="354"/>
      <c r="AU167" s="354"/>
      <c r="AV167" s="196"/>
      <c r="AW167" s="354"/>
      <c r="AX167" s="354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4"/>
      <c r="BI167" s="354"/>
      <c r="BJ167" s="354"/>
      <c r="BK167" s="354"/>
      <c r="BL167" s="354"/>
      <c r="BM167" s="354"/>
      <c r="BN167" s="354"/>
      <c r="BO167" s="355">
        <v>0</v>
      </c>
      <c r="BP167" s="888">
        <v>0</v>
      </c>
      <c r="BQ167" s="354"/>
      <c r="BR167" s="354"/>
      <c r="BS167" s="354"/>
      <c r="BT167" s="354"/>
      <c r="BU167" s="354"/>
      <c r="BV167" s="354"/>
      <c r="BW167" s="355">
        <f t="shared" si="13"/>
        <v>8710</v>
      </c>
      <c r="BY167" s="33">
        <f t="shared" si="14"/>
        <v>0</v>
      </c>
      <c r="BZ167" s="33">
        <f t="shared" si="15"/>
        <v>0</v>
      </c>
      <c r="CA167" s="33">
        <f t="shared" si="15"/>
        <v>0</v>
      </c>
      <c r="CB167" s="33">
        <f t="shared" si="15"/>
        <v>0</v>
      </c>
      <c r="CC167" s="33">
        <f t="shared" si="15"/>
        <v>8710</v>
      </c>
      <c r="CD167" s="33">
        <f t="shared" si="15"/>
        <v>0</v>
      </c>
      <c r="CE167" s="33">
        <f t="shared" si="15"/>
        <v>0</v>
      </c>
      <c r="CF167" s="33">
        <f t="shared" si="15"/>
        <v>0</v>
      </c>
      <c r="CG167" s="58">
        <f t="shared" si="12"/>
        <v>8710</v>
      </c>
    </row>
    <row r="168" spans="1:85">
      <c r="A168" s="198">
        <v>7045</v>
      </c>
      <c r="B168" s="2">
        <v>103622</v>
      </c>
      <c r="C168" s="2" t="s">
        <v>359</v>
      </c>
      <c r="D168" s="2" t="s">
        <v>360</v>
      </c>
      <c r="E168" s="2" t="s">
        <v>56</v>
      </c>
      <c r="F168" s="208" t="s">
        <v>890</v>
      </c>
      <c r="H168" s="880">
        <v>0</v>
      </c>
      <c r="I168" s="880"/>
      <c r="J168" s="880"/>
      <c r="K168" s="880">
        <v>8650</v>
      </c>
      <c r="L168" s="190">
        <v>0</v>
      </c>
      <c r="M168" s="190">
        <v>0</v>
      </c>
      <c r="N168" s="190">
        <v>0</v>
      </c>
      <c r="O168" s="190">
        <v>0</v>
      </c>
      <c r="P168" s="190">
        <v>0</v>
      </c>
      <c r="Q168" s="190">
        <v>0</v>
      </c>
      <c r="R168" s="190">
        <v>0</v>
      </c>
      <c r="S168" s="190">
        <v>0</v>
      </c>
      <c r="T168" s="209">
        <v>0</v>
      </c>
      <c r="U168" s="209"/>
      <c r="V168" s="209"/>
      <c r="W168" s="209"/>
      <c r="X168" s="190"/>
      <c r="Y168" s="190"/>
      <c r="Z168" s="190"/>
      <c r="AA168" s="190"/>
      <c r="AB168" s="190"/>
      <c r="AC168" s="190"/>
      <c r="AD168" s="190"/>
      <c r="AE168" s="190"/>
      <c r="AF168" s="209"/>
      <c r="AG168" s="209"/>
      <c r="AH168" s="209"/>
      <c r="AI168" s="67"/>
      <c r="AJ168" s="209"/>
      <c r="AK168" s="209"/>
      <c r="AL168" s="190"/>
      <c r="AM168" s="190"/>
      <c r="AN168" s="189"/>
      <c r="AO168" s="189"/>
      <c r="AP168" s="189"/>
      <c r="AQ168" s="348"/>
      <c r="AR168" s="348"/>
      <c r="AS168" s="354"/>
      <c r="AT168" s="354"/>
      <c r="AU168" s="354"/>
      <c r="AV168" s="196"/>
      <c r="AW168" s="354"/>
      <c r="AX168" s="354"/>
      <c r="AY168" s="354"/>
      <c r="AZ168" s="354"/>
      <c r="BA168" s="354"/>
      <c r="BB168" s="354"/>
      <c r="BC168" s="354"/>
      <c r="BD168" s="354"/>
      <c r="BE168" s="354"/>
      <c r="BF168" s="354"/>
      <c r="BG168" s="354"/>
      <c r="BH168" s="354"/>
      <c r="BI168" s="354"/>
      <c r="BJ168" s="354"/>
      <c r="BK168" s="354"/>
      <c r="BL168" s="354"/>
      <c r="BM168" s="354"/>
      <c r="BN168" s="354"/>
      <c r="BO168" s="355">
        <v>7927.71</v>
      </c>
      <c r="BP168" s="888">
        <v>-56.55</v>
      </c>
      <c r="BQ168" s="354"/>
      <c r="BR168" s="354"/>
      <c r="BS168" s="354"/>
      <c r="BT168" s="354"/>
      <c r="BU168" s="354"/>
      <c r="BV168" s="354"/>
      <c r="BW168" s="355">
        <f t="shared" si="13"/>
        <v>16521.16</v>
      </c>
      <c r="BY168" s="33">
        <f t="shared" si="14"/>
        <v>0</v>
      </c>
      <c r="BZ168" s="33">
        <f t="shared" si="15"/>
        <v>0</v>
      </c>
      <c r="CA168" s="33">
        <f t="shared" si="15"/>
        <v>0</v>
      </c>
      <c r="CB168" s="33">
        <f t="shared" si="15"/>
        <v>0</v>
      </c>
      <c r="CC168" s="33">
        <f t="shared" si="15"/>
        <v>8650</v>
      </c>
      <c r="CD168" s="33">
        <f t="shared" si="15"/>
        <v>7927.71</v>
      </c>
      <c r="CE168" s="33">
        <f t="shared" si="15"/>
        <v>0</v>
      </c>
      <c r="CF168" s="33">
        <f t="shared" si="15"/>
        <v>-56.55</v>
      </c>
      <c r="CG168" s="58">
        <f t="shared" ref="CG168:CG193" si="16">SUM(BY168:CE168)-AV168</f>
        <v>16577.71</v>
      </c>
    </row>
    <row r="169" spans="1:85">
      <c r="A169" s="198">
        <v>2192</v>
      </c>
      <c r="B169" s="2">
        <v>103268</v>
      </c>
      <c r="C169" s="2" t="s">
        <v>361</v>
      </c>
      <c r="D169" s="2" t="s">
        <v>362</v>
      </c>
      <c r="E169" s="2" t="s">
        <v>39</v>
      </c>
      <c r="F169" s="208" t="s">
        <v>890</v>
      </c>
      <c r="H169" s="880">
        <v>0</v>
      </c>
      <c r="I169" s="880"/>
      <c r="J169" s="880"/>
      <c r="K169" s="880">
        <v>10385</v>
      </c>
      <c r="L169" s="190">
        <v>0</v>
      </c>
      <c r="M169" s="190">
        <v>0</v>
      </c>
      <c r="N169" s="190">
        <v>0</v>
      </c>
      <c r="O169" s="190">
        <v>0</v>
      </c>
      <c r="P169" s="190">
        <v>0</v>
      </c>
      <c r="Q169" s="190">
        <v>0</v>
      </c>
      <c r="R169" s="190">
        <v>0</v>
      </c>
      <c r="S169" s="190">
        <v>0</v>
      </c>
      <c r="T169" s="209">
        <v>0</v>
      </c>
      <c r="U169" s="209"/>
      <c r="V169" s="209"/>
      <c r="W169" s="209"/>
      <c r="X169" s="190"/>
      <c r="Y169" s="190"/>
      <c r="Z169" s="190"/>
      <c r="AA169" s="190"/>
      <c r="AB169" s="190"/>
      <c r="AC169" s="190"/>
      <c r="AD169" s="190"/>
      <c r="AE169" s="190"/>
      <c r="AF169" s="209"/>
      <c r="AG169" s="209"/>
      <c r="AH169" s="209"/>
      <c r="AI169" s="67"/>
      <c r="AJ169" s="209"/>
      <c r="AK169" s="209"/>
      <c r="AL169" s="190"/>
      <c r="AM169" s="190"/>
      <c r="AN169" s="189"/>
      <c r="AO169" s="189"/>
      <c r="AP169" s="189"/>
      <c r="AQ169" s="348"/>
      <c r="AR169" s="348"/>
      <c r="AS169" s="354"/>
      <c r="AT169" s="354"/>
      <c r="AU169" s="354"/>
      <c r="AV169" s="196"/>
      <c r="AW169" s="354"/>
      <c r="AX169" s="354"/>
      <c r="AY169" s="354"/>
      <c r="AZ169" s="354"/>
      <c r="BA169" s="354"/>
      <c r="BB169" s="354"/>
      <c r="BC169" s="354"/>
      <c r="BD169" s="354"/>
      <c r="BE169" s="354"/>
      <c r="BF169" s="354"/>
      <c r="BG169" s="354"/>
      <c r="BH169" s="354"/>
      <c r="BI169" s="354"/>
      <c r="BJ169" s="354"/>
      <c r="BK169" s="354"/>
      <c r="BL169" s="354"/>
      <c r="BM169" s="354"/>
      <c r="BN169" s="354"/>
      <c r="BO169" s="355">
        <v>1984.86</v>
      </c>
      <c r="BP169" s="888">
        <v>-13.57</v>
      </c>
      <c r="BQ169" s="354"/>
      <c r="BR169" s="354"/>
      <c r="BS169" s="354"/>
      <c r="BT169" s="354"/>
      <c r="BU169" s="354"/>
      <c r="BV169" s="354"/>
      <c r="BW169" s="355">
        <f t="shared" si="13"/>
        <v>12356.29</v>
      </c>
      <c r="BY169" s="33">
        <f t="shared" si="14"/>
        <v>0</v>
      </c>
      <c r="BZ169" s="33">
        <f t="shared" si="15"/>
        <v>0</v>
      </c>
      <c r="CA169" s="33">
        <f t="shared" si="15"/>
        <v>0</v>
      </c>
      <c r="CB169" s="33">
        <f t="shared" si="15"/>
        <v>0</v>
      </c>
      <c r="CC169" s="33">
        <f t="shared" si="15"/>
        <v>10385</v>
      </c>
      <c r="CD169" s="33">
        <f t="shared" si="15"/>
        <v>1984.86</v>
      </c>
      <c r="CE169" s="33">
        <f t="shared" si="15"/>
        <v>0</v>
      </c>
      <c r="CF169" s="33">
        <f t="shared" si="15"/>
        <v>-13.57</v>
      </c>
      <c r="CG169" s="58">
        <f t="shared" si="16"/>
        <v>12369.86</v>
      </c>
    </row>
    <row r="170" spans="1:85">
      <c r="A170" s="198">
        <v>7014</v>
      </c>
      <c r="B170" s="2">
        <v>103605</v>
      </c>
      <c r="C170" s="2" t="s">
        <v>363</v>
      </c>
      <c r="D170" s="2" t="s">
        <v>364</v>
      </c>
      <c r="E170" s="2" t="s">
        <v>56</v>
      </c>
      <c r="F170" s="208" t="s">
        <v>890</v>
      </c>
      <c r="H170" s="880">
        <v>0</v>
      </c>
      <c r="I170" s="880"/>
      <c r="J170" s="880"/>
      <c r="K170" s="880">
        <v>8575</v>
      </c>
      <c r="L170" s="190">
        <v>0</v>
      </c>
      <c r="M170" s="190">
        <v>0</v>
      </c>
      <c r="N170" s="190">
        <v>0</v>
      </c>
      <c r="O170" s="190">
        <v>0</v>
      </c>
      <c r="P170" s="190">
        <v>0</v>
      </c>
      <c r="Q170" s="190">
        <v>0</v>
      </c>
      <c r="R170" s="190">
        <v>0</v>
      </c>
      <c r="S170" s="190">
        <v>0</v>
      </c>
      <c r="T170" s="209">
        <v>0</v>
      </c>
      <c r="U170" s="209"/>
      <c r="V170" s="209"/>
      <c r="W170" s="209"/>
      <c r="X170" s="190"/>
      <c r="Y170" s="190"/>
      <c r="Z170" s="190"/>
      <c r="AA170" s="190"/>
      <c r="AB170" s="190"/>
      <c r="AC170" s="190"/>
      <c r="AD170" s="190"/>
      <c r="AE170" s="190"/>
      <c r="AF170" s="209"/>
      <c r="AG170" s="209"/>
      <c r="AH170" s="209"/>
      <c r="AI170" s="67"/>
      <c r="AJ170" s="209"/>
      <c r="AK170" s="209"/>
      <c r="AL170" s="190"/>
      <c r="AM170" s="190"/>
      <c r="AN170" s="189"/>
      <c r="AO170" s="189"/>
      <c r="AP170" s="189"/>
      <c r="AQ170" s="348"/>
      <c r="AR170" s="348"/>
      <c r="AS170" s="354"/>
      <c r="AT170" s="354"/>
      <c r="AU170" s="354"/>
      <c r="AV170" s="196"/>
      <c r="AW170" s="354"/>
      <c r="AX170" s="354"/>
      <c r="AY170" s="354"/>
      <c r="AZ170" s="354"/>
      <c r="BA170" s="354"/>
      <c r="BB170" s="354"/>
      <c r="BC170" s="354"/>
      <c r="BD170" s="354"/>
      <c r="BE170" s="354"/>
      <c r="BF170" s="354"/>
      <c r="BG170" s="354"/>
      <c r="BH170" s="354"/>
      <c r="BI170" s="354"/>
      <c r="BJ170" s="354"/>
      <c r="BK170" s="354"/>
      <c r="BL170" s="354"/>
      <c r="BM170" s="354"/>
      <c r="BN170" s="354"/>
      <c r="BO170" s="355">
        <v>0</v>
      </c>
      <c r="BP170" s="888">
        <v>0</v>
      </c>
      <c r="BQ170" s="354"/>
      <c r="BR170" s="354"/>
      <c r="BS170" s="354"/>
      <c r="BT170" s="354"/>
      <c r="BU170" s="354"/>
      <c r="BV170" s="354"/>
      <c r="BW170" s="355">
        <f t="shared" si="13"/>
        <v>8575</v>
      </c>
      <c r="BY170" s="33">
        <f t="shared" si="14"/>
        <v>0</v>
      </c>
      <c r="BZ170" s="33">
        <f t="shared" si="15"/>
        <v>0</v>
      </c>
      <c r="CA170" s="33">
        <f t="shared" si="15"/>
        <v>0</v>
      </c>
      <c r="CB170" s="33">
        <f t="shared" si="15"/>
        <v>0</v>
      </c>
      <c r="CC170" s="33">
        <f t="shared" si="15"/>
        <v>8575</v>
      </c>
      <c r="CD170" s="33">
        <f t="shared" si="15"/>
        <v>0</v>
      </c>
      <c r="CE170" s="33">
        <f t="shared" si="15"/>
        <v>0</v>
      </c>
      <c r="CF170" s="33">
        <f t="shared" si="15"/>
        <v>0</v>
      </c>
      <c r="CG170" s="58">
        <f t="shared" si="16"/>
        <v>8575</v>
      </c>
    </row>
    <row r="171" spans="1:85">
      <c r="A171" s="198">
        <v>7009</v>
      </c>
      <c r="B171" s="2">
        <v>103601</v>
      </c>
      <c r="C171" s="2" t="s">
        <v>365</v>
      </c>
      <c r="D171" s="2" t="s">
        <v>366</v>
      </c>
      <c r="E171" s="2" t="s">
        <v>56</v>
      </c>
      <c r="F171" s="208" t="s">
        <v>890</v>
      </c>
      <c r="H171" s="880">
        <v>0</v>
      </c>
      <c r="I171" s="880"/>
      <c r="J171" s="880"/>
      <c r="K171" s="880">
        <v>8360</v>
      </c>
      <c r="L171" s="190">
        <v>0</v>
      </c>
      <c r="M171" s="190">
        <v>0</v>
      </c>
      <c r="N171" s="190">
        <v>0</v>
      </c>
      <c r="O171" s="190">
        <v>0</v>
      </c>
      <c r="P171" s="190">
        <v>0</v>
      </c>
      <c r="Q171" s="190">
        <v>0</v>
      </c>
      <c r="R171" s="190">
        <v>0</v>
      </c>
      <c r="S171" s="190">
        <v>0</v>
      </c>
      <c r="T171" s="209">
        <v>0</v>
      </c>
      <c r="U171" s="209"/>
      <c r="V171" s="209"/>
      <c r="W171" s="209"/>
      <c r="X171" s="190"/>
      <c r="Y171" s="190"/>
      <c r="Z171" s="190"/>
      <c r="AA171" s="190"/>
      <c r="AB171" s="190"/>
      <c r="AC171" s="190"/>
      <c r="AD171" s="190"/>
      <c r="AE171" s="190"/>
      <c r="AF171" s="209"/>
      <c r="AG171" s="209"/>
      <c r="AH171" s="209"/>
      <c r="AI171" s="67"/>
      <c r="AJ171" s="209"/>
      <c r="AK171" s="209"/>
      <c r="AL171" s="190"/>
      <c r="AM171" s="190"/>
      <c r="AN171" s="189"/>
      <c r="AO171" s="189"/>
      <c r="AP171" s="189"/>
      <c r="AQ171" s="348"/>
      <c r="AR171" s="348"/>
      <c r="AS171" s="354"/>
      <c r="AT171" s="354"/>
      <c r="AU171" s="354"/>
      <c r="AV171" s="196"/>
      <c r="AW171" s="354"/>
      <c r="AX171" s="354"/>
      <c r="AY171" s="354"/>
      <c r="AZ171" s="354"/>
      <c r="BA171" s="354"/>
      <c r="BB171" s="354"/>
      <c r="BC171" s="354"/>
      <c r="BD171" s="354"/>
      <c r="BE171" s="354"/>
      <c r="BF171" s="354"/>
      <c r="BG171" s="354"/>
      <c r="BH171" s="354"/>
      <c r="BI171" s="354"/>
      <c r="BJ171" s="354"/>
      <c r="BK171" s="354"/>
      <c r="BL171" s="354"/>
      <c r="BM171" s="354"/>
      <c r="BN171" s="354"/>
      <c r="BO171" s="355">
        <v>0</v>
      </c>
      <c r="BP171" s="888">
        <v>0</v>
      </c>
      <c r="BQ171" s="354"/>
      <c r="BR171" s="354"/>
      <c r="BS171" s="354"/>
      <c r="BT171" s="354"/>
      <c r="BU171" s="354"/>
      <c r="BV171" s="354"/>
      <c r="BW171" s="355">
        <f t="shared" si="13"/>
        <v>8360</v>
      </c>
      <c r="BY171" s="33">
        <f t="shared" si="14"/>
        <v>0</v>
      </c>
      <c r="BZ171" s="33">
        <f t="shared" si="15"/>
        <v>0</v>
      </c>
      <c r="CA171" s="33">
        <f t="shared" si="15"/>
        <v>0</v>
      </c>
      <c r="CB171" s="33">
        <f t="shared" si="15"/>
        <v>0</v>
      </c>
      <c r="CC171" s="33">
        <f t="shared" si="15"/>
        <v>8360</v>
      </c>
      <c r="CD171" s="33">
        <f t="shared" si="15"/>
        <v>0</v>
      </c>
      <c r="CE171" s="33">
        <f t="shared" si="15"/>
        <v>0</v>
      </c>
      <c r="CF171" s="33">
        <f t="shared" si="15"/>
        <v>0</v>
      </c>
      <c r="CG171" s="58">
        <f t="shared" si="16"/>
        <v>8360</v>
      </c>
    </row>
    <row r="172" spans="1:85">
      <c r="A172" s="198">
        <v>5203</v>
      </c>
      <c r="B172" s="2">
        <v>103544</v>
      </c>
      <c r="C172" s="2" t="s">
        <v>367</v>
      </c>
      <c r="D172" s="2" t="s">
        <v>368</v>
      </c>
      <c r="E172" s="2" t="s">
        <v>39</v>
      </c>
      <c r="F172" s="208" t="s">
        <v>890</v>
      </c>
      <c r="H172" s="880">
        <v>0</v>
      </c>
      <c r="I172" s="880"/>
      <c r="J172" s="880"/>
      <c r="K172" s="880">
        <v>8890</v>
      </c>
      <c r="L172" s="190">
        <v>0</v>
      </c>
      <c r="M172" s="190">
        <v>0</v>
      </c>
      <c r="N172" s="190">
        <v>0</v>
      </c>
      <c r="O172" s="190">
        <v>0</v>
      </c>
      <c r="P172" s="190">
        <v>0</v>
      </c>
      <c r="Q172" s="190">
        <v>0</v>
      </c>
      <c r="R172" s="190">
        <v>0</v>
      </c>
      <c r="S172" s="190">
        <v>0</v>
      </c>
      <c r="T172" s="209">
        <v>0</v>
      </c>
      <c r="U172" s="209"/>
      <c r="V172" s="209"/>
      <c r="W172" s="209"/>
      <c r="X172" s="190"/>
      <c r="Y172" s="190"/>
      <c r="Z172" s="190"/>
      <c r="AA172" s="190"/>
      <c r="AB172" s="190"/>
      <c r="AC172" s="190"/>
      <c r="AD172" s="190"/>
      <c r="AE172" s="190"/>
      <c r="AF172" s="209"/>
      <c r="AG172" s="209"/>
      <c r="AH172" s="209"/>
      <c r="AI172" s="67"/>
      <c r="AJ172" s="209"/>
      <c r="AK172" s="209"/>
      <c r="AL172" s="190"/>
      <c r="AM172" s="190"/>
      <c r="AN172" s="189"/>
      <c r="AO172" s="189"/>
      <c r="AP172" s="189"/>
      <c r="AQ172" s="348"/>
      <c r="AR172" s="348"/>
      <c r="AS172" s="354"/>
      <c r="AT172" s="354"/>
      <c r="AU172" s="354"/>
      <c r="AV172" s="196"/>
      <c r="AW172" s="354"/>
      <c r="AX172" s="354"/>
      <c r="AY172" s="354"/>
      <c r="AZ172" s="354"/>
      <c r="BA172" s="354"/>
      <c r="BB172" s="354"/>
      <c r="BC172" s="354"/>
      <c r="BD172" s="354"/>
      <c r="BE172" s="354"/>
      <c r="BF172" s="354"/>
      <c r="BG172" s="354"/>
      <c r="BH172" s="354"/>
      <c r="BI172" s="354"/>
      <c r="BJ172" s="354"/>
      <c r="BK172" s="354"/>
      <c r="BL172" s="354"/>
      <c r="BM172" s="354"/>
      <c r="BN172" s="354"/>
      <c r="BO172" s="355">
        <v>0</v>
      </c>
      <c r="BP172" s="888">
        <v>0</v>
      </c>
      <c r="BQ172" s="354"/>
      <c r="BR172" s="354"/>
      <c r="BS172" s="354"/>
      <c r="BT172" s="354"/>
      <c r="BU172" s="354"/>
      <c r="BV172" s="354"/>
      <c r="BW172" s="355">
        <f t="shared" si="13"/>
        <v>8890</v>
      </c>
      <c r="BY172" s="33">
        <f t="shared" si="14"/>
        <v>0</v>
      </c>
      <c r="BZ172" s="33">
        <f t="shared" si="15"/>
        <v>0</v>
      </c>
      <c r="CA172" s="33">
        <f t="shared" si="15"/>
        <v>0</v>
      </c>
      <c r="CB172" s="33">
        <f t="shared" si="15"/>
        <v>0</v>
      </c>
      <c r="CC172" s="33">
        <f t="shared" si="15"/>
        <v>8890</v>
      </c>
      <c r="CD172" s="33">
        <f t="shared" si="15"/>
        <v>0</v>
      </c>
      <c r="CE172" s="33">
        <f t="shared" si="15"/>
        <v>0</v>
      </c>
      <c r="CF172" s="33">
        <f t="shared" si="15"/>
        <v>0</v>
      </c>
      <c r="CG172" s="58">
        <f t="shared" si="16"/>
        <v>8890</v>
      </c>
    </row>
    <row r="173" spans="1:85">
      <c r="A173" s="198">
        <v>5202</v>
      </c>
      <c r="B173" s="2">
        <v>103543</v>
      </c>
      <c r="C173" s="2" t="s">
        <v>369</v>
      </c>
      <c r="D173" s="2" t="s">
        <v>370</v>
      </c>
      <c r="E173" s="2" t="s">
        <v>39</v>
      </c>
      <c r="F173" s="208" t="s">
        <v>890</v>
      </c>
      <c r="H173" s="880">
        <v>0</v>
      </c>
      <c r="I173" s="880"/>
      <c r="J173" s="880"/>
      <c r="K173" s="880">
        <v>9790</v>
      </c>
      <c r="L173" s="190">
        <v>0</v>
      </c>
      <c r="M173" s="190">
        <v>0</v>
      </c>
      <c r="N173" s="190">
        <v>0</v>
      </c>
      <c r="O173" s="190">
        <v>0</v>
      </c>
      <c r="P173" s="190">
        <v>0</v>
      </c>
      <c r="Q173" s="190">
        <v>0</v>
      </c>
      <c r="R173" s="190">
        <v>0</v>
      </c>
      <c r="S173" s="190">
        <v>0</v>
      </c>
      <c r="T173" s="209">
        <v>0</v>
      </c>
      <c r="U173" s="209"/>
      <c r="V173" s="209"/>
      <c r="W173" s="209"/>
      <c r="X173" s="190"/>
      <c r="Y173" s="190"/>
      <c r="Z173" s="190"/>
      <c r="AA173" s="190"/>
      <c r="AB173" s="190"/>
      <c r="AC173" s="190"/>
      <c r="AD173" s="190"/>
      <c r="AE173" s="190"/>
      <c r="AF173" s="209"/>
      <c r="AG173" s="209"/>
      <c r="AH173" s="209"/>
      <c r="AI173" s="67"/>
      <c r="AJ173" s="209"/>
      <c r="AK173" s="209"/>
      <c r="AL173" s="190"/>
      <c r="AM173" s="190"/>
      <c r="AN173" s="189"/>
      <c r="AO173" s="189"/>
      <c r="AP173" s="189"/>
      <c r="AQ173" s="348"/>
      <c r="AR173" s="348"/>
      <c r="AS173" s="354"/>
      <c r="AT173" s="354"/>
      <c r="AU173" s="354"/>
      <c r="AV173" s="196"/>
      <c r="AW173" s="354"/>
      <c r="AX173" s="354"/>
      <c r="AY173" s="354"/>
      <c r="AZ173" s="354"/>
      <c r="BA173" s="354"/>
      <c r="BB173" s="354"/>
      <c r="BC173" s="354"/>
      <c r="BD173" s="354"/>
      <c r="BE173" s="354"/>
      <c r="BF173" s="354"/>
      <c r="BG173" s="354"/>
      <c r="BH173" s="354"/>
      <c r="BI173" s="354"/>
      <c r="BJ173" s="354"/>
      <c r="BK173" s="354"/>
      <c r="BL173" s="354"/>
      <c r="BM173" s="354"/>
      <c r="BN173" s="354"/>
      <c r="BO173" s="355">
        <v>0</v>
      </c>
      <c r="BP173" s="888">
        <v>0</v>
      </c>
      <c r="BQ173" s="354"/>
      <c r="BR173" s="354"/>
      <c r="BS173" s="354"/>
      <c r="BT173" s="354"/>
      <c r="BU173" s="354"/>
      <c r="BV173" s="354"/>
      <c r="BW173" s="355">
        <f t="shared" si="13"/>
        <v>9790</v>
      </c>
      <c r="BY173" s="33">
        <f t="shared" si="14"/>
        <v>0</v>
      </c>
      <c r="BZ173" s="33">
        <f t="shared" si="15"/>
        <v>0</v>
      </c>
      <c r="CA173" s="33">
        <f t="shared" si="15"/>
        <v>0</v>
      </c>
      <c r="CB173" s="33">
        <f t="shared" si="15"/>
        <v>0</v>
      </c>
      <c r="CC173" s="33">
        <f t="shared" si="15"/>
        <v>9790</v>
      </c>
      <c r="CD173" s="33">
        <f t="shared" si="15"/>
        <v>0</v>
      </c>
      <c r="CE173" s="33">
        <f t="shared" si="15"/>
        <v>0</v>
      </c>
      <c r="CF173" s="33">
        <f t="shared" si="15"/>
        <v>0</v>
      </c>
      <c r="CG173" s="58">
        <f t="shared" si="16"/>
        <v>9790</v>
      </c>
    </row>
    <row r="174" spans="1:85">
      <c r="A174" s="198">
        <v>2108</v>
      </c>
      <c r="B174" s="2">
        <v>103217</v>
      </c>
      <c r="C174" s="2" t="s">
        <v>371</v>
      </c>
      <c r="D174" s="2" t="s">
        <v>372</v>
      </c>
      <c r="E174" s="2" t="s">
        <v>39</v>
      </c>
      <c r="F174" s="208" t="s">
        <v>890</v>
      </c>
      <c r="H174" s="880">
        <v>3017</v>
      </c>
      <c r="I174" s="880"/>
      <c r="J174" s="880"/>
      <c r="K174" s="880">
        <v>11680</v>
      </c>
      <c r="L174" s="190">
        <v>0</v>
      </c>
      <c r="M174" s="190">
        <v>0</v>
      </c>
      <c r="N174" s="190">
        <v>0</v>
      </c>
      <c r="O174" s="190">
        <v>0</v>
      </c>
      <c r="P174" s="190">
        <v>0</v>
      </c>
      <c r="Q174" s="190">
        <v>0</v>
      </c>
      <c r="R174" s="190">
        <v>0</v>
      </c>
      <c r="S174" s="190">
        <v>0</v>
      </c>
      <c r="T174" s="209">
        <v>0</v>
      </c>
      <c r="U174" s="209"/>
      <c r="V174" s="209"/>
      <c r="W174" s="209"/>
      <c r="X174" s="190"/>
      <c r="Y174" s="190"/>
      <c r="Z174" s="190"/>
      <c r="AA174" s="190"/>
      <c r="AB174" s="190"/>
      <c r="AC174" s="190"/>
      <c r="AD174" s="190"/>
      <c r="AE174" s="190"/>
      <c r="AF174" s="209"/>
      <c r="AG174" s="209"/>
      <c r="AH174" s="209"/>
      <c r="AI174" s="67"/>
      <c r="AJ174" s="209"/>
      <c r="AK174" s="209"/>
      <c r="AL174" s="190"/>
      <c r="AM174" s="190"/>
      <c r="AN174" s="189"/>
      <c r="AO174" s="189"/>
      <c r="AP174" s="189"/>
      <c r="AQ174" s="348"/>
      <c r="AR174" s="348"/>
      <c r="AS174" s="354"/>
      <c r="AT174" s="354"/>
      <c r="AU174" s="354"/>
      <c r="AV174" s="196"/>
      <c r="AW174" s="354"/>
      <c r="AX174" s="354"/>
      <c r="AY174" s="354"/>
      <c r="AZ174" s="354"/>
      <c r="BA174" s="354"/>
      <c r="BB174" s="354"/>
      <c r="BC174" s="354"/>
      <c r="BD174" s="354"/>
      <c r="BE174" s="354"/>
      <c r="BF174" s="354"/>
      <c r="BG174" s="354"/>
      <c r="BH174" s="354"/>
      <c r="BI174" s="354"/>
      <c r="BJ174" s="354"/>
      <c r="BK174" s="354"/>
      <c r="BL174" s="354"/>
      <c r="BM174" s="354"/>
      <c r="BN174" s="354"/>
      <c r="BO174" s="355">
        <v>5997.58</v>
      </c>
      <c r="BP174" s="888">
        <v>-5.09</v>
      </c>
      <c r="BQ174" s="354"/>
      <c r="BR174" s="354"/>
      <c r="BS174" s="354"/>
      <c r="BT174" s="354"/>
      <c r="BU174" s="354"/>
      <c r="BV174" s="354"/>
      <c r="BW174" s="355">
        <f t="shared" si="13"/>
        <v>20689.490000000002</v>
      </c>
      <c r="BY174" s="33">
        <f t="shared" si="14"/>
        <v>3017</v>
      </c>
      <c r="BZ174" s="33">
        <f t="shared" si="15"/>
        <v>0</v>
      </c>
      <c r="CA174" s="33">
        <f t="shared" si="15"/>
        <v>0</v>
      </c>
      <c r="CB174" s="33">
        <f t="shared" si="15"/>
        <v>0</v>
      </c>
      <c r="CC174" s="33">
        <f t="shared" si="15"/>
        <v>11680</v>
      </c>
      <c r="CD174" s="33">
        <f t="shared" si="15"/>
        <v>5997.58</v>
      </c>
      <c r="CE174" s="33">
        <f t="shared" si="15"/>
        <v>0</v>
      </c>
      <c r="CF174" s="33">
        <f t="shared" si="15"/>
        <v>-5.09</v>
      </c>
      <c r="CG174" s="58">
        <f t="shared" si="16"/>
        <v>20694.580000000002</v>
      </c>
    </row>
    <row r="175" spans="1:85">
      <c r="A175" s="198">
        <v>1019</v>
      </c>
      <c r="B175" s="2">
        <v>103132</v>
      </c>
      <c r="C175" s="2" t="s">
        <v>373</v>
      </c>
      <c r="D175" s="2" t="s">
        <v>374</v>
      </c>
      <c r="E175" s="2" t="s">
        <v>36</v>
      </c>
      <c r="F175" s="208" t="s">
        <v>890</v>
      </c>
      <c r="H175" s="880">
        <v>0</v>
      </c>
      <c r="I175" s="880"/>
      <c r="J175" s="880"/>
      <c r="K175" s="880">
        <v>0</v>
      </c>
      <c r="L175" s="190">
        <v>0</v>
      </c>
      <c r="M175" s="190">
        <v>0</v>
      </c>
      <c r="N175" s="190">
        <v>0</v>
      </c>
      <c r="O175" s="190">
        <v>0</v>
      </c>
      <c r="P175" s="190">
        <v>0</v>
      </c>
      <c r="Q175" s="190">
        <v>0</v>
      </c>
      <c r="R175" s="190">
        <v>0</v>
      </c>
      <c r="S175" s="190">
        <v>0</v>
      </c>
      <c r="T175" s="209">
        <v>0</v>
      </c>
      <c r="U175" s="209"/>
      <c r="V175" s="209"/>
      <c r="W175" s="209"/>
      <c r="X175" s="190"/>
      <c r="Y175" s="190"/>
      <c r="Z175" s="190"/>
      <c r="AA175" s="190"/>
      <c r="AB175" s="190"/>
      <c r="AC175" s="190"/>
      <c r="AD175" s="190"/>
      <c r="AE175" s="190"/>
      <c r="AF175" s="209"/>
      <c r="AG175" s="209"/>
      <c r="AH175" s="209"/>
      <c r="AI175" s="67"/>
      <c r="AJ175" s="209"/>
      <c r="AK175" s="209"/>
      <c r="AL175" s="190"/>
      <c r="AM175" s="190"/>
      <c r="AN175" s="189"/>
      <c r="AO175" s="189"/>
      <c r="AP175" s="189"/>
      <c r="AQ175" s="348"/>
      <c r="AR175" s="348"/>
      <c r="AS175" s="354"/>
      <c r="AT175" s="354"/>
      <c r="AU175" s="354"/>
      <c r="AV175" s="196"/>
      <c r="AW175" s="354"/>
      <c r="AX175" s="354"/>
      <c r="AY175" s="354"/>
      <c r="AZ175" s="354"/>
      <c r="BA175" s="354"/>
      <c r="BB175" s="354"/>
      <c r="BC175" s="354"/>
      <c r="BD175" s="354"/>
      <c r="BE175" s="354"/>
      <c r="BF175" s="354"/>
      <c r="BG175" s="354"/>
      <c r="BH175" s="354"/>
      <c r="BI175" s="354"/>
      <c r="BJ175" s="354"/>
      <c r="BK175" s="354"/>
      <c r="BL175" s="354"/>
      <c r="BM175" s="354"/>
      <c r="BN175" s="354"/>
      <c r="BO175" s="355">
        <v>0</v>
      </c>
      <c r="BP175" s="888">
        <v>-49.22</v>
      </c>
      <c r="BQ175" s="354"/>
      <c r="BR175" s="354"/>
      <c r="BS175" s="354"/>
      <c r="BT175" s="354"/>
      <c r="BU175" s="354"/>
      <c r="BV175" s="354"/>
      <c r="BW175" s="355">
        <f t="shared" si="13"/>
        <v>-49.22</v>
      </c>
      <c r="BY175" s="33">
        <f t="shared" si="14"/>
        <v>0</v>
      </c>
      <c r="BZ175" s="33">
        <f t="shared" si="15"/>
        <v>0</v>
      </c>
      <c r="CA175" s="33">
        <f t="shared" si="15"/>
        <v>0</v>
      </c>
      <c r="CB175" s="33">
        <f t="shared" si="15"/>
        <v>0</v>
      </c>
      <c r="CC175" s="33">
        <f t="shared" si="15"/>
        <v>0</v>
      </c>
      <c r="CD175" s="33">
        <f t="shared" si="15"/>
        <v>0</v>
      </c>
      <c r="CE175" s="33">
        <f t="shared" si="15"/>
        <v>0</v>
      </c>
      <c r="CF175" s="33">
        <f t="shared" si="15"/>
        <v>-49.22</v>
      </c>
      <c r="CG175" s="58">
        <f t="shared" si="16"/>
        <v>0</v>
      </c>
    </row>
    <row r="176" spans="1:85">
      <c r="A176" s="198">
        <v>2306</v>
      </c>
      <c r="B176" s="2">
        <v>103326</v>
      </c>
      <c r="C176" s="2" t="s">
        <v>375</v>
      </c>
      <c r="D176" s="2" t="s">
        <v>376</v>
      </c>
      <c r="E176" s="2" t="s">
        <v>39</v>
      </c>
      <c r="F176" s="208" t="s">
        <v>890</v>
      </c>
      <c r="H176" s="880">
        <v>0</v>
      </c>
      <c r="I176" s="880"/>
      <c r="J176" s="880"/>
      <c r="K176" s="880">
        <v>8895</v>
      </c>
      <c r="L176" s="190">
        <v>0</v>
      </c>
      <c r="M176" s="190">
        <v>0</v>
      </c>
      <c r="N176" s="190">
        <v>0</v>
      </c>
      <c r="O176" s="190">
        <v>0</v>
      </c>
      <c r="P176" s="190">
        <v>0</v>
      </c>
      <c r="Q176" s="190">
        <v>0</v>
      </c>
      <c r="R176" s="190">
        <v>0</v>
      </c>
      <c r="S176" s="190">
        <v>0</v>
      </c>
      <c r="T176" s="209">
        <v>0</v>
      </c>
      <c r="U176" s="209"/>
      <c r="V176" s="209"/>
      <c r="W176" s="209"/>
      <c r="X176" s="190"/>
      <c r="Y176" s="190"/>
      <c r="Z176" s="190"/>
      <c r="AA176" s="190"/>
      <c r="AB176" s="190"/>
      <c r="AC176" s="190"/>
      <c r="AD176" s="190"/>
      <c r="AE176" s="190"/>
      <c r="AF176" s="209"/>
      <c r="AG176" s="209"/>
      <c r="AH176" s="209"/>
      <c r="AI176" s="67"/>
      <c r="AJ176" s="209"/>
      <c r="AK176" s="209"/>
      <c r="AL176" s="190"/>
      <c r="AM176" s="190"/>
      <c r="AN176" s="189"/>
      <c r="AO176" s="189"/>
      <c r="AP176" s="189"/>
      <c r="AQ176" s="348"/>
      <c r="AR176" s="348"/>
      <c r="AS176" s="354"/>
      <c r="AT176" s="354"/>
      <c r="AU176" s="354"/>
      <c r="AV176" s="196"/>
      <c r="AW176" s="354"/>
      <c r="AX176" s="354"/>
      <c r="AY176" s="354"/>
      <c r="AZ176" s="354"/>
      <c r="BA176" s="354"/>
      <c r="BB176" s="354"/>
      <c r="BC176" s="354"/>
      <c r="BD176" s="354"/>
      <c r="BE176" s="354"/>
      <c r="BF176" s="354"/>
      <c r="BG176" s="354"/>
      <c r="BH176" s="354"/>
      <c r="BI176" s="354"/>
      <c r="BJ176" s="354"/>
      <c r="BK176" s="354"/>
      <c r="BL176" s="354"/>
      <c r="BM176" s="354"/>
      <c r="BN176" s="354"/>
      <c r="BO176" s="355">
        <v>1580.62</v>
      </c>
      <c r="BP176" s="888">
        <v>-15.19</v>
      </c>
      <c r="BQ176" s="354"/>
      <c r="BR176" s="354"/>
      <c r="BS176" s="354"/>
      <c r="BT176" s="354"/>
      <c r="BU176" s="354"/>
      <c r="BV176" s="354"/>
      <c r="BW176" s="355">
        <f t="shared" si="13"/>
        <v>10460.429999999998</v>
      </c>
      <c r="BY176" s="33">
        <f t="shared" si="14"/>
        <v>0</v>
      </c>
      <c r="BZ176" s="33">
        <f t="shared" si="15"/>
        <v>0</v>
      </c>
      <c r="CA176" s="33">
        <f t="shared" si="15"/>
        <v>0</v>
      </c>
      <c r="CB176" s="33">
        <f t="shared" si="15"/>
        <v>0</v>
      </c>
      <c r="CC176" s="33">
        <f t="shared" si="15"/>
        <v>8895</v>
      </c>
      <c r="CD176" s="33">
        <f t="shared" si="15"/>
        <v>1580.62</v>
      </c>
      <c r="CE176" s="33">
        <f t="shared" si="15"/>
        <v>0</v>
      </c>
      <c r="CF176" s="33">
        <f t="shared" si="15"/>
        <v>-15.19</v>
      </c>
      <c r="CG176" s="58">
        <f t="shared" si="16"/>
        <v>10475.619999999999</v>
      </c>
    </row>
    <row r="177" spans="1:85">
      <c r="A177" s="198">
        <v>2308</v>
      </c>
      <c r="B177" s="2">
        <v>103328</v>
      </c>
      <c r="C177" s="2" t="s">
        <v>377</v>
      </c>
      <c r="D177" s="2" t="s">
        <v>378</v>
      </c>
      <c r="E177" s="2" t="s">
        <v>39</v>
      </c>
      <c r="F177" s="208" t="s">
        <v>890</v>
      </c>
      <c r="H177" s="880">
        <v>0</v>
      </c>
      <c r="I177" s="880"/>
      <c r="J177" s="880"/>
      <c r="K177" s="880">
        <v>9665</v>
      </c>
      <c r="L177" s="190">
        <v>0</v>
      </c>
      <c r="M177" s="190">
        <v>0</v>
      </c>
      <c r="N177" s="190">
        <v>0</v>
      </c>
      <c r="O177" s="190">
        <v>0</v>
      </c>
      <c r="P177" s="190">
        <v>0</v>
      </c>
      <c r="Q177" s="190">
        <v>0</v>
      </c>
      <c r="R177" s="190">
        <v>0</v>
      </c>
      <c r="S177" s="190">
        <v>0</v>
      </c>
      <c r="T177" s="209">
        <v>0</v>
      </c>
      <c r="U177" s="209"/>
      <c r="V177" s="209"/>
      <c r="W177" s="209"/>
      <c r="X177" s="190"/>
      <c r="Y177" s="190"/>
      <c r="Z177" s="190"/>
      <c r="AA177" s="190"/>
      <c r="AB177" s="190"/>
      <c r="AC177" s="190"/>
      <c r="AD177" s="190"/>
      <c r="AE177" s="190"/>
      <c r="AF177" s="209"/>
      <c r="AG177" s="209"/>
      <c r="AH177" s="209"/>
      <c r="AI177" s="67"/>
      <c r="AJ177" s="209"/>
      <c r="AK177" s="209"/>
      <c r="AL177" s="190"/>
      <c r="AM177" s="190"/>
      <c r="AN177" s="189"/>
      <c r="AO177" s="189"/>
      <c r="AP177" s="189"/>
      <c r="AQ177" s="348"/>
      <c r="AR177" s="348"/>
      <c r="AS177" s="354"/>
      <c r="AT177" s="354"/>
      <c r="AU177" s="354"/>
      <c r="AV177" s="196"/>
      <c r="AW177" s="354"/>
      <c r="AX177" s="354"/>
      <c r="AY177" s="354"/>
      <c r="AZ177" s="354"/>
      <c r="BA177" s="354"/>
      <c r="BB177" s="354"/>
      <c r="BC177" s="354"/>
      <c r="BD177" s="354"/>
      <c r="BE177" s="354"/>
      <c r="BF177" s="354"/>
      <c r="BG177" s="354"/>
      <c r="BH177" s="354"/>
      <c r="BI177" s="354"/>
      <c r="BJ177" s="354"/>
      <c r="BK177" s="354"/>
      <c r="BL177" s="354"/>
      <c r="BM177" s="354"/>
      <c r="BN177" s="354"/>
      <c r="BO177" s="355">
        <v>0</v>
      </c>
      <c r="BP177" s="888">
        <v>0</v>
      </c>
      <c r="BQ177" s="354"/>
      <c r="BR177" s="354"/>
      <c r="BS177" s="354"/>
      <c r="BT177" s="354"/>
      <c r="BU177" s="354"/>
      <c r="BV177" s="354"/>
      <c r="BW177" s="355">
        <f t="shared" si="13"/>
        <v>9665</v>
      </c>
      <c r="BY177" s="33">
        <f t="shared" si="14"/>
        <v>0</v>
      </c>
      <c r="BZ177" s="33">
        <f t="shared" si="15"/>
        <v>0</v>
      </c>
      <c r="CA177" s="33">
        <f t="shared" si="15"/>
        <v>0</v>
      </c>
      <c r="CB177" s="33">
        <f t="shared" si="15"/>
        <v>0</v>
      </c>
      <c r="CC177" s="33">
        <f t="shared" si="15"/>
        <v>9665</v>
      </c>
      <c r="CD177" s="33">
        <f t="shared" si="15"/>
        <v>0</v>
      </c>
      <c r="CE177" s="33">
        <f t="shared" si="15"/>
        <v>0</v>
      </c>
      <c r="CF177" s="33">
        <f t="shared" si="15"/>
        <v>0</v>
      </c>
      <c r="CG177" s="58">
        <f t="shared" si="16"/>
        <v>9665</v>
      </c>
    </row>
    <row r="178" spans="1:85">
      <c r="A178" s="198">
        <v>2245</v>
      </c>
      <c r="B178" s="2">
        <v>103295</v>
      </c>
      <c r="C178" s="2" t="s">
        <v>379</v>
      </c>
      <c r="D178" s="2" t="s">
        <v>380</v>
      </c>
      <c r="E178" s="2" t="s">
        <v>39</v>
      </c>
      <c r="F178" s="208" t="s">
        <v>890</v>
      </c>
      <c r="H178" s="880">
        <v>2011</v>
      </c>
      <c r="I178" s="880"/>
      <c r="J178" s="880"/>
      <c r="K178" s="880">
        <v>8930</v>
      </c>
      <c r="L178" s="190">
        <v>0</v>
      </c>
      <c r="M178" s="190">
        <v>0</v>
      </c>
      <c r="N178" s="190">
        <v>0</v>
      </c>
      <c r="O178" s="190">
        <v>0</v>
      </c>
      <c r="P178" s="190">
        <v>0</v>
      </c>
      <c r="Q178" s="190">
        <v>0</v>
      </c>
      <c r="R178" s="190">
        <v>0</v>
      </c>
      <c r="S178" s="190">
        <v>0</v>
      </c>
      <c r="T178" s="209">
        <v>0</v>
      </c>
      <c r="U178" s="209"/>
      <c r="V178" s="209"/>
      <c r="W178" s="209"/>
      <c r="X178" s="190"/>
      <c r="Y178" s="190"/>
      <c r="Z178" s="190"/>
      <c r="AA178" s="190"/>
      <c r="AB178" s="190"/>
      <c r="AC178" s="190"/>
      <c r="AD178" s="190"/>
      <c r="AE178" s="190"/>
      <c r="AF178" s="209"/>
      <c r="AG178" s="209"/>
      <c r="AH178" s="209"/>
      <c r="AI178" s="67"/>
      <c r="AJ178" s="209"/>
      <c r="AK178" s="209"/>
      <c r="AL178" s="190"/>
      <c r="AM178" s="190"/>
      <c r="AN178" s="189"/>
      <c r="AO178" s="189"/>
      <c r="AP178" s="189"/>
      <c r="AQ178" s="348"/>
      <c r="AR178" s="348"/>
      <c r="AS178" s="354"/>
      <c r="AT178" s="354"/>
      <c r="AU178" s="354"/>
      <c r="AV178" s="196"/>
      <c r="AW178" s="354"/>
      <c r="AX178" s="354"/>
      <c r="AY178" s="354"/>
      <c r="AZ178" s="354"/>
      <c r="BA178" s="354"/>
      <c r="BB178" s="354"/>
      <c r="BC178" s="354"/>
      <c r="BD178" s="354"/>
      <c r="BE178" s="354"/>
      <c r="BF178" s="354"/>
      <c r="BG178" s="354"/>
      <c r="BH178" s="354"/>
      <c r="BI178" s="354"/>
      <c r="BJ178" s="354"/>
      <c r="BK178" s="354"/>
      <c r="BL178" s="354"/>
      <c r="BM178" s="354"/>
      <c r="BN178" s="354"/>
      <c r="BO178" s="355">
        <v>958.33</v>
      </c>
      <c r="BP178" s="888">
        <v>-26.93</v>
      </c>
      <c r="BQ178" s="354"/>
      <c r="BR178" s="354"/>
      <c r="BS178" s="354"/>
      <c r="BT178" s="354"/>
      <c r="BU178" s="354"/>
      <c r="BV178" s="354"/>
      <c r="BW178" s="355">
        <f t="shared" si="13"/>
        <v>11872.4</v>
      </c>
      <c r="BY178" s="33">
        <f t="shared" si="14"/>
        <v>2011</v>
      </c>
      <c r="BZ178" s="33">
        <f t="shared" si="15"/>
        <v>0</v>
      </c>
      <c r="CA178" s="33">
        <f t="shared" si="15"/>
        <v>0</v>
      </c>
      <c r="CB178" s="33">
        <f t="shared" si="15"/>
        <v>0</v>
      </c>
      <c r="CC178" s="33">
        <f t="shared" si="15"/>
        <v>8930</v>
      </c>
      <c r="CD178" s="33">
        <f t="shared" si="15"/>
        <v>958.33</v>
      </c>
      <c r="CE178" s="33">
        <f t="shared" si="15"/>
        <v>0</v>
      </c>
      <c r="CF178" s="33">
        <f t="shared" si="15"/>
        <v>-26.93</v>
      </c>
      <c r="CG178" s="58">
        <f t="shared" si="16"/>
        <v>11899.33</v>
      </c>
    </row>
    <row r="179" spans="1:85">
      <c r="A179" s="198">
        <v>1020</v>
      </c>
      <c r="B179" s="2">
        <v>103133</v>
      </c>
      <c r="C179" s="2" t="s">
        <v>381</v>
      </c>
      <c r="D179" s="2" t="s">
        <v>382</v>
      </c>
      <c r="E179" s="2" t="s">
        <v>36</v>
      </c>
      <c r="F179" s="208" t="s">
        <v>890</v>
      </c>
      <c r="H179" s="880">
        <v>0</v>
      </c>
      <c r="I179" s="880"/>
      <c r="J179" s="880"/>
      <c r="K179" s="880">
        <v>0</v>
      </c>
      <c r="L179" s="190">
        <v>0</v>
      </c>
      <c r="M179" s="190">
        <v>0</v>
      </c>
      <c r="N179" s="190">
        <v>0</v>
      </c>
      <c r="O179" s="190">
        <v>0</v>
      </c>
      <c r="P179" s="190">
        <v>0</v>
      </c>
      <c r="Q179" s="190">
        <v>0</v>
      </c>
      <c r="R179" s="190">
        <v>0</v>
      </c>
      <c r="S179" s="190">
        <v>0</v>
      </c>
      <c r="T179" s="209">
        <v>0</v>
      </c>
      <c r="U179" s="209"/>
      <c r="V179" s="209"/>
      <c r="W179" s="209"/>
      <c r="X179" s="190"/>
      <c r="Y179" s="190"/>
      <c r="Z179" s="190"/>
      <c r="AA179" s="190"/>
      <c r="AB179" s="190"/>
      <c r="AC179" s="190"/>
      <c r="AD179" s="190"/>
      <c r="AE179" s="190"/>
      <c r="AF179" s="209"/>
      <c r="AG179" s="209"/>
      <c r="AH179" s="209"/>
      <c r="AI179" s="67"/>
      <c r="AJ179" s="209"/>
      <c r="AK179" s="209"/>
      <c r="AL179" s="190"/>
      <c r="AM179" s="190"/>
      <c r="AN179" s="189"/>
      <c r="AO179" s="189"/>
      <c r="AP179" s="189"/>
      <c r="AQ179" s="348"/>
      <c r="AR179" s="348"/>
      <c r="AS179" s="354"/>
      <c r="AT179" s="354"/>
      <c r="AU179" s="354"/>
      <c r="AV179" s="196"/>
      <c r="AW179" s="354"/>
      <c r="AX179" s="354"/>
      <c r="AY179" s="354"/>
      <c r="AZ179" s="354"/>
      <c r="BA179" s="354"/>
      <c r="BB179" s="354"/>
      <c r="BC179" s="354"/>
      <c r="BD179" s="354"/>
      <c r="BE179" s="354"/>
      <c r="BF179" s="354"/>
      <c r="BG179" s="354"/>
      <c r="BH179" s="354"/>
      <c r="BI179" s="354"/>
      <c r="BJ179" s="354"/>
      <c r="BK179" s="354"/>
      <c r="BL179" s="354"/>
      <c r="BM179" s="354"/>
      <c r="BN179" s="354"/>
      <c r="BO179" s="355">
        <v>124.5</v>
      </c>
      <c r="BP179" s="888">
        <v>-27.39</v>
      </c>
      <c r="BQ179" s="354"/>
      <c r="BR179" s="354"/>
      <c r="BS179" s="354"/>
      <c r="BT179" s="354"/>
      <c r="BU179" s="354"/>
      <c r="BV179" s="354"/>
      <c r="BW179" s="355">
        <f t="shared" si="13"/>
        <v>97.11</v>
      </c>
      <c r="BY179" s="33">
        <f t="shared" si="14"/>
        <v>0</v>
      </c>
      <c r="BZ179" s="33">
        <f t="shared" si="15"/>
        <v>0</v>
      </c>
      <c r="CA179" s="33">
        <f t="shared" si="15"/>
        <v>0</v>
      </c>
      <c r="CB179" s="33">
        <f t="shared" si="15"/>
        <v>0</v>
      </c>
      <c r="CC179" s="33">
        <f t="shared" si="15"/>
        <v>0</v>
      </c>
      <c r="CD179" s="33">
        <f t="shared" si="15"/>
        <v>124.5</v>
      </c>
      <c r="CE179" s="33">
        <f t="shared" si="15"/>
        <v>0</v>
      </c>
      <c r="CF179" s="33">
        <f t="shared" si="15"/>
        <v>-27.39</v>
      </c>
      <c r="CG179" s="58">
        <f t="shared" si="16"/>
        <v>124.5</v>
      </c>
    </row>
    <row r="180" spans="1:85">
      <c r="A180" s="198">
        <v>1014</v>
      </c>
      <c r="B180" s="2">
        <v>103127</v>
      </c>
      <c r="C180" s="2" t="s">
        <v>383</v>
      </c>
      <c r="D180" s="2" t="s">
        <v>384</v>
      </c>
      <c r="E180" s="2" t="s">
        <v>36</v>
      </c>
      <c r="F180" s="208" t="s">
        <v>890</v>
      </c>
      <c r="H180" s="880">
        <v>0</v>
      </c>
      <c r="I180" s="880"/>
      <c r="J180" s="880"/>
      <c r="K180" s="880">
        <v>0</v>
      </c>
      <c r="L180" s="190">
        <v>0</v>
      </c>
      <c r="M180" s="190">
        <v>0</v>
      </c>
      <c r="N180" s="190">
        <v>0</v>
      </c>
      <c r="O180" s="190">
        <v>0</v>
      </c>
      <c r="P180" s="190">
        <v>0</v>
      </c>
      <c r="Q180" s="190">
        <v>0</v>
      </c>
      <c r="R180" s="190">
        <v>0</v>
      </c>
      <c r="S180" s="190">
        <v>0</v>
      </c>
      <c r="T180" s="209">
        <v>0</v>
      </c>
      <c r="U180" s="209"/>
      <c r="V180" s="209"/>
      <c r="W180" s="209"/>
      <c r="X180" s="190"/>
      <c r="Y180" s="190"/>
      <c r="Z180" s="190"/>
      <c r="AA180" s="190"/>
      <c r="AB180" s="190"/>
      <c r="AC180" s="190"/>
      <c r="AD180" s="190"/>
      <c r="AE180" s="190"/>
      <c r="AF180" s="209"/>
      <c r="AG180" s="209"/>
      <c r="AH180" s="209"/>
      <c r="AI180" s="67"/>
      <c r="AJ180" s="209"/>
      <c r="AK180" s="209"/>
      <c r="AL180" s="190"/>
      <c r="AM180" s="190"/>
      <c r="AN180" s="189"/>
      <c r="AO180" s="189"/>
      <c r="AP180" s="189"/>
      <c r="AQ180" s="348"/>
      <c r="AR180" s="348"/>
      <c r="AS180" s="354"/>
      <c r="AT180" s="354"/>
      <c r="AU180" s="354"/>
      <c r="AV180" s="196"/>
      <c r="AW180" s="354"/>
      <c r="AX180" s="354"/>
      <c r="AY180" s="354"/>
      <c r="AZ180" s="354"/>
      <c r="BA180" s="354"/>
      <c r="BB180" s="354"/>
      <c r="BC180" s="354"/>
      <c r="BD180" s="354"/>
      <c r="BE180" s="354"/>
      <c r="BF180" s="354"/>
      <c r="BG180" s="354"/>
      <c r="BH180" s="354"/>
      <c r="BI180" s="354"/>
      <c r="BJ180" s="354"/>
      <c r="BK180" s="354"/>
      <c r="BL180" s="354"/>
      <c r="BM180" s="354"/>
      <c r="BN180" s="354"/>
      <c r="BO180" s="355">
        <v>0</v>
      </c>
      <c r="BP180" s="888">
        <v>0</v>
      </c>
      <c r="BQ180" s="354"/>
      <c r="BR180" s="354"/>
      <c r="BS180" s="354"/>
      <c r="BT180" s="354"/>
      <c r="BU180" s="354"/>
      <c r="BV180" s="354"/>
      <c r="BW180" s="355">
        <f t="shared" si="13"/>
        <v>0</v>
      </c>
      <c r="BY180" s="33">
        <f t="shared" si="14"/>
        <v>0</v>
      </c>
      <c r="BZ180" s="33">
        <f t="shared" si="15"/>
        <v>0</v>
      </c>
      <c r="CA180" s="33">
        <f t="shared" si="15"/>
        <v>0</v>
      </c>
      <c r="CB180" s="33">
        <f t="shared" si="15"/>
        <v>0</v>
      </c>
      <c r="CC180" s="33">
        <f t="shared" si="15"/>
        <v>0</v>
      </c>
      <c r="CD180" s="33">
        <f t="shared" si="15"/>
        <v>0</v>
      </c>
      <c r="CE180" s="33">
        <f t="shared" si="15"/>
        <v>0</v>
      </c>
      <c r="CF180" s="33">
        <f t="shared" si="15"/>
        <v>0</v>
      </c>
      <c r="CG180" s="58">
        <f t="shared" si="16"/>
        <v>0</v>
      </c>
    </row>
    <row r="181" spans="1:85">
      <c r="A181" s="198">
        <v>2019</v>
      </c>
      <c r="B181" s="2">
        <v>134279</v>
      </c>
      <c r="C181" s="2" t="s">
        <v>385</v>
      </c>
      <c r="D181" s="2" t="s">
        <v>386</v>
      </c>
      <c r="E181" s="2" t="s">
        <v>39</v>
      </c>
      <c r="F181" s="208" t="s">
        <v>890</v>
      </c>
      <c r="H181" s="880">
        <v>0</v>
      </c>
      <c r="I181" s="880"/>
      <c r="J181" s="880"/>
      <c r="K181" s="880">
        <v>9745</v>
      </c>
      <c r="L181" s="190">
        <v>0</v>
      </c>
      <c r="M181" s="190">
        <v>0</v>
      </c>
      <c r="N181" s="190">
        <v>0</v>
      </c>
      <c r="O181" s="190">
        <v>0</v>
      </c>
      <c r="P181" s="190">
        <v>0</v>
      </c>
      <c r="Q181" s="190">
        <v>0</v>
      </c>
      <c r="R181" s="190">
        <v>0</v>
      </c>
      <c r="S181" s="190">
        <v>0</v>
      </c>
      <c r="T181" s="209">
        <v>0</v>
      </c>
      <c r="U181" s="209"/>
      <c r="V181" s="209"/>
      <c r="W181" s="209"/>
      <c r="X181" s="190"/>
      <c r="Y181" s="190"/>
      <c r="Z181" s="190"/>
      <c r="AA181" s="190"/>
      <c r="AB181" s="190"/>
      <c r="AC181" s="190"/>
      <c r="AD181" s="190"/>
      <c r="AE181" s="190"/>
      <c r="AF181" s="209"/>
      <c r="AG181" s="209"/>
      <c r="AH181" s="209"/>
      <c r="AI181" s="67"/>
      <c r="AJ181" s="209"/>
      <c r="AK181" s="209"/>
      <c r="AL181" s="190"/>
      <c r="AM181" s="190"/>
      <c r="AN181" s="189"/>
      <c r="AO181" s="189"/>
      <c r="AP181" s="189"/>
      <c r="AQ181" s="348"/>
      <c r="AR181" s="348"/>
      <c r="AS181" s="354"/>
      <c r="AT181" s="354"/>
      <c r="AU181" s="354"/>
      <c r="AV181" s="196"/>
      <c r="AW181" s="354"/>
      <c r="AX181" s="354"/>
      <c r="AY181" s="354"/>
      <c r="AZ181" s="354"/>
      <c r="BA181" s="354"/>
      <c r="BB181" s="354"/>
      <c r="BC181" s="354"/>
      <c r="BD181" s="354"/>
      <c r="BE181" s="354"/>
      <c r="BF181" s="354"/>
      <c r="BG181" s="354"/>
      <c r="BH181" s="354"/>
      <c r="BI181" s="354"/>
      <c r="BJ181" s="354"/>
      <c r="BK181" s="354"/>
      <c r="BL181" s="354"/>
      <c r="BM181" s="354"/>
      <c r="BN181" s="354"/>
      <c r="BO181" s="355">
        <v>1000.1</v>
      </c>
      <c r="BP181" s="888">
        <v>-3.79</v>
      </c>
      <c r="BQ181" s="354"/>
      <c r="BR181" s="354"/>
      <c r="BS181" s="354"/>
      <c r="BT181" s="354"/>
      <c r="BU181" s="354"/>
      <c r="BV181" s="354"/>
      <c r="BW181" s="355">
        <f t="shared" si="13"/>
        <v>10741.31</v>
      </c>
      <c r="BY181" s="33">
        <f t="shared" si="14"/>
        <v>0</v>
      </c>
      <c r="BZ181" s="33">
        <f t="shared" si="15"/>
        <v>0</v>
      </c>
      <c r="CA181" s="33">
        <f t="shared" si="15"/>
        <v>0</v>
      </c>
      <c r="CB181" s="33">
        <f t="shared" si="15"/>
        <v>0</v>
      </c>
      <c r="CC181" s="33">
        <f t="shared" si="15"/>
        <v>9745</v>
      </c>
      <c r="CD181" s="33">
        <f t="shared" si="15"/>
        <v>1000.1</v>
      </c>
      <c r="CE181" s="33">
        <f t="shared" si="15"/>
        <v>0</v>
      </c>
      <c r="CF181" s="33">
        <f t="shared" si="15"/>
        <v>-3.79</v>
      </c>
      <c r="CG181" s="58">
        <f t="shared" si="16"/>
        <v>10745.1</v>
      </c>
    </row>
    <row r="182" spans="1:85">
      <c r="A182" s="198">
        <v>2011</v>
      </c>
      <c r="B182" s="2">
        <v>134099</v>
      </c>
      <c r="C182" s="2" t="s">
        <v>387</v>
      </c>
      <c r="D182" s="2" t="s">
        <v>388</v>
      </c>
      <c r="E182" s="2" t="s">
        <v>39</v>
      </c>
      <c r="F182" s="208" t="s">
        <v>890</v>
      </c>
      <c r="H182" s="880">
        <v>0</v>
      </c>
      <c r="I182" s="880"/>
      <c r="J182" s="880"/>
      <c r="K182" s="880">
        <v>10660</v>
      </c>
      <c r="L182" s="190">
        <v>0</v>
      </c>
      <c r="M182" s="190">
        <v>0</v>
      </c>
      <c r="N182" s="190">
        <v>0</v>
      </c>
      <c r="O182" s="190">
        <v>0</v>
      </c>
      <c r="P182" s="190">
        <v>0</v>
      </c>
      <c r="Q182" s="190">
        <v>0</v>
      </c>
      <c r="R182" s="190">
        <v>0</v>
      </c>
      <c r="S182" s="190">
        <v>0</v>
      </c>
      <c r="T182" s="209">
        <v>0</v>
      </c>
      <c r="U182" s="209"/>
      <c r="V182" s="209"/>
      <c r="W182" s="209"/>
      <c r="X182" s="190"/>
      <c r="Y182" s="190"/>
      <c r="Z182" s="190"/>
      <c r="AA182" s="190"/>
      <c r="AB182" s="190"/>
      <c r="AC182" s="190"/>
      <c r="AD182" s="190"/>
      <c r="AE182" s="190"/>
      <c r="AF182" s="209"/>
      <c r="AG182" s="209"/>
      <c r="AH182" s="209"/>
      <c r="AI182" s="67"/>
      <c r="AJ182" s="209"/>
      <c r="AK182" s="209"/>
      <c r="AL182" s="190"/>
      <c r="AM182" s="190"/>
      <c r="AN182" s="189"/>
      <c r="AO182" s="189"/>
      <c r="AP182" s="189"/>
      <c r="AQ182" s="348"/>
      <c r="AR182" s="348"/>
      <c r="AS182" s="354"/>
      <c r="AT182" s="354"/>
      <c r="AU182" s="354"/>
      <c r="AV182" s="196"/>
      <c r="AW182" s="354"/>
      <c r="AX182" s="354"/>
      <c r="AY182" s="354"/>
      <c r="AZ182" s="354"/>
      <c r="BA182" s="354"/>
      <c r="BB182" s="354"/>
      <c r="BC182" s="354"/>
      <c r="BD182" s="354"/>
      <c r="BE182" s="354"/>
      <c r="BF182" s="354"/>
      <c r="BG182" s="354"/>
      <c r="BH182" s="354"/>
      <c r="BI182" s="354"/>
      <c r="BJ182" s="354"/>
      <c r="BK182" s="354"/>
      <c r="BL182" s="354"/>
      <c r="BM182" s="354"/>
      <c r="BN182" s="354"/>
      <c r="BO182" s="355">
        <v>0</v>
      </c>
      <c r="BP182" s="888">
        <v>0</v>
      </c>
      <c r="BQ182" s="354"/>
      <c r="BR182" s="354"/>
      <c r="BS182" s="354"/>
      <c r="BT182" s="354"/>
      <c r="BU182" s="354"/>
      <c r="BV182" s="354"/>
      <c r="BW182" s="355">
        <f t="shared" si="13"/>
        <v>10660</v>
      </c>
      <c r="BY182" s="33">
        <f t="shared" si="14"/>
        <v>0</v>
      </c>
      <c r="BZ182" s="33">
        <f t="shared" si="15"/>
        <v>0</v>
      </c>
      <c r="CA182" s="33">
        <f t="shared" ref="BZ182:CF193" si="17">SUMIFS($H182:$BV182,$H$3:$BV$3,CA$7,$H$6:$BV$6,CA$6)</f>
        <v>0</v>
      </c>
      <c r="CB182" s="33">
        <f t="shared" si="17"/>
        <v>0</v>
      </c>
      <c r="CC182" s="33">
        <f t="shared" si="17"/>
        <v>10660</v>
      </c>
      <c r="CD182" s="33">
        <f t="shared" si="17"/>
        <v>0</v>
      </c>
      <c r="CE182" s="33">
        <f t="shared" si="17"/>
        <v>0</v>
      </c>
      <c r="CF182" s="33">
        <f t="shared" si="17"/>
        <v>0</v>
      </c>
      <c r="CG182" s="58">
        <f t="shared" si="16"/>
        <v>10660</v>
      </c>
    </row>
    <row r="183" spans="1:85">
      <c r="A183" s="198">
        <v>4193</v>
      </c>
      <c r="B183" s="2">
        <v>103501</v>
      </c>
      <c r="C183" s="2" t="s">
        <v>389</v>
      </c>
      <c r="D183" s="2" t="s">
        <v>390</v>
      </c>
      <c r="E183" s="2" t="s">
        <v>71</v>
      </c>
      <c r="F183" s="208" t="s">
        <v>890</v>
      </c>
      <c r="H183" s="880">
        <v>0</v>
      </c>
      <c r="I183" s="880"/>
      <c r="J183" s="880"/>
      <c r="K183" s="880">
        <v>0</v>
      </c>
      <c r="L183" s="190">
        <v>0</v>
      </c>
      <c r="M183" s="190">
        <v>0</v>
      </c>
      <c r="N183" s="190">
        <v>0</v>
      </c>
      <c r="O183" s="190">
        <v>0</v>
      </c>
      <c r="P183" s="190">
        <v>0</v>
      </c>
      <c r="Q183" s="190">
        <v>0</v>
      </c>
      <c r="R183" s="190">
        <v>0</v>
      </c>
      <c r="S183" s="190">
        <v>0</v>
      </c>
      <c r="T183" s="209">
        <v>0</v>
      </c>
      <c r="U183" s="209"/>
      <c r="V183" s="209"/>
      <c r="W183" s="209"/>
      <c r="X183" s="190"/>
      <c r="Y183" s="190"/>
      <c r="Z183" s="190"/>
      <c r="AA183" s="190"/>
      <c r="AB183" s="190"/>
      <c r="AC183" s="190"/>
      <c r="AD183" s="190"/>
      <c r="AE183" s="190"/>
      <c r="AF183" s="209"/>
      <c r="AG183" s="209"/>
      <c r="AH183" s="209"/>
      <c r="AI183" s="67"/>
      <c r="AJ183" s="209"/>
      <c r="AK183" s="209"/>
      <c r="AL183" s="190"/>
      <c r="AM183" s="190"/>
      <c r="AN183" s="189"/>
      <c r="AO183" s="189"/>
      <c r="AP183" s="189"/>
      <c r="AQ183" s="348"/>
      <c r="AR183" s="348"/>
      <c r="AS183" s="354"/>
      <c r="AT183" s="354"/>
      <c r="AU183" s="354"/>
      <c r="AV183" s="196"/>
      <c r="AW183" s="354"/>
      <c r="AX183" s="354"/>
      <c r="AY183" s="354"/>
      <c r="AZ183" s="354"/>
      <c r="BA183" s="354"/>
      <c r="BB183" s="354"/>
      <c r="BC183" s="354"/>
      <c r="BD183" s="354"/>
      <c r="BE183" s="354"/>
      <c r="BF183" s="354"/>
      <c r="BG183" s="354"/>
      <c r="BH183" s="354"/>
      <c r="BI183" s="354"/>
      <c r="BJ183" s="354"/>
      <c r="BK183" s="354"/>
      <c r="BL183" s="354"/>
      <c r="BM183" s="354"/>
      <c r="BN183" s="354"/>
      <c r="BO183" s="355">
        <v>0</v>
      </c>
      <c r="BP183" s="888">
        <v>0</v>
      </c>
      <c r="BQ183" s="354"/>
      <c r="BR183" s="354"/>
      <c r="BS183" s="354"/>
      <c r="BT183" s="354"/>
      <c r="BU183" s="354"/>
      <c r="BV183" s="354"/>
      <c r="BW183" s="355">
        <f t="shared" si="13"/>
        <v>0</v>
      </c>
      <c r="BY183" s="33">
        <f t="shared" si="14"/>
        <v>0</v>
      </c>
      <c r="BZ183" s="33">
        <f t="shared" si="17"/>
        <v>0</v>
      </c>
      <c r="CA183" s="33">
        <f t="shared" si="17"/>
        <v>0</v>
      </c>
      <c r="CB183" s="33">
        <f t="shared" si="17"/>
        <v>0</v>
      </c>
      <c r="CC183" s="33">
        <f t="shared" si="17"/>
        <v>0</v>
      </c>
      <c r="CD183" s="33">
        <f t="shared" si="17"/>
        <v>0</v>
      </c>
      <c r="CE183" s="33">
        <f t="shared" si="17"/>
        <v>0</v>
      </c>
      <c r="CF183" s="33">
        <f t="shared" si="17"/>
        <v>0</v>
      </c>
      <c r="CG183" s="58">
        <f t="shared" si="16"/>
        <v>0</v>
      </c>
    </row>
    <row r="184" spans="1:85">
      <c r="A184" s="198">
        <v>2478</v>
      </c>
      <c r="B184" s="2">
        <v>132007</v>
      </c>
      <c r="C184" s="2" t="s">
        <v>391</v>
      </c>
      <c r="D184" s="2" t="s">
        <v>392</v>
      </c>
      <c r="E184" s="2" t="s">
        <v>39</v>
      </c>
      <c r="F184" s="208" t="s">
        <v>890</v>
      </c>
      <c r="H184" s="880">
        <v>0</v>
      </c>
      <c r="I184" s="880"/>
      <c r="J184" s="880"/>
      <c r="K184" s="880">
        <v>9815</v>
      </c>
      <c r="L184" s="190">
        <v>0</v>
      </c>
      <c r="M184" s="190">
        <v>0</v>
      </c>
      <c r="N184" s="190">
        <v>0</v>
      </c>
      <c r="O184" s="190">
        <v>0</v>
      </c>
      <c r="P184" s="190">
        <v>0</v>
      </c>
      <c r="Q184" s="190">
        <v>0</v>
      </c>
      <c r="R184" s="190">
        <v>0</v>
      </c>
      <c r="S184" s="190">
        <v>0</v>
      </c>
      <c r="T184" s="209">
        <v>0</v>
      </c>
      <c r="U184" s="209"/>
      <c r="V184" s="209"/>
      <c r="W184" s="209"/>
      <c r="X184" s="190"/>
      <c r="Y184" s="190"/>
      <c r="Z184" s="190"/>
      <c r="AA184" s="190"/>
      <c r="AB184" s="190"/>
      <c r="AC184" s="190"/>
      <c r="AD184" s="190"/>
      <c r="AE184" s="190"/>
      <c r="AF184" s="209"/>
      <c r="AG184" s="209"/>
      <c r="AH184" s="209"/>
      <c r="AI184" s="67"/>
      <c r="AJ184" s="209"/>
      <c r="AK184" s="209"/>
      <c r="AL184" s="190"/>
      <c r="AM184" s="190"/>
      <c r="AN184" s="189"/>
      <c r="AO184" s="189"/>
      <c r="AP184" s="189"/>
      <c r="AQ184" s="348"/>
      <c r="AR184" s="348"/>
      <c r="AS184" s="354"/>
      <c r="AT184" s="354"/>
      <c r="AU184" s="354"/>
      <c r="AV184" s="196"/>
      <c r="AW184" s="354"/>
      <c r="AX184" s="354"/>
      <c r="AY184" s="354"/>
      <c r="AZ184" s="354"/>
      <c r="BA184" s="354"/>
      <c r="BB184" s="354"/>
      <c r="BC184" s="354"/>
      <c r="BD184" s="354"/>
      <c r="BE184" s="354"/>
      <c r="BF184" s="354"/>
      <c r="BG184" s="354"/>
      <c r="BH184" s="354"/>
      <c r="BI184" s="354"/>
      <c r="BJ184" s="354"/>
      <c r="BK184" s="354"/>
      <c r="BL184" s="354"/>
      <c r="BM184" s="354"/>
      <c r="BN184" s="354"/>
      <c r="BO184" s="355">
        <v>0</v>
      </c>
      <c r="BP184" s="888">
        <v>0</v>
      </c>
      <c r="BQ184" s="354"/>
      <c r="BR184" s="354"/>
      <c r="BS184" s="354"/>
      <c r="BT184" s="354"/>
      <c r="BU184" s="354"/>
      <c r="BV184" s="354"/>
      <c r="BW184" s="355">
        <f t="shared" si="13"/>
        <v>9815</v>
      </c>
      <c r="BY184" s="33">
        <f t="shared" si="14"/>
        <v>0</v>
      </c>
      <c r="BZ184" s="33">
        <f t="shared" si="17"/>
        <v>0</v>
      </c>
      <c r="CA184" s="33">
        <f t="shared" si="17"/>
        <v>0</v>
      </c>
      <c r="CB184" s="33">
        <f t="shared" si="17"/>
        <v>0</v>
      </c>
      <c r="CC184" s="33">
        <f t="shared" si="17"/>
        <v>9815</v>
      </c>
      <c r="CD184" s="33">
        <f t="shared" si="17"/>
        <v>0</v>
      </c>
      <c r="CE184" s="33">
        <f t="shared" si="17"/>
        <v>0</v>
      </c>
      <c r="CF184" s="33">
        <f t="shared" si="17"/>
        <v>0</v>
      </c>
      <c r="CG184" s="58">
        <f t="shared" si="16"/>
        <v>9815</v>
      </c>
    </row>
    <row r="185" spans="1:85">
      <c r="A185" s="198">
        <v>2293</v>
      </c>
      <c r="B185" s="2">
        <v>103317</v>
      </c>
      <c r="C185" s="2" t="s">
        <v>393</v>
      </c>
      <c r="D185" s="2" t="s">
        <v>394</v>
      </c>
      <c r="E185" s="2" t="s">
        <v>39</v>
      </c>
      <c r="F185" s="208" t="s">
        <v>890</v>
      </c>
      <c r="H185" s="880">
        <v>0</v>
      </c>
      <c r="I185" s="880"/>
      <c r="J185" s="880"/>
      <c r="K185" s="880">
        <v>10515</v>
      </c>
      <c r="L185" s="190">
        <v>0</v>
      </c>
      <c r="M185" s="190">
        <v>0</v>
      </c>
      <c r="N185" s="190">
        <v>0</v>
      </c>
      <c r="O185" s="190">
        <v>0</v>
      </c>
      <c r="P185" s="190">
        <v>0</v>
      </c>
      <c r="Q185" s="190">
        <v>0</v>
      </c>
      <c r="R185" s="190">
        <v>0</v>
      </c>
      <c r="S185" s="190">
        <v>0</v>
      </c>
      <c r="T185" s="209">
        <v>0</v>
      </c>
      <c r="U185" s="209"/>
      <c r="V185" s="209"/>
      <c r="W185" s="209"/>
      <c r="X185" s="190"/>
      <c r="Y185" s="190"/>
      <c r="Z185" s="190"/>
      <c r="AA185" s="190"/>
      <c r="AB185" s="190"/>
      <c r="AC185" s="190"/>
      <c r="AD185" s="190"/>
      <c r="AE185" s="190"/>
      <c r="AF185" s="209"/>
      <c r="AG185" s="209"/>
      <c r="AH185" s="209"/>
      <c r="AI185" s="67"/>
      <c r="AJ185" s="209"/>
      <c r="AK185" s="209"/>
      <c r="AL185" s="190"/>
      <c r="AM185" s="190"/>
      <c r="AN185" s="189"/>
      <c r="AO185" s="189"/>
      <c r="AP185" s="189"/>
      <c r="AQ185" s="348"/>
      <c r="AR185" s="348"/>
      <c r="AS185" s="354"/>
      <c r="AT185" s="354"/>
      <c r="AU185" s="354"/>
      <c r="AV185" s="196"/>
      <c r="AW185" s="354"/>
      <c r="AX185" s="354"/>
      <c r="AY185" s="354"/>
      <c r="AZ185" s="354"/>
      <c r="BA185" s="354"/>
      <c r="BB185" s="354"/>
      <c r="BC185" s="354"/>
      <c r="BD185" s="354"/>
      <c r="BE185" s="354"/>
      <c r="BF185" s="354"/>
      <c r="BG185" s="354"/>
      <c r="BH185" s="354"/>
      <c r="BI185" s="354"/>
      <c r="BJ185" s="354"/>
      <c r="BK185" s="354"/>
      <c r="BL185" s="354"/>
      <c r="BM185" s="354"/>
      <c r="BN185" s="354"/>
      <c r="BO185" s="355">
        <v>0</v>
      </c>
      <c r="BP185" s="888">
        <v>0</v>
      </c>
      <c r="BQ185" s="354"/>
      <c r="BR185" s="354"/>
      <c r="BS185" s="354"/>
      <c r="BT185" s="354"/>
      <c r="BU185" s="354"/>
      <c r="BV185" s="354"/>
      <c r="BW185" s="355">
        <f t="shared" si="13"/>
        <v>10515</v>
      </c>
      <c r="BY185" s="33">
        <f t="shared" si="14"/>
        <v>0</v>
      </c>
      <c r="BZ185" s="33">
        <f t="shared" si="17"/>
        <v>0</v>
      </c>
      <c r="CA185" s="33">
        <f t="shared" si="17"/>
        <v>0</v>
      </c>
      <c r="CB185" s="33">
        <f t="shared" si="17"/>
        <v>0</v>
      </c>
      <c r="CC185" s="33">
        <f t="shared" si="17"/>
        <v>10515</v>
      </c>
      <c r="CD185" s="33">
        <f t="shared" si="17"/>
        <v>0</v>
      </c>
      <c r="CE185" s="33">
        <f t="shared" si="17"/>
        <v>0</v>
      </c>
      <c r="CF185" s="33">
        <f t="shared" si="17"/>
        <v>0</v>
      </c>
      <c r="CG185" s="58">
        <f t="shared" si="16"/>
        <v>10515</v>
      </c>
    </row>
    <row r="186" spans="1:85">
      <c r="A186" s="198">
        <v>2445</v>
      </c>
      <c r="B186" s="2">
        <v>103372</v>
      </c>
      <c r="C186" s="2" t="s">
        <v>395</v>
      </c>
      <c r="D186" s="2" t="s">
        <v>396</v>
      </c>
      <c r="E186" s="2" t="s">
        <v>39</v>
      </c>
      <c r="F186" s="208" t="s">
        <v>890</v>
      </c>
      <c r="H186" s="880">
        <v>0</v>
      </c>
      <c r="I186" s="880"/>
      <c r="J186" s="880"/>
      <c r="K186" s="880">
        <v>8890</v>
      </c>
      <c r="L186" s="190">
        <v>0</v>
      </c>
      <c r="M186" s="190">
        <v>0</v>
      </c>
      <c r="N186" s="190">
        <v>0</v>
      </c>
      <c r="O186" s="190">
        <v>0</v>
      </c>
      <c r="P186" s="190">
        <v>0</v>
      </c>
      <c r="Q186" s="190">
        <v>0</v>
      </c>
      <c r="R186" s="190">
        <v>0</v>
      </c>
      <c r="S186" s="190">
        <v>0</v>
      </c>
      <c r="T186" s="209">
        <v>2580.52</v>
      </c>
      <c r="U186" s="209"/>
      <c r="V186" s="209"/>
      <c r="W186" s="209"/>
      <c r="X186" s="190"/>
      <c r="Y186" s="190"/>
      <c r="Z186" s="190"/>
      <c r="AA186" s="190"/>
      <c r="AB186" s="190"/>
      <c r="AC186" s="190"/>
      <c r="AD186" s="190"/>
      <c r="AE186" s="190"/>
      <c r="AF186" s="209"/>
      <c r="AG186" s="209"/>
      <c r="AH186" s="209"/>
      <c r="AI186" s="67"/>
      <c r="AJ186" s="209"/>
      <c r="AK186" s="209"/>
      <c r="AL186" s="190"/>
      <c r="AM186" s="190"/>
      <c r="AN186" s="189"/>
      <c r="AO186" s="189"/>
      <c r="AP186" s="189"/>
      <c r="AQ186" s="348"/>
      <c r="AR186" s="348"/>
      <c r="AS186" s="354"/>
      <c r="AT186" s="354"/>
      <c r="AU186" s="354"/>
      <c r="AV186" s="196"/>
      <c r="AW186" s="354"/>
      <c r="AX186" s="354"/>
      <c r="AY186" s="354"/>
      <c r="AZ186" s="354"/>
      <c r="BA186" s="354"/>
      <c r="BB186" s="354"/>
      <c r="BC186" s="354"/>
      <c r="BD186" s="354"/>
      <c r="BE186" s="354"/>
      <c r="BF186" s="354"/>
      <c r="BG186" s="354"/>
      <c r="BH186" s="354"/>
      <c r="BI186" s="354"/>
      <c r="BJ186" s="354"/>
      <c r="BK186" s="354"/>
      <c r="BL186" s="354"/>
      <c r="BM186" s="354"/>
      <c r="BN186" s="354"/>
      <c r="BO186" s="355">
        <v>0</v>
      </c>
      <c r="BP186" s="888">
        <v>0</v>
      </c>
      <c r="BQ186" s="354"/>
      <c r="BR186" s="354"/>
      <c r="BS186" s="354"/>
      <c r="BT186" s="354"/>
      <c r="BU186" s="354"/>
      <c r="BV186" s="354"/>
      <c r="BW186" s="355">
        <f t="shared" si="13"/>
        <v>11470.52</v>
      </c>
      <c r="BY186" s="33">
        <f t="shared" si="14"/>
        <v>0</v>
      </c>
      <c r="BZ186" s="33">
        <f t="shared" si="17"/>
        <v>0</v>
      </c>
      <c r="CA186" s="33">
        <f t="shared" si="17"/>
        <v>0</v>
      </c>
      <c r="CB186" s="33">
        <f t="shared" si="17"/>
        <v>0</v>
      </c>
      <c r="CC186" s="33">
        <f t="shared" si="17"/>
        <v>11470.52</v>
      </c>
      <c r="CD186" s="33">
        <f t="shared" si="17"/>
        <v>0</v>
      </c>
      <c r="CE186" s="33">
        <f t="shared" si="17"/>
        <v>0</v>
      </c>
      <c r="CF186" s="33">
        <f t="shared" si="17"/>
        <v>0</v>
      </c>
      <c r="CG186" s="58">
        <f t="shared" si="16"/>
        <v>11470.52</v>
      </c>
    </row>
    <row r="187" spans="1:85">
      <c r="A187" s="198">
        <v>2278</v>
      </c>
      <c r="B187" s="2">
        <v>103310</v>
      </c>
      <c r="C187" s="2" t="s">
        <v>397</v>
      </c>
      <c r="D187" s="2" t="s">
        <v>398</v>
      </c>
      <c r="E187" s="2" t="s">
        <v>39</v>
      </c>
      <c r="F187" s="208" t="s">
        <v>890</v>
      </c>
      <c r="H187" s="880">
        <v>0</v>
      </c>
      <c r="I187" s="880"/>
      <c r="J187" s="880"/>
      <c r="K187" s="880">
        <v>9745</v>
      </c>
      <c r="L187" s="190">
        <v>0</v>
      </c>
      <c r="M187" s="190">
        <v>0</v>
      </c>
      <c r="N187" s="190">
        <v>0</v>
      </c>
      <c r="O187" s="190">
        <v>0</v>
      </c>
      <c r="P187" s="190">
        <v>0</v>
      </c>
      <c r="Q187" s="190">
        <v>0</v>
      </c>
      <c r="R187" s="190">
        <v>0</v>
      </c>
      <c r="S187" s="190">
        <v>0</v>
      </c>
      <c r="T187" s="209">
        <v>0</v>
      </c>
      <c r="U187" s="209"/>
      <c r="V187" s="209"/>
      <c r="W187" s="209"/>
      <c r="X187" s="190"/>
      <c r="Y187" s="190"/>
      <c r="Z187" s="190"/>
      <c r="AA187" s="190"/>
      <c r="AB187" s="190"/>
      <c r="AC187" s="190"/>
      <c r="AD187" s="190"/>
      <c r="AE187" s="190"/>
      <c r="AF187" s="209"/>
      <c r="AG187" s="209"/>
      <c r="AH187" s="209"/>
      <c r="AI187" s="67"/>
      <c r="AJ187" s="209"/>
      <c r="AK187" s="209"/>
      <c r="AL187" s="190"/>
      <c r="AM187" s="190"/>
      <c r="AN187" s="189"/>
      <c r="AO187" s="189"/>
      <c r="AP187" s="189"/>
      <c r="AQ187" s="348"/>
      <c r="AR187" s="348"/>
      <c r="AS187" s="354"/>
      <c r="AT187" s="354"/>
      <c r="AU187" s="354"/>
      <c r="AV187" s="196"/>
      <c r="AW187" s="354"/>
      <c r="AX187" s="354"/>
      <c r="AY187" s="354"/>
      <c r="AZ187" s="354"/>
      <c r="BA187" s="354"/>
      <c r="BB187" s="354"/>
      <c r="BC187" s="354"/>
      <c r="BD187" s="354"/>
      <c r="BE187" s="354"/>
      <c r="BF187" s="354"/>
      <c r="BG187" s="354"/>
      <c r="BH187" s="354"/>
      <c r="BI187" s="354"/>
      <c r="BJ187" s="354"/>
      <c r="BK187" s="354"/>
      <c r="BL187" s="354"/>
      <c r="BM187" s="354"/>
      <c r="BN187" s="354"/>
      <c r="BO187" s="355">
        <v>2868.13</v>
      </c>
      <c r="BP187" s="888">
        <v>-35.409999999999997</v>
      </c>
      <c r="BQ187" s="354"/>
      <c r="BR187" s="354"/>
      <c r="BS187" s="354"/>
      <c r="BT187" s="354"/>
      <c r="BU187" s="354"/>
      <c r="BV187" s="354"/>
      <c r="BW187" s="355">
        <f t="shared" si="13"/>
        <v>12577.720000000001</v>
      </c>
      <c r="BY187" s="33">
        <f t="shared" si="14"/>
        <v>0</v>
      </c>
      <c r="BZ187" s="33">
        <f t="shared" si="17"/>
        <v>0</v>
      </c>
      <c r="CA187" s="33">
        <f t="shared" si="17"/>
        <v>0</v>
      </c>
      <c r="CB187" s="33">
        <f t="shared" si="17"/>
        <v>0</v>
      </c>
      <c r="CC187" s="33">
        <f t="shared" si="17"/>
        <v>9745</v>
      </c>
      <c r="CD187" s="33">
        <f t="shared" si="17"/>
        <v>2868.13</v>
      </c>
      <c r="CE187" s="33">
        <f t="shared" si="17"/>
        <v>0</v>
      </c>
      <c r="CF187" s="33">
        <f t="shared" si="17"/>
        <v>-35.409999999999997</v>
      </c>
      <c r="CG187" s="58">
        <f t="shared" si="16"/>
        <v>12613.130000000001</v>
      </c>
    </row>
    <row r="188" spans="1:85">
      <c r="A188" s="198">
        <v>2317</v>
      </c>
      <c r="B188" s="2">
        <v>103337</v>
      </c>
      <c r="C188" s="2" t="s">
        <v>399</v>
      </c>
      <c r="D188" s="2" t="s">
        <v>400</v>
      </c>
      <c r="E188" s="2" t="s">
        <v>39</v>
      </c>
      <c r="F188" s="208" t="s">
        <v>890</v>
      </c>
      <c r="H188" s="880">
        <v>2799</v>
      </c>
      <c r="I188" s="880"/>
      <c r="J188" s="880"/>
      <c r="K188" s="880">
        <v>8890</v>
      </c>
      <c r="L188" s="190">
        <v>0</v>
      </c>
      <c r="M188" s="190">
        <v>0</v>
      </c>
      <c r="N188" s="190">
        <v>0</v>
      </c>
      <c r="O188" s="190">
        <v>0</v>
      </c>
      <c r="P188" s="190">
        <v>0</v>
      </c>
      <c r="Q188" s="190">
        <v>0</v>
      </c>
      <c r="R188" s="190">
        <v>0</v>
      </c>
      <c r="S188" s="190">
        <v>0</v>
      </c>
      <c r="T188" s="209">
        <v>3494.06</v>
      </c>
      <c r="U188" s="209"/>
      <c r="V188" s="209"/>
      <c r="W188" s="209"/>
      <c r="X188" s="190"/>
      <c r="Y188" s="190"/>
      <c r="Z188" s="190"/>
      <c r="AA188" s="190"/>
      <c r="AB188" s="190"/>
      <c r="AC188" s="190"/>
      <c r="AD188" s="190"/>
      <c r="AE188" s="190"/>
      <c r="AF188" s="209"/>
      <c r="AG188" s="209"/>
      <c r="AH188" s="209"/>
      <c r="AI188" s="67"/>
      <c r="AJ188" s="209"/>
      <c r="AK188" s="209"/>
      <c r="AL188" s="190"/>
      <c r="AM188" s="190"/>
      <c r="AN188" s="189"/>
      <c r="AO188" s="189"/>
      <c r="AP188" s="189"/>
      <c r="AQ188" s="348"/>
      <c r="AR188" s="348"/>
      <c r="AS188" s="354"/>
      <c r="AT188" s="354"/>
      <c r="AU188" s="354"/>
      <c r="AV188" s="196"/>
      <c r="AW188" s="354"/>
      <c r="AX188" s="354"/>
      <c r="AY188" s="354"/>
      <c r="AZ188" s="354"/>
      <c r="BA188" s="354"/>
      <c r="BB188" s="354"/>
      <c r="BC188" s="354"/>
      <c r="BD188" s="354"/>
      <c r="BE188" s="354"/>
      <c r="BF188" s="354"/>
      <c r="BG188" s="354"/>
      <c r="BH188" s="354"/>
      <c r="BI188" s="354"/>
      <c r="BJ188" s="354"/>
      <c r="BK188" s="354"/>
      <c r="BL188" s="354"/>
      <c r="BM188" s="354"/>
      <c r="BN188" s="354"/>
      <c r="BO188" s="355">
        <v>13.14</v>
      </c>
      <c r="BP188" s="888">
        <v>-24.99</v>
      </c>
      <c r="BQ188" s="354"/>
      <c r="BR188" s="354"/>
      <c r="BS188" s="354"/>
      <c r="BT188" s="354"/>
      <c r="BU188" s="354"/>
      <c r="BV188" s="354"/>
      <c r="BW188" s="355">
        <f t="shared" si="13"/>
        <v>15171.21</v>
      </c>
      <c r="BY188" s="33">
        <f t="shared" si="14"/>
        <v>2799</v>
      </c>
      <c r="BZ188" s="33">
        <f t="shared" si="17"/>
        <v>0</v>
      </c>
      <c r="CA188" s="33">
        <f t="shared" si="17"/>
        <v>0</v>
      </c>
      <c r="CB188" s="33">
        <f t="shared" si="17"/>
        <v>0</v>
      </c>
      <c r="CC188" s="33">
        <f t="shared" si="17"/>
        <v>12384.06</v>
      </c>
      <c r="CD188" s="33">
        <f t="shared" si="17"/>
        <v>13.14</v>
      </c>
      <c r="CE188" s="33">
        <f t="shared" si="17"/>
        <v>0</v>
      </c>
      <c r="CF188" s="33">
        <f t="shared" si="17"/>
        <v>-24.99</v>
      </c>
      <c r="CG188" s="58">
        <f t="shared" si="16"/>
        <v>15196.199999999999</v>
      </c>
    </row>
    <row r="189" spans="1:85">
      <c r="A189" s="198">
        <v>2225</v>
      </c>
      <c r="B189" s="2">
        <v>103279</v>
      </c>
      <c r="C189" s="2" t="s">
        <v>401</v>
      </c>
      <c r="D189" s="2" t="s">
        <v>402</v>
      </c>
      <c r="E189" s="2" t="s">
        <v>39</v>
      </c>
      <c r="F189" s="208" t="s">
        <v>890</v>
      </c>
      <c r="H189" s="880">
        <v>1341</v>
      </c>
      <c r="I189" s="880">
        <v>1381</v>
      </c>
      <c r="J189" s="880"/>
      <c r="K189" s="880">
        <v>9780</v>
      </c>
      <c r="L189" s="190">
        <v>0</v>
      </c>
      <c r="M189" s="190">
        <v>0</v>
      </c>
      <c r="N189" s="190">
        <v>0</v>
      </c>
      <c r="O189" s="190">
        <v>0</v>
      </c>
      <c r="P189" s="190">
        <v>0</v>
      </c>
      <c r="Q189" s="190">
        <v>0</v>
      </c>
      <c r="R189" s="190">
        <v>0</v>
      </c>
      <c r="S189" s="190">
        <v>0</v>
      </c>
      <c r="T189" s="209">
        <v>1580.52</v>
      </c>
      <c r="U189" s="209"/>
      <c r="V189" s="209"/>
      <c r="W189" s="209"/>
      <c r="X189" s="190"/>
      <c r="Y189" s="190"/>
      <c r="Z189" s="190"/>
      <c r="AA189" s="190"/>
      <c r="AB189" s="190"/>
      <c r="AC189" s="190"/>
      <c r="AD189" s="190"/>
      <c r="AE189" s="190"/>
      <c r="AF189" s="209"/>
      <c r="AG189" s="209"/>
      <c r="AH189" s="209"/>
      <c r="AI189" s="67"/>
      <c r="AJ189" s="209"/>
      <c r="AK189" s="209"/>
      <c r="AL189" s="190"/>
      <c r="AM189" s="190"/>
      <c r="AN189" s="189"/>
      <c r="AO189" s="189"/>
      <c r="AP189" s="189"/>
      <c r="AQ189" s="348"/>
      <c r="AR189" s="348"/>
      <c r="AS189" s="354"/>
      <c r="AT189" s="354"/>
      <c r="AU189" s="354"/>
      <c r="AV189" s="196"/>
      <c r="AW189" s="354"/>
      <c r="AX189" s="354"/>
      <c r="AY189" s="354"/>
      <c r="AZ189" s="354"/>
      <c r="BA189" s="354"/>
      <c r="BB189" s="354"/>
      <c r="BC189" s="354"/>
      <c r="BD189" s="354"/>
      <c r="BE189" s="354"/>
      <c r="BF189" s="354"/>
      <c r="BG189" s="354"/>
      <c r="BH189" s="354"/>
      <c r="BI189" s="354"/>
      <c r="BJ189" s="354"/>
      <c r="BK189" s="354"/>
      <c r="BL189" s="354"/>
      <c r="BM189" s="354"/>
      <c r="BN189" s="354"/>
      <c r="BO189" s="355">
        <v>0</v>
      </c>
      <c r="BP189" s="888">
        <v>0</v>
      </c>
      <c r="BQ189" s="354"/>
      <c r="BR189" s="354"/>
      <c r="BS189" s="354"/>
      <c r="BT189" s="354"/>
      <c r="BU189" s="354"/>
      <c r="BV189" s="354"/>
      <c r="BW189" s="355">
        <f t="shared" si="13"/>
        <v>14082.52</v>
      </c>
      <c r="BY189" s="33">
        <f t="shared" si="14"/>
        <v>2722</v>
      </c>
      <c r="BZ189" s="33">
        <f t="shared" si="17"/>
        <v>0</v>
      </c>
      <c r="CA189" s="33">
        <f t="shared" si="17"/>
        <v>0</v>
      </c>
      <c r="CB189" s="33">
        <f t="shared" si="17"/>
        <v>0</v>
      </c>
      <c r="CC189" s="33">
        <f t="shared" si="17"/>
        <v>11360.52</v>
      </c>
      <c r="CD189" s="33">
        <f t="shared" si="17"/>
        <v>0</v>
      </c>
      <c r="CE189" s="33">
        <f t="shared" si="17"/>
        <v>0</v>
      </c>
      <c r="CF189" s="33">
        <f t="shared" si="17"/>
        <v>0</v>
      </c>
      <c r="CG189" s="58">
        <f t="shared" si="16"/>
        <v>14082.52</v>
      </c>
    </row>
    <row r="190" spans="1:85">
      <c r="A190" s="198">
        <v>2412</v>
      </c>
      <c r="B190" s="2">
        <v>103349</v>
      </c>
      <c r="C190" s="2" t="s">
        <v>403</v>
      </c>
      <c r="D190" s="2" t="s">
        <v>404</v>
      </c>
      <c r="E190" s="2" t="s">
        <v>39</v>
      </c>
      <c r="F190" s="208" t="s">
        <v>890</v>
      </c>
      <c r="H190" s="880">
        <v>0</v>
      </c>
      <c r="I190" s="880"/>
      <c r="J190" s="880"/>
      <c r="K190" s="880">
        <v>9805</v>
      </c>
      <c r="L190" s="190">
        <v>0</v>
      </c>
      <c r="M190" s="190">
        <v>0</v>
      </c>
      <c r="N190" s="190">
        <v>0</v>
      </c>
      <c r="O190" s="190">
        <v>0</v>
      </c>
      <c r="P190" s="190">
        <v>0</v>
      </c>
      <c r="Q190" s="190">
        <v>0</v>
      </c>
      <c r="R190" s="190">
        <v>0</v>
      </c>
      <c r="S190" s="190">
        <v>0</v>
      </c>
      <c r="T190" s="209">
        <v>0</v>
      </c>
      <c r="U190" s="209"/>
      <c r="V190" s="209"/>
      <c r="W190" s="209"/>
      <c r="X190" s="190"/>
      <c r="Y190" s="190"/>
      <c r="Z190" s="190"/>
      <c r="AA190" s="190"/>
      <c r="AB190" s="190"/>
      <c r="AC190" s="190"/>
      <c r="AD190" s="190"/>
      <c r="AE190" s="190"/>
      <c r="AF190" s="209"/>
      <c r="AG190" s="209"/>
      <c r="AH190" s="209"/>
      <c r="AI190" s="67"/>
      <c r="AJ190" s="209"/>
      <c r="AK190" s="209"/>
      <c r="AL190" s="190"/>
      <c r="AM190" s="190"/>
      <c r="AN190" s="189"/>
      <c r="AO190" s="189"/>
      <c r="AP190" s="189"/>
      <c r="AQ190" s="348"/>
      <c r="AR190" s="348"/>
      <c r="AS190" s="354"/>
      <c r="AT190" s="354"/>
      <c r="AU190" s="354"/>
      <c r="AV190" s="196"/>
      <c r="AW190" s="354"/>
      <c r="AX190" s="354"/>
      <c r="AY190" s="354"/>
      <c r="AZ190" s="354"/>
      <c r="BA190" s="354"/>
      <c r="BB190" s="354"/>
      <c r="BC190" s="354"/>
      <c r="BD190" s="354"/>
      <c r="BE190" s="354"/>
      <c r="BF190" s="354"/>
      <c r="BG190" s="354"/>
      <c r="BH190" s="354"/>
      <c r="BI190" s="354"/>
      <c r="BJ190" s="354"/>
      <c r="BK190" s="354"/>
      <c r="BL190" s="354"/>
      <c r="BM190" s="354"/>
      <c r="BN190" s="354"/>
      <c r="BO190" s="355">
        <v>0</v>
      </c>
      <c r="BP190" s="888">
        <v>0</v>
      </c>
      <c r="BQ190" s="354"/>
      <c r="BR190" s="354"/>
      <c r="BS190" s="354"/>
      <c r="BT190" s="354"/>
      <c r="BU190" s="354"/>
      <c r="BV190" s="354"/>
      <c r="BW190" s="355">
        <f t="shared" si="13"/>
        <v>9805</v>
      </c>
      <c r="BY190" s="33">
        <f t="shared" si="14"/>
        <v>0</v>
      </c>
      <c r="BZ190" s="33">
        <f t="shared" si="17"/>
        <v>0</v>
      </c>
      <c r="CA190" s="33">
        <f t="shared" si="17"/>
        <v>0</v>
      </c>
      <c r="CB190" s="33">
        <f t="shared" si="17"/>
        <v>0</v>
      </c>
      <c r="CC190" s="33">
        <f t="shared" si="17"/>
        <v>9805</v>
      </c>
      <c r="CD190" s="33">
        <f t="shared" si="17"/>
        <v>0</v>
      </c>
      <c r="CE190" s="33">
        <f t="shared" si="17"/>
        <v>0</v>
      </c>
      <c r="CF190" s="33">
        <f t="shared" si="17"/>
        <v>0</v>
      </c>
      <c r="CG190" s="58">
        <f t="shared" si="16"/>
        <v>9805</v>
      </c>
    </row>
    <row r="191" spans="1:85">
      <c r="A191" s="198">
        <v>3421</v>
      </c>
      <c r="B191" s="2">
        <v>133996</v>
      </c>
      <c r="C191" s="2" t="s">
        <v>405</v>
      </c>
      <c r="D191" s="2" t="s">
        <v>406</v>
      </c>
      <c r="E191" s="2" t="s">
        <v>39</v>
      </c>
      <c r="F191" s="208" t="s">
        <v>890</v>
      </c>
      <c r="H191" s="880">
        <v>0</v>
      </c>
      <c r="I191" s="880"/>
      <c r="J191" s="880"/>
      <c r="K191" s="880">
        <v>11575</v>
      </c>
      <c r="L191" s="190">
        <v>0</v>
      </c>
      <c r="M191" s="190">
        <v>0</v>
      </c>
      <c r="N191" s="190">
        <v>0</v>
      </c>
      <c r="O191" s="190">
        <v>0</v>
      </c>
      <c r="P191" s="190">
        <v>0</v>
      </c>
      <c r="Q191" s="190">
        <v>0</v>
      </c>
      <c r="R191" s="190">
        <v>0</v>
      </c>
      <c r="S191" s="190">
        <v>0</v>
      </c>
      <c r="T191" s="209">
        <v>0</v>
      </c>
      <c r="U191" s="209"/>
      <c r="V191" s="209"/>
      <c r="W191" s="209"/>
      <c r="X191" s="190"/>
      <c r="Y191" s="190"/>
      <c r="Z191" s="190"/>
      <c r="AA191" s="190"/>
      <c r="AB191" s="190"/>
      <c r="AC191" s="190"/>
      <c r="AD191" s="190"/>
      <c r="AE191" s="190"/>
      <c r="AF191" s="209"/>
      <c r="AG191" s="209"/>
      <c r="AH191" s="209"/>
      <c r="AI191" s="67"/>
      <c r="AJ191" s="209"/>
      <c r="AK191" s="209"/>
      <c r="AL191" s="190"/>
      <c r="AM191" s="190"/>
      <c r="AN191" s="189"/>
      <c r="AO191" s="189"/>
      <c r="AP191" s="189"/>
      <c r="AQ191" s="348"/>
      <c r="AR191" s="348"/>
      <c r="AS191" s="354"/>
      <c r="AT191" s="354"/>
      <c r="AU191" s="354"/>
      <c r="AV191" s="196"/>
      <c r="AW191" s="354"/>
      <c r="AX191" s="354"/>
      <c r="AY191" s="354"/>
      <c r="AZ191" s="354"/>
      <c r="BA191" s="354"/>
      <c r="BB191" s="354"/>
      <c r="BC191" s="354"/>
      <c r="BD191" s="354"/>
      <c r="BE191" s="354"/>
      <c r="BF191" s="354"/>
      <c r="BG191" s="354"/>
      <c r="BH191" s="354"/>
      <c r="BI191" s="354"/>
      <c r="BJ191" s="354"/>
      <c r="BK191" s="354"/>
      <c r="BL191" s="354"/>
      <c r="BM191" s="354"/>
      <c r="BN191" s="354"/>
      <c r="BO191" s="355">
        <v>2464.7399999999998</v>
      </c>
      <c r="BP191" s="888">
        <v>-59.05</v>
      </c>
      <c r="BQ191" s="354"/>
      <c r="BR191" s="354"/>
      <c r="BS191" s="354"/>
      <c r="BT191" s="354"/>
      <c r="BU191" s="354"/>
      <c r="BV191" s="354"/>
      <c r="BW191" s="355">
        <f t="shared" si="13"/>
        <v>13980.69</v>
      </c>
      <c r="BY191" s="33">
        <f t="shared" si="14"/>
        <v>0</v>
      </c>
      <c r="BZ191" s="33">
        <f t="shared" si="17"/>
        <v>0</v>
      </c>
      <c r="CA191" s="33">
        <f t="shared" si="17"/>
        <v>0</v>
      </c>
      <c r="CB191" s="33">
        <f t="shared" si="17"/>
        <v>0</v>
      </c>
      <c r="CC191" s="33">
        <f t="shared" si="17"/>
        <v>11575</v>
      </c>
      <c r="CD191" s="33">
        <f t="shared" si="17"/>
        <v>2464.7399999999998</v>
      </c>
      <c r="CE191" s="33">
        <f t="shared" si="17"/>
        <v>0</v>
      </c>
      <c r="CF191" s="33">
        <f t="shared" si="17"/>
        <v>-59.05</v>
      </c>
      <c r="CG191" s="58">
        <f t="shared" si="16"/>
        <v>14039.74</v>
      </c>
    </row>
    <row r="192" spans="1:85">
      <c r="A192" s="198">
        <v>2227</v>
      </c>
      <c r="B192" s="2">
        <v>103281</v>
      </c>
      <c r="C192" s="2" t="s">
        <v>407</v>
      </c>
      <c r="D192" s="2" t="s">
        <v>408</v>
      </c>
      <c r="E192" s="2" t="s">
        <v>39</v>
      </c>
      <c r="F192" s="208" t="s">
        <v>890</v>
      </c>
      <c r="H192" s="880">
        <v>0</v>
      </c>
      <c r="I192" s="880"/>
      <c r="J192" s="880"/>
      <c r="K192" s="880">
        <v>9760</v>
      </c>
      <c r="L192" s="190">
        <v>0</v>
      </c>
      <c r="M192" s="190">
        <v>0</v>
      </c>
      <c r="N192" s="190">
        <v>0</v>
      </c>
      <c r="O192" s="190">
        <v>0</v>
      </c>
      <c r="P192" s="190">
        <v>0</v>
      </c>
      <c r="Q192" s="190">
        <v>0</v>
      </c>
      <c r="R192" s="190">
        <v>0</v>
      </c>
      <c r="S192" s="190">
        <v>0</v>
      </c>
      <c r="T192" s="209">
        <v>0</v>
      </c>
      <c r="U192" s="209"/>
      <c r="V192" s="209"/>
      <c r="W192" s="209"/>
      <c r="X192" s="190"/>
      <c r="Y192" s="190"/>
      <c r="Z192" s="190"/>
      <c r="AA192" s="190"/>
      <c r="AB192" s="190"/>
      <c r="AC192" s="190"/>
      <c r="AD192" s="190"/>
      <c r="AE192" s="190"/>
      <c r="AF192" s="209"/>
      <c r="AG192" s="209"/>
      <c r="AH192" s="209"/>
      <c r="AI192" s="67"/>
      <c r="AJ192" s="209"/>
      <c r="AK192" s="209"/>
      <c r="AL192" s="190"/>
      <c r="AM192" s="190"/>
      <c r="AN192" s="189"/>
      <c r="AO192" s="189"/>
      <c r="AP192" s="189"/>
      <c r="AQ192" s="348"/>
      <c r="AR192" s="348"/>
      <c r="AS192" s="354"/>
      <c r="AT192" s="354"/>
      <c r="AU192" s="354"/>
      <c r="AV192" s="196"/>
      <c r="AW192" s="354"/>
      <c r="AX192" s="354"/>
      <c r="AY192" s="354"/>
      <c r="AZ192" s="354"/>
      <c r="BA192" s="354"/>
      <c r="BB192" s="354"/>
      <c r="BC192" s="354"/>
      <c r="BD192" s="354"/>
      <c r="BE192" s="354"/>
      <c r="BF192" s="354"/>
      <c r="BG192" s="354"/>
      <c r="BH192" s="354"/>
      <c r="BI192" s="354"/>
      <c r="BJ192" s="354"/>
      <c r="BK192" s="354"/>
      <c r="BL192" s="354"/>
      <c r="BM192" s="354"/>
      <c r="BN192" s="354"/>
      <c r="BO192" s="355">
        <v>2385.65</v>
      </c>
      <c r="BP192" s="888">
        <v>-56.34</v>
      </c>
      <c r="BQ192" s="354"/>
      <c r="BR192" s="354"/>
      <c r="BS192" s="354"/>
      <c r="BT192" s="354"/>
      <c r="BU192" s="354"/>
      <c r="BV192" s="354"/>
      <c r="BW192" s="355">
        <f t="shared" si="13"/>
        <v>12089.31</v>
      </c>
      <c r="BY192" s="33">
        <f t="shared" si="14"/>
        <v>0</v>
      </c>
      <c r="BZ192" s="33">
        <f t="shared" si="17"/>
        <v>0</v>
      </c>
      <c r="CA192" s="33">
        <f t="shared" si="17"/>
        <v>0</v>
      </c>
      <c r="CB192" s="33">
        <f t="shared" si="17"/>
        <v>0</v>
      </c>
      <c r="CC192" s="33">
        <f t="shared" si="17"/>
        <v>9760</v>
      </c>
      <c r="CD192" s="33">
        <f t="shared" si="17"/>
        <v>2385.65</v>
      </c>
      <c r="CE192" s="33">
        <f t="shared" si="17"/>
        <v>0</v>
      </c>
      <c r="CF192" s="33">
        <f t="shared" si="17"/>
        <v>-56.34</v>
      </c>
      <c r="CG192" s="58">
        <f t="shared" si="16"/>
        <v>12145.65</v>
      </c>
    </row>
    <row r="193" spans="1:85">
      <c r="A193" s="198">
        <v>2231</v>
      </c>
      <c r="B193" s="2">
        <v>103284</v>
      </c>
      <c r="C193" s="2" t="s">
        <v>409</v>
      </c>
      <c r="D193" s="2" t="s">
        <v>410</v>
      </c>
      <c r="E193" s="2" t="s">
        <v>39</v>
      </c>
      <c r="F193" s="208" t="s">
        <v>890</v>
      </c>
      <c r="H193" s="880">
        <v>0</v>
      </c>
      <c r="I193" s="880"/>
      <c r="J193" s="880"/>
      <c r="K193" s="880">
        <v>0</v>
      </c>
      <c r="L193" s="190">
        <v>0</v>
      </c>
      <c r="M193" s="190">
        <v>0</v>
      </c>
      <c r="N193" s="190">
        <v>0</v>
      </c>
      <c r="O193" s="190">
        <v>0</v>
      </c>
      <c r="P193" s="190">
        <v>0</v>
      </c>
      <c r="Q193" s="190">
        <v>0</v>
      </c>
      <c r="R193" s="190">
        <v>0</v>
      </c>
      <c r="S193" s="190">
        <v>0</v>
      </c>
      <c r="T193" s="209">
        <v>0</v>
      </c>
      <c r="U193" s="209"/>
      <c r="V193" s="209"/>
      <c r="W193" s="209"/>
      <c r="X193" s="190"/>
      <c r="Y193" s="190"/>
      <c r="Z193" s="190"/>
      <c r="AA193" s="190"/>
      <c r="AB193" s="190"/>
      <c r="AC193" s="190"/>
      <c r="AD193" s="190"/>
      <c r="AE193" s="190"/>
      <c r="AF193" s="209"/>
      <c r="AG193" s="209"/>
      <c r="AH193" s="209"/>
      <c r="AI193" s="67"/>
      <c r="AJ193" s="209"/>
      <c r="AK193" s="209"/>
      <c r="AL193" s="190"/>
      <c r="AM193" s="190"/>
      <c r="AN193" s="189"/>
      <c r="AO193" s="189"/>
      <c r="AP193" s="189"/>
      <c r="AQ193" s="348"/>
      <c r="AR193" s="348"/>
      <c r="AS193" s="354"/>
      <c r="AT193" s="354"/>
      <c r="AU193" s="354"/>
      <c r="AV193" s="196"/>
      <c r="AW193" s="354"/>
      <c r="AX193" s="354"/>
      <c r="AY193" s="354"/>
      <c r="AZ193" s="354"/>
      <c r="BA193" s="354"/>
      <c r="BB193" s="354"/>
      <c r="BC193" s="354"/>
      <c r="BD193" s="354"/>
      <c r="BE193" s="354"/>
      <c r="BF193" s="354"/>
      <c r="BG193" s="354"/>
      <c r="BH193" s="354"/>
      <c r="BI193" s="354"/>
      <c r="BJ193" s="354"/>
      <c r="BK193" s="354"/>
      <c r="BL193" s="354"/>
      <c r="BM193" s="354"/>
      <c r="BN193" s="354"/>
      <c r="BO193" s="355">
        <v>1956.56</v>
      </c>
      <c r="BP193" s="888">
        <v>-64.19</v>
      </c>
      <c r="BQ193" s="354"/>
      <c r="BR193" s="354"/>
      <c r="BS193" s="354"/>
      <c r="BT193" s="354"/>
      <c r="BU193" s="354"/>
      <c r="BV193" s="354"/>
      <c r="BW193" s="355">
        <f t="shared" si="13"/>
        <v>1892.37</v>
      </c>
      <c r="BY193" s="33">
        <f t="shared" si="14"/>
        <v>0</v>
      </c>
      <c r="BZ193" s="33">
        <f t="shared" si="17"/>
        <v>0</v>
      </c>
      <c r="CA193" s="33">
        <f t="shared" si="17"/>
        <v>0</v>
      </c>
      <c r="CB193" s="33">
        <f t="shared" si="17"/>
        <v>0</v>
      </c>
      <c r="CC193" s="33">
        <f t="shared" si="17"/>
        <v>0</v>
      </c>
      <c r="CD193" s="33">
        <f t="shared" si="17"/>
        <v>1956.56</v>
      </c>
      <c r="CE193" s="33">
        <f t="shared" si="17"/>
        <v>0</v>
      </c>
      <c r="CF193" s="33">
        <f t="shared" si="17"/>
        <v>-64.19</v>
      </c>
      <c r="CG193" s="58">
        <f t="shared" si="16"/>
        <v>1956.56</v>
      </c>
    </row>
    <row r="194" spans="1:85" s="193" customFormat="1" ht="15.75" thickBot="1">
      <c r="A194" s="200"/>
      <c r="B194" s="191"/>
      <c r="C194" s="191"/>
      <c r="D194" s="194"/>
      <c r="E194" s="191"/>
      <c r="F194" s="201"/>
      <c r="G194"/>
      <c r="H194" s="216">
        <f t="shared" ref="H194:AV194" si="18">SUM(H8:H193)</f>
        <v>38971</v>
      </c>
      <c r="I194" s="216">
        <f t="shared" si="18"/>
        <v>6906</v>
      </c>
      <c r="J194" s="216">
        <f t="shared" si="18"/>
        <v>-1752</v>
      </c>
      <c r="K194" s="216">
        <f t="shared" si="18"/>
        <v>1308145</v>
      </c>
      <c r="L194" s="216">
        <f t="shared" si="18"/>
        <v>238824.61499999999</v>
      </c>
      <c r="M194" s="216">
        <f>SUM(M8:M193)</f>
        <v>26536.068333333333</v>
      </c>
      <c r="N194" s="216">
        <f t="shared" si="18"/>
        <v>26536.068333333333</v>
      </c>
      <c r="O194" s="216">
        <f t="shared" si="18"/>
        <v>26536.068333333333</v>
      </c>
      <c r="P194" s="216">
        <f t="shared" si="18"/>
        <v>18965.466666666667</v>
      </c>
      <c r="Q194" s="216">
        <f t="shared" si="18"/>
        <v>9482.7333333333336</v>
      </c>
      <c r="R194" s="216">
        <f t="shared" si="18"/>
        <v>9482.7333333333336</v>
      </c>
      <c r="S194" s="216">
        <f t="shared" si="18"/>
        <v>9482.7333333333336</v>
      </c>
      <c r="T194" s="216">
        <v>120144.79000000004</v>
      </c>
      <c r="U194" s="216">
        <f t="shared" si="18"/>
        <v>0</v>
      </c>
      <c r="V194" s="216">
        <f t="shared" si="18"/>
        <v>0</v>
      </c>
      <c r="W194" s="216">
        <f t="shared" si="18"/>
        <v>0</v>
      </c>
      <c r="X194" s="216">
        <f t="shared" si="18"/>
        <v>0</v>
      </c>
      <c r="Y194" s="216">
        <f t="shared" si="18"/>
        <v>0</v>
      </c>
      <c r="Z194" s="216">
        <f t="shared" si="18"/>
        <v>0</v>
      </c>
      <c r="AA194" s="216">
        <f t="shared" si="18"/>
        <v>0</v>
      </c>
      <c r="AB194" s="216">
        <f t="shared" si="18"/>
        <v>0</v>
      </c>
      <c r="AC194" s="216">
        <f t="shared" si="18"/>
        <v>0</v>
      </c>
      <c r="AD194" s="216">
        <f t="shared" si="18"/>
        <v>0</v>
      </c>
      <c r="AE194" s="216">
        <f t="shared" si="18"/>
        <v>0</v>
      </c>
      <c r="AF194" s="216">
        <f t="shared" si="18"/>
        <v>0</v>
      </c>
      <c r="AG194" s="216">
        <f t="shared" si="18"/>
        <v>0</v>
      </c>
      <c r="AH194" s="216">
        <f t="shared" si="18"/>
        <v>0</v>
      </c>
      <c r="AI194" s="216">
        <f t="shared" si="18"/>
        <v>0</v>
      </c>
      <c r="AJ194" s="216">
        <f t="shared" si="18"/>
        <v>0</v>
      </c>
      <c r="AK194" s="216">
        <f t="shared" si="18"/>
        <v>0</v>
      </c>
      <c r="AL194" s="216">
        <f t="shared" si="18"/>
        <v>0</v>
      </c>
      <c r="AM194" s="216">
        <f t="shared" si="18"/>
        <v>0</v>
      </c>
      <c r="AN194" s="216">
        <f t="shared" si="18"/>
        <v>0</v>
      </c>
      <c r="AO194" s="216">
        <f t="shared" si="18"/>
        <v>0</v>
      </c>
      <c r="AP194" s="216">
        <f t="shared" si="18"/>
        <v>0</v>
      </c>
      <c r="AQ194" s="216">
        <f t="shared" si="18"/>
        <v>0</v>
      </c>
      <c r="AR194" s="216">
        <f t="shared" si="18"/>
        <v>0</v>
      </c>
      <c r="AS194" s="216">
        <f t="shared" si="18"/>
        <v>0</v>
      </c>
      <c r="AT194" s="216">
        <f t="shared" si="18"/>
        <v>0</v>
      </c>
      <c r="AU194" s="216">
        <f t="shared" si="18"/>
        <v>0</v>
      </c>
      <c r="AV194" s="216">
        <f t="shared" si="18"/>
        <v>0</v>
      </c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6"/>
      <c r="BN194" s="216"/>
      <c r="BO194" s="216">
        <f>SUM(BO8:BO193)</f>
        <v>181922.88999999996</v>
      </c>
      <c r="BP194" s="216">
        <f>SUM(BP8:BP193)</f>
        <v>-3606.8500000000013</v>
      </c>
      <c r="BQ194" s="216"/>
      <c r="BR194" s="216"/>
      <c r="BS194" s="216"/>
      <c r="BT194" s="216"/>
      <c r="BU194" s="216"/>
      <c r="BV194" s="216"/>
      <c r="BW194" s="216"/>
      <c r="BY194" s="217">
        <f t="shared" ref="BY194:CG194" si="19">SUM(BY69:BY193)</f>
        <v>283933.71666666667</v>
      </c>
      <c r="BZ194" s="217">
        <f t="shared" si="19"/>
        <v>0</v>
      </c>
      <c r="CA194" s="217">
        <f t="shared" si="19"/>
        <v>0</v>
      </c>
      <c r="CB194" s="217">
        <f t="shared" si="19"/>
        <v>0</v>
      </c>
      <c r="CC194" s="217">
        <f>SUM(CC8:CC193)</f>
        <v>1426537.7900000005</v>
      </c>
      <c r="CD194" s="217"/>
      <c r="CE194" s="217">
        <f t="shared" si="19"/>
        <v>0</v>
      </c>
      <c r="CF194" s="217"/>
      <c r="CG194" s="217">
        <f t="shared" si="19"/>
        <v>1387269.7566666666</v>
      </c>
    </row>
    <row r="195" spans="1:85" ht="15.75" thickTop="1">
      <c r="A195" s="198"/>
      <c r="B195" s="2"/>
      <c r="C195" s="2"/>
      <c r="D195" s="2"/>
      <c r="E195" s="2"/>
      <c r="F195" s="199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15"/>
      <c r="AE195" s="215"/>
      <c r="AF195" s="215"/>
      <c r="AG195" s="215"/>
      <c r="AH195" s="215"/>
      <c r="AI195" s="215"/>
      <c r="AJ195" s="215"/>
      <c r="AK195" s="215"/>
      <c r="AL195" s="215"/>
      <c r="AM195" s="215"/>
      <c r="AN195" s="215"/>
      <c r="AO195" s="215"/>
      <c r="AP195" s="215"/>
      <c r="AQ195" s="215"/>
      <c r="AR195" s="215"/>
      <c r="AS195" s="215"/>
      <c r="AT195" s="215"/>
      <c r="AU195" s="215"/>
      <c r="AV195" s="215"/>
      <c r="AW195" s="215"/>
      <c r="AX195" s="215"/>
      <c r="AY195" s="215"/>
      <c r="AZ195" s="215"/>
      <c r="BA195" s="215"/>
      <c r="BB195" s="215"/>
      <c r="BC195" s="215"/>
      <c r="BD195" s="215"/>
      <c r="BE195" s="215"/>
      <c r="BF195" s="215"/>
      <c r="BG195" s="215"/>
      <c r="BH195" s="215"/>
      <c r="BI195" s="215"/>
      <c r="BJ195" s="215"/>
      <c r="BK195" s="215"/>
      <c r="BL195" s="215"/>
      <c r="BM195" s="215"/>
      <c r="BN195" s="215"/>
      <c r="BO195" s="215"/>
      <c r="BP195" s="215"/>
      <c r="BQ195" s="215"/>
      <c r="BR195" s="215"/>
      <c r="BS195" s="215"/>
      <c r="BT195" s="215"/>
      <c r="BU195" s="215"/>
      <c r="BV195" s="215"/>
      <c r="BW195" s="215"/>
      <c r="CG195" s="58"/>
    </row>
    <row r="196" spans="1:85" ht="15.75" thickBot="1">
      <c r="A196" s="202"/>
      <c r="B196" s="203"/>
      <c r="C196" s="203"/>
      <c r="D196" s="204"/>
      <c r="E196" s="204"/>
      <c r="F196" s="205"/>
      <c r="G196" s="66" t="s">
        <v>33</v>
      </c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  <c r="AA196" s="213"/>
      <c r="AB196" s="213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349"/>
      <c r="AR196" s="349"/>
      <c r="AS196" s="356"/>
      <c r="AT196" s="356"/>
      <c r="AU196" s="356"/>
      <c r="AV196" s="213"/>
      <c r="AW196" s="356"/>
      <c r="AX196" s="356"/>
      <c r="AY196" s="356"/>
      <c r="AZ196" s="356"/>
      <c r="BA196" s="356"/>
      <c r="BB196" s="356"/>
      <c r="BC196" s="356"/>
      <c r="BD196" s="356"/>
      <c r="BE196" s="356"/>
      <c r="BF196" s="356"/>
      <c r="BG196" s="356"/>
      <c r="BH196" s="356"/>
      <c r="BI196" s="356"/>
      <c r="BJ196" s="356"/>
      <c r="BK196" s="356"/>
      <c r="BL196" s="356"/>
      <c r="BM196" s="356"/>
      <c r="BN196" s="356"/>
      <c r="BO196" s="356"/>
      <c r="BP196" s="356"/>
      <c r="BQ196" s="356"/>
      <c r="BR196" s="356"/>
      <c r="BS196" s="356"/>
      <c r="BT196" s="356"/>
      <c r="BU196" s="356"/>
      <c r="BV196" s="356"/>
      <c r="BW196" s="356"/>
      <c r="BY196" s="187"/>
      <c r="BZ196" s="187"/>
      <c r="CA196" s="187"/>
      <c r="CB196" s="187"/>
      <c r="CC196" s="187"/>
      <c r="CD196" s="187"/>
      <c r="CE196" s="187"/>
      <c r="CF196" s="187"/>
      <c r="CG196" s="187"/>
    </row>
    <row r="197" spans="1:85">
      <c r="CG197" s="33"/>
    </row>
    <row r="198" spans="1:85">
      <c r="CG198" s="33"/>
    </row>
    <row r="199" spans="1:85">
      <c r="CG199" s="33"/>
    </row>
    <row r="200" spans="1:85">
      <c r="CG200" s="33"/>
    </row>
    <row r="201" spans="1:85">
      <c r="CG201" s="33"/>
    </row>
    <row r="202" spans="1:85">
      <c r="CG202" s="33"/>
    </row>
    <row r="203" spans="1:85">
      <c r="CG203" s="33"/>
    </row>
    <row r="204" spans="1:85">
      <c r="CG204" s="33"/>
    </row>
  </sheetData>
  <sheetProtection algorithmName="SHA-512" hashValue="eV3olY6M25BGSc1bb141ssda2Px2lVyKaScHTVbwf1rGhnh9ryisP90WO4cbKfRfteUcxj2YijQc+HC8b0VBnQ==" saltValue="c1UT01GmwZINC27SGv2kZg==" spinCount="100000" sheet="1" autoFilter="0"/>
  <autoFilter ref="A7:CG193" xr:uid="{0F21AC25-0319-43A5-9108-6C8C7348D185}"/>
  <conditionalFormatting sqref="A7:H8 AV7:AV193 F9:F193 H9:H194 I194:BW194">
    <cfRule type="cellIs" dxfId="13" priority="6" operator="lessThan">
      <formula>0</formula>
    </cfRule>
  </conditionalFormatting>
  <conditionalFormatting sqref="I7">
    <cfRule type="cellIs" dxfId="12" priority="2" operator="lessThan">
      <formula>0</formula>
    </cfRule>
  </conditionalFormatting>
  <conditionalFormatting sqref="N7">
    <cfRule type="cellIs" dxfId="11" priority="4" operator="lessThan">
      <formula>0</formula>
    </cfRule>
  </conditionalFormatting>
  <conditionalFormatting sqref="T7:Z7">
    <cfRule type="cellIs" dxfId="10" priority="1" operator="lessThan">
      <formula>0</formula>
    </cfRule>
  </conditionalFormatting>
  <conditionalFormatting sqref="AC7">
    <cfRule type="cellIs" dxfId="9" priority="3" operator="less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67C11-F7C1-47EC-823D-82310A4F0FE2}">
  <sheetPr codeName="Sheet6"/>
  <dimension ref="A1:V194"/>
  <sheetViews>
    <sheetView zoomScale="80" zoomScaleNormal="80" workbookViewId="0">
      <selection activeCell="K35" sqref="K35"/>
    </sheetView>
  </sheetViews>
  <sheetFormatPr defaultRowHeight="15"/>
  <cols>
    <col min="1" max="1" width="5.42578125" bestFit="1" customWidth="1"/>
    <col min="2" max="2" width="7.7109375" bestFit="1" customWidth="1"/>
    <col min="3" max="3" width="7.5703125" bestFit="1" customWidth="1"/>
    <col min="4" max="4" width="37.28515625" customWidth="1"/>
    <col min="5" max="5" width="19" customWidth="1"/>
    <col min="6" max="6" width="15.140625" customWidth="1"/>
    <col min="8" max="9" width="33.140625" bestFit="1" customWidth="1"/>
    <col min="10" max="10" width="12.140625" customWidth="1"/>
    <col min="11" max="11" width="13.7109375" bestFit="1" customWidth="1"/>
    <col min="12" max="14" width="12.140625" customWidth="1"/>
    <col min="15" max="15" width="13" bestFit="1" customWidth="1"/>
    <col min="16" max="18" width="12.140625" customWidth="1"/>
    <col min="19" max="19" width="12.85546875" bestFit="1" customWidth="1"/>
    <col min="20" max="21" width="12.140625" customWidth="1"/>
    <col min="22" max="22" width="14.5703125" bestFit="1" customWidth="1"/>
  </cols>
  <sheetData>
    <row r="1" spans="1:22">
      <c r="A1" s="1" t="s">
        <v>954</v>
      </c>
    </row>
    <row r="2" spans="1:22" ht="39" customHeight="1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</row>
    <row r="3" spans="1:22" ht="15.75" thickBot="1">
      <c r="H3" s="862" t="s">
        <v>955</v>
      </c>
      <c r="I3" s="862" t="s">
        <v>955</v>
      </c>
    </row>
    <row r="4" spans="1:22" ht="30.75" thickBot="1">
      <c r="A4" s="338" t="s">
        <v>16</v>
      </c>
      <c r="B4" s="339" t="s">
        <v>17</v>
      </c>
      <c r="C4" s="340" t="s">
        <v>18</v>
      </c>
      <c r="D4" s="341" t="s">
        <v>19</v>
      </c>
      <c r="E4" s="340" t="s">
        <v>20</v>
      </c>
      <c r="F4" s="341" t="s">
        <v>21</v>
      </c>
      <c r="H4" s="861" t="s">
        <v>956</v>
      </c>
      <c r="I4" s="861" t="s">
        <v>957</v>
      </c>
      <c r="J4" s="394">
        <v>46113</v>
      </c>
      <c r="K4" s="394">
        <v>46143</v>
      </c>
      <c r="L4" s="394">
        <v>46174</v>
      </c>
      <c r="M4" s="394">
        <v>46204</v>
      </c>
      <c r="N4" s="394">
        <v>46235</v>
      </c>
      <c r="O4" s="394">
        <v>46266</v>
      </c>
      <c r="P4" s="394">
        <v>46296</v>
      </c>
      <c r="Q4" s="394">
        <v>46327</v>
      </c>
      <c r="R4" s="394">
        <v>46357</v>
      </c>
      <c r="S4" s="394">
        <v>46388</v>
      </c>
      <c r="T4" s="394">
        <v>46419</v>
      </c>
      <c r="U4" s="394">
        <v>46447</v>
      </c>
      <c r="V4" s="394" t="s">
        <v>33</v>
      </c>
    </row>
    <row r="5" spans="1:22">
      <c r="A5" s="197">
        <v>1027</v>
      </c>
      <c r="B5" s="185">
        <v>103140</v>
      </c>
      <c r="C5" s="185" t="s">
        <v>34</v>
      </c>
      <c r="D5" s="185" t="s">
        <v>35</v>
      </c>
      <c r="E5" s="190" t="s">
        <v>36</v>
      </c>
      <c r="F5" s="211" t="s">
        <v>890</v>
      </c>
      <c r="H5" s="805">
        <v>0</v>
      </c>
      <c r="I5" s="805">
        <v>0</v>
      </c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805">
        <f>SUM(H5:U5)</f>
        <v>0</v>
      </c>
    </row>
    <row r="6" spans="1:22">
      <c r="A6" s="198">
        <v>2010</v>
      </c>
      <c r="B6" s="2">
        <v>103159</v>
      </c>
      <c r="C6" s="2" t="s">
        <v>37</v>
      </c>
      <c r="D6" s="2" t="s">
        <v>38</v>
      </c>
      <c r="E6" s="190" t="s">
        <v>39</v>
      </c>
      <c r="F6" s="211" t="s">
        <v>890</v>
      </c>
      <c r="H6" s="805">
        <v>0</v>
      </c>
      <c r="I6" s="805">
        <v>0</v>
      </c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805">
        <f t="shared" ref="V6:V69" si="0">SUM(H6:U6)</f>
        <v>0</v>
      </c>
    </row>
    <row r="7" spans="1:22">
      <c r="A7" s="198">
        <v>5949</v>
      </c>
      <c r="B7" s="2">
        <v>131465</v>
      </c>
      <c r="C7" s="2" t="s">
        <v>40</v>
      </c>
      <c r="D7" s="2" t="s">
        <v>41</v>
      </c>
      <c r="E7" s="190" t="s">
        <v>39</v>
      </c>
      <c r="F7" s="211" t="s">
        <v>890</v>
      </c>
      <c r="H7" s="805">
        <v>0</v>
      </c>
      <c r="I7" s="805">
        <v>0</v>
      </c>
      <c r="J7" s="395"/>
      <c r="K7" s="395"/>
      <c r="L7" s="395"/>
      <c r="M7" s="395"/>
      <c r="N7" s="395"/>
      <c r="O7" s="395"/>
      <c r="P7" s="395"/>
      <c r="Q7" s="395"/>
      <c r="R7" s="395"/>
      <c r="S7" s="395"/>
      <c r="T7" s="395"/>
      <c r="U7" s="395"/>
      <c r="V7" s="805">
        <f t="shared" si="0"/>
        <v>0</v>
      </c>
    </row>
    <row r="8" spans="1:22">
      <c r="A8" s="198">
        <v>1017</v>
      </c>
      <c r="B8" s="2">
        <v>103130</v>
      </c>
      <c r="C8" s="2" t="s">
        <v>42</v>
      </c>
      <c r="D8" s="2" t="s">
        <v>43</v>
      </c>
      <c r="E8" s="190" t="s">
        <v>36</v>
      </c>
      <c r="F8" s="211" t="s">
        <v>890</v>
      </c>
      <c r="H8" s="805">
        <v>0</v>
      </c>
      <c r="I8" s="805">
        <v>0</v>
      </c>
      <c r="J8" s="395"/>
      <c r="K8" s="395"/>
      <c r="L8" s="395"/>
      <c r="M8" s="395"/>
      <c r="N8" s="395"/>
      <c r="O8" s="395"/>
      <c r="P8" s="395"/>
      <c r="Q8" s="395"/>
      <c r="R8" s="395"/>
      <c r="S8" s="395"/>
      <c r="T8" s="395"/>
      <c r="U8" s="395"/>
      <c r="V8" s="805">
        <f t="shared" si="0"/>
        <v>0</v>
      </c>
    </row>
    <row r="9" spans="1:22">
      <c r="A9" s="198">
        <v>2153</v>
      </c>
      <c r="B9" s="2">
        <v>103243</v>
      </c>
      <c r="C9" s="2" t="s">
        <v>44</v>
      </c>
      <c r="D9" s="2" t="s">
        <v>45</v>
      </c>
      <c r="E9" s="190" t="s">
        <v>39</v>
      </c>
      <c r="F9" s="211" t="s">
        <v>890</v>
      </c>
      <c r="H9" s="805">
        <v>0</v>
      </c>
      <c r="I9" s="805">
        <v>0</v>
      </c>
      <c r="J9" s="395"/>
      <c r="K9" s="395"/>
      <c r="L9" s="395"/>
      <c r="M9" s="395"/>
      <c r="N9" s="395"/>
      <c r="O9" s="395"/>
      <c r="P9" s="395"/>
      <c r="Q9" s="395"/>
      <c r="R9" s="395"/>
      <c r="S9" s="395"/>
      <c r="T9" s="395"/>
      <c r="U9" s="395"/>
      <c r="V9" s="805">
        <f t="shared" si="0"/>
        <v>0</v>
      </c>
    </row>
    <row r="10" spans="1:22">
      <c r="A10" s="198">
        <v>2062</v>
      </c>
      <c r="B10" s="2">
        <v>103192</v>
      </c>
      <c r="C10" s="2" t="s">
        <v>46</v>
      </c>
      <c r="D10" s="2" t="s">
        <v>47</v>
      </c>
      <c r="E10" s="190" t="s">
        <v>39</v>
      </c>
      <c r="F10" s="211" t="s">
        <v>890</v>
      </c>
      <c r="H10" s="805">
        <v>0</v>
      </c>
      <c r="I10" s="805">
        <v>0</v>
      </c>
      <c r="J10" s="395"/>
      <c r="K10" s="395"/>
      <c r="L10" s="395"/>
      <c r="M10" s="395"/>
      <c r="N10" s="395"/>
      <c r="O10" s="395"/>
      <c r="P10" s="395"/>
      <c r="Q10" s="395"/>
      <c r="R10" s="395"/>
      <c r="S10" s="395"/>
      <c r="T10" s="395"/>
      <c r="U10" s="395"/>
      <c r="V10" s="805">
        <f t="shared" si="0"/>
        <v>0</v>
      </c>
    </row>
    <row r="11" spans="1:22">
      <c r="A11" s="198">
        <v>2479</v>
      </c>
      <c r="B11" s="2">
        <v>132074</v>
      </c>
      <c r="C11" s="2" t="s">
        <v>48</v>
      </c>
      <c r="D11" s="2" t="s">
        <v>49</v>
      </c>
      <c r="E11" s="190" t="s">
        <v>39</v>
      </c>
      <c r="F11" s="211" t="s">
        <v>890</v>
      </c>
      <c r="H11" s="805">
        <v>0</v>
      </c>
      <c r="I11" s="805">
        <v>0</v>
      </c>
      <c r="J11" s="395"/>
      <c r="K11" s="395"/>
      <c r="L11" s="395"/>
      <c r="M11" s="395"/>
      <c r="N11" s="395"/>
      <c r="O11" s="395"/>
      <c r="P11" s="395"/>
      <c r="Q11" s="395"/>
      <c r="R11" s="395"/>
      <c r="S11" s="395"/>
      <c r="T11" s="395"/>
      <c r="U11" s="395"/>
      <c r="V11" s="805">
        <f t="shared" si="0"/>
        <v>0</v>
      </c>
    </row>
    <row r="12" spans="1:22">
      <c r="A12" s="198">
        <v>2300</v>
      </c>
      <c r="B12" s="2">
        <v>103324</v>
      </c>
      <c r="C12" s="2" t="s">
        <v>50</v>
      </c>
      <c r="D12" s="2" t="s">
        <v>51</v>
      </c>
      <c r="E12" s="190" t="s">
        <v>39</v>
      </c>
      <c r="F12" s="211" t="s">
        <v>890</v>
      </c>
      <c r="H12" s="805">
        <v>0</v>
      </c>
      <c r="I12" s="805">
        <v>0</v>
      </c>
      <c r="J12" s="395"/>
      <c r="K12" s="395"/>
      <c r="L12" s="395"/>
      <c r="M12" s="395"/>
      <c r="N12" s="395"/>
      <c r="O12" s="395"/>
      <c r="P12" s="395"/>
      <c r="Q12" s="395"/>
      <c r="R12" s="395"/>
      <c r="S12" s="395"/>
      <c r="T12" s="395"/>
      <c r="U12" s="395"/>
      <c r="V12" s="805">
        <f t="shared" si="0"/>
        <v>0</v>
      </c>
    </row>
    <row r="13" spans="1:22">
      <c r="A13" s="198">
        <v>2014</v>
      </c>
      <c r="B13" s="2">
        <v>103162</v>
      </c>
      <c r="C13" s="2" t="s">
        <v>52</v>
      </c>
      <c r="D13" s="2" t="s">
        <v>53</v>
      </c>
      <c r="E13" s="190" t="s">
        <v>39</v>
      </c>
      <c r="F13" s="211" t="s">
        <v>890</v>
      </c>
      <c r="H13" s="805">
        <v>0</v>
      </c>
      <c r="I13" s="805">
        <v>0</v>
      </c>
      <c r="J13" s="395"/>
      <c r="K13" s="395"/>
      <c r="L13" s="395"/>
      <c r="M13" s="395"/>
      <c r="N13" s="395"/>
      <c r="O13" s="395"/>
      <c r="P13" s="395"/>
      <c r="Q13" s="395"/>
      <c r="R13" s="395"/>
      <c r="S13" s="395"/>
      <c r="T13" s="395"/>
      <c r="U13" s="395"/>
      <c r="V13" s="805">
        <f t="shared" si="0"/>
        <v>0</v>
      </c>
    </row>
    <row r="14" spans="1:22">
      <c r="A14" s="198">
        <v>7016</v>
      </c>
      <c r="B14" s="2">
        <v>103606</v>
      </c>
      <c r="C14" s="2" t="s">
        <v>54</v>
      </c>
      <c r="D14" s="2" t="s">
        <v>55</v>
      </c>
      <c r="E14" s="190" t="s">
        <v>56</v>
      </c>
      <c r="F14" s="211" t="s">
        <v>890</v>
      </c>
      <c r="H14" s="805">
        <v>0</v>
      </c>
      <c r="I14" s="805">
        <v>0</v>
      </c>
      <c r="J14" s="395"/>
      <c r="K14" s="395"/>
      <c r="L14" s="395"/>
      <c r="M14" s="395"/>
      <c r="N14" s="395"/>
      <c r="O14" s="395"/>
      <c r="P14" s="395"/>
      <c r="Q14" s="395"/>
      <c r="R14" s="395"/>
      <c r="S14" s="395"/>
      <c r="T14" s="395"/>
      <c r="U14" s="395"/>
      <c r="V14" s="805">
        <f t="shared" si="0"/>
        <v>0</v>
      </c>
    </row>
    <row r="15" spans="1:22">
      <c r="A15" s="198">
        <v>7052</v>
      </c>
      <c r="B15" s="2">
        <v>103627</v>
      </c>
      <c r="C15" s="2" t="s">
        <v>57</v>
      </c>
      <c r="D15" s="2" t="s">
        <v>58</v>
      </c>
      <c r="E15" s="190" t="s">
        <v>56</v>
      </c>
      <c r="F15" s="211" t="s">
        <v>890</v>
      </c>
      <c r="H15" s="805">
        <v>0</v>
      </c>
      <c r="I15" s="805">
        <v>0</v>
      </c>
      <c r="J15" s="395"/>
      <c r="K15" s="395"/>
      <c r="L15" s="395"/>
      <c r="M15" s="395"/>
      <c r="N15" s="395"/>
      <c r="O15" s="395"/>
      <c r="P15" s="395"/>
      <c r="Q15" s="395"/>
      <c r="R15" s="395"/>
      <c r="S15" s="395"/>
      <c r="T15" s="395"/>
      <c r="U15" s="395"/>
      <c r="V15" s="805">
        <f t="shared" si="0"/>
        <v>0</v>
      </c>
    </row>
    <row r="16" spans="1:22">
      <c r="A16" s="198">
        <v>2017</v>
      </c>
      <c r="B16" s="2">
        <v>103164</v>
      </c>
      <c r="C16" s="2" t="s">
        <v>59</v>
      </c>
      <c r="D16" s="2" t="s">
        <v>60</v>
      </c>
      <c r="E16" s="190" t="s">
        <v>39</v>
      </c>
      <c r="F16" s="211" t="s">
        <v>890</v>
      </c>
      <c r="H16" s="805">
        <v>0</v>
      </c>
      <c r="I16" s="805">
        <v>0</v>
      </c>
      <c r="J16" s="395"/>
      <c r="K16" s="395"/>
      <c r="L16" s="395"/>
      <c r="M16" s="395"/>
      <c r="N16" s="395"/>
      <c r="O16" s="395"/>
      <c r="P16" s="395"/>
      <c r="Q16" s="395"/>
      <c r="R16" s="395"/>
      <c r="S16" s="395"/>
      <c r="T16" s="395"/>
      <c r="U16" s="395"/>
      <c r="V16" s="805">
        <f t="shared" si="0"/>
        <v>0</v>
      </c>
    </row>
    <row r="17" spans="1:22">
      <c r="A17" s="198">
        <v>2016</v>
      </c>
      <c r="B17" s="2">
        <v>103163</v>
      </c>
      <c r="C17" s="2" t="s">
        <v>61</v>
      </c>
      <c r="D17" s="2" t="s">
        <v>62</v>
      </c>
      <c r="E17" s="190" t="s">
        <v>39</v>
      </c>
      <c r="F17" s="211" t="s">
        <v>890</v>
      </c>
      <c r="H17" s="805">
        <v>0</v>
      </c>
      <c r="I17" s="805">
        <v>0</v>
      </c>
      <c r="J17" s="395"/>
      <c r="K17" s="395"/>
      <c r="L17" s="395"/>
      <c r="M17" s="395"/>
      <c r="N17" s="395"/>
      <c r="O17" s="395"/>
      <c r="P17" s="395"/>
      <c r="Q17" s="395"/>
      <c r="R17" s="395"/>
      <c r="S17" s="395"/>
      <c r="T17" s="395"/>
      <c r="U17" s="395"/>
      <c r="V17" s="805">
        <f t="shared" si="0"/>
        <v>0</v>
      </c>
    </row>
    <row r="18" spans="1:22">
      <c r="A18" s="198">
        <v>2239</v>
      </c>
      <c r="B18" s="2">
        <v>103289</v>
      </c>
      <c r="C18" s="2" t="s">
        <v>63</v>
      </c>
      <c r="D18" s="2" t="s">
        <v>64</v>
      </c>
      <c r="E18" s="190" t="s">
        <v>39</v>
      </c>
      <c r="F18" s="211" t="s">
        <v>890</v>
      </c>
      <c r="H18" s="805">
        <v>0</v>
      </c>
      <c r="I18" s="805">
        <v>0</v>
      </c>
      <c r="J18" s="395"/>
      <c r="K18" s="395"/>
      <c r="L18" s="395"/>
      <c r="M18" s="395"/>
      <c r="N18" s="395"/>
      <c r="O18" s="395"/>
      <c r="P18" s="395"/>
      <c r="Q18" s="395"/>
      <c r="R18" s="395"/>
      <c r="S18" s="395"/>
      <c r="T18" s="395"/>
      <c r="U18" s="395"/>
      <c r="V18" s="805">
        <f t="shared" si="0"/>
        <v>0</v>
      </c>
    </row>
    <row r="19" spans="1:22">
      <c r="A19" s="198">
        <v>2241</v>
      </c>
      <c r="B19" s="2">
        <v>103291</v>
      </c>
      <c r="C19" s="2" t="s">
        <v>65</v>
      </c>
      <c r="D19" s="2" t="s">
        <v>66</v>
      </c>
      <c r="E19" s="190" t="s">
        <v>39</v>
      </c>
      <c r="F19" s="211" t="s">
        <v>890</v>
      </c>
      <c r="H19" s="805">
        <v>0</v>
      </c>
      <c r="I19" s="805">
        <v>-338421.73</v>
      </c>
      <c r="J19" s="395"/>
      <c r="K19" s="395"/>
      <c r="L19" s="395"/>
      <c r="M19" s="395"/>
      <c r="N19" s="395"/>
      <c r="O19" s="395"/>
      <c r="P19" s="395"/>
      <c r="Q19" s="395"/>
      <c r="R19" s="395"/>
      <c r="S19" s="395"/>
      <c r="T19" s="395"/>
      <c r="U19" s="395"/>
      <c r="V19" s="805">
        <f t="shared" si="0"/>
        <v>-338421.73</v>
      </c>
    </row>
    <row r="20" spans="1:22">
      <c r="A20" s="198">
        <v>2456</v>
      </c>
      <c r="B20" s="2">
        <v>103383</v>
      </c>
      <c r="C20" s="2" t="s">
        <v>67</v>
      </c>
      <c r="D20" s="2" t="s">
        <v>68</v>
      </c>
      <c r="E20" s="190" t="s">
        <v>39</v>
      </c>
      <c r="F20" s="211" t="s">
        <v>890</v>
      </c>
      <c r="H20" s="805">
        <v>0</v>
      </c>
      <c r="I20" s="805">
        <v>0</v>
      </c>
      <c r="J20" s="395"/>
      <c r="K20" s="395"/>
      <c r="L20" s="395"/>
      <c r="M20" s="395"/>
      <c r="N20" s="395"/>
      <c r="O20" s="395"/>
      <c r="P20" s="395"/>
      <c r="Q20" s="395"/>
      <c r="R20" s="395"/>
      <c r="S20" s="395"/>
      <c r="T20" s="395"/>
      <c r="U20" s="395"/>
      <c r="V20" s="805">
        <f t="shared" si="0"/>
        <v>0</v>
      </c>
    </row>
    <row r="21" spans="1:22">
      <c r="A21" s="198">
        <v>5413</v>
      </c>
      <c r="B21" s="2">
        <v>103560</v>
      </c>
      <c r="C21" s="2" t="s">
        <v>69</v>
      </c>
      <c r="D21" s="2" t="s">
        <v>70</v>
      </c>
      <c r="E21" s="190" t="s">
        <v>71</v>
      </c>
      <c r="F21" s="211" t="s">
        <v>890</v>
      </c>
      <c r="H21" s="805">
        <v>0</v>
      </c>
      <c r="I21" s="805">
        <v>0</v>
      </c>
      <c r="J21" s="395"/>
      <c r="K21" s="395"/>
      <c r="L21" s="395"/>
      <c r="M21" s="395"/>
      <c r="N21" s="395"/>
      <c r="O21" s="395"/>
      <c r="P21" s="395"/>
      <c r="Q21" s="395"/>
      <c r="R21" s="395"/>
      <c r="S21" s="395"/>
      <c r="T21" s="395"/>
      <c r="U21" s="395"/>
      <c r="V21" s="805">
        <f t="shared" si="0"/>
        <v>0</v>
      </c>
    </row>
    <row r="22" spans="1:22">
      <c r="A22" s="198">
        <v>2254</v>
      </c>
      <c r="B22" s="2">
        <v>103300</v>
      </c>
      <c r="C22" s="2" t="s">
        <v>72</v>
      </c>
      <c r="D22" s="2" t="s">
        <v>73</v>
      </c>
      <c r="E22" s="190" t="s">
        <v>39</v>
      </c>
      <c r="F22" s="211" t="s">
        <v>890</v>
      </c>
      <c r="H22" s="805">
        <v>0</v>
      </c>
      <c r="I22" s="805">
        <v>0</v>
      </c>
      <c r="J22" s="395"/>
      <c r="K22" s="395"/>
      <c r="L22" s="395"/>
      <c r="M22" s="395"/>
      <c r="N22" s="395"/>
      <c r="O22" s="395"/>
      <c r="P22" s="395"/>
      <c r="Q22" s="395"/>
      <c r="R22" s="395"/>
      <c r="S22" s="395"/>
      <c r="T22" s="395"/>
      <c r="U22" s="395"/>
      <c r="V22" s="805">
        <f t="shared" si="0"/>
        <v>0</v>
      </c>
    </row>
    <row r="23" spans="1:22">
      <c r="A23" s="198">
        <v>1025</v>
      </c>
      <c r="B23" s="2">
        <v>103138</v>
      </c>
      <c r="C23" s="2" t="s">
        <v>74</v>
      </c>
      <c r="D23" s="2" t="s">
        <v>75</v>
      </c>
      <c r="E23" s="190" t="s">
        <v>36</v>
      </c>
      <c r="F23" s="211" t="s">
        <v>890</v>
      </c>
      <c r="H23" s="805">
        <v>0</v>
      </c>
      <c r="I23" s="805">
        <v>0</v>
      </c>
      <c r="J23" s="395"/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5"/>
      <c r="V23" s="805">
        <f t="shared" si="0"/>
        <v>0</v>
      </c>
    </row>
    <row r="24" spans="1:22">
      <c r="A24" s="198">
        <v>2402</v>
      </c>
      <c r="B24" s="2">
        <v>103342</v>
      </c>
      <c r="C24" s="2" t="s">
        <v>76</v>
      </c>
      <c r="D24" s="2" t="s">
        <v>77</v>
      </c>
      <c r="E24" s="190" t="s">
        <v>39</v>
      </c>
      <c r="F24" s="211" t="s">
        <v>890</v>
      </c>
      <c r="H24" s="805">
        <v>0</v>
      </c>
      <c r="I24" s="805">
        <v>-280365.58</v>
      </c>
      <c r="J24" s="395"/>
      <c r="K24" s="395"/>
      <c r="L24" s="395"/>
      <c r="M24" s="395"/>
      <c r="N24" s="395"/>
      <c r="O24" s="395"/>
      <c r="P24" s="395"/>
      <c r="Q24" s="395"/>
      <c r="R24" s="395"/>
      <c r="S24" s="395"/>
      <c r="T24" s="395"/>
      <c r="U24" s="395"/>
      <c r="V24" s="805">
        <f t="shared" si="0"/>
        <v>-280365.58</v>
      </c>
    </row>
    <row r="25" spans="1:22">
      <c r="A25" s="198">
        <v>2401</v>
      </c>
      <c r="B25" s="2">
        <v>103341</v>
      </c>
      <c r="C25" s="2" t="s">
        <v>78</v>
      </c>
      <c r="D25" s="2" t="s">
        <v>79</v>
      </c>
      <c r="E25" s="190" t="s">
        <v>39</v>
      </c>
      <c r="F25" s="211" t="s">
        <v>890</v>
      </c>
      <c r="H25" s="805">
        <v>0</v>
      </c>
      <c r="I25" s="805">
        <v>-62100</v>
      </c>
      <c r="J25" s="395"/>
      <c r="K25" s="395"/>
      <c r="L25" s="395"/>
      <c r="M25" s="395"/>
      <c r="N25" s="395"/>
      <c r="O25" s="395"/>
      <c r="P25" s="395"/>
      <c r="Q25" s="395"/>
      <c r="R25" s="395"/>
      <c r="S25" s="395"/>
      <c r="T25" s="395"/>
      <c r="U25" s="395"/>
      <c r="V25" s="805">
        <f t="shared" si="0"/>
        <v>-62100</v>
      </c>
    </row>
    <row r="26" spans="1:22">
      <c r="A26" s="198">
        <v>1001</v>
      </c>
      <c r="B26" s="2">
        <v>103120</v>
      </c>
      <c r="C26" s="2" t="s">
        <v>80</v>
      </c>
      <c r="D26" s="2" t="s">
        <v>81</v>
      </c>
      <c r="E26" s="190" t="s">
        <v>36</v>
      </c>
      <c r="F26" s="211" t="s">
        <v>890</v>
      </c>
      <c r="H26" s="805">
        <v>0</v>
      </c>
      <c r="I26" s="805">
        <v>0</v>
      </c>
      <c r="J26" s="395"/>
      <c r="K26" s="395"/>
      <c r="L26" s="395"/>
      <c r="M26" s="395"/>
      <c r="N26" s="395"/>
      <c r="O26" s="395"/>
      <c r="P26" s="395"/>
      <c r="Q26" s="395"/>
      <c r="R26" s="395"/>
      <c r="S26" s="395"/>
      <c r="T26" s="395"/>
      <c r="U26" s="395"/>
      <c r="V26" s="805">
        <f t="shared" si="0"/>
        <v>0</v>
      </c>
    </row>
    <row r="27" spans="1:22">
      <c r="A27" s="198">
        <v>4115</v>
      </c>
      <c r="B27" s="2">
        <v>103493</v>
      </c>
      <c r="C27" s="2" t="s">
        <v>82</v>
      </c>
      <c r="D27" s="2" t="s">
        <v>83</v>
      </c>
      <c r="E27" s="190" t="s">
        <v>71</v>
      </c>
      <c r="F27" s="211" t="s">
        <v>890</v>
      </c>
      <c r="H27" s="805">
        <v>0</v>
      </c>
      <c r="I27" s="805">
        <v>0</v>
      </c>
      <c r="J27" s="395"/>
      <c r="K27" s="395"/>
      <c r="L27" s="395"/>
      <c r="M27" s="395"/>
      <c r="N27" s="395"/>
      <c r="O27" s="395"/>
      <c r="P27" s="395"/>
      <c r="Q27" s="395"/>
      <c r="R27" s="395"/>
      <c r="S27" s="395"/>
      <c r="T27" s="395"/>
      <c r="U27" s="395"/>
      <c r="V27" s="805">
        <f t="shared" si="0"/>
        <v>0</v>
      </c>
    </row>
    <row r="28" spans="1:22">
      <c r="A28" s="198">
        <v>2030</v>
      </c>
      <c r="B28" s="2">
        <v>103172</v>
      </c>
      <c r="C28" s="2" t="s">
        <v>84</v>
      </c>
      <c r="D28" s="2" t="s">
        <v>85</v>
      </c>
      <c r="E28" s="190" t="s">
        <v>39</v>
      </c>
      <c r="F28" s="211" t="s">
        <v>890</v>
      </c>
      <c r="H28" s="805">
        <v>0</v>
      </c>
      <c r="I28" s="805">
        <v>0</v>
      </c>
      <c r="J28" s="395"/>
      <c r="K28" s="395"/>
      <c r="L28" s="395"/>
      <c r="M28" s="395"/>
      <c r="N28" s="395"/>
      <c r="O28" s="395"/>
      <c r="P28" s="395"/>
      <c r="Q28" s="395"/>
      <c r="R28" s="395"/>
      <c r="S28" s="395"/>
      <c r="T28" s="395"/>
      <c r="U28" s="395"/>
      <c r="V28" s="805">
        <f t="shared" si="0"/>
        <v>0</v>
      </c>
    </row>
    <row r="29" spans="1:22">
      <c r="A29" s="198">
        <v>3353</v>
      </c>
      <c r="B29" s="2">
        <v>103445</v>
      </c>
      <c r="C29" s="2" t="s">
        <v>86</v>
      </c>
      <c r="D29" s="2" t="s">
        <v>87</v>
      </c>
      <c r="E29" s="190" t="s">
        <v>39</v>
      </c>
      <c r="F29" s="211" t="s">
        <v>890</v>
      </c>
      <c r="H29" s="805">
        <v>0</v>
      </c>
      <c r="I29" s="805">
        <v>0</v>
      </c>
      <c r="J29" s="395"/>
      <c r="K29" s="395"/>
      <c r="L29" s="395"/>
      <c r="M29" s="395"/>
      <c r="N29" s="395"/>
      <c r="O29" s="395"/>
      <c r="P29" s="395"/>
      <c r="Q29" s="395"/>
      <c r="R29" s="395"/>
      <c r="S29" s="395"/>
      <c r="T29" s="395"/>
      <c r="U29" s="395"/>
      <c r="V29" s="805">
        <f t="shared" si="0"/>
        <v>0</v>
      </c>
    </row>
    <row r="30" spans="1:22">
      <c r="A30" s="198">
        <v>7030</v>
      </c>
      <c r="B30" s="2">
        <v>103611</v>
      </c>
      <c r="C30" s="2" t="s">
        <v>88</v>
      </c>
      <c r="D30" s="2" t="s">
        <v>89</v>
      </c>
      <c r="E30" s="190" t="s">
        <v>56</v>
      </c>
      <c r="F30" s="211" t="s">
        <v>890</v>
      </c>
      <c r="H30" s="805">
        <v>0</v>
      </c>
      <c r="I30" s="805">
        <v>0</v>
      </c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805">
        <f t="shared" si="0"/>
        <v>0</v>
      </c>
    </row>
    <row r="31" spans="1:22">
      <c r="A31" s="198">
        <v>1002</v>
      </c>
      <c r="B31" s="2">
        <v>103121</v>
      </c>
      <c r="C31" s="2" t="s">
        <v>90</v>
      </c>
      <c r="D31" s="2" t="s">
        <v>91</v>
      </c>
      <c r="E31" s="190" t="s">
        <v>36</v>
      </c>
      <c r="F31" s="211" t="s">
        <v>890</v>
      </c>
      <c r="H31" s="805">
        <v>0</v>
      </c>
      <c r="I31" s="805">
        <v>0</v>
      </c>
      <c r="J31" s="395"/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805">
        <f t="shared" si="0"/>
        <v>0</v>
      </c>
    </row>
    <row r="32" spans="1:22">
      <c r="A32" s="198">
        <v>2465</v>
      </c>
      <c r="B32" s="2">
        <v>103391</v>
      </c>
      <c r="C32" s="2" t="s">
        <v>92</v>
      </c>
      <c r="D32" s="2" t="s">
        <v>93</v>
      </c>
      <c r="E32" s="190" t="s">
        <v>39</v>
      </c>
      <c r="F32" s="211" t="s">
        <v>890</v>
      </c>
      <c r="H32" s="805">
        <v>0</v>
      </c>
      <c r="I32" s="805">
        <v>0</v>
      </c>
      <c r="J32" s="395"/>
      <c r="K32" s="395"/>
      <c r="L32" s="395"/>
      <c r="M32" s="395"/>
      <c r="N32" s="395"/>
      <c r="O32" s="395"/>
      <c r="P32" s="395"/>
      <c r="Q32" s="395"/>
      <c r="R32" s="395"/>
      <c r="S32" s="395"/>
      <c r="T32" s="395"/>
      <c r="U32" s="395"/>
      <c r="V32" s="805">
        <f t="shared" si="0"/>
        <v>0</v>
      </c>
    </row>
    <row r="33" spans="1:22">
      <c r="A33" s="198">
        <v>4801</v>
      </c>
      <c r="B33" s="2">
        <v>103539</v>
      </c>
      <c r="C33" s="2" t="s">
        <v>94</v>
      </c>
      <c r="D33" s="2" t="s">
        <v>95</v>
      </c>
      <c r="E33" s="190" t="s">
        <v>71</v>
      </c>
      <c r="F33" s="211" t="s">
        <v>890</v>
      </c>
      <c r="H33" s="805">
        <v>0</v>
      </c>
      <c r="I33" s="805">
        <v>0</v>
      </c>
      <c r="J33" s="395"/>
      <c r="K33" s="395"/>
      <c r="L33" s="395"/>
      <c r="M33" s="395"/>
      <c r="N33" s="395"/>
      <c r="O33" s="395"/>
      <c r="P33" s="395"/>
      <c r="Q33" s="395"/>
      <c r="R33" s="395"/>
      <c r="S33" s="395"/>
      <c r="T33" s="395"/>
      <c r="U33" s="395"/>
      <c r="V33" s="805">
        <f t="shared" si="0"/>
        <v>0</v>
      </c>
    </row>
    <row r="34" spans="1:22">
      <c r="A34" s="198">
        <v>1048</v>
      </c>
      <c r="B34" s="2">
        <v>103144</v>
      </c>
      <c r="C34" s="2" t="s">
        <v>96</v>
      </c>
      <c r="D34" s="2" t="s">
        <v>97</v>
      </c>
      <c r="E34" s="190" t="s">
        <v>36</v>
      </c>
      <c r="F34" s="211" t="s">
        <v>890</v>
      </c>
      <c r="H34" s="805">
        <v>0</v>
      </c>
      <c r="I34" s="805">
        <v>0</v>
      </c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805">
        <f t="shared" si="0"/>
        <v>0</v>
      </c>
    </row>
    <row r="35" spans="1:22">
      <c r="A35" s="198">
        <v>2312</v>
      </c>
      <c r="B35" s="2">
        <v>103332</v>
      </c>
      <c r="C35" s="2" t="s">
        <v>98</v>
      </c>
      <c r="D35" s="2" t="s">
        <v>99</v>
      </c>
      <c r="E35" s="190" t="s">
        <v>39</v>
      </c>
      <c r="F35" s="211" t="s">
        <v>890</v>
      </c>
      <c r="H35" s="805">
        <v>0</v>
      </c>
      <c r="I35" s="805">
        <v>-338161.96</v>
      </c>
      <c r="J35" s="395"/>
      <c r="K35" s="395">
        <v>-180000</v>
      </c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805">
        <f t="shared" si="0"/>
        <v>-518161.96</v>
      </c>
    </row>
    <row r="36" spans="1:22">
      <c r="A36" s="198">
        <v>7051</v>
      </c>
      <c r="B36" s="2">
        <v>103626</v>
      </c>
      <c r="C36" s="2" t="s">
        <v>100</v>
      </c>
      <c r="D36" s="2" t="s">
        <v>101</v>
      </c>
      <c r="E36" s="190" t="s">
        <v>56</v>
      </c>
      <c r="F36" s="211" t="s">
        <v>890</v>
      </c>
      <c r="H36" s="805">
        <v>0</v>
      </c>
      <c r="I36" s="805">
        <v>0</v>
      </c>
      <c r="J36" s="395"/>
      <c r="K36" s="395"/>
      <c r="L36" s="395"/>
      <c r="M36" s="395"/>
      <c r="N36" s="395"/>
      <c r="O36" s="395"/>
      <c r="P36" s="395"/>
      <c r="Q36" s="395"/>
      <c r="R36" s="395"/>
      <c r="S36" s="395"/>
      <c r="T36" s="395"/>
      <c r="U36" s="395"/>
      <c r="V36" s="805">
        <f t="shared" si="0"/>
        <v>0</v>
      </c>
    </row>
    <row r="37" spans="1:22">
      <c r="A37" s="198">
        <v>2040</v>
      </c>
      <c r="B37" s="2">
        <v>103178</v>
      </c>
      <c r="C37" s="2" t="s">
        <v>102</v>
      </c>
      <c r="D37" s="2" t="s">
        <v>103</v>
      </c>
      <c r="E37" s="190" t="s">
        <v>39</v>
      </c>
      <c r="F37" s="211" t="s">
        <v>890</v>
      </c>
      <c r="H37" s="805">
        <v>0</v>
      </c>
      <c r="I37" s="805">
        <v>0</v>
      </c>
      <c r="J37" s="395"/>
      <c r="K37" s="395"/>
      <c r="L37" s="395"/>
      <c r="M37" s="395"/>
      <c r="N37" s="395"/>
      <c r="O37" s="395"/>
      <c r="P37" s="395"/>
      <c r="Q37" s="395"/>
      <c r="R37" s="395"/>
      <c r="S37" s="395"/>
      <c r="T37" s="395"/>
      <c r="U37" s="395"/>
      <c r="V37" s="805">
        <f t="shared" si="0"/>
        <v>0</v>
      </c>
    </row>
    <row r="38" spans="1:22">
      <c r="A38" s="198">
        <v>2251</v>
      </c>
      <c r="B38" s="2">
        <v>103298</v>
      </c>
      <c r="C38" s="2" t="s">
        <v>104</v>
      </c>
      <c r="D38" s="2" t="s">
        <v>105</v>
      </c>
      <c r="E38" s="190" t="s">
        <v>39</v>
      </c>
      <c r="F38" s="211" t="s">
        <v>890</v>
      </c>
      <c r="H38" s="805">
        <v>0</v>
      </c>
      <c r="I38" s="805">
        <v>0</v>
      </c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805">
        <f t="shared" si="0"/>
        <v>0</v>
      </c>
    </row>
    <row r="39" spans="1:22">
      <c r="A39" s="198">
        <v>3002</v>
      </c>
      <c r="B39" s="2">
        <v>103397</v>
      </c>
      <c r="C39" s="2" t="s">
        <v>106</v>
      </c>
      <c r="D39" s="2" t="s">
        <v>107</v>
      </c>
      <c r="E39" s="190" t="s">
        <v>39</v>
      </c>
      <c r="F39" s="211" t="s">
        <v>890</v>
      </c>
      <c r="H39" s="805">
        <v>0</v>
      </c>
      <c r="I39" s="805">
        <v>0</v>
      </c>
      <c r="J39" s="395"/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805">
        <f t="shared" si="0"/>
        <v>0</v>
      </c>
    </row>
    <row r="40" spans="1:22">
      <c r="A40" s="198">
        <v>3319</v>
      </c>
      <c r="B40" s="2">
        <v>103423</v>
      </c>
      <c r="C40" s="2" t="s">
        <v>108</v>
      </c>
      <c r="D40" s="2" t="s">
        <v>109</v>
      </c>
      <c r="E40" s="190" t="s">
        <v>39</v>
      </c>
      <c r="F40" s="211" t="s">
        <v>890</v>
      </c>
      <c r="H40" s="805">
        <v>0</v>
      </c>
      <c r="I40" s="805">
        <v>-116256.72</v>
      </c>
      <c r="J40" s="395"/>
      <c r="K40" s="395"/>
      <c r="L40" s="395"/>
      <c r="M40" s="395"/>
      <c r="N40" s="395"/>
      <c r="O40" s="395"/>
      <c r="P40" s="395"/>
      <c r="Q40" s="395"/>
      <c r="R40" s="395"/>
      <c r="S40" s="395"/>
      <c r="T40" s="395"/>
      <c r="U40" s="395"/>
      <c r="V40" s="805">
        <f t="shared" si="0"/>
        <v>-116256.72</v>
      </c>
    </row>
    <row r="41" spans="1:22">
      <c r="A41" s="198">
        <v>1100</v>
      </c>
      <c r="B41" s="2">
        <v>103146</v>
      </c>
      <c r="C41" s="2" t="s">
        <v>110</v>
      </c>
      <c r="D41" s="2" t="s">
        <v>111</v>
      </c>
      <c r="E41" s="190" t="s">
        <v>112</v>
      </c>
      <c r="F41" s="211" t="s">
        <v>890</v>
      </c>
      <c r="H41" s="805">
        <v>0</v>
      </c>
      <c r="I41" s="805">
        <v>0</v>
      </c>
      <c r="J41" s="395"/>
      <c r="K41" s="395"/>
      <c r="L41" s="395"/>
      <c r="M41" s="395"/>
      <c r="N41" s="395"/>
      <c r="O41" s="395"/>
      <c r="P41" s="395"/>
      <c r="Q41" s="395"/>
      <c r="R41" s="395"/>
      <c r="S41" s="395"/>
      <c r="T41" s="395"/>
      <c r="U41" s="395"/>
      <c r="V41" s="805">
        <f t="shared" si="0"/>
        <v>0</v>
      </c>
    </row>
    <row r="42" spans="1:22">
      <c r="A42" s="198">
        <v>3432</v>
      </c>
      <c r="B42" s="2">
        <v>134840</v>
      </c>
      <c r="C42" s="2" t="s">
        <v>113</v>
      </c>
      <c r="D42" s="2" t="s">
        <v>114</v>
      </c>
      <c r="E42" s="190" t="s">
        <v>39</v>
      </c>
      <c r="F42" s="211" t="s">
        <v>890</v>
      </c>
      <c r="H42" s="805">
        <v>0</v>
      </c>
      <c r="I42" s="805">
        <v>0</v>
      </c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805">
        <f t="shared" si="0"/>
        <v>0</v>
      </c>
    </row>
    <row r="43" spans="1:22">
      <c r="A43" s="198">
        <v>2289</v>
      </c>
      <c r="B43" s="2">
        <v>103315</v>
      </c>
      <c r="C43" s="2" t="s">
        <v>115</v>
      </c>
      <c r="D43" s="2" t="s">
        <v>116</v>
      </c>
      <c r="E43" s="190" t="s">
        <v>39</v>
      </c>
      <c r="F43" s="211" t="s">
        <v>890</v>
      </c>
      <c r="H43" s="805">
        <v>0</v>
      </c>
      <c r="I43" s="805">
        <v>0</v>
      </c>
      <c r="J43" s="395"/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805">
        <f t="shared" si="0"/>
        <v>0</v>
      </c>
    </row>
    <row r="44" spans="1:22">
      <c r="A44" s="198">
        <v>2185</v>
      </c>
      <c r="B44" s="2">
        <v>103263</v>
      </c>
      <c r="C44" s="2" t="s">
        <v>117</v>
      </c>
      <c r="D44" s="2" t="s">
        <v>118</v>
      </c>
      <c r="E44" s="190" t="s">
        <v>39</v>
      </c>
      <c r="F44" s="211" t="s">
        <v>890</v>
      </c>
      <c r="H44" s="805">
        <v>0</v>
      </c>
      <c r="I44" s="805">
        <v>0</v>
      </c>
      <c r="J44" s="395"/>
      <c r="K44" s="395"/>
      <c r="L44" s="395"/>
      <c r="M44" s="395"/>
      <c r="N44" s="395"/>
      <c r="O44" s="395"/>
      <c r="P44" s="395"/>
      <c r="Q44" s="395"/>
      <c r="R44" s="395"/>
      <c r="S44" s="395"/>
      <c r="T44" s="395"/>
      <c r="U44" s="395"/>
      <c r="V44" s="805">
        <f t="shared" si="0"/>
        <v>0</v>
      </c>
    </row>
    <row r="45" spans="1:22">
      <c r="A45" s="198">
        <v>5416</v>
      </c>
      <c r="B45" s="2">
        <v>103563</v>
      </c>
      <c r="C45" s="2" t="s">
        <v>119</v>
      </c>
      <c r="D45" s="2" t="s">
        <v>120</v>
      </c>
      <c r="E45" s="190" t="s">
        <v>71</v>
      </c>
      <c r="F45" s="211" t="s">
        <v>890</v>
      </c>
      <c r="H45" s="805">
        <v>0</v>
      </c>
      <c r="I45" s="805">
        <v>0</v>
      </c>
      <c r="J45" s="395"/>
      <c r="K45" s="395"/>
      <c r="L45" s="395"/>
      <c r="M45" s="395"/>
      <c r="N45" s="395"/>
      <c r="O45" s="395"/>
      <c r="P45" s="395"/>
      <c r="Q45" s="395"/>
      <c r="R45" s="395"/>
      <c r="S45" s="395"/>
      <c r="T45" s="395"/>
      <c r="U45" s="395"/>
      <c r="V45" s="805">
        <f t="shared" si="0"/>
        <v>0</v>
      </c>
    </row>
    <row r="46" spans="1:22">
      <c r="A46" s="198">
        <v>2054</v>
      </c>
      <c r="B46" s="2">
        <v>103189</v>
      </c>
      <c r="C46" s="2" t="s">
        <v>121</v>
      </c>
      <c r="D46" s="2" t="s">
        <v>122</v>
      </c>
      <c r="E46" s="190" t="s">
        <v>39</v>
      </c>
      <c r="F46" s="211" t="s">
        <v>890</v>
      </c>
      <c r="H46" s="805">
        <v>0</v>
      </c>
      <c r="I46" s="805">
        <v>0</v>
      </c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805">
        <f t="shared" si="0"/>
        <v>0</v>
      </c>
    </row>
    <row r="47" spans="1:22">
      <c r="A47" s="198">
        <v>2053</v>
      </c>
      <c r="B47" s="2">
        <v>103188</v>
      </c>
      <c r="C47" s="2" t="s">
        <v>123</v>
      </c>
      <c r="D47" s="2" t="s">
        <v>124</v>
      </c>
      <c r="E47" s="190" t="s">
        <v>39</v>
      </c>
      <c r="F47" s="211" t="s">
        <v>890</v>
      </c>
      <c r="H47" s="805">
        <v>0</v>
      </c>
      <c r="I47" s="805">
        <v>0</v>
      </c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805">
        <f t="shared" si="0"/>
        <v>0</v>
      </c>
    </row>
    <row r="48" spans="1:22">
      <c r="A48" s="198">
        <v>2464</v>
      </c>
      <c r="B48" s="2">
        <v>103390</v>
      </c>
      <c r="C48" s="2" t="s">
        <v>125</v>
      </c>
      <c r="D48" s="2" t="s">
        <v>126</v>
      </c>
      <c r="E48" s="190" t="s">
        <v>39</v>
      </c>
      <c r="F48" s="211" t="s">
        <v>890</v>
      </c>
      <c r="H48" s="805">
        <v>0</v>
      </c>
      <c r="I48" s="805">
        <v>0</v>
      </c>
      <c r="J48" s="395"/>
      <c r="K48" s="395"/>
      <c r="L48" s="395"/>
      <c r="M48" s="395"/>
      <c r="N48" s="395"/>
      <c r="O48" s="395"/>
      <c r="P48" s="395"/>
      <c r="Q48" s="395"/>
      <c r="R48" s="395"/>
      <c r="S48" s="395"/>
      <c r="T48" s="395"/>
      <c r="U48" s="395"/>
      <c r="V48" s="805">
        <f t="shared" si="0"/>
        <v>0</v>
      </c>
    </row>
    <row r="49" spans="1:22">
      <c r="A49" s="198">
        <v>3320</v>
      </c>
      <c r="B49" s="2">
        <v>103424</v>
      </c>
      <c r="C49" s="2" t="s">
        <v>127</v>
      </c>
      <c r="D49" s="2" t="s">
        <v>128</v>
      </c>
      <c r="E49" s="190" t="s">
        <v>39</v>
      </c>
      <c r="F49" s="211" t="s">
        <v>890</v>
      </c>
      <c r="H49" s="805">
        <v>0</v>
      </c>
      <c r="I49" s="805">
        <v>0</v>
      </c>
      <c r="J49" s="395"/>
      <c r="K49" s="395"/>
      <c r="L49" s="395"/>
      <c r="M49" s="395"/>
      <c r="N49" s="395"/>
      <c r="O49" s="395"/>
      <c r="P49" s="395"/>
      <c r="Q49" s="395"/>
      <c r="R49" s="395"/>
      <c r="S49" s="395"/>
      <c r="T49" s="395"/>
      <c r="U49" s="395"/>
      <c r="V49" s="805">
        <f t="shared" si="0"/>
        <v>0</v>
      </c>
    </row>
    <row r="50" spans="1:22">
      <c r="A50" s="198">
        <v>2055</v>
      </c>
      <c r="B50" s="2">
        <v>103190</v>
      </c>
      <c r="C50" s="2" t="s">
        <v>129</v>
      </c>
      <c r="D50" s="2" t="s">
        <v>130</v>
      </c>
      <c r="E50" s="190" t="s">
        <v>39</v>
      </c>
      <c r="F50" s="211" t="s">
        <v>890</v>
      </c>
      <c r="H50" s="805">
        <v>0</v>
      </c>
      <c r="I50" s="805">
        <v>0</v>
      </c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805">
        <f t="shared" si="0"/>
        <v>0</v>
      </c>
    </row>
    <row r="51" spans="1:22">
      <c r="A51" s="198">
        <v>1802</v>
      </c>
      <c r="B51" s="2">
        <v>103150</v>
      </c>
      <c r="C51" s="2" t="s">
        <v>131</v>
      </c>
      <c r="D51" s="2" t="s">
        <v>132</v>
      </c>
      <c r="E51" s="190" t="s">
        <v>36</v>
      </c>
      <c r="F51" s="211" t="s">
        <v>890</v>
      </c>
      <c r="H51" s="805">
        <v>0</v>
      </c>
      <c r="I51" s="805">
        <v>0</v>
      </c>
      <c r="J51" s="395"/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805">
        <f t="shared" si="0"/>
        <v>0</v>
      </c>
    </row>
    <row r="52" spans="1:22">
      <c r="A52" s="198">
        <v>2454</v>
      </c>
      <c r="B52" s="2">
        <v>103381</v>
      </c>
      <c r="C52" s="2" t="s">
        <v>133</v>
      </c>
      <c r="D52" s="2" t="s">
        <v>134</v>
      </c>
      <c r="E52" s="190" t="s">
        <v>39</v>
      </c>
      <c r="F52" s="211" t="s">
        <v>890</v>
      </c>
      <c r="H52" s="805">
        <v>0</v>
      </c>
      <c r="I52" s="805">
        <v>0</v>
      </c>
      <c r="J52" s="395"/>
      <c r="K52" s="395"/>
      <c r="L52" s="395"/>
      <c r="M52" s="395"/>
      <c r="N52" s="395"/>
      <c r="O52" s="395"/>
      <c r="P52" s="395"/>
      <c r="Q52" s="395"/>
      <c r="R52" s="395"/>
      <c r="S52" s="395"/>
      <c r="T52" s="395"/>
      <c r="U52" s="395"/>
      <c r="V52" s="805">
        <f t="shared" si="0"/>
        <v>0</v>
      </c>
    </row>
    <row r="53" spans="1:22">
      <c r="A53" s="198">
        <v>3321</v>
      </c>
      <c r="B53" s="2">
        <v>103425</v>
      </c>
      <c r="C53" s="2" t="s">
        <v>135</v>
      </c>
      <c r="D53" s="2" t="s">
        <v>136</v>
      </c>
      <c r="E53" s="190" t="s">
        <v>39</v>
      </c>
      <c r="F53" s="211" t="s">
        <v>890</v>
      </c>
      <c r="H53" s="805">
        <v>0</v>
      </c>
      <c r="I53" s="805">
        <v>0</v>
      </c>
      <c r="J53" s="395"/>
      <c r="K53" s="395"/>
      <c r="L53" s="395"/>
      <c r="M53" s="395"/>
      <c r="N53" s="395"/>
      <c r="O53" s="395"/>
      <c r="P53" s="395"/>
      <c r="Q53" s="395"/>
      <c r="R53" s="395"/>
      <c r="S53" s="395"/>
      <c r="T53" s="395"/>
      <c r="U53" s="395"/>
      <c r="V53" s="805">
        <f t="shared" si="0"/>
        <v>0</v>
      </c>
    </row>
    <row r="54" spans="1:22">
      <c r="A54" s="198">
        <v>1026</v>
      </c>
      <c r="B54" s="2">
        <v>103139</v>
      </c>
      <c r="C54" s="2" t="s">
        <v>137</v>
      </c>
      <c r="D54" s="2" t="s">
        <v>138</v>
      </c>
      <c r="E54" s="190" t="s">
        <v>36</v>
      </c>
      <c r="F54" s="211" t="s">
        <v>890</v>
      </c>
      <c r="H54" s="805">
        <v>0</v>
      </c>
      <c r="I54" s="805">
        <v>0</v>
      </c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805">
        <f t="shared" si="0"/>
        <v>0</v>
      </c>
    </row>
    <row r="55" spans="1:22">
      <c r="A55" s="198">
        <v>2294</v>
      </c>
      <c r="B55" s="2">
        <v>103318</v>
      </c>
      <c r="C55" s="2" t="s">
        <v>139</v>
      </c>
      <c r="D55" s="2" t="s">
        <v>140</v>
      </c>
      <c r="E55" s="190" t="s">
        <v>39</v>
      </c>
      <c r="F55" s="211" t="s">
        <v>890</v>
      </c>
      <c r="H55" s="805">
        <v>0</v>
      </c>
      <c r="I55" s="805">
        <v>0</v>
      </c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805">
        <f t="shared" si="0"/>
        <v>0</v>
      </c>
    </row>
    <row r="56" spans="1:22">
      <c r="A56" s="198">
        <v>2486</v>
      </c>
      <c r="B56" s="2">
        <v>133759</v>
      </c>
      <c r="C56" s="2" t="s">
        <v>141</v>
      </c>
      <c r="D56" s="2" t="s">
        <v>142</v>
      </c>
      <c r="E56" s="190" t="s">
        <v>39</v>
      </c>
      <c r="F56" s="211" t="s">
        <v>890</v>
      </c>
      <c r="H56" s="805">
        <v>0</v>
      </c>
      <c r="I56" s="805">
        <v>0</v>
      </c>
      <c r="J56" s="395"/>
      <c r="K56" s="395"/>
      <c r="L56" s="395"/>
      <c r="M56" s="395"/>
      <c r="N56" s="395"/>
      <c r="O56" s="395"/>
      <c r="P56" s="395"/>
      <c r="Q56" s="395"/>
      <c r="R56" s="395"/>
      <c r="S56" s="395"/>
      <c r="T56" s="395"/>
      <c r="U56" s="395"/>
      <c r="V56" s="805">
        <f t="shared" si="0"/>
        <v>0</v>
      </c>
    </row>
    <row r="57" spans="1:22">
      <c r="A57" s="198">
        <v>3435</v>
      </c>
      <c r="B57" s="2">
        <v>131920</v>
      </c>
      <c r="C57" s="2" t="s">
        <v>143</v>
      </c>
      <c r="D57" s="2" t="s">
        <v>144</v>
      </c>
      <c r="E57" s="190" t="s">
        <v>39</v>
      </c>
      <c r="F57" s="211" t="s">
        <v>890</v>
      </c>
      <c r="H57" s="805">
        <v>0</v>
      </c>
      <c r="I57" s="805">
        <v>0</v>
      </c>
      <c r="J57" s="395"/>
      <c r="K57" s="395"/>
      <c r="L57" s="395"/>
      <c r="M57" s="395"/>
      <c r="N57" s="395"/>
      <c r="O57" s="395"/>
      <c r="P57" s="395"/>
      <c r="Q57" s="395"/>
      <c r="R57" s="395"/>
      <c r="S57" s="395"/>
      <c r="T57" s="395"/>
      <c r="U57" s="395"/>
      <c r="V57" s="805">
        <f t="shared" si="0"/>
        <v>0</v>
      </c>
    </row>
    <row r="58" spans="1:22">
      <c r="A58" s="198">
        <v>7050</v>
      </c>
      <c r="B58" s="2">
        <v>103625</v>
      </c>
      <c r="C58" s="2" t="s">
        <v>145</v>
      </c>
      <c r="D58" s="2" t="s">
        <v>146</v>
      </c>
      <c r="E58" s="190" t="s">
        <v>56</v>
      </c>
      <c r="F58" s="211" t="s">
        <v>890</v>
      </c>
      <c r="H58" s="805">
        <v>0</v>
      </c>
      <c r="I58" s="805">
        <v>0</v>
      </c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805">
        <f t="shared" si="0"/>
        <v>0</v>
      </c>
    </row>
    <row r="59" spans="1:22">
      <c r="A59" s="198">
        <v>1006</v>
      </c>
      <c r="B59" s="2">
        <v>103122</v>
      </c>
      <c r="C59" s="2" t="s">
        <v>147</v>
      </c>
      <c r="D59" s="2" t="s">
        <v>148</v>
      </c>
      <c r="E59" s="190" t="s">
        <v>36</v>
      </c>
      <c r="F59" s="211" t="s">
        <v>890</v>
      </c>
      <c r="H59" s="805">
        <v>0</v>
      </c>
      <c r="I59" s="805">
        <v>0</v>
      </c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805">
        <f t="shared" si="0"/>
        <v>0</v>
      </c>
    </row>
    <row r="60" spans="1:22">
      <c r="A60" s="198">
        <v>2079</v>
      </c>
      <c r="B60" s="2">
        <v>103200</v>
      </c>
      <c r="C60" s="2" t="s">
        <v>149</v>
      </c>
      <c r="D60" s="2" t="s">
        <v>150</v>
      </c>
      <c r="E60" s="190" t="s">
        <v>39</v>
      </c>
      <c r="F60" s="211" t="s">
        <v>890</v>
      </c>
      <c r="H60" s="805">
        <v>0</v>
      </c>
      <c r="I60" s="805">
        <v>0</v>
      </c>
      <c r="J60" s="395"/>
      <c r="K60" s="395"/>
      <c r="L60" s="395"/>
      <c r="M60" s="395"/>
      <c r="N60" s="395"/>
      <c r="O60" s="395"/>
      <c r="P60" s="395"/>
      <c r="Q60" s="395"/>
      <c r="R60" s="395"/>
      <c r="S60" s="395"/>
      <c r="T60" s="395"/>
      <c r="U60" s="395"/>
      <c r="V60" s="805">
        <f t="shared" si="0"/>
        <v>0</v>
      </c>
    </row>
    <row r="61" spans="1:22">
      <c r="A61" s="198">
        <v>2081</v>
      </c>
      <c r="B61" s="2">
        <v>103201</v>
      </c>
      <c r="C61" s="2" t="s">
        <v>151</v>
      </c>
      <c r="D61" s="2" t="s">
        <v>152</v>
      </c>
      <c r="E61" s="190" t="s">
        <v>39</v>
      </c>
      <c r="F61" s="211" t="s">
        <v>890</v>
      </c>
      <c r="H61" s="805">
        <v>0</v>
      </c>
      <c r="I61" s="805">
        <v>0</v>
      </c>
      <c r="J61" s="395"/>
      <c r="K61" s="395"/>
      <c r="L61" s="395"/>
      <c r="M61" s="395"/>
      <c r="N61" s="395"/>
      <c r="O61" s="395"/>
      <c r="P61" s="395"/>
      <c r="Q61" s="395"/>
      <c r="R61" s="395"/>
      <c r="S61" s="395"/>
      <c r="T61" s="395"/>
      <c r="U61" s="395"/>
      <c r="V61" s="805">
        <f t="shared" si="0"/>
        <v>0</v>
      </c>
    </row>
    <row r="62" spans="1:22">
      <c r="A62" s="198">
        <v>2296</v>
      </c>
      <c r="B62" s="2">
        <v>103320</v>
      </c>
      <c r="C62" s="2" t="s">
        <v>153</v>
      </c>
      <c r="D62" s="2" t="s">
        <v>154</v>
      </c>
      <c r="E62" s="190" t="s">
        <v>39</v>
      </c>
      <c r="F62" s="211" t="s">
        <v>897</v>
      </c>
      <c r="H62" s="805">
        <v>0</v>
      </c>
      <c r="I62" s="805">
        <v>0</v>
      </c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805">
        <f t="shared" si="0"/>
        <v>0</v>
      </c>
    </row>
    <row r="63" spans="1:22">
      <c r="A63" s="198">
        <v>1015</v>
      </c>
      <c r="B63" s="2">
        <v>103128</v>
      </c>
      <c r="C63" s="2" t="s">
        <v>155</v>
      </c>
      <c r="D63" s="2" t="s">
        <v>156</v>
      </c>
      <c r="E63" s="190" t="s">
        <v>36</v>
      </c>
      <c r="F63" s="211" t="s">
        <v>890</v>
      </c>
      <c r="H63" s="805">
        <v>0</v>
      </c>
      <c r="I63" s="805">
        <v>0</v>
      </c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805">
        <f t="shared" si="0"/>
        <v>0</v>
      </c>
    </row>
    <row r="64" spans="1:22">
      <c r="A64" s="198">
        <v>1022</v>
      </c>
      <c r="B64" s="2">
        <v>103135</v>
      </c>
      <c r="C64" s="2" t="s">
        <v>157</v>
      </c>
      <c r="D64" s="2" t="s">
        <v>158</v>
      </c>
      <c r="E64" s="190" t="s">
        <v>36</v>
      </c>
      <c r="F64" s="211" t="s">
        <v>890</v>
      </c>
      <c r="H64" s="805">
        <v>0</v>
      </c>
      <c r="I64" s="805">
        <v>0</v>
      </c>
      <c r="J64" s="395"/>
      <c r="K64" s="395"/>
      <c r="L64" s="395"/>
      <c r="M64" s="395"/>
      <c r="N64" s="395"/>
      <c r="O64" s="395"/>
      <c r="P64" s="395"/>
      <c r="Q64" s="395"/>
      <c r="R64" s="395"/>
      <c r="S64" s="395"/>
      <c r="T64" s="395"/>
      <c r="U64" s="395"/>
      <c r="V64" s="805">
        <f t="shared" si="0"/>
        <v>0</v>
      </c>
    </row>
    <row r="65" spans="1:22">
      <c r="A65" s="198">
        <v>2087</v>
      </c>
      <c r="B65" s="2">
        <v>103205</v>
      </c>
      <c r="C65" s="2" t="s">
        <v>159</v>
      </c>
      <c r="D65" s="2" t="s">
        <v>160</v>
      </c>
      <c r="E65" s="190" t="s">
        <v>39</v>
      </c>
      <c r="F65" s="211" t="s">
        <v>890</v>
      </c>
      <c r="H65" s="805">
        <v>0</v>
      </c>
      <c r="I65" s="805">
        <v>0</v>
      </c>
      <c r="J65" s="395"/>
      <c r="K65" s="395"/>
      <c r="L65" s="395"/>
      <c r="M65" s="395"/>
      <c r="N65" s="395"/>
      <c r="O65" s="395"/>
      <c r="P65" s="395"/>
      <c r="Q65" s="395"/>
      <c r="R65" s="395"/>
      <c r="S65" s="395"/>
      <c r="T65" s="395"/>
      <c r="U65" s="395"/>
      <c r="V65" s="805">
        <f t="shared" si="0"/>
        <v>0</v>
      </c>
    </row>
    <row r="66" spans="1:22">
      <c r="A66" s="198">
        <v>2466</v>
      </c>
      <c r="B66" s="2">
        <v>103392</v>
      </c>
      <c r="C66" s="2" t="s">
        <v>161</v>
      </c>
      <c r="D66" s="2" t="s">
        <v>162</v>
      </c>
      <c r="E66" s="190" t="s">
        <v>39</v>
      </c>
      <c r="F66" s="211" t="s">
        <v>890</v>
      </c>
      <c r="H66" s="805">
        <v>0</v>
      </c>
      <c r="I66" s="805">
        <v>0</v>
      </c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805">
        <f t="shared" si="0"/>
        <v>0</v>
      </c>
    </row>
    <row r="67" spans="1:22">
      <c r="A67" s="198">
        <v>2091</v>
      </c>
      <c r="B67" s="2">
        <v>103208</v>
      </c>
      <c r="C67" s="2" t="s">
        <v>163</v>
      </c>
      <c r="D67" s="2" t="s">
        <v>164</v>
      </c>
      <c r="E67" s="190" t="s">
        <v>39</v>
      </c>
      <c r="F67" s="211" t="s">
        <v>890</v>
      </c>
      <c r="H67" s="805">
        <v>0</v>
      </c>
      <c r="I67" s="805">
        <v>0</v>
      </c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805">
        <f t="shared" si="0"/>
        <v>0</v>
      </c>
    </row>
    <row r="68" spans="1:22">
      <c r="A68" s="198">
        <v>2093</v>
      </c>
      <c r="B68" s="2">
        <v>103210</v>
      </c>
      <c r="C68" s="2" t="s">
        <v>165</v>
      </c>
      <c r="D68" s="2" t="s">
        <v>166</v>
      </c>
      <c r="E68" s="190" t="s">
        <v>39</v>
      </c>
      <c r="F68" s="211" t="s">
        <v>890</v>
      </c>
      <c r="H68" s="805">
        <v>0</v>
      </c>
      <c r="I68" s="805">
        <v>0</v>
      </c>
      <c r="J68" s="395"/>
      <c r="K68" s="395"/>
      <c r="L68" s="395"/>
      <c r="M68" s="395"/>
      <c r="N68" s="395"/>
      <c r="O68" s="395"/>
      <c r="P68" s="395"/>
      <c r="Q68" s="395"/>
      <c r="R68" s="395"/>
      <c r="S68" s="395"/>
      <c r="T68" s="395"/>
      <c r="U68" s="395"/>
      <c r="V68" s="805">
        <f t="shared" si="0"/>
        <v>0</v>
      </c>
    </row>
    <row r="69" spans="1:22">
      <c r="A69" s="198">
        <v>2092</v>
      </c>
      <c r="B69" s="2">
        <v>103209</v>
      </c>
      <c r="C69" s="2" t="s">
        <v>167</v>
      </c>
      <c r="D69" s="2" t="s">
        <v>168</v>
      </c>
      <c r="E69" s="190" t="s">
        <v>39</v>
      </c>
      <c r="F69" s="211" t="s">
        <v>890</v>
      </c>
      <c r="H69" s="805">
        <v>0</v>
      </c>
      <c r="I69" s="805">
        <v>0</v>
      </c>
      <c r="J69" s="395"/>
      <c r="K69" s="395"/>
      <c r="L69" s="395"/>
      <c r="M69" s="395"/>
      <c r="N69" s="395"/>
      <c r="O69" s="395"/>
      <c r="P69" s="395"/>
      <c r="Q69" s="395"/>
      <c r="R69" s="395"/>
      <c r="S69" s="395"/>
      <c r="T69" s="395"/>
      <c r="U69" s="395"/>
      <c r="V69" s="805">
        <f t="shared" si="0"/>
        <v>0</v>
      </c>
    </row>
    <row r="70" spans="1:22">
      <c r="A70" s="198">
        <v>7006</v>
      </c>
      <c r="B70" s="2">
        <v>103600</v>
      </c>
      <c r="C70" s="2" t="s">
        <v>169</v>
      </c>
      <c r="D70" s="2" t="s">
        <v>170</v>
      </c>
      <c r="E70" s="190" t="s">
        <v>56</v>
      </c>
      <c r="F70" s="211" t="s">
        <v>890</v>
      </c>
      <c r="H70" s="805">
        <v>0</v>
      </c>
      <c r="I70" s="805">
        <v>-500000</v>
      </c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805">
        <f t="shared" ref="V70:V133" si="1">SUM(H70:U70)</f>
        <v>-500000</v>
      </c>
    </row>
    <row r="71" spans="1:22">
      <c r="A71" s="198">
        <v>2477</v>
      </c>
      <c r="B71" s="2">
        <v>132261</v>
      </c>
      <c r="C71" s="2" t="s">
        <v>171</v>
      </c>
      <c r="D71" s="2" t="s">
        <v>172</v>
      </c>
      <c r="E71" s="190" t="s">
        <v>39</v>
      </c>
      <c r="F71" s="211" t="s">
        <v>890</v>
      </c>
      <c r="H71" s="805">
        <v>0</v>
      </c>
      <c r="I71" s="805">
        <v>0</v>
      </c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805">
        <f t="shared" si="1"/>
        <v>0</v>
      </c>
    </row>
    <row r="72" spans="1:22">
      <c r="A72" s="198">
        <v>3436</v>
      </c>
      <c r="B72" s="2">
        <v>136440</v>
      </c>
      <c r="C72" s="2" t="s">
        <v>173</v>
      </c>
      <c r="D72" s="2" t="s">
        <v>174</v>
      </c>
      <c r="E72" s="190" t="s">
        <v>39</v>
      </c>
      <c r="F72" s="211" t="s">
        <v>890</v>
      </c>
      <c r="H72" s="805">
        <v>0</v>
      </c>
      <c r="I72" s="805">
        <v>0</v>
      </c>
      <c r="J72" s="395"/>
      <c r="K72" s="395"/>
      <c r="L72" s="395"/>
      <c r="M72" s="395"/>
      <c r="N72" s="395"/>
      <c r="O72" s="395"/>
      <c r="P72" s="395"/>
      <c r="Q72" s="395"/>
      <c r="R72" s="395"/>
      <c r="S72" s="395"/>
      <c r="T72" s="395"/>
      <c r="U72" s="395"/>
      <c r="V72" s="805">
        <f t="shared" si="1"/>
        <v>0</v>
      </c>
    </row>
    <row r="73" spans="1:22">
      <c r="A73" s="198">
        <v>2099</v>
      </c>
      <c r="B73" s="2">
        <v>103214</v>
      </c>
      <c r="C73" s="2" t="s">
        <v>175</v>
      </c>
      <c r="D73" s="2" t="s">
        <v>176</v>
      </c>
      <c r="E73" s="190" t="s">
        <v>39</v>
      </c>
      <c r="F73" s="211" t="s">
        <v>890</v>
      </c>
      <c r="H73" s="805">
        <v>0</v>
      </c>
      <c r="I73" s="805">
        <v>0</v>
      </c>
      <c r="J73" s="395"/>
      <c r="K73" s="395"/>
      <c r="L73" s="395"/>
      <c r="M73" s="395"/>
      <c r="N73" s="395"/>
      <c r="O73" s="395"/>
      <c r="P73" s="395"/>
      <c r="Q73" s="395"/>
      <c r="R73" s="395"/>
      <c r="S73" s="395"/>
      <c r="T73" s="395"/>
      <c r="U73" s="395"/>
      <c r="V73" s="805">
        <f t="shared" si="1"/>
        <v>0</v>
      </c>
    </row>
    <row r="74" spans="1:22">
      <c r="A74" s="198">
        <v>1010</v>
      </c>
      <c r="B74" s="2">
        <v>103125</v>
      </c>
      <c r="C74" s="2" t="s">
        <v>177</v>
      </c>
      <c r="D74" s="2" t="s">
        <v>178</v>
      </c>
      <c r="E74" s="190" t="s">
        <v>36</v>
      </c>
      <c r="F74" s="211" t="s">
        <v>890</v>
      </c>
      <c r="H74" s="805">
        <v>0</v>
      </c>
      <c r="I74" s="805">
        <v>0</v>
      </c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805">
        <f t="shared" si="1"/>
        <v>0</v>
      </c>
    </row>
    <row r="75" spans="1:22">
      <c r="A75" s="198">
        <v>1021</v>
      </c>
      <c r="B75" s="2">
        <v>103134</v>
      </c>
      <c r="C75" s="2" t="s">
        <v>179</v>
      </c>
      <c r="D75" s="2" t="s">
        <v>180</v>
      </c>
      <c r="E75" s="190" t="s">
        <v>36</v>
      </c>
      <c r="F75" s="211" t="s">
        <v>890</v>
      </c>
      <c r="H75" s="805">
        <v>0</v>
      </c>
      <c r="I75" s="805">
        <v>0</v>
      </c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805">
        <f t="shared" si="1"/>
        <v>0</v>
      </c>
    </row>
    <row r="76" spans="1:22">
      <c r="A76" s="198">
        <v>4201</v>
      </c>
      <c r="B76" s="2">
        <v>103503</v>
      </c>
      <c r="C76" s="2" t="s">
        <v>181</v>
      </c>
      <c r="D76" s="2" t="s">
        <v>182</v>
      </c>
      <c r="E76" s="190" t="s">
        <v>71</v>
      </c>
      <c r="F76" s="211" t="s">
        <v>890</v>
      </c>
      <c r="H76" s="805">
        <v>0</v>
      </c>
      <c r="I76" s="805">
        <v>0</v>
      </c>
      <c r="J76" s="395"/>
      <c r="K76" s="395"/>
      <c r="L76" s="395"/>
      <c r="M76" s="395"/>
      <c r="N76" s="395"/>
      <c r="O76" s="395"/>
      <c r="P76" s="395"/>
      <c r="Q76" s="395"/>
      <c r="R76" s="395"/>
      <c r="S76" s="395"/>
      <c r="T76" s="395"/>
      <c r="U76" s="395"/>
      <c r="V76" s="805">
        <f t="shared" si="1"/>
        <v>0</v>
      </c>
    </row>
    <row r="77" spans="1:22">
      <c r="A77" s="198">
        <v>4015</v>
      </c>
      <c r="B77" s="2">
        <v>103483</v>
      </c>
      <c r="C77" s="2" t="s">
        <v>183</v>
      </c>
      <c r="D77" s="2" t="s">
        <v>184</v>
      </c>
      <c r="E77" s="190" t="s">
        <v>71</v>
      </c>
      <c r="F77" s="211" t="s">
        <v>890</v>
      </c>
      <c r="H77" s="805">
        <v>0</v>
      </c>
      <c r="I77" s="805">
        <v>0</v>
      </c>
      <c r="J77" s="395"/>
      <c r="K77" s="395"/>
      <c r="L77" s="395"/>
      <c r="M77" s="395"/>
      <c r="N77" s="395"/>
      <c r="O77" s="395"/>
      <c r="P77" s="395"/>
      <c r="Q77" s="395"/>
      <c r="R77" s="395"/>
      <c r="S77" s="395"/>
      <c r="T77" s="395"/>
      <c r="U77" s="395"/>
      <c r="V77" s="805">
        <f t="shared" si="1"/>
        <v>0</v>
      </c>
    </row>
    <row r="78" spans="1:22">
      <c r="A78" s="198">
        <v>3411</v>
      </c>
      <c r="B78" s="2">
        <v>103479</v>
      </c>
      <c r="C78" s="2" t="s">
        <v>185</v>
      </c>
      <c r="D78" s="2" t="s">
        <v>186</v>
      </c>
      <c r="E78" s="190" t="s">
        <v>39</v>
      </c>
      <c r="F78" s="211" t="s">
        <v>890</v>
      </c>
      <c r="H78" s="805">
        <v>0</v>
      </c>
      <c r="I78" s="805">
        <v>0</v>
      </c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805">
        <f t="shared" si="1"/>
        <v>0</v>
      </c>
    </row>
    <row r="79" spans="1:22">
      <c r="A79" s="198">
        <v>2474</v>
      </c>
      <c r="B79" s="2">
        <v>131672</v>
      </c>
      <c r="C79" s="2" t="s">
        <v>187</v>
      </c>
      <c r="D79" s="2" t="s">
        <v>188</v>
      </c>
      <c r="E79" s="190" t="s">
        <v>39</v>
      </c>
      <c r="F79" s="211" t="s">
        <v>890</v>
      </c>
      <c r="H79" s="805">
        <v>0</v>
      </c>
      <c r="I79" s="805">
        <v>0</v>
      </c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805">
        <f t="shared" si="1"/>
        <v>0</v>
      </c>
    </row>
    <row r="80" spans="1:22">
      <c r="A80" s="198">
        <v>4223</v>
      </c>
      <c r="B80" s="2">
        <v>103509</v>
      </c>
      <c r="C80" s="2" t="s">
        <v>189</v>
      </c>
      <c r="D80" s="2" t="s">
        <v>190</v>
      </c>
      <c r="E80" s="190" t="s">
        <v>71</v>
      </c>
      <c r="F80" s="211" t="s">
        <v>890</v>
      </c>
      <c r="H80" s="805">
        <v>0</v>
      </c>
      <c r="I80" s="805">
        <v>0</v>
      </c>
      <c r="J80" s="395"/>
      <c r="K80" s="395"/>
      <c r="L80" s="395"/>
      <c r="M80" s="395"/>
      <c r="N80" s="395"/>
      <c r="O80" s="395"/>
      <c r="P80" s="395"/>
      <c r="Q80" s="395"/>
      <c r="R80" s="395"/>
      <c r="S80" s="395"/>
      <c r="T80" s="395"/>
      <c r="U80" s="395"/>
      <c r="V80" s="805">
        <f t="shared" si="1"/>
        <v>0</v>
      </c>
    </row>
    <row r="81" spans="1:22">
      <c r="A81" s="198">
        <v>3317</v>
      </c>
      <c r="B81" s="2">
        <v>103421</v>
      </c>
      <c r="C81" s="2" t="s">
        <v>191</v>
      </c>
      <c r="D81" s="2" t="s">
        <v>192</v>
      </c>
      <c r="E81" s="190" t="s">
        <v>39</v>
      </c>
      <c r="F81" s="211" t="s">
        <v>890</v>
      </c>
      <c r="H81" s="805">
        <v>0</v>
      </c>
      <c r="I81" s="805">
        <v>0</v>
      </c>
      <c r="J81" s="395"/>
      <c r="K81" s="395"/>
      <c r="L81" s="395"/>
      <c r="M81" s="395"/>
      <c r="N81" s="395"/>
      <c r="O81" s="395"/>
      <c r="P81" s="395"/>
      <c r="Q81" s="395"/>
      <c r="R81" s="395"/>
      <c r="S81" s="395"/>
      <c r="T81" s="395"/>
      <c r="U81" s="395"/>
      <c r="V81" s="805">
        <f t="shared" si="1"/>
        <v>0</v>
      </c>
    </row>
    <row r="82" spans="1:22">
      <c r="A82" s="198">
        <v>1023</v>
      </c>
      <c r="B82" s="2">
        <v>103136</v>
      </c>
      <c r="C82" s="2" t="s">
        <v>193</v>
      </c>
      <c r="D82" s="2" t="s">
        <v>194</v>
      </c>
      <c r="E82" s="190" t="s">
        <v>36</v>
      </c>
      <c r="F82" s="211" t="s">
        <v>890</v>
      </c>
      <c r="H82" s="805">
        <v>0</v>
      </c>
      <c r="I82" s="805">
        <v>0</v>
      </c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805">
        <f t="shared" si="1"/>
        <v>0</v>
      </c>
    </row>
    <row r="83" spans="1:22">
      <c r="A83" s="198">
        <v>2015</v>
      </c>
      <c r="B83" s="2">
        <v>134102</v>
      </c>
      <c r="C83" s="2" t="s">
        <v>195</v>
      </c>
      <c r="D83" s="2" t="s">
        <v>196</v>
      </c>
      <c r="E83" s="190" t="s">
        <v>39</v>
      </c>
      <c r="F83" s="211" t="s">
        <v>890</v>
      </c>
      <c r="H83" s="805">
        <v>0</v>
      </c>
      <c r="I83" s="805">
        <v>0</v>
      </c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805">
        <f t="shared" si="1"/>
        <v>0</v>
      </c>
    </row>
    <row r="84" spans="1:22">
      <c r="A84" s="198">
        <v>3352</v>
      </c>
      <c r="B84" s="2">
        <v>103444</v>
      </c>
      <c r="C84" s="2" t="s">
        <v>197</v>
      </c>
      <c r="D84" s="2" t="s">
        <v>198</v>
      </c>
      <c r="E84" s="190" t="s">
        <v>39</v>
      </c>
      <c r="F84" s="211" t="s">
        <v>890</v>
      </c>
      <c r="H84" s="805">
        <v>0</v>
      </c>
      <c r="I84" s="805">
        <v>0</v>
      </c>
      <c r="J84" s="395"/>
      <c r="K84" s="395"/>
      <c r="L84" s="395"/>
      <c r="M84" s="395"/>
      <c r="N84" s="395"/>
      <c r="O84" s="395"/>
      <c r="P84" s="395"/>
      <c r="Q84" s="395"/>
      <c r="R84" s="395"/>
      <c r="S84" s="395"/>
      <c r="T84" s="395"/>
      <c r="U84" s="395"/>
      <c r="V84" s="805">
        <f t="shared" si="1"/>
        <v>0</v>
      </c>
    </row>
    <row r="85" spans="1:22">
      <c r="A85" s="198">
        <v>2005</v>
      </c>
      <c r="B85" s="2">
        <v>134098</v>
      </c>
      <c r="C85" s="2" t="s">
        <v>199</v>
      </c>
      <c r="D85" s="2" t="s">
        <v>200</v>
      </c>
      <c r="E85" s="190" t="s">
        <v>39</v>
      </c>
      <c r="F85" s="211" t="s">
        <v>890</v>
      </c>
      <c r="H85" s="805">
        <v>0</v>
      </c>
      <c r="I85" s="805">
        <v>0</v>
      </c>
      <c r="J85" s="395"/>
      <c r="K85" s="395"/>
      <c r="L85" s="395"/>
      <c r="M85" s="395"/>
      <c r="N85" s="395"/>
      <c r="O85" s="395"/>
      <c r="P85" s="395"/>
      <c r="Q85" s="395"/>
      <c r="R85" s="395"/>
      <c r="S85" s="395"/>
      <c r="T85" s="395"/>
      <c r="U85" s="395"/>
      <c r="V85" s="805">
        <f t="shared" si="1"/>
        <v>0</v>
      </c>
    </row>
    <row r="86" spans="1:22">
      <c r="A86" s="198">
        <v>4063</v>
      </c>
      <c r="B86" s="2">
        <v>103486</v>
      </c>
      <c r="C86" s="2" t="s">
        <v>201</v>
      </c>
      <c r="D86" s="2" t="s">
        <v>202</v>
      </c>
      <c r="E86" s="190" t="s">
        <v>71</v>
      </c>
      <c r="F86" s="211" t="s">
        <v>890</v>
      </c>
      <c r="H86" s="805">
        <v>0</v>
      </c>
      <c r="I86" s="805">
        <v>0</v>
      </c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805">
        <f t="shared" si="1"/>
        <v>0</v>
      </c>
    </row>
    <row r="87" spans="1:22">
      <c r="A87" s="198">
        <v>1016</v>
      </c>
      <c r="B87" s="2">
        <v>103129</v>
      </c>
      <c r="C87" s="2" t="s">
        <v>203</v>
      </c>
      <c r="D87" s="2" t="s">
        <v>204</v>
      </c>
      <c r="E87" s="190" t="s">
        <v>36</v>
      </c>
      <c r="F87" s="211" t="s">
        <v>890</v>
      </c>
      <c r="H87" s="805">
        <v>0</v>
      </c>
      <c r="I87" s="805">
        <v>0</v>
      </c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805">
        <f t="shared" si="1"/>
        <v>0</v>
      </c>
    </row>
    <row r="88" spans="1:22">
      <c r="A88" s="198">
        <v>2115</v>
      </c>
      <c r="B88" s="2">
        <v>103221</v>
      </c>
      <c r="C88" s="2" t="s">
        <v>205</v>
      </c>
      <c r="D88" s="2" t="s">
        <v>206</v>
      </c>
      <c r="E88" s="190" t="s">
        <v>39</v>
      </c>
      <c r="F88" s="211" t="s">
        <v>890</v>
      </c>
      <c r="H88" s="805">
        <v>0</v>
      </c>
      <c r="I88" s="805">
        <v>0</v>
      </c>
      <c r="J88" s="395"/>
      <c r="K88" s="395"/>
      <c r="L88" s="395"/>
      <c r="M88" s="395"/>
      <c r="N88" s="395"/>
      <c r="O88" s="395"/>
      <c r="P88" s="395"/>
      <c r="Q88" s="395"/>
      <c r="R88" s="395"/>
      <c r="S88" s="395"/>
      <c r="T88" s="395"/>
      <c r="U88" s="395"/>
      <c r="V88" s="805">
        <f t="shared" si="1"/>
        <v>0</v>
      </c>
    </row>
    <row r="89" spans="1:22">
      <c r="A89" s="198">
        <v>2441</v>
      </c>
      <c r="B89" s="2">
        <v>103368</v>
      </c>
      <c r="C89" s="2" t="s">
        <v>207</v>
      </c>
      <c r="D89" s="2" t="s">
        <v>208</v>
      </c>
      <c r="E89" s="190" t="s">
        <v>39</v>
      </c>
      <c r="F89" s="211" t="s">
        <v>890</v>
      </c>
      <c r="H89" s="805">
        <v>0</v>
      </c>
      <c r="I89" s="805">
        <v>0</v>
      </c>
      <c r="J89" s="395"/>
      <c r="K89" s="395"/>
      <c r="L89" s="395"/>
      <c r="M89" s="395"/>
      <c r="N89" s="395"/>
      <c r="O89" s="395"/>
      <c r="P89" s="395"/>
      <c r="Q89" s="395"/>
      <c r="R89" s="395"/>
      <c r="S89" s="395"/>
      <c r="T89" s="395"/>
      <c r="U89" s="395"/>
      <c r="V89" s="805">
        <f t="shared" si="1"/>
        <v>0</v>
      </c>
    </row>
    <row r="90" spans="1:22">
      <c r="A90" s="198">
        <v>2321</v>
      </c>
      <c r="B90" s="2">
        <v>103339</v>
      </c>
      <c r="C90" s="2" t="s">
        <v>209</v>
      </c>
      <c r="D90" s="2" t="s">
        <v>210</v>
      </c>
      <c r="E90" s="190" t="s">
        <v>39</v>
      </c>
      <c r="F90" s="211" t="s">
        <v>890</v>
      </c>
      <c r="H90" s="805">
        <v>0</v>
      </c>
      <c r="I90" s="805">
        <v>0</v>
      </c>
      <c r="J90" s="395"/>
      <c r="K90" s="395"/>
      <c r="L90" s="395"/>
      <c r="M90" s="395"/>
      <c r="N90" s="395"/>
      <c r="O90" s="395"/>
      <c r="P90" s="395"/>
      <c r="Q90" s="395"/>
      <c r="R90" s="395"/>
      <c r="S90" s="395"/>
      <c r="T90" s="395"/>
      <c r="U90" s="395"/>
      <c r="V90" s="805">
        <f t="shared" si="1"/>
        <v>0</v>
      </c>
    </row>
    <row r="91" spans="1:22">
      <c r="A91" s="198">
        <v>2189</v>
      </c>
      <c r="B91" s="2">
        <v>103265</v>
      </c>
      <c r="C91" s="2" t="s">
        <v>211</v>
      </c>
      <c r="D91" s="2" t="s">
        <v>212</v>
      </c>
      <c r="E91" s="190" t="s">
        <v>39</v>
      </c>
      <c r="F91" s="211" t="s">
        <v>890</v>
      </c>
      <c r="H91" s="805">
        <v>0</v>
      </c>
      <c r="I91" s="805">
        <v>0</v>
      </c>
      <c r="J91" s="395"/>
      <c r="K91" s="395"/>
      <c r="L91" s="395"/>
      <c r="M91" s="395"/>
      <c r="N91" s="395"/>
      <c r="O91" s="395"/>
      <c r="P91" s="395"/>
      <c r="Q91" s="395"/>
      <c r="R91" s="395"/>
      <c r="S91" s="395"/>
      <c r="T91" s="395"/>
      <c r="U91" s="395"/>
      <c r="V91" s="805">
        <f t="shared" si="1"/>
        <v>0</v>
      </c>
    </row>
    <row r="92" spans="1:22">
      <c r="A92" s="198">
        <v>7060</v>
      </c>
      <c r="B92" s="2">
        <v>103630</v>
      </c>
      <c r="C92" s="2" t="s">
        <v>213</v>
      </c>
      <c r="D92" s="2" t="s">
        <v>214</v>
      </c>
      <c r="E92" s="190" t="s">
        <v>56</v>
      </c>
      <c r="F92" s="211" t="s">
        <v>890</v>
      </c>
      <c r="H92" s="805">
        <v>0</v>
      </c>
      <c r="I92" s="805">
        <v>0</v>
      </c>
      <c r="J92" s="395"/>
      <c r="K92" s="395"/>
      <c r="L92" s="395"/>
      <c r="M92" s="395"/>
      <c r="N92" s="395"/>
      <c r="O92" s="395"/>
      <c r="P92" s="395"/>
      <c r="Q92" s="395"/>
      <c r="R92" s="395"/>
      <c r="S92" s="395"/>
      <c r="T92" s="395"/>
      <c r="U92" s="395"/>
      <c r="V92" s="805">
        <f t="shared" si="1"/>
        <v>0</v>
      </c>
    </row>
    <row r="93" spans="1:22">
      <c r="A93" s="198">
        <v>1024</v>
      </c>
      <c r="B93" s="2">
        <v>103137</v>
      </c>
      <c r="C93" s="2" t="s">
        <v>215</v>
      </c>
      <c r="D93" s="2" t="s">
        <v>216</v>
      </c>
      <c r="E93" s="190" t="s">
        <v>36</v>
      </c>
      <c r="F93" s="211" t="s">
        <v>890</v>
      </c>
      <c r="H93" s="805">
        <v>-476499.36</v>
      </c>
      <c r="I93" s="805">
        <v>-306846.31057691597</v>
      </c>
      <c r="J93" s="395"/>
      <c r="K93" s="395"/>
      <c r="L93" s="395"/>
      <c r="M93" s="395"/>
      <c r="N93" s="395"/>
      <c r="O93" s="395"/>
      <c r="P93" s="395"/>
      <c r="Q93" s="395"/>
      <c r="R93" s="395"/>
      <c r="S93" s="395"/>
      <c r="T93" s="395"/>
      <c r="U93" s="395"/>
      <c r="V93" s="805">
        <f t="shared" si="1"/>
        <v>-783345.67057691596</v>
      </c>
    </row>
    <row r="94" spans="1:22">
      <c r="A94" s="198">
        <v>7062</v>
      </c>
      <c r="B94" s="2">
        <v>103632</v>
      </c>
      <c r="C94" s="2" t="s">
        <v>217</v>
      </c>
      <c r="D94" s="2" t="s">
        <v>218</v>
      </c>
      <c r="E94" s="190" t="s">
        <v>56</v>
      </c>
      <c r="F94" s="211" t="s">
        <v>890</v>
      </c>
      <c r="H94" s="805">
        <v>0</v>
      </c>
      <c r="I94" s="805">
        <v>0</v>
      </c>
      <c r="J94" s="395"/>
      <c r="K94" s="395"/>
      <c r="L94" s="395"/>
      <c r="M94" s="395"/>
      <c r="N94" s="395"/>
      <c r="O94" s="395"/>
      <c r="P94" s="395"/>
      <c r="Q94" s="395"/>
      <c r="R94" s="395"/>
      <c r="S94" s="395"/>
      <c r="T94" s="395"/>
      <c r="U94" s="395"/>
      <c r="V94" s="805">
        <f t="shared" si="1"/>
        <v>0</v>
      </c>
    </row>
    <row r="95" spans="1:22">
      <c r="A95" s="198">
        <v>2462</v>
      </c>
      <c r="B95" s="2">
        <v>103388</v>
      </c>
      <c r="C95" s="2" t="s">
        <v>219</v>
      </c>
      <c r="D95" s="2" t="s">
        <v>220</v>
      </c>
      <c r="E95" s="190" t="s">
        <v>39</v>
      </c>
      <c r="F95" s="211" t="s">
        <v>890</v>
      </c>
      <c r="H95" s="805">
        <v>0</v>
      </c>
      <c r="I95" s="805">
        <v>0</v>
      </c>
      <c r="J95" s="395"/>
      <c r="K95" s="395"/>
      <c r="L95" s="395"/>
      <c r="M95" s="395"/>
      <c r="N95" s="395"/>
      <c r="O95" s="395"/>
      <c r="P95" s="395"/>
      <c r="Q95" s="395"/>
      <c r="R95" s="395"/>
      <c r="S95" s="395"/>
      <c r="T95" s="395"/>
      <c r="U95" s="395"/>
      <c r="V95" s="805">
        <f t="shared" si="1"/>
        <v>0</v>
      </c>
    </row>
    <row r="96" spans="1:22">
      <c r="A96" s="198">
        <v>7012</v>
      </c>
      <c r="B96" s="2">
        <v>103603</v>
      </c>
      <c r="C96" s="2" t="s">
        <v>221</v>
      </c>
      <c r="D96" s="2" t="s">
        <v>222</v>
      </c>
      <c r="E96" s="190" t="s">
        <v>56</v>
      </c>
      <c r="F96" s="211" t="s">
        <v>890</v>
      </c>
      <c r="H96" s="805">
        <v>0</v>
      </c>
      <c r="I96" s="805">
        <v>0</v>
      </c>
      <c r="J96" s="395"/>
      <c r="K96" s="395"/>
      <c r="L96" s="395"/>
      <c r="M96" s="395"/>
      <c r="N96" s="395"/>
      <c r="O96" s="395"/>
      <c r="P96" s="395"/>
      <c r="Q96" s="395"/>
      <c r="R96" s="395"/>
      <c r="S96" s="395"/>
      <c r="T96" s="395"/>
      <c r="U96" s="395"/>
      <c r="V96" s="805">
        <f t="shared" si="1"/>
        <v>0</v>
      </c>
    </row>
    <row r="97" spans="1:22">
      <c r="A97" s="198">
        <v>2127</v>
      </c>
      <c r="B97" s="2">
        <v>103227</v>
      </c>
      <c r="C97" s="2" t="s">
        <v>223</v>
      </c>
      <c r="D97" s="2" t="s">
        <v>224</v>
      </c>
      <c r="E97" s="190" t="s">
        <v>39</v>
      </c>
      <c r="F97" s="211" t="s">
        <v>890</v>
      </c>
      <c r="H97" s="805">
        <v>0</v>
      </c>
      <c r="I97" s="805">
        <v>0</v>
      </c>
      <c r="J97" s="395"/>
      <c r="K97" s="395"/>
      <c r="L97" s="395"/>
      <c r="M97" s="395"/>
      <c r="N97" s="395"/>
      <c r="O97" s="395"/>
      <c r="P97" s="395"/>
      <c r="Q97" s="395"/>
      <c r="R97" s="395"/>
      <c r="S97" s="395"/>
      <c r="T97" s="395"/>
      <c r="U97" s="395"/>
      <c r="V97" s="805">
        <f t="shared" si="1"/>
        <v>0</v>
      </c>
    </row>
    <row r="98" spans="1:22">
      <c r="A98" s="198">
        <v>2129</v>
      </c>
      <c r="B98" s="2">
        <v>103229</v>
      </c>
      <c r="C98" s="2" t="s">
        <v>225</v>
      </c>
      <c r="D98" s="2" t="s">
        <v>226</v>
      </c>
      <c r="E98" s="190" t="s">
        <v>39</v>
      </c>
      <c r="F98" s="211" t="s">
        <v>890</v>
      </c>
      <c r="H98" s="805">
        <v>0</v>
      </c>
      <c r="I98" s="805">
        <v>-60000</v>
      </c>
      <c r="J98" s="395"/>
      <c r="K98" s="395"/>
      <c r="L98" s="395"/>
      <c r="M98" s="395"/>
      <c r="N98" s="395"/>
      <c r="O98" s="395"/>
      <c r="P98" s="395"/>
      <c r="Q98" s="395"/>
      <c r="R98" s="395"/>
      <c r="S98" s="395"/>
      <c r="T98" s="395"/>
      <c r="U98" s="395"/>
      <c r="V98" s="805">
        <f t="shared" si="1"/>
        <v>-60000</v>
      </c>
    </row>
    <row r="99" spans="1:22">
      <c r="A99" s="198">
        <v>2128</v>
      </c>
      <c r="B99" s="2">
        <v>103228</v>
      </c>
      <c r="C99" s="2" t="s">
        <v>227</v>
      </c>
      <c r="D99" s="2" t="s">
        <v>228</v>
      </c>
      <c r="E99" s="190" t="s">
        <v>39</v>
      </c>
      <c r="F99" s="211" t="s">
        <v>890</v>
      </c>
      <c r="H99" s="805">
        <v>0</v>
      </c>
      <c r="I99" s="805">
        <v>0</v>
      </c>
      <c r="J99" s="395"/>
      <c r="K99" s="395"/>
      <c r="L99" s="395"/>
      <c r="M99" s="395"/>
      <c r="N99" s="395"/>
      <c r="O99" s="395"/>
      <c r="P99" s="395"/>
      <c r="Q99" s="395"/>
      <c r="R99" s="395"/>
      <c r="S99" s="395"/>
      <c r="T99" s="395"/>
      <c r="U99" s="395"/>
      <c r="V99" s="805">
        <f t="shared" si="1"/>
        <v>0</v>
      </c>
    </row>
    <row r="100" spans="1:22">
      <c r="A100" s="198">
        <v>2420</v>
      </c>
      <c r="B100" s="2">
        <v>103353</v>
      </c>
      <c r="C100" s="2" t="s">
        <v>229</v>
      </c>
      <c r="D100" s="2" t="s">
        <v>230</v>
      </c>
      <c r="E100" s="190" t="s">
        <v>39</v>
      </c>
      <c r="F100" s="211" t="s">
        <v>890</v>
      </c>
      <c r="H100" s="805">
        <v>0</v>
      </c>
      <c r="I100" s="805">
        <v>0</v>
      </c>
      <c r="J100" s="395"/>
      <c r="K100" s="395"/>
      <c r="L100" s="395"/>
      <c r="M100" s="395"/>
      <c r="N100" s="395"/>
      <c r="O100" s="395"/>
      <c r="P100" s="395"/>
      <c r="Q100" s="395"/>
      <c r="R100" s="395"/>
      <c r="S100" s="395"/>
      <c r="T100" s="395"/>
      <c r="U100" s="395"/>
      <c r="V100" s="805">
        <f t="shared" si="1"/>
        <v>0</v>
      </c>
    </row>
    <row r="101" spans="1:22">
      <c r="A101" s="198">
        <v>2004</v>
      </c>
      <c r="B101" s="2">
        <v>134094</v>
      </c>
      <c r="C101" s="2" t="s">
        <v>231</v>
      </c>
      <c r="D101" s="2" t="s">
        <v>232</v>
      </c>
      <c r="E101" s="190" t="s">
        <v>39</v>
      </c>
      <c r="F101" s="211" t="s">
        <v>890</v>
      </c>
      <c r="H101" s="805">
        <v>0</v>
      </c>
      <c r="I101" s="805">
        <v>0</v>
      </c>
      <c r="J101" s="395"/>
      <c r="K101" s="395"/>
      <c r="L101" s="395"/>
      <c r="M101" s="395"/>
      <c r="N101" s="395"/>
      <c r="O101" s="395"/>
      <c r="P101" s="395"/>
      <c r="Q101" s="395"/>
      <c r="R101" s="395"/>
      <c r="S101" s="395"/>
      <c r="T101" s="395"/>
      <c r="U101" s="395"/>
      <c r="V101" s="805">
        <f t="shared" si="1"/>
        <v>0</v>
      </c>
    </row>
    <row r="102" spans="1:22">
      <c r="A102" s="198">
        <v>1012</v>
      </c>
      <c r="B102" s="2">
        <v>103126</v>
      </c>
      <c r="C102" s="2" t="s">
        <v>233</v>
      </c>
      <c r="D102" s="2" t="s">
        <v>234</v>
      </c>
      <c r="E102" s="190" t="s">
        <v>36</v>
      </c>
      <c r="F102" s="211" t="s">
        <v>890</v>
      </c>
      <c r="H102" s="805">
        <v>0</v>
      </c>
      <c r="I102" s="805">
        <v>0</v>
      </c>
      <c r="J102" s="395"/>
      <c r="K102" s="395"/>
      <c r="L102" s="395"/>
      <c r="M102" s="395"/>
      <c r="N102" s="395"/>
      <c r="O102" s="395"/>
      <c r="P102" s="395"/>
      <c r="Q102" s="395"/>
      <c r="R102" s="395"/>
      <c r="S102" s="395"/>
      <c r="T102" s="395"/>
      <c r="U102" s="395"/>
      <c r="V102" s="805">
        <f t="shared" si="1"/>
        <v>0</v>
      </c>
    </row>
    <row r="103" spans="1:22">
      <c r="A103" s="198">
        <v>2133</v>
      </c>
      <c r="B103" s="2">
        <v>103233</v>
      </c>
      <c r="C103" s="2" t="s">
        <v>235</v>
      </c>
      <c r="D103" s="2" t="s">
        <v>236</v>
      </c>
      <c r="E103" s="190" t="s">
        <v>39</v>
      </c>
      <c r="F103" s="211" t="s">
        <v>890</v>
      </c>
      <c r="H103" s="805">
        <v>0</v>
      </c>
      <c r="I103" s="805">
        <v>0</v>
      </c>
      <c r="J103" s="395"/>
      <c r="K103" s="395"/>
      <c r="L103" s="395"/>
      <c r="M103" s="395"/>
      <c r="N103" s="395"/>
      <c r="O103" s="395"/>
      <c r="P103" s="395"/>
      <c r="Q103" s="395"/>
      <c r="R103" s="395"/>
      <c r="S103" s="395"/>
      <c r="T103" s="395"/>
      <c r="U103" s="395"/>
      <c r="V103" s="805">
        <f t="shared" si="1"/>
        <v>0</v>
      </c>
    </row>
    <row r="104" spans="1:22">
      <c r="A104" s="198">
        <v>2406</v>
      </c>
      <c r="B104" s="2">
        <v>103345</v>
      </c>
      <c r="C104" s="2" t="s">
        <v>237</v>
      </c>
      <c r="D104" s="2" t="s">
        <v>238</v>
      </c>
      <c r="E104" s="190" t="s">
        <v>39</v>
      </c>
      <c r="F104" s="211" t="s">
        <v>890</v>
      </c>
      <c r="H104" s="805">
        <v>0</v>
      </c>
      <c r="I104" s="805">
        <v>0</v>
      </c>
      <c r="J104" s="395"/>
      <c r="K104" s="395"/>
      <c r="L104" s="395"/>
      <c r="M104" s="395"/>
      <c r="N104" s="395"/>
      <c r="O104" s="395"/>
      <c r="P104" s="395"/>
      <c r="Q104" s="395"/>
      <c r="R104" s="395"/>
      <c r="S104" s="395"/>
      <c r="T104" s="395"/>
      <c r="U104" s="395"/>
      <c r="V104" s="805">
        <f t="shared" si="1"/>
        <v>0</v>
      </c>
    </row>
    <row r="105" spans="1:22">
      <c r="A105" s="198">
        <v>2416</v>
      </c>
      <c r="B105" s="2">
        <v>103351</v>
      </c>
      <c r="C105" s="2" t="s">
        <v>239</v>
      </c>
      <c r="D105" s="2" t="s">
        <v>240</v>
      </c>
      <c r="E105" s="190" t="s">
        <v>39</v>
      </c>
      <c r="F105" s="211" t="s">
        <v>890</v>
      </c>
      <c r="H105" s="805">
        <v>0</v>
      </c>
      <c r="I105" s="805">
        <v>0</v>
      </c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805">
        <f t="shared" si="1"/>
        <v>0</v>
      </c>
    </row>
    <row r="106" spans="1:22">
      <c r="A106" s="198">
        <v>3003</v>
      </c>
      <c r="B106" s="2">
        <v>103398</v>
      </c>
      <c r="C106" s="2" t="s">
        <v>241</v>
      </c>
      <c r="D106" s="2" t="s">
        <v>242</v>
      </c>
      <c r="E106" s="190" t="s">
        <v>39</v>
      </c>
      <c r="F106" s="211" t="s">
        <v>890</v>
      </c>
      <c r="H106" s="805">
        <v>0</v>
      </c>
      <c r="I106" s="805">
        <v>0</v>
      </c>
      <c r="J106" s="395"/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805">
        <f t="shared" si="1"/>
        <v>0</v>
      </c>
    </row>
    <row r="107" spans="1:22">
      <c r="A107" s="198">
        <v>4245</v>
      </c>
      <c r="B107" s="2">
        <v>103519</v>
      </c>
      <c r="C107" s="2" t="s">
        <v>243</v>
      </c>
      <c r="D107" s="2" t="s">
        <v>244</v>
      </c>
      <c r="E107" s="190" t="s">
        <v>71</v>
      </c>
      <c r="F107" s="211" t="s">
        <v>890</v>
      </c>
      <c r="H107" s="805">
        <v>0</v>
      </c>
      <c r="I107" s="805">
        <v>0</v>
      </c>
      <c r="J107" s="395"/>
      <c r="K107" s="395"/>
      <c r="L107" s="395"/>
      <c r="M107" s="395"/>
      <c r="N107" s="395"/>
      <c r="O107" s="395"/>
      <c r="P107" s="395"/>
      <c r="Q107" s="395"/>
      <c r="R107" s="395"/>
      <c r="S107" s="395"/>
      <c r="T107" s="395"/>
      <c r="U107" s="395"/>
      <c r="V107" s="805">
        <f t="shared" si="1"/>
        <v>0</v>
      </c>
    </row>
    <row r="108" spans="1:22">
      <c r="A108" s="198">
        <v>2457</v>
      </c>
      <c r="B108" s="2">
        <v>103384</v>
      </c>
      <c r="C108" s="2" t="s">
        <v>245</v>
      </c>
      <c r="D108" s="2" t="s">
        <v>246</v>
      </c>
      <c r="E108" s="190" t="s">
        <v>39</v>
      </c>
      <c r="F108" s="211" t="s">
        <v>890</v>
      </c>
      <c r="H108" s="805">
        <v>0</v>
      </c>
      <c r="I108" s="805">
        <v>0</v>
      </c>
      <c r="J108" s="395"/>
      <c r="K108" s="395"/>
      <c r="L108" s="395"/>
      <c r="M108" s="395"/>
      <c r="N108" s="395"/>
      <c r="O108" s="395"/>
      <c r="P108" s="395"/>
      <c r="Q108" s="395"/>
      <c r="R108" s="395"/>
      <c r="S108" s="395"/>
      <c r="T108" s="395"/>
      <c r="U108" s="395"/>
      <c r="V108" s="805">
        <f t="shared" si="1"/>
        <v>0</v>
      </c>
    </row>
    <row r="109" spans="1:22">
      <c r="A109" s="198">
        <v>2142</v>
      </c>
      <c r="B109" s="2">
        <v>103237</v>
      </c>
      <c r="C109" s="2" t="s">
        <v>247</v>
      </c>
      <c r="D109" s="2" t="s">
        <v>248</v>
      </c>
      <c r="E109" s="190" t="s">
        <v>39</v>
      </c>
      <c r="F109" s="211" t="s">
        <v>890</v>
      </c>
      <c r="H109" s="805">
        <v>0</v>
      </c>
      <c r="I109" s="805">
        <v>0</v>
      </c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805">
        <f t="shared" si="1"/>
        <v>0</v>
      </c>
    </row>
    <row r="110" spans="1:22">
      <c r="A110" s="198">
        <v>2469</v>
      </c>
      <c r="B110" s="2">
        <v>103395</v>
      </c>
      <c r="C110" s="2" t="s">
        <v>249</v>
      </c>
      <c r="D110" s="2" t="s">
        <v>250</v>
      </c>
      <c r="E110" s="190" t="s">
        <v>39</v>
      </c>
      <c r="F110" s="211" t="s">
        <v>890</v>
      </c>
      <c r="H110" s="805">
        <v>0</v>
      </c>
      <c r="I110" s="805">
        <v>0</v>
      </c>
      <c r="J110" s="395"/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805">
        <f t="shared" si="1"/>
        <v>0</v>
      </c>
    </row>
    <row r="111" spans="1:22">
      <c r="A111" s="198">
        <v>1028</v>
      </c>
      <c r="B111" s="2">
        <v>103141</v>
      </c>
      <c r="C111" s="2" t="s">
        <v>251</v>
      </c>
      <c r="D111" s="2" t="s">
        <v>252</v>
      </c>
      <c r="E111" s="190" t="s">
        <v>36</v>
      </c>
      <c r="F111" s="211" t="s">
        <v>890</v>
      </c>
      <c r="H111" s="805">
        <v>0</v>
      </c>
      <c r="I111" s="805">
        <v>-107490.81</v>
      </c>
      <c r="J111" s="395"/>
      <c r="K111" s="395"/>
      <c r="L111" s="395"/>
      <c r="M111" s="395"/>
      <c r="N111" s="395"/>
      <c r="O111" s="395"/>
      <c r="P111" s="395"/>
      <c r="Q111" s="395"/>
      <c r="R111" s="395"/>
      <c r="S111" s="395"/>
      <c r="T111" s="395"/>
      <c r="U111" s="395"/>
      <c r="V111" s="805">
        <f t="shared" si="1"/>
        <v>-107490.81</v>
      </c>
    </row>
    <row r="112" spans="1:22">
      <c r="A112" s="198">
        <v>1049</v>
      </c>
      <c r="B112" s="2">
        <v>103145</v>
      </c>
      <c r="C112" s="2" t="s">
        <v>253</v>
      </c>
      <c r="D112" s="2" t="s">
        <v>254</v>
      </c>
      <c r="E112" s="190" t="s">
        <v>36</v>
      </c>
      <c r="F112" s="211" t="s">
        <v>890</v>
      </c>
      <c r="H112" s="805">
        <v>0</v>
      </c>
      <c r="I112" s="805">
        <v>0</v>
      </c>
      <c r="J112" s="395"/>
      <c r="K112" s="395"/>
      <c r="L112" s="395"/>
      <c r="M112" s="395"/>
      <c r="N112" s="395"/>
      <c r="O112" s="395"/>
      <c r="P112" s="395"/>
      <c r="Q112" s="395"/>
      <c r="R112" s="395"/>
      <c r="S112" s="395"/>
      <c r="T112" s="395"/>
      <c r="U112" s="395"/>
      <c r="V112" s="805">
        <f t="shared" si="1"/>
        <v>0</v>
      </c>
    </row>
    <row r="113" spans="1:22">
      <c r="A113" s="198">
        <v>3351</v>
      </c>
      <c r="B113" s="2">
        <v>103443</v>
      </c>
      <c r="C113" s="2" t="s">
        <v>255</v>
      </c>
      <c r="D113" s="2" t="s">
        <v>256</v>
      </c>
      <c r="E113" s="190" t="s">
        <v>39</v>
      </c>
      <c r="F113" s="211" t="s">
        <v>890</v>
      </c>
      <c r="H113" s="805">
        <v>0</v>
      </c>
      <c r="I113" s="805">
        <v>0</v>
      </c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805">
        <f t="shared" si="1"/>
        <v>0</v>
      </c>
    </row>
    <row r="114" spans="1:22">
      <c r="A114" s="198">
        <v>3328</v>
      </c>
      <c r="B114" s="2">
        <v>103430</v>
      </c>
      <c r="C114" s="2" t="s">
        <v>257</v>
      </c>
      <c r="D114" s="2" t="s">
        <v>258</v>
      </c>
      <c r="E114" s="190" t="s">
        <v>39</v>
      </c>
      <c r="F114" s="211" t="s">
        <v>890</v>
      </c>
      <c r="H114" s="805">
        <v>0</v>
      </c>
      <c r="I114" s="805">
        <v>0</v>
      </c>
      <c r="J114" s="395"/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805">
        <f t="shared" si="1"/>
        <v>0</v>
      </c>
    </row>
    <row r="115" spans="1:22">
      <c r="A115" s="198">
        <v>2150</v>
      </c>
      <c r="B115" s="2">
        <v>103241</v>
      </c>
      <c r="C115" s="2" t="s">
        <v>259</v>
      </c>
      <c r="D115" s="2" t="s">
        <v>260</v>
      </c>
      <c r="E115" s="190" t="s">
        <v>39</v>
      </c>
      <c r="F115" s="211" t="s">
        <v>890</v>
      </c>
      <c r="H115" s="805">
        <v>0</v>
      </c>
      <c r="I115" s="805">
        <v>0</v>
      </c>
      <c r="J115" s="395"/>
      <c r="K115" s="395"/>
      <c r="L115" s="395"/>
      <c r="M115" s="395"/>
      <c r="N115" s="395"/>
      <c r="O115" s="395"/>
      <c r="P115" s="395"/>
      <c r="Q115" s="395"/>
      <c r="R115" s="395"/>
      <c r="S115" s="395"/>
      <c r="T115" s="395"/>
      <c r="U115" s="395"/>
      <c r="V115" s="805">
        <f t="shared" si="1"/>
        <v>0</v>
      </c>
    </row>
    <row r="116" spans="1:22">
      <c r="A116" s="198">
        <v>2425</v>
      </c>
      <c r="B116" s="2">
        <v>103356</v>
      </c>
      <c r="C116" s="2" t="s">
        <v>261</v>
      </c>
      <c r="D116" s="2" t="s">
        <v>262</v>
      </c>
      <c r="E116" s="190" t="s">
        <v>39</v>
      </c>
      <c r="F116" s="211" t="s">
        <v>890</v>
      </c>
      <c r="H116" s="805">
        <v>0</v>
      </c>
      <c r="I116" s="805">
        <v>0</v>
      </c>
      <c r="J116" s="395"/>
      <c r="K116" s="395"/>
      <c r="L116" s="395"/>
      <c r="M116" s="395"/>
      <c r="N116" s="395"/>
      <c r="O116" s="395"/>
      <c r="P116" s="395"/>
      <c r="Q116" s="395"/>
      <c r="R116" s="395"/>
      <c r="S116" s="395"/>
      <c r="T116" s="395"/>
      <c r="U116" s="395"/>
      <c r="V116" s="805">
        <f t="shared" si="1"/>
        <v>0</v>
      </c>
    </row>
    <row r="117" spans="1:22">
      <c r="A117" s="198">
        <v>1008</v>
      </c>
      <c r="B117" s="2">
        <v>103123</v>
      </c>
      <c r="C117" s="2" t="s">
        <v>263</v>
      </c>
      <c r="D117" s="2" t="s">
        <v>264</v>
      </c>
      <c r="E117" s="190" t="s">
        <v>36</v>
      </c>
      <c r="F117" s="211" t="s">
        <v>890</v>
      </c>
      <c r="H117" s="805">
        <v>0</v>
      </c>
      <c r="I117" s="805">
        <v>0</v>
      </c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805">
        <f t="shared" si="1"/>
        <v>0</v>
      </c>
    </row>
    <row r="118" spans="1:22">
      <c r="A118" s="198">
        <v>7034</v>
      </c>
      <c r="B118" s="2">
        <v>103614</v>
      </c>
      <c r="C118" s="2" t="s">
        <v>265</v>
      </c>
      <c r="D118" s="2" t="s">
        <v>266</v>
      </c>
      <c r="E118" s="190" t="s">
        <v>56</v>
      </c>
      <c r="F118" s="211" t="s">
        <v>890</v>
      </c>
      <c r="H118" s="805">
        <v>0</v>
      </c>
      <c r="I118" s="805">
        <v>0</v>
      </c>
      <c r="J118" s="395"/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805">
        <f t="shared" si="1"/>
        <v>0</v>
      </c>
    </row>
    <row r="119" spans="1:22">
      <c r="A119" s="198">
        <v>4173</v>
      </c>
      <c r="B119" s="2">
        <v>103497</v>
      </c>
      <c r="C119" s="2" t="s">
        <v>267</v>
      </c>
      <c r="D119" s="2" t="s">
        <v>268</v>
      </c>
      <c r="E119" s="190" t="s">
        <v>71</v>
      </c>
      <c r="F119" s="211" t="s">
        <v>890</v>
      </c>
      <c r="H119" s="805">
        <v>0</v>
      </c>
      <c r="I119" s="805">
        <v>0</v>
      </c>
      <c r="J119" s="395"/>
      <c r="K119" s="395"/>
      <c r="L119" s="395"/>
      <c r="M119" s="395"/>
      <c r="N119" s="395"/>
      <c r="O119" s="395"/>
      <c r="P119" s="395"/>
      <c r="Q119" s="395"/>
      <c r="R119" s="395"/>
      <c r="S119" s="395"/>
      <c r="T119" s="395"/>
      <c r="U119" s="395"/>
      <c r="V119" s="805">
        <f t="shared" si="1"/>
        <v>0</v>
      </c>
    </row>
    <row r="120" spans="1:22">
      <c r="A120" s="198">
        <v>2157</v>
      </c>
      <c r="B120" s="2">
        <v>103246</v>
      </c>
      <c r="C120" s="2" t="s">
        <v>269</v>
      </c>
      <c r="D120" s="2" t="s">
        <v>270</v>
      </c>
      <c r="E120" s="190" t="s">
        <v>39</v>
      </c>
      <c r="F120" s="211" t="s">
        <v>890</v>
      </c>
      <c r="H120" s="805">
        <v>0</v>
      </c>
      <c r="I120" s="805">
        <v>0</v>
      </c>
      <c r="J120" s="395"/>
      <c r="K120" s="395"/>
      <c r="L120" s="395"/>
      <c r="M120" s="395"/>
      <c r="N120" s="395"/>
      <c r="O120" s="395"/>
      <c r="P120" s="395"/>
      <c r="Q120" s="395"/>
      <c r="R120" s="395"/>
      <c r="S120" s="395"/>
      <c r="T120" s="395"/>
      <c r="U120" s="395"/>
      <c r="V120" s="805">
        <f t="shared" si="1"/>
        <v>0</v>
      </c>
    </row>
    <row r="121" spans="1:22">
      <c r="A121" s="198">
        <v>2159</v>
      </c>
      <c r="B121" s="2">
        <v>103247</v>
      </c>
      <c r="C121" s="2" t="s">
        <v>271</v>
      </c>
      <c r="D121" s="2" t="s">
        <v>272</v>
      </c>
      <c r="E121" s="190" t="s">
        <v>39</v>
      </c>
      <c r="F121" s="211" t="s">
        <v>890</v>
      </c>
      <c r="H121" s="805">
        <v>0</v>
      </c>
      <c r="I121" s="805">
        <v>0</v>
      </c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805">
        <f t="shared" si="1"/>
        <v>0</v>
      </c>
    </row>
    <row r="122" spans="1:22">
      <c r="A122" s="198">
        <v>2161</v>
      </c>
      <c r="B122" s="2">
        <v>103249</v>
      </c>
      <c r="C122" s="2" t="s">
        <v>273</v>
      </c>
      <c r="D122" s="2" t="s">
        <v>274</v>
      </c>
      <c r="E122" s="190" t="s">
        <v>39</v>
      </c>
      <c r="F122" s="211" t="s">
        <v>890</v>
      </c>
      <c r="H122" s="805">
        <v>0</v>
      </c>
      <c r="I122" s="805">
        <v>0</v>
      </c>
      <c r="J122" s="395"/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805">
        <f t="shared" si="1"/>
        <v>0</v>
      </c>
    </row>
    <row r="123" spans="1:22">
      <c r="A123" s="198">
        <v>2160</v>
      </c>
      <c r="B123" s="2">
        <v>103248</v>
      </c>
      <c r="C123" s="2" t="s">
        <v>275</v>
      </c>
      <c r="D123" s="2" t="s">
        <v>276</v>
      </c>
      <c r="E123" s="190" t="s">
        <v>39</v>
      </c>
      <c r="F123" s="211" t="s">
        <v>890</v>
      </c>
      <c r="H123" s="805">
        <v>0</v>
      </c>
      <c r="I123" s="805">
        <v>0</v>
      </c>
      <c r="J123" s="395"/>
      <c r="K123" s="395"/>
      <c r="L123" s="395"/>
      <c r="M123" s="395"/>
      <c r="N123" s="395"/>
      <c r="O123" s="395"/>
      <c r="P123" s="395"/>
      <c r="Q123" s="395"/>
      <c r="R123" s="395"/>
      <c r="S123" s="395"/>
      <c r="T123" s="395"/>
      <c r="U123" s="395"/>
      <c r="V123" s="805">
        <f t="shared" si="1"/>
        <v>0</v>
      </c>
    </row>
    <row r="124" spans="1:22">
      <c r="A124" s="198">
        <v>2063</v>
      </c>
      <c r="B124" s="2">
        <v>103193</v>
      </c>
      <c r="C124" s="2" t="s">
        <v>277</v>
      </c>
      <c r="D124" s="2" t="s">
        <v>278</v>
      </c>
      <c r="E124" s="190" t="s">
        <v>39</v>
      </c>
      <c r="F124" s="211" t="s">
        <v>890</v>
      </c>
      <c r="H124" s="805">
        <v>0</v>
      </c>
      <c r="I124" s="805">
        <v>0</v>
      </c>
      <c r="J124" s="395"/>
      <c r="K124" s="395"/>
      <c r="L124" s="395"/>
      <c r="M124" s="395"/>
      <c r="N124" s="395"/>
      <c r="O124" s="395"/>
      <c r="P124" s="395"/>
      <c r="Q124" s="395"/>
      <c r="R124" s="395"/>
      <c r="S124" s="395"/>
      <c r="T124" s="395"/>
      <c r="U124" s="395"/>
      <c r="V124" s="805">
        <f t="shared" si="1"/>
        <v>0</v>
      </c>
    </row>
    <row r="125" spans="1:22">
      <c r="A125" s="198">
        <v>1018</v>
      </c>
      <c r="B125" s="2">
        <v>103131</v>
      </c>
      <c r="C125" s="2" t="s">
        <v>279</v>
      </c>
      <c r="D125" s="2" t="s">
        <v>280</v>
      </c>
      <c r="E125" s="190" t="s">
        <v>36</v>
      </c>
      <c r="F125" s="211" t="s">
        <v>890</v>
      </c>
      <c r="H125" s="805">
        <v>0</v>
      </c>
      <c r="I125" s="805">
        <v>0</v>
      </c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805">
        <f t="shared" si="1"/>
        <v>0</v>
      </c>
    </row>
    <row r="126" spans="1:22">
      <c r="A126" s="198">
        <v>1000</v>
      </c>
      <c r="B126" s="2">
        <v>137796</v>
      </c>
      <c r="C126" s="2" t="s">
        <v>281</v>
      </c>
      <c r="D126" s="2" t="s">
        <v>282</v>
      </c>
      <c r="E126" s="190" t="s">
        <v>36</v>
      </c>
      <c r="F126" s="211" t="s">
        <v>890</v>
      </c>
      <c r="H126" s="805">
        <v>0</v>
      </c>
      <c r="I126" s="805">
        <v>-60000</v>
      </c>
      <c r="J126" s="395"/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805">
        <f t="shared" si="1"/>
        <v>-60000</v>
      </c>
    </row>
    <row r="127" spans="1:22">
      <c r="A127" s="198">
        <v>7033</v>
      </c>
      <c r="B127" s="2">
        <v>103613</v>
      </c>
      <c r="C127" s="2" t="s">
        <v>283</v>
      </c>
      <c r="D127" s="2" t="s">
        <v>284</v>
      </c>
      <c r="E127" s="190" t="s">
        <v>56</v>
      </c>
      <c r="F127" s="211" t="s">
        <v>890</v>
      </c>
      <c r="H127" s="805">
        <v>0</v>
      </c>
      <c r="I127" s="805">
        <v>0</v>
      </c>
      <c r="J127" s="395"/>
      <c r="K127" s="395"/>
      <c r="L127" s="395"/>
      <c r="M127" s="395"/>
      <c r="N127" s="395"/>
      <c r="O127" s="395"/>
      <c r="P127" s="395"/>
      <c r="Q127" s="395"/>
      <c r="R127" s="395"/>
      <c r="S127" s="395"/>
      <c r="T127" s="395"/>
      <c r="U127" s="395"/>
      <c r="V127" s="805">
        <f t="shared" si="1"/>
        <v>0</v>
      </c>
    </row>
    <row r="128" spans="1:22">
      <c r="A128" s="198">
        <v>4177</v>
      </c>
      <c r="B128" s="2">
        <v>103498</v>
      </c>
      <c r="C128" s="2" t="s">
        <v>285</v>
      </c>
      <c r="D128" s="2" t="s">
        <v>286</v>
      </c>
      <c r="E128" s="190" t="s">
        <v>71</v>
      </c>
      <c r="F128" s="211" t="s">
        <v>890</v>
      </c>
      <c r="H128" s="805">
        <v>0</v>
      </c>
      <c r="I128" s="805">
        <v>0</v>
      </c>
      <c r="J128" s="395"/>
      <c r="K128" s="395"/>
      <c r="L128" s="395"/>
      <c r="M128" s="395"/>
      <c r="N128" s="395"/>
      <c r="O128" s="395"/>
      <c r="P128" s="395"/>
      <c r="Q128" s="395"/>
      <c r="R128" s="395"/>
      <c r="S128" s="395"/>
      <c r="T128" s="395"/>
      <c r="U128" s="395"/>
      <c r="V128" s="805">
        <f t="shared" si="1"/>
        <v>0</v>
      </c>
    </row>
    <row r="129" spans="1:22">
      <c r="A129" s="198">
        <v>2169</v>
      </c>
      <c r="B129" s="2">
        <v>103252</v>
      </c>
      <c r="C129" s="2" t="s">
        <v>287</v>
      </c>
      <c r="D129" s="2" t="s">
        <v>288</v>
      </c>
      <c r="E129" s="190" t="s">
        <v>39</v>
      </c>
      <c r="F129" s="211" t="s">
        <v>890</v>
      </c>
      <c r="H129" s="805">
        <v>0</v>
      </c>
      <c r="I129" s="805">
        <v>0</v>
      </c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805">
        <f t="shared" si="1"/>
        <v>0</v>
      </c>
    </row>
    <row r="130" spans="1:22">
      <c r="A130" s="198">
        <v>2008</v>
      </c>
      <c r="B130" s="2">
        <v>103157</v>
      </c>
      <c r="C130" s="2" t="s">
        <v>289</v>
      </c>
      <c r="D130" s="2" t="s">
        <v>290</v>
      </c>
      <c r="E130" s="190" t="s">
        <v>39</v>
      </c>
      <c r="F130" s="211" t="s">
        <v>890</v>
      </c>
      <c r="H130" s="805">
        <v>0</v>
      </c>
      <c r="I130" s="805">
        <v>0</v>
      </c>
      <c r="J130" s="395"/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805">
        <f t="shared" si="1"/>
        <v>0</v>
      </c>
    </row>
    <row r="131" spans="1:22">
      <c r="A131" s="198">
        <v>1038</v>
      </c>
      <c r="B131" s="2">
        <v>103142</v>
      </c>
      <c r="C131" s="2" t="s">
        <v>291</v>
      </c>
      <c r="D131" s="2" t="s">
        <v>292</v>
      </c>
      <c r="E131" s="190" t="s">
        <v>36</v>
      </c>
      <c r="F131" s="211" t="s">
        <v>890</v>
      </c>
      <c r="H131" s="805">
        <v>0</v>
      </c>
      <c r="I131" s="805">
        <v>0</v>
      </c>
      <c r="J131" s="395"/>
      <c r="K131" s="395"/>
      <c r="L131" s="395"/>
      <c r="M131" s="395"/>
      <c r="N131" s="395"/>
      <c r="O131" s="395"/>
      <c r="P131" s="395"/>
      <c r="Q131" s="395"/>
      <c r="R131" s="395"/>
      <c r="S131" s="395"/>
      <c r="T131" s="395"/>
      <c r="U131" s="395"/>
      <c r="V131" s="805">
        <f t="shared" si="1"/>
        <v>0</v>
      </c>
    </row>
    <row r="132" spans="1:22">
      <c r="A132" s="198">
        <v>2174</v>
      </c>
      <c r="B132" s="2">
        <v>103255</v>
      </c>
      <c r="C132" s="2" t="s">
        <v>293</v>
      </c>
      <c r="D132" s="2" t="s">
        <v>294</v>
      </c>
      <c r="E132" s="190" t="s">
        <v>39</v>
      </c>
      <c r="F132" s="211" t="s">
        <v>890</v>
      </c>
      <c r="H132" s="805">
        <v>0</v>
      </c>
      <c r="I132" s="805">
        <v>-75000</v>
      </c>
      <c r="J132" s="395"/>
      <c r="K132" s="395"/>
      <c r="L132" s="395"/>
      <c r="M132" s="395"/>
      <c r="N132" s="395"/>
      <c r="O132" s="395"/>
      <c r="P132" s="395"/>
      <c r="Q132" s="395"/>
      <c r="R132" s="395"/>
      <c r="S132" s="395"/>
      <c r="T132" s="395"/>
      <c r="U132" s="395"/>
      <c r="V132" s="805">
        <f t="shared" si="1"/>
        <v>-75000</v>
      </c>
    </row>
    <row r="133" spans="1:22">
      <c r="A133" s="198">
        <v>2176</v>
      </c>
      <c r="B133" s="2">
        <v>103256</v>
      </c>
      <c r="C133" s="2" t="s">
        <v>295</v>
      </c>
      <c r="D133" s="2" t="s">
        <v>296</v>
      </c>
      <c r="E133" s="190" t="s">
        <v>39</v>
      </c>
      <c r="F133" s="211" t="s">
        <v>890</v>
      </c>
      <c r="H133" s="805">
        <v>0</v>
      </c>
      <c r="I133" s="805">
        <v>0</v>
      </c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805">
        <f t="shared" si="1"/>
        <v>0</v>
      </c>
    </row>
    <row r="134" spans="1:22">
      <c r="A134" s="198">
        <v>7047</v>
      </c>
      <c r="B134" s="2">
        <v>103623</v>
      </c>
      <c r="C134" s="2" t="s">
        <v>297</v>
      </c>
      <c r="D134" s="2" t="s">
        <v>298</v>
      </c>
      <c r="E134" s="190" t="s">
        <v>56</v>
      </c>
      <c r="F134" s="211" t="s">
        <v>890</v>
      </c>
      <c r="H134" s="805">
        <v>0</v>
      </c>
      <c r="I134" s="805">
        <v>0</v>
      </c>
      <c r="J134" s="395"/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805">
        <f t="shared" ref="V134:V191" si="2">SUM(H134:U134)</f>
        <v>0</v>
      </c>
    </row>
    <row r="135" spans="1:22">
      <c r="A135" s="198">
        <v>3410</v>
      </c>
      <c r="B135" s="2">
        <v>103478</v>
      </c>
      <c r="C135" s="2" t="s">
        <v>299</v>
      </c>
      <c r="D135" s="2" t="s">
        <v>300</v>
      </c>
      <c r="E135" s="190" t="s">
        <v>39</v>
      </c>
      <c r="F135" s="211" t="s">
        <v>890</v>
      </c>
      <c r="H135" s="805">
        <v>0</v>
      </c>
      <c r="I135" s="805">
        <v>0</v>
      </c>
      <c r="J135" s="395"/>
      <c r="K135" s="395"/>
      <c r="L135" s="395"/>
      <c r="M135" s="395"/>
      <c r="N135" s="395"/>
      <c r="O135" s="395"/>
      <c r="P135" s="395"/>
      <c r="Q135" s="395"/>
      <c r="R135" s="395"/>
      <c r="S135" s="395"/>
      <c r="T135" s="395"/>
      <c r="U135" s="395"/>
      <c r="V135" s="805">
        <f t="shared" si="2"/>
        <v>0</v>
      </c>
    </row>
    <row r="136" spans="1:22">
      <c r="A136" s="198">
        <v>3381</v>
      </c>
      <c r="B136" s="2">
        <v>103466</v>
      </c>
      <c r="C136" s="2" t="s">
        <v>301</v>
      </c>
      <c r="D136" s="2" t="s">
        <v>302</v>
      </c>
      <c r="E136" s="190" t="s">
        <v>39</v>
      </c>
      <c r="F136" s="211" t="s">
        <v>890</v>
      </c>
      <c r="H136" s="805">
        <v>0</v>
      </c>
      <c r="I136" s="805">
        <v>0</v>
      </c>
      <c r="J136" s="395"/>
      <c r="K136" s="395"/>
      <c r="L136" s="395"/>
      <c r="M136" s="395"/>
      <c r="N136" s="395"/>
      <c r="O136" s="395"/>
      <c r="P136" s="395"/>
      <c r="Q136" s="395"/>
      <c r="R136" s="395"/>
      <c r="S136" s="395"/>
      <c r="T136" s="395"/>
      <c r="U136" s="395"/>
      <c r="V136" s="805">
        <f t="shared" si="2"/>
        <v>0</v>
      </c>
    </row>
    <row r="137" spans="1:22">
      <c r="A137" s="198">
        <v>3335</v>
      </c>
      <c r="B137" s="2">
        <v>103434</v>
      </c>
      <c r="C137" s="2" t="s">
        <v>303</v>
      </c>
      <c r="D137" s="2" t="s">
        <v>304</v>
      </c>
      <c r="E137" s="190" t="s">
        <v>39</v>
      </c>
      <c r="F137" s="211" t="s">
        <v>890</v>
      </c>
      <c r="H137" s="805">
        <v>0</v>
      </c>
      <c r="I137" s="805">
        <v>0</v>
      </c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805">
        <f t="shared" si="2"/>
        <v>0</v>
      </c>
    </row>
    <row r="138" spans="1:22">
      <c r="A138" s="198">
        <v>2183</v>
      </c>
      <c r="B138" s="2">
        <v>103261</v>
      </c>
      <c r="C138" s="2" t="s">
        <v>305</v>
      </c>
      <c r="D138" s="2" t="s">
        <v>306</v>
      </c>
      <c r="E138" s="190" t="s">
        <v>39</v>
      </c>
      <c r="F138" s="211" t="s">
        <v>890</v>
      </c>
      <c r="H138" s="805">
        <v>0</v>
      </c>
      <c r="I138" s="805">
        <v>0</v>
      </c>
      <c r="J138" s="395"/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805">
        <f t="shared" si="2"/>
        <v>0</v>
      </c>
    </row>
    <row r="139" spans="1:22">
      <c r="A139" s="198">
        <v>3372</v>
      </c>
      <c r="B139" s="2">
        <v>103460</v>
      </c>
      <c r="C139" s="2" t="s">
        <v>307</v>
      </c>
      <c r="D139" s="2" t="s">
        <v>308</v>
      </c>
      <c r="E139" s="190" t="s">
        <v>39</v>
      </c>
      <c r="F139" s="211" t="s">
        <v>890</v>
      </c>
      <c r="H139" s="805">
        <v>0</v>
      </c>
      <c r="I139" s="805">
        <v>0</v>
      </c>
      <c r="J139" s="395"/>
      <c r="K139" s="395"/>
      <c r="L139" s="395"/>
      <c r="M139" s="395"/>
      <c r="N139" s="395"/>
      <c r="O139" s="395"/>
      <c r="P139" s="395"/>
      <c r="Q139" s="395"/>
      <c r="R139" s="395"/>
      <c r="S139" s="395"/>
      <c r="T139" s="395"/>
      <c r="U139" s="395"/>
      <c r="V139" s="805">
        <f t="shared" si="2"/>
        <v>0</v>
      </c>
    </row>
    <row r="140" spans="1:22">
      <c r="A140" s="198">
        <v>3375</v>
      </c>
      <c r="B140" s="2">
        <v>103462</v>
      </c>
      <c r="C140" s="2" t="s">
        <v>309</v>
      </c>
      <c r="D140" s="2" t="s">
        <v>310</v>
      </c>
      <c r="E140" s="190" t="s">
        <v>39</v>
      </c>
      <c r="F140" s="211" t="s">
        <v>890</v>
      </c>
      <c r="H140" s="805">
        <v>0</v>
      </c>
      <c r="I140" s="805">
        <v>0</v>
      </c>
      <c r="J140" s="395"/>
      <c r="K140" s="395"/>
      <c r="L140" s="395"/>
      <c r="M140" s="395"/>
      <c r="N140" s="395"/>
      <c r="O140" s="395"/>
      <c r="P140" s="395"/>
      <c r="Q140" s="395"/>
      <c r="R140" s="395"/>
      <c r="S140" s="395"/>
      <c r="T140" s="395"/>
      <c r="U140" s="395"/>
      <c r="V140" s="805">
        <f t="shared" si="2"/>
        <v>0</v>
      </c>
    </row>
    <row r="141" spans="1:22">
      <c r="A141" s="198">
        <v>3331</v>
      </c>
      <c r="B141" s="2">
        <v>103433</v>
      </c>
      <c r="C141" s="2" t="s">
        <v>311</v>
      </c>
      <c r="D141" s="2" t="s">
        <v>312</v>
      </c>
      <c r="E141" s="190" t="s">
        <v>39</v>
      </c>
      <c r="F141" s="211" t="s">
        <v>890</v>
      </c>
      <c r="H141" s="805">
        <v>0</v>
      </c>
      <c r="I141" s="805">
        <v>0</v>
      </c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805">
        <f t="shared" si="2"/>
        <v>0</v>
      </c>
    </row>
    <row r="142" spans="1:22">
      <c r="A142" s="198">
        <v>3386</v>
      </c>
      <c r="B142" s="2">
        <v>103470</v>
      </c>
      <c r="C142" s="2" t="s">
        <v>313</v>
      </c>
      <c r="D142" s="2" t="s">
        <v>314</v>
      </c>
      <c r="E142" s="190" t="s">
        <v>39</v>
      </c>
      <c r="F142" s="211" t="s">
        <v>890</v>
      </c>
      <c r="H142" s="805">
        <v>0</v>
      </c>
      <c r="I142" s="805">
        <v>0</v>
      </c>
      <c r="J142" s="395"/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805">
        <f t="shared" si="2"/>
        <v>0</v>
      </c>
    </row>
    <row r="143" spans="1:22">
      <c r="A143" s="198">
        <v>3363</v>
      </c>
      <c r="B143" s="2">
        <v>103455</v>
      </c>
      <c r="C143" s="2" t="s">
        <v>315</v>
      </c>
      <c r="D143" s="2" t="s">
        <v>316</v>
      </c>
      <c r="E143" s="190" t="s">
        <v>39</v>
      </c>
      <c r="F143" s="211" t="s">
        <v>890</v>
      </c>
      <c r="H143" s="805">
        <v>0</v>
      </c>
      <c r="I143" s="805">
        <v>0</v>
      </c>
      <c r="J143" s="395"/>
      <c r="K143" s="395"/>
      <c r="L143" s="395"/>
      <c r="M143" s="395"/>
      <c r="N143" s="395"/>
      <c r="O143" s="395"/>
      <c r="P143" s="395"/>
      <c r="Q143" s="395"/>
      <c r="R143" s="395"/>
      <c r="S143" s="395"/>
      <c r="T143" s="395"/>
      <c r="U143" s="395"/>
      <c r="V143" s="805">
        <f t="shared" si="2"/>
        <v>0</v>
      </c>
    </row>
    <row r="144" spans="1:22">
      <c r="A144" s="198">
        <v>3355</v>
      </c>
      <c r="B144" s="2">
        <v>103447</v>
      </c>
      <c r="C144" s="2" t="s">
        <v>317</v>
      </c>
      <c r="D144" s="2" t="s">
        <v>318</v>
      </c>
      <c r="E144" s="190" t="s">
        <v>39</v>
      </c>
      <c r="F144" s="211" t="s">
        <v>890</v>
      </c>
      <c r="H144" s="805">
        <v>0</v>
      </c>
      <c r="I144" s="805">
        <v>0</v>
      </c>
      <c r="J144" s="395"/>
      <c r="K144" s="395"/>
      <c r="L144" s="395"/>
      <c r="M144" s="395"/>
      <c r="N144" s="395"/>
      <c r="O144" s="395"/>
      <c r="P144" s="395"/>
      <c r="Q144" s="395"/>
      <c r="R144" s="395"/>
      <c r="S144" s="395"/>
      <c r="T144" s="395"/>
      <c r="U144" s="395"/>
      <c r="V144" s="805">
        <f t="shared" si="2"/>
        <v>0</v>
      </c>
    </row>
    <row r="145" spans="1:22">
      <c r="A145" s="198">
        <v>3367</v>
      </c>
      <c r="B145" s="2">
        <v>103458</v>
      </c>
      <c r="C145" s="2" t="s">
        <v>319</v>
      </c>
      <c r="D145" s="2" t="s">
        <v>320</v>
      </c>
      <c r="E145" s="190" t="s">
        <v>39</v>
      </c>
      <c r="F145" s="211" t="s">
        <v>890</v>
      </c>
      <c r="H145" s="805">
        <v>0</v>
      </c>
      <c r="I145" s="805">
        <v>0</v>
      </c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805">
        <f t="shared" si="2"/>
        <v>0</v>
      </c>
    </row>
    <row r="146" spans="1:22">
      <c r="A146" s="198">
        <v>3010</v>
      </c>
      <c r="B146" s="2">
        <v>103401</v>
      </c>
      <c r="C146" s="2" t="s">
        <v>321</v>
      </c>
      <c r="D146" s="2" t="s">
        <v>322</v>
      </c>
      <c r="E146" s="190" t="s">
        <v>39</v>
      </c>
      <c r="F146" s="211" t="s">
        <v>890</v>
      </c>
      <c r="H146" s="805">
        <v>0</v>
      </c>
      <c r="I146" s="805">
        <v>0</v>
      </c>
      <c r="J146" s="395"/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805">
        <f t="shared" si="2"/>
        <v>0</v>
      </c>
    </row>
    <row r="147" spans="1:22">
      <c r="A147" s="198">
        <v>4625</v>
      </c>
      <c r="B147" s="2">
        <v>103534</v>
      </c>
      <c r="C147" s="2" t="s">
        <v>323</v>
      </c>
      <c r="D147" s="2" t="s">
        <v>324</v>
      </c>
      <c r="E147" s="190" t="s">
        <v>71</v>
      </c>
      <c r="F147" s="211" t="s">
        <v>890</v>
      </c>
      <c r="H147" s="805">
        <v>0</v>
      </c>
      <c r="I147" s="805">
        <v>0</v>
      </c>
      <c r="J147" s="395"/>
      <c r="K147" s="395"/>
      <c r="L147" s="395"/>
      <c r="M147" s="395"/>
      <c r="N147" s="395"/>
      <c r="O147" s="395"/>
      <c r="P147" s="395"/>
      <c r="Q147" s="395"/>
      <c r="R147" s="395"/>
      <c r="S147" s="395"/>
      <c r="T147" s="395"/>
      <c r="U147" s="395"/>
      <c r="V147" s="805">
        <f t="shared" si="2"/>
        <v>0</v>
      </c>
    </row>
    <row r="148" spans="1:22">
      <c r="A148" s="198">
        <v>3377</v>
      </c>
      <c r="B148" s="2">
        <v>103463</v>
      </c>
      <c r="C148" s="2" t="s">
        <v>325</v>
      </c>
      <c r="D148" s="2" t="s">
        <v>326</v>
      </c>
      <c r="E148" s="190" t="s">
        <v>39</v>
      </c>
      <c r="F148" s="211" t="s">
        <v>890</v>
      </c>
      <c r="H148" s="805">
        <v>0</v>
      </c>
      <c r="I148" s="805">
        <v>0</v>
      </c>
      <c r="J148" s="395"/>
      <c r="K148" s="395"/>
      <c r="L148" s="395"/>
      <c r="M148" s="395"/>
      <c r="N148" s="395"/>
      <c r="O148" s="395"/>
      <c r="P148" s="395"/>
      <c r="Q148" s="395"/>
      <c r="R148" s="395"/>
      <c r="S148" s="395"/>
      <c r="T148" s="395"/>
      <c r="U148" s="395"/>
      <c r="V148" s="805">
        <f t="shared" si="2"/>
        <v>0</v>
      </c>
    </row>
    <row r="149" spans="1:22">
      <c r="A149" s="198">
        <v>3371</v>
      </c>
      <c r="B149" s="2">
        <v>103459</v>
      </c>
      <c r="C149" s="2" t="s">
        <v>327</v>
      </c>
      <c r="D149" s="2" t="s">
        <v>328</v>
      </c>
      <c r="E149" s="190" t="s">
        <v>39</v>
      </c>
      <c r="F149" s="211" t="s">
        <v>890</v>
      </c>
      <c r="H149" s="805">
        <v>0</v>
      </c>
      <c r="I149" s="805">
        <v>0</v>
      </c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805">
        <f t="shared" si="2"/>
        <v>0</v>
      </c>
    </row>
    <row r="150" spans="1:22">
      <c r="A150" s="198">
        <v>3307</v>
      </c>
      <c r="B150" s="2">
        <v>103416</v>
      </c>
      <c r="C150" s="2" t="s">
        <v>329</v>
      </c>
      <c r="D150" s="2" t="s">
        <v>330</v>
      </c>
      <c r="E150" s="190" t="s">
        <v>39</v>
      </c>
      <c r="F150" s="211" t="s">
        <v>890</v>
      </c>
      <c r="H150" s="805">
        <v>0</v>
      </c>
      <c r="I150" s="805">
        <v>0</v>
      </c>
      <c r="J150" s="395"/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805">
        <f t="shared" si="2"/>
        <v>0</v>
      </c>
    </row>
    <row r="151" spans="1:22">
      <c r="A151" s="198">
        <v>3361</v>
      </c>
      <c r="B151" s="2">
        <v>103453</v>
      </c>
      <c r="C151" s="2" t="s">
        <v>331</v>
      </c>
      <c r="D151" s="2" t="s">
        <v>332</v>
      </c>
      <c r="E151" s="190" t="s">
        <v>39</v>
      </c>
      <c r="F151" s="211" t="s">
        <v>890</v>
      </c>
      <c r="H151" s="805">
        <v>0</v>
      </c>
      <c r="I151" s="805">
        <v>0</v>
      </c>
      <c r="J151" s="395"/>
      <c r="K151" s="395"/>
      <c r="L151" s="395"/>
      <c r="M151" s="395"/>
      <c r="N151" s="395"/>
      <c r="O151" s="395"/>
      <c r="P151" s="395"/>
      <c r="Q151" s="395"/>
      <c r="R151" s="395"/>
      <c r="S151" s="395"/>
      <c r="T151" s="395"/>
      <c r="U151" s="395"/>
      <c r="V151" s="805">
        <f t="shared" si="2"/>
        <v>0</v>
      </c>
    </row>
    <row r="152" spans="1:22">
      <c r="A152" s="198">
        <v>3382</v>
      </c>
      <c r="B152" s="2">
        <v>103467</v>
      </c>
      <c r="C152" s="2" t="s">
        <v>333</v>
      </c>
      <c r="D152" s="2" t="s">
        <v>334</v>
      </c>
      <c r="E152" s="190" t="s">
        <v>39</v>
      </c>
      <c r="F152" s="211" t="s">
        <v>890</v>
      </c>
      <c r="H152" s="805">
        <v>0</v>
      </c>
      <c r="I152" s="805">
        <v>0</v>
      </c>
      <c r="J152" s="395"/>
      <c r="K152" s="395"/>
      <c r="L152" s="395"/>
      <c r="M152" s="395"/>
      <c r="N152" s="395"/>
      <c r="O152" s="395"/>
      <c r="P152" s="395"/>
      <c r="Q152" s="395"/>
      <c r="R152" s="395"/>
      <c r="S152" s="395"/>
      <c r="T152" s="395"/>
      <c r="U152" s="395"/>
      <c r="V152" s="805">
        <f t="shared" si="2"/>
        <v>0</v>
      </c>
    </row>
    <row r="153" spans="1:22">
      <c r="A153" s="198">
        <v>3344</v>
      </c>
      <c r="B153" s="2">
        <v>103438</v>
      </c>
      <c r="C153" s="2" t="s">
        <v>335</v>
      </c>
      <c r="D153" s="2" t="s">
        <v>336</v>
      </c>
      <c r="E153" s="190" t="s">
        <v>39</v>
      </c>
      <c r="F153" s="211" t="s">
        <v>890</v>
      </c>
      <c r="H153" s="805">
        <v>0</v>
      </c>
      <c r="I153" s="805">
        <v>0</v>
      </c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805">
        <f t="shared" si="2"/>
        <v>0</v>
      </c>
    </row>
    <row r="154" spans="1:22">
      <c r="A154" s="198">
        <v>3025</v>
      </c>
      <c r="B154" s="2">
        <v>103410</v>
      </c>
      <c r="C154" s="2" t="s">
        <v>337</v>
      </c>
      <c r="D154" s="2" t="s">
        <v>338</v>
      </c>
      <c r="E154" s="190" t="s">
        <v>39</v>
      </c>
      <c r="F154" s="211" t="s">
        <v>890</v>
      </c>
      <c r="H154" s="805">
        <v>0</v>
      </c>
      <c r="I154" s="805">
        <v>0</v>
      </c>
      <c r="J154" s="395"/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805">
        <f t="shared" si="2"/>
        <v>0</v>
      </c>
    </row>
    <row r="155" spans="1:22">
      <c r="A155" s="198">
        <v>3016</v>
      </c>
      <c r="B155" s="2">
        <v>103404</v>
      </c>
      <c r="C155" s="2" t="s">
        <v>339</v>
      </c>
      <c r="D155" s="2" t="s">
        <v>340</v>
      </c>
      <c r="E155" s="190" t="s">
        <v>39</v>
      </c>
      <c r="F155" s="211" t="s">
        <v>890</v>
      </c>
      <c r="H155" s="805">
        <v>0</v>
      </c>
      <c r="I155" s="805">
        <v>0</v>
      </c>
      <c r="J155" s="395"/>
      <c r="K155" s="395"/>
      <c r="L155" s="395"/>
      <c r="M155" s="395"/>
      <c r="N155" s="395"/>
      <c r="O155" s="395"/>
      <c r="P155" s="395"/>
      <c r="Q155" s="395"/>
      <c r="R155" s="395"/>
      <c r="S155" s="395"/>
      <c r="T155" s="395"/>
      <c r="U155" s="395"/>
      <c r="V155" s="805">
        <f t="shared" si="2"/>
        <v>0</v>
      </c>
    </row>
    <row r="156" spans="1:22">
      <c r="A156" s="198">
        <v>3346</v>
      </c>
      <c r="B156" s="2">
        <v>103439</v>
      </c>
      <c r="C156" s="2" t="s">
        <v>341</v>
      </c>
      <c r="D156" s="2" t="s">
        <v>342</v>
      </c>
      <c r="E156" s="190" t="s">
        <v>39</v>
      </c>
      <c r="F156" s="211" t="s">
        <v>890</v>
      </c>
      <c r="H156" s="805">
        <v>0</v>
      </c>
      <c r="I156" s="805">
        <v>0</v>
      </c>
      <c r="J156" s="395"/>
      <c r="K156" s="395"/>
      <c r="L156" s="395"/>
      <c r="M156" s="395"/>
      <c r="N156" s="395"/>
      <c r="O156" s="395"/>
      <c r="P156" s="395"/>
      <c r="Q156" s="395"/>
      <c r="R156" s="395"/>
      <c r="S156" s="395"/>
      <c r="T156" s="395"/>
      <c r="U156" s="395"/>
      <c r="V156" s="805">
        <f t="shared" si="2"/>
        <v>0</v>
      </c>
    </row>
    <row r="157" spans="1:22">
      <c r="A157" s="198">
        <v>4606</v>
      </c>
      <c r="B157" s="2">
        <v>103531</v>
      </c>
      <c r="C157" s="2" t="s">
        <v>343</v>
      </c>
      <c r="D157" s="2" t="s">
        <v>344</v>
      </c>
      <c r="E157" s="190" t="s">
        <v>71</v>
      </c>
      <c r="F157" s="211" t="s">
        <v>890</v>
      </c>
      <c r="H157" s="805">
        <v>0</v>
      </c>
      <c r="I157" s="805">
        <v>0</v>
      </c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805">
        <f t="shared" si="2"/>
        <v>0</v>
      </c>
    </row>
    <row r="158" spans="1:22">
      <c r="A158" s="198">
        <v>3428</v>
      </c>
      <c r="B158" s="2">
        <v>134476</v>
      </c>
      <c r="C158" s="2" t="s">
        <v>345</v>
      </c>
      <c r="D158" s="2" t="s">
        <v>346</v>
      </c>
      <c r="E158" s="190" t="s">
        <v>39</v>
      </c>
      <c r="F158" s="211" t="s">
        <v>890</v>
      </c>
      <c r="H158" s="805">
        <v>0</v>
      </c>
      <c r="I158" s="805">
        <v>-100000</v>
      </c>
      <c r="J158" s="395"/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805">
        <f t="shared" si="2"/>
        <v>-100000</v>
      </c>
    </row>
    <row r="159" spans="1:22">
      <c r="A159" s="198">
        <v>3019</v>
      </c>
      <c r="B159" s="2">
        <v>103406</v>
      </c>
      <c r="C159" s="2" t="s">
        <v>347</v>
      </c>
      <c r="D159" s="2" t="s">
        <v>348</v>
      </c>
      <c r="E159" s="190" t="s">
        <v>39</v>
      </c>
      <c r="F159" s="211" t="s">
        <v>890</v>
      </c>
      <c r="H159" s="805">
        <v>0</v>
      </c>
      <c r="I159" s="805">
        <v>0</v>
      </c>
      <c r="J159" s="395"/>
      <c r="K159" s="395"/>
      <c r="L159" s="395"/>
      <c r="M159" s="395"/>
      <c r="N159" s="395"/>
      <c r="O159" s="395"/>
      <c r="P159" s="395"/>
      <c r="Q159" s="395"/>
      <c r="R159" s="395"/>
      <c r="S159" s="395"/>
      <c r="T159" s="395"/>
      <c r="U159" s="395"/>
      <c r="V159" s="805">
        <f t="shared" si="2"/>
        <v>0</v>
      </c>
    </row>
    <row r="160" spans="1:22">
      <c r="A160" s="198">
        <v>1009</v>
      </c>
      <c r="B160" s="2">
        <v>103124</v>
      </c>
      <c r="C160" s="2" t="s">
        <v>349</v>
      </c>
      <c r="D160" s="2" t="s">
        <v>350</v>
      </c>
      <c r="E160" s="190" t="s">
        <v>36</v>
      </c>
      <c r="F160" s="211" t="s">
        <v>890</v>
      </c>
      <c r="H160" s="805">
        <v>-1298279.9499999997</v>
      </c>
      <c r="I160" s="805">
        <v>-299542.21308482252</v>
      </c>
      <c r="J160" s="395"/>
      <c r="K160" s="395"/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805">
        <f t="shared" si="2"/>
        <v>-1597822.1630848222</v>
      </c>
    </row>
    <row r="161" spans="1:22">
      <c r="A161" s="198">
        <v>2178</v>
      </c>
      <c r="B161" s="2">
        <v>103257</v>
      </c>
      <c r="C161" s="2" t="s">
        <v>351</v>
      </c>
      <c r="D161" s="2" t="s">
        <v>352</v>
      </c>
      <c r="E161" s="190" t="s">
        <v>39</v>
      </c>
      <c r="F161" s="211" t="s">
        <v>890</v>
      </c>
      <c r="H161" s="805">
        <v>0</v>
      </c>
      <c r="I161" s="805">
        <v>0</v>
      </c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805">
        <f t="shared" si="2"/>
        <v>0</v>
      </c>
    </row>
    <row r="162" spans="1:22">
      <c r="A162" s="198">
        <v>2184</v>
      </c>
      <c r="B162" s="2">
        <v>103262</v>
      </c>
      <c r="C162" s="2" t="s">
        <v>353</v>
      </c>
      <c r="D162" s="2" t="s">
        <v>354</v>
      </c>
      <c r="E162" s="190" t="s">
        <v>39</v>
      </c>
      <c r="F162" s="211" t="s">
        <v>890</v>
      </c>
      <c r="H162" s="805">
        <v>0</v>
      </c>
      <c r="I162" s="805">
        <v>0</v>
      </c>
      <c r="J162" s="395"/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805">
        <f t="shared" si="2"/>
        <v>0</v>
      </c>
    </row>
    <row r="163" spans="1:22">
      <c r="A163" s="198">
        <v>2190</v>
      </c>
      <c r="B163" s="2">
        <v>103266</v>
      </c>
      <c r="C163" s="2" t="s">
        <v>355</v>
      </c>
      <c r="D163" s="2" t="s">
        <v>356</v>
      </c>
      <c r="E163" s="190" t="s">
        <v>39</v>
      </c>
      <c r="F163" s="211" t="s">
        <v>890</v>
      </c>
      <c r="H163" s="805">
        <v>0</v>
      </c>
      <c r="I163" s="805">
        <v>0</v>
      </c>
      <c r="J163" s="395"/>
      <c r="K163" s="395"/>
      <c r="L163" s="395"/>
      <c r="M163" s="395"/>
      <c r="N163" s="395"/>
      <c r="O163" s="395"/>
      <c r="P163" s="395"/>
      <c r="Q163" s="395"/>
      <c r="R163" s="395"/>
      <c r="S163" s="395"/>
      <c r="T163" s="395"/>
      <c r="U163" s="395"/>
      <c r="V163" s="805">
        <f t="shared" si="2"/>
        <v>0</v>
      </c>
    </row>
    <row r="164" spans="1:22">
      <c r="A164" s="198">
        <v>7035</v>
      </c>
      <c r="B164" s="2">
        <v>103615</v>
      </c>
      <c r="C164" s="2" t="s">
        <v>357</v>
      </c>
      <c r="D164" s="2" t="s">
        <v>358</v>
      </c>
      <c r="E164" s="190" t="s">
        <v>56</v>
      </c>
      <c r="F164" s="211" t="s">
        <v>890</v>
      </c>
      <c r="H164" s="805">
        <v>0</v>
      </c>
      <c r="I164" s="805">
        <v>0</v>
      </c>
      <c r="J164" s="395"/>
      <c r="K164" s="395"/>
      <c r="L164" s="395"/>
      <c r="M164" s="395"/>
      <c r="N164" s="395"/>
      <c r="O164" s="395"/>
      <c r="P164" s="395"/>
      <c r="Q164" s="395"/>
      <c r="R164" s="395"/>
      <c r="S164" s="395"/>
      <c r="T164" s="395"/>
      <c r="U164" s="395"/>
      <c r="V164" s="805">
        <f t="shared" si="2"/>
        <v>0</v>
      </c>
    </row>
    <row r="165" spans="1:22">
      <c r="A165" s="198">
        <v>7045</v>
      </c>
      <c r="B165" s="2">
        <v>103622</v>
      </c>
      <c r="C165" s="2" t="s">
        <v>359</v>
      </c>
      <c r="D165" s="2" t="s">
        <v>360</v>
      </c>
      <c r="E165" s="190" t="s">
        <v>56</v>
      </c>
      <c r="F165" s="211" t="s">
        <v>890</v>
      </c>
      <c r="H165" s="805">
        <v>0</v>
      </c>
      <c r="I165" s="805">
        <v>0</v>
      </c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805">
        <f t="shared" si="2"/>
        <v>0</v>
      </c>
    </row>
    <row r="166" spans="1:22">
      <c r="A166" s="198">
        <v>2192</v>
      </c>
      <c r="B166" s="2">
        <v>103268</v>
      </c>
      <c r="C166" s="2" t="s">
        <v>361</v>
      </c>
      <c r="D166" s="2" t="s">
        <v>362</v>
      </c>
      <c r="E166" s="190" t="s">
        <v>39</v>
      </c>
      <c r="F166" s="211" t="s">
        <v>890</v>
      </c>
      <c r="H166" s="805">
        <v>0</v>
      </c>
      <c r="I166" s="805">
        <v>0</v>
      </c>
      <c r="J166" s="395"/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805">
        <f t="shared" si="2"/>
        <v>0</v>
      </c>
    </row>
    <row r="167" spans="1:22">
      <c r="A167" s="198">
        <v>7014</v>
      </c>
      <c r="B167" s="2">
        <v>103605</v>
      </c>
      <c r="C167" s="2" t="s">
        <v>363</v>
      </c>
      <c r="D167" s="2" t="s">
        <v>364</v>
      </c>
      <c r="E167" s="190" t="s">
        <v>56</v>
      </c>
      <c r="F167" s="211" t="s">
        <v>890</v>
      </c>
      <c r="H167" s="805">
        <v>0</v>
      </c>
      <c r="I167" s="805">
        <v>0</v>
      </c>
      <c r="J167" s="395"/>
      <c r="K167" s="395"/>
      <c r="L167" s="395"/>
      <c r="M167" s="395"/>
      <c r="N167" s="395"/>
      <c r="O167" s="395"/>
      <c r="P167" s="395"/>
      <c r="Q167" s="395"/>
      <c r="R167" s="395"/>
      <c r="S167" s="395"/>
      <c r="T167" s="395"/>
      <c r="U167" s="395"/>
      <c r="V167" s="805">
        <f t="shared" si="2"/>
        <v>0</v>
      </c>
    </row>
    <row r="168" spans="1:22">
      <c r="A168" s="198">
        <v>7009</v>
      </c>
      <c r="B168" s="2">
        <v>103601</v>
      </c>
      <c r="C168" s="2" t="s">
        <v>365</v>
      </c>
      <c r="D168" s="2" t="s">
        <v>366</v>
      </c>
      <c r="E168" s="190" t="s">
        <v>56</v>
      </c>
      <c r="F168" s="211" t="s">
        <v>890</v>
      </c>
      <c r="H168" s="805">
        <v>0</v>
      </c>
      <c r="I168" s="805">
        <v>0</v>
      </c>
      <c r="J168" s="395"/>
      <c r="K168" s="395"/>
      <c r="L168" s="395"/>
      <c r="M168" s="395"/>
      <c r="N168" s="395"/>
      <c r="O168" s="395"/>
      <c r="P168" s="395"/>
      <c r="Q168" s="395"/>
      <c r="R168" s="395"/>
      <c r="S168" s="395"/>
      <c r="T168" s="395"/>
      <c r="U168" s="395"/>
      <c r="V168" s="805">
        <f t="shared" si="2"/>
        <v>0</v>
      </c>
    </row>
    <row r="169" spans="1:22">
      <c r="A169" s="198">
        <v>5203</v>
      </c>
      <c r="B169" s="2">
        <v>103544</v>
      </c>
      <c r="C169" s="2" t="s">
        <v>367</v>
      </c>
      <c r="D169" s="2" t="s">
        <v>368</v>
      </c>
      <c r="E169" s="190" t="s">
        <v>39</v>
      </c>
      <c r="F169" s="211" t="s">
        <v>890</v>
      </c>
      <c r="H169" s="805">
        <v>0</v>
      </c>
      <c r="I169" s="805">
        <v>0</v>
      </c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805">
        <f t="shared" si="2"/>
        <v>0</v>
      </c>
    </row>
    <row r="170" spans="1:22">
      <c r="A170" s="198">
        <v>5202</v>
      </c>
      <c r="B170" s="2">
        <v>103543</v>
      </c>
      <c r="C170" s="2" t="s">
        <v>369</v>
      </c>
      <c r="D170" s="2" t="s">
        <v>370</v>
      </c>
      <c r="E170" s="190" t="s">
        <v>39</v>
      </c>
      <c r="F170" s="211" t="s">
        <v>890</v>
      </c>
      <c r="H170" s="805">
        <v>0</v>
      </c>
      <c r="I170" s="805">
        <v>0</v>
      </c>
      <c r="J170" s="395"/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805">
        <f t="shared" si="2"/>
        <v>0</v>
      </c>
    </row>
    <row r="171" spans="1:22">
      <c r="A171" s="198">
        <v>2108</v>
      </c>
      <c r="B171" s="2">
        <v>103217</v>
      </c>
      <c r="C171" s="2" t="s">
        <v>371</v>
      </c>
      <c r="D171" s="2" t="s">
        <v>372</v>
      </c>
      <c r="E171" s="190" t="s">
        <v>39</v>
      </c>
      <c r="F171" s="211" t="s">
        <v>890</v>
      </c>
      <c r="H171" s="805">
        <v>0</v>
      </c>
      <c r="I171" s="805">
        <v>0</v>
      </c>
      <c r="J171" s="395"/>
      <c r="K171" s="395"/>
      <c r="L171" s="395"/>
      <c r="M171" s="395"/>
      <c r="N171" s="395"/>
      <c r="O171" s="395"/>
      <c r="P171" s="395"/>
      <c r="Q171" s="395"/>
      <c r="R171" s="395"/>
      <c r="S171" s="395"/>
      <c r="T171" s="395"/>
      <c r="U171" s="395"/>
      <c r="V171" s="805">
        <f t="shared" si="2"/>
        <v>0</v>
      </c>
    </row>
    <row r="172" spans="1:22">
      <c r="A172" s="198">
        <v>1019</v>
      </c>
      <c r="B172" s="2">
        <v>103132</v>
      </c>
      <c r="C172" s="2" t="s">
        <v>373</v>
      </c>
      <c r="D172" s="2" t="s">
        <v>374</v>
      </c>
      <c r="E172" s="190" t="s">
        <v>36</v>
      </c>
      <c r="F172" s="211" t="s">
        <v>890</v>
      </c>
      <c r="H172" s="805">
        <v>0</v>
      </c>
      <c r="I172" s="805">
        <v>0</v>
      </c>
      <c r="J172" s="395"/>
      <c r="K172" s="395"/>
      <c r="L172" s="395"/>
      <c r="M172" s="395"/>
      <c r="N172" s="395"/>
      <c r="O172" s="395"/>
      <c r="P172" s="395"/>
      <c r="Q172" s="395"/>
      <c r="R172" s="395"/>
      <c r="S172" s="395"/>
      <c r="T172" s="395"/>
      <c r="U172" s="395"/>
      <c r="V172" s="805">
        <f t="shared" si="2"/>
        <v>0</v>
      </c>
    </row>
    <row r="173" spans="1:22">
      <c r="A173" s="198">
        <v>2306</v>
      </c>
      <c r="B173" s="2">
        <v>103326</v>
      </c>
      <c r="C173" s="2" t="s">
        <v>375</v>
      </c>
      <c r="D173" s="2" t="s">
        <v>376</v>
      </c>
      <c r="E173" s="190" t="s">
        <v>39</v>
      </c>
      <c r="F173" s="211" t="s">
        <v>890</v>
      </c>
      <c r="H173" s="805">
        <v>0</v>
      </c>
      <c r="I173" s="805">
        <v>0</v>
      </c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805">
        <f t="shared" si="2"/>
        <v>0</v>
      </c>
    </row>
    <row r="174" spans="1:22">
      <c r="A174" s="198">
        <v>2308</v>
      </c>
      <c r="B174" s="2">
        <v>103328</v>
      </c>
      <c r="C174" s="2" t="s">
        <v>377</v>
      </c>
      <c r="D174" s="2" t="s">
        <v>378</v>
      </c>
      <c r="E174" s="190" t="s">
        <v>39</v>
      </c>
      <c r="F174" s="211" t="s">
        <v>890</v>
      </c>
      <c r="H174" s="805">
        <v>0</v>
      </c>
      <c r="I174" s="805">
        <v>0</v>
      </c>
      <c r="J174" s="395"/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805">
        <f t="shared" si="2"/>
        <v>0</v>
      </c>
    </row>
    <row r="175" spans="1:22">
      <c r="A175" s="198">
        <v>2245</v>
      </c>
      <c r="B175" s="2">
        <v>103295</v>
      </c>
      <c r="C175" s="2" t="s">
        <v>379</v>
      </c>
      <c r="D175" s="2" t="s">
        <v>380</v>
      </c>
      <c r="E175" s="190" t="s">
        <v>39</v>
      </c>
      <c r="F175" s="211" t="s">
        <v>890</v>
      </c>
      <c r="H175" s="805">
        <v>0</v>
      </c>
      <c r="I175" s="805">
        <v>0</v>
      </c>
      <c r="J175" s="395"/>
      <c r="K175" s="395"/>
      <c r="L175" s="395"/>
      <c r="M175" s="395"/>
      <c r="N175" s="395"/>
      <c r="O175" s="395"/>
      <c r="P175" s="395"/>
      <c r="Q175" s="395"/>
      <c r="R175" s="395"/>
      <c r="S175" s="395"/>
      <c r="T175" s="395"/>
      <c r="U175" s="395"/>
      <c r="V175" s="805">
        <f t="shared" si="2"/>
        <v>0</v>
      </c>
    </row>
    <row r="176" spans="1:22">
      <c r="A176" s="198">
        <v>1020</v>
      </c>
      <c r="B176" s="2">
        <v>103133</v>
      </c>
      <c r="C176" s="2" t="s">
        <v>381</v>
      </c>
      <c r="D176" s="2" t="s">
        <v>382</v>
      </c>
      <c r="E176" s="190" t="s">
        <v>36</v>
      </c>
      <c r="F176" s="211" t="s">
        <v>890</v>
      </c>
      <c r="H176" s="805">
        <v>0</v>
      </c>
      <c r="I176" s="805">
        <v>0</v>
      </c>
      <c r="J176" s="395"/>
      <c r="K176" s="395"/>
      <c r="L176" s="395"/>
      <c r="M176" s="395"/>
      <c r="N176" s="395"/>
      <c r="O176" s="395"/>
      <c r="P176" s="395"/>
      <c r="Q176" s="395"/>
      <c r="R176" s="395"/>
      <c r="S176" s="395"/>
      <c r="T176" s="395"/>
      <c r="U176" s="395"/>
      <c r="V176" s="805">
        <f t="shared" si="2"/>
        <v>0</v>
      </c>
    </row>
    <row r="177" spans="1:22">
      <c r="A177" s="198">
        <v>1014</v>
      </c>
      <c r="B177" s="2">
        <v>103127</v>
      </c>
      <c r="C177" s="2" t="s">
        <v>383</v>
      </c>
      <c r="D177" s="2" t="s">
        <v>384</v>
      </c>
      <c r="E177" s="190" t="s">
        <v>36</v>
      </c>
      <c r="F177" s="211" t="s">
        <v>890</v>
      </c>
      <c r="H177" s="805">
        <v>0</v>
      </c>
      <c r="I177" s="805">
        <v>0</v>
      </c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805">
        <f t="shared" si="2"/>
        <v>0</v>
      </c>
    </row>
    <row r="178" spans="1:22">
      <c r="A178" s="198">
        <v>2019</v>
      </c>
      <c r="B178" s="2">
        <v>134279</v>
      </c>
      <c r="C178" s="2" t="s">
        <v>385</v>
      </c>
      <c r="D178" s="2" t="s">
        <v>386</v>
      </c>
      <c r="E178" s="190" t="s">
        <v>39</v>
      </c>
      <c r="F178" s="211" t="s">
        <v>890</v>
      </c>
      <c r="H178" s="805">
        <v>0</v>
      </c>
      <c r="I178" s="805">
        <v>0</v>
      </c>
      <c r="J178" s="395"/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805">
        <f t="shared" si="2"/>
        <v>0</v>
      </c>
    </row>
    <row r="179" spans="1:22">
      <c r="A179" s="198">
        <v>2011</v>
      </c>
      <c r="B179" s="2">
        <v>134099</v>
      </c>
      <c r="C179" s="2" t="s">
        <v>387</v>
      </c>
      <c r="D179" s="2" t="s">
        <v>388</v>
      </c>
      <c r="E179" s="190" t="s">
        <v>39</v>
      </c>
      <c r="F179" s="211" t="s">
        <v>890</v>
      </c>
      <c r="H179" s="805">
        <v>0</v>
      </c>
      <c r="I179" s="805">
        <v>0</v>
      </c>
      <c r="J179" s="395"/>
      <c r="K179" s="395"/>
      <c r="L179" s="395"/>
      <c r="M179" s="395"/>
      <c r="N179" s="395"/>
      <c r="O179" s="395"/>
      <c r="P179" s="395"/>
      <c r="Q179" s="395"/>
      <c r="R179" s="395"/>
      <c r="S179" s="395"/>
      <c r="T179" s="395"/>
      <c r="U179" s="395"/>
      <c r="V179" s="805">
        <f t="shared" si="2"/>
        <v>0</v>
      </c>
    </row>
    <row r="180" spans="1:22">
      <c r="A180" s="198">
        <v>4193</v>
      </c>
      <c r="B180" s="2">
        <v>103501</v>
      </c>
      <c r="C180" s="2" t="s">
        <v>389</v>
      </c>
      <c r="D180" s="2" t="s">
        <v>390</v>
      </c>
      <c r="E180" s="190" t="s">
        <v>71</v>
      </c>
      <c r="F180" s="211" t="s">
        <v>890</v>
      </c>
      <c r="H180" s="805">
        <v>0</v>
      </c>
      <c r="I180" s="805">
        <v>0</v>
      </c>
      <c r="J180" s="395"/>
      <c r="K180" s="395"/>
      <c r="L180" s="395"/>
      <c r="M180" s="395"/>
      <c r="N180" s="395"/>
      <c r="O180" s="395"/>
      <c r="P180" s="395"/>
      <c r="Q180" s="395"/>
      <c r="R180" s="395"/>
      <c r="S180" s="395"/>
      <c r="T180" s="395"/>
      <c r="U180" s="395"/>
      <c r="V180" s="805">
        <f t="shared" si="2"/>
        <v>0</v>
      </c>
    </row>
    <row r="181" spans="1:22">
      <c r="A181" s="198">
        <v>2478</v>
      </c>
      <c r="B181" s="2">
        <v>132007</v>
      </c>
      <c r="C181" s="2" t="s">
        <v>391</v>
      </c>
      <c r="D181" s="2" t="s">
        <v>392</v>
      </c>
      <c r="E181" s="190" t="s">
        <v>39</v>
      </c>
      <c r="F181" s="211" t="s">
        <v>890</v>
      </c>
      <c r="H181" s="805">
        <v>0</v>
      </c>
      <c r="I181" s="805">
        <v>0</v>
      </c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805">
        <f t="shared" si="2"/>
        <v>0</v>
      </c>
    </row>
    <row r="182" spans="1:22">
      <c r="A182" s="198">
        <v>2293</v>
      </c>
      <c r="B182" s="2">
        <v>103317</v>
      </c>
      <c r="C182" s="2" t="s">
        <v>393</v>
      </c>
      <c r="D182" s="2" t="s">
        <v>394</v>
      </c>
      <c r="E182" s="190" t="s">
        <v>39</v>
      </c>
      <c r="F182" s="211" t="s">
        <v>890</v>
      </c>
      <c r="H182" s="805">
        <v>0</v>
      </c>
      <c r="I182" s="805">
        <v>0</v>
      </c>
      <c r="J182" s="395"/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805">
        <f t="shared" si="2"/>
        <v>0</v>
      </c>
    </row>
    <row r="183" spans="1:22">
      <c r="A183" s="198">
        <v>2445</v>
      </c>
      <c r="B183" s="2">
        <v>103372</v>
      </c>
      <c r="C183" s="2" t="s">
        <v>395</v>
      </c>
      <c r="D183" s="2" t="s">
        <v>396</v>
      </c>
      <c r="E183" s="190" t="s">
        <v>39</v>
      </c>
      <c r="F183" s="211" t="s">
        <v>890</v>
      </c>
      <c r="H183" s="805">
        <v>0</v>
      </c>
      <c r="I183" s="805">
        <v>0</v>
      </c>
      <c r="J183" s="395"/>
      <c r="K183" s="395"/>
      <c r="L183" s="395"/>
      <c r="M183" s="395"/>
      <c r="N183" s="395"/>
      <c r="O183" s="395"/>
      <c r="P183" s="395"/>
      <c r="Q183" s="395"/>
      <c r="R183" s="395"/>
      <c r="S183" s="395"/>
      <c r="T183" s="395"/>
      <c r="U183" s="395"/>
      <c r="V183" s="805">
        <f t="shared" si="2"/>
        <v>0</v>
      </c>
    </row>
    <row r="184" spans="1:22">
      <c r="A184" s="198">
        <v>2278</v>
      </c>
      <c r="B184" s="2">
        <v>103310</v>
      </c>
      <c r="C184" s="2" t="s">
        <v>397</v>
      </c>
      <c r="D184" s="2" t="s">
        <v>398</v>
      </c>
      <c r="E184" s="190" t="s">
        <v>39</v>
      </c>
      <c r="F184" s="211" t="s">
        <v>890</v>
      </c>
      <c r="H184" s="805">
        <v>0</v>
      </c>
      <c r="I184" s="805">
        <v>0</v>
      </c>
      <c r="J184" s="395"/>
      <c r="K184" s="395"/>
      <c r="L184" s="395"/>
      <c r="M184" s="395"/>
      <c r="N184" s="395"/>
      <c r="O184" s="395"/>
      <c r="P184" s="395"/>
      <c r="Q184" s="395"/>
      <c r="R184" s="395"/>
      <c r="S184" s="395"/>
      <c r="T184" s="395"/>
      <c r="U184" s="395"/>
      <c r="V184" s="805">
        <f t="shared" si="2"/>
        <v>0</v>
      </c>
    </row>
    <row r="185" spans="1:22">
      <c r="A185" s="198">
        <v>2317</v>
      </c>
      <c r="B185" s="2">
        <v>103337</v>
      </c>
      <c r="C185" s="2" t="s">
        <v>399</v>
      </c>
      <c r="D185" s="2" t="s">
        <v>400</v>
      </c>
      <c r="E185" s="190" t="s">
        <v>39</v>
      </c>
      <c r="F185" s="211" t="s">
        <v>890</v>
      </c>
      <c r="H185" s="805">
        <v>0</v>
      </c>
      <c r="I185" s="805">
        <v>0</v>
      </c>
      <c r="J185" s="395"/>
      <c r="K185" s="395"/>
      <c r="L185" s="395"/>
      <c r="M185" s="395"/>
      <c r="N185" s="395"/>
      <c r="O185" s="395"/>
      <c r="P185" s="395"/>
      <c r="Q185" s="395"/>
      <c r="R185" s="395"/>
      <c r="S185" s="395"/>
      <c r="T185" s="395"/>
      <c r="U185" s="395"/>
      <c r="V185" s="805">
        <f t="shared" si="2"/>
        <v>0</v>
      </c>
    </row>
    <row r="186" spans="1:22">
      <c r="A186" s="198">
        <v>2225</v>
      </c>
      <c r="B186" s="2">
        <v>103279</v>
      </c>
      <c r="C186" s="2" t="s">
        <v>401</v>
      </c>
      <c r="D186" s="2" t="s">
        <v>402</v>
      </c>
      <c r="E186" s="190" t="s">
        <v>39</v>
      </c>
      <c r="F186" s="211" t="s">
        <v>890</v>
      </c>
      <c r="H186" s="805">
        <v>0</v>
      </c>
      <c r="I186" s="805">
        <v>0</v>
      </c>
      <c r="J186" s="395"/>
      <c r="K186" s="395"/>
      <c r="L186" s="395"/>
      <c r="M186" s="395"/>
      <c r="N186" s="395"/>
      <c r="O186" s="395"/>
      <c r="P186" s="395"/>
      <c r="Q186" s="395"/>
      <c r="R186" s="395"/>
      <c r="S186" s="395"/>
      <c r="T186" s="395"/>
      <c r="U186" s="395"/>
      <c r="V186" s="805">
        <f t="shared" si="2"/>
        <v>0</v>
      </c>
    </row>
    <row r="187" spans="1:22">
      <c r="A187" s="198">
        <v>2412</v>
      </c>
      <c r="B187" s="2">
        <v>103349</v>
      </c>
      <c r="C187" s="2" t="s">
        <v>403</v>
      </c>
      <c r="D187" s="2" t="s">
        <v>404</v>
      </c>
      <c r="E187" s="190" t="s">
        <v>39</v>
      </c>
      <c r="F187" s="211" t="s">
        <v>890</v>
      </c>
      <c r="H187" s="805">
        <v>0</v>
      </c>
      <c r="I187" s="805">
        <v>0</v>
      </c>
      <c r="J187" s="395"/>
      <c r="K187" s="395"/>
      <c r="L187" s="395"/>
      <c r="M187" s="395"/>
      <c r="N187" s="395"/>
      <c r="O187" s="395"/>
      <c r="P187" s="395"/>
      <c r="Q187" s="395"/>
      <c r="R187" s="395"/>
      <c r="S187" s="395"/>
      <c r="T187" s="395"/>
      <c r="U187" s="395"/>
      <c r="V187" s="805">
        <f t="shared" si="2"/>
        <v>0</v>
      </c>
    </row>
    <row r="188" spans="1:22">
      <c r="A188" s="198">
        <v>3421</v>
      </c>
      <c r="B188" s="2">
        <v>133996</v>
      </c>
      <c r="C188" s="2" t="s">
        <v>405</v>
      </c>
      <c r="D188" s="2" t="s">
        <v>406</v>
      </c>
      <c r="E188" s="190" t="s">
        <v>39</v>
      </c>
      <c r="F188" s="211" t="s">
        <v>890</v>
      </c>
      <c r="H188" s="805">
        <v>0</v>
      </c>
      <c r="I188" s="805">
        <v>0</v>
      </c>
      <c r="J188" s="395"/>
      <c r="K188" s="395"/>
      <c r="L188" s="395"/>
      <c r="M188" s="395"/>
      <c r="N188" s="395"/>
      <c r="O188" s="395"/>
      <c r="P188" s="395"/>
      <c r="Q188" s="395"/>
      <c r="R188" s="395"/>
      <c r="S188" s="395"/>
      <c r="T188" s="395"/>
      <c r="U188" s="395"/>
      <c r="V188" s="805">
        <f t="shared" si="2"/>
        <v>0</v>
      </c>
    </row>
    <row r="189" spans="1:22">
      <c r="A189" s="198">
        <v>2227</v>
      </c>
      <c r="B189" s="2">
        <v>103281</v>
      </c>
      <c r="C189" s="2" t="s">
        <v>407</v>
      </c>
      <c r="D189" s="2" t="s">
        <v>408</v>
      </c>
      <c r="E189" s="190" t="s">
        <v>39</v>
      </c>
      <c r="F189" s="211" t="s">
        <v>890</v>
      </c>
      <c r="H189" s="805">
        <v>0</v>
      </c>
      <c r="I189" s="805">
        <v>0</v>
      </c>
      <c r="J189" s="395"/>
      <c r="K189" s="395"/>
      <c r="L189" s="395"/>
      <c r="M189" s="395"/>
      <c r="N189" s="395"/>
      <c r="O189" s="395"/>
      <c r="P189" s="395"/>
      <c r="Q189" s="395"/>
      <c r="R189" s="395"/>
      <c r="S189" s="395"/>
      <c r="T189" s="395"/>
      <c r="U189" s="395"/>
      <c r="V189" s="805">
        <f t="shared" si="2"/>
        <v>0</v>
      </c>
    </row>
    <row r="190" spans="1:22">
      <c r="A190" s="198">
        <v>2231</v>
      </c>
      <c r="B190" s="2">
        <v>103284</v>
      </c>
      <c r="C190" s="2" t="s">
        <v>409</v>
      </c>
      <c r="D190" s="2" t="s">
        <v>410</v>
      </c>
      <c r="E190" s="190" t="s">
        <v>39</v>
      </c>
      <c r="F190" s="211" t="s">
        <v>890</v>
      </c>
      <c r="H190" s="805">
        <v>0</v>
      </c>
      <c r="I190" s="805">
        <v>0</v>
      </c>
      <c r="J190" s="395"/>
      <c r="K190" s="395"/>
      <c r="L190" s="395"/>
      <c r="M190" s="395"/>
      <c r="N190" s="395"/>
      <c r="O190" s="395"/>
      <c r="P190" s="395"/>
      <c r="Q190" s="395"/>
      <c r="R190" s="395"/>
      <c r="S190" s="395"/>
      <c r="T190" s="395"/>
      <c r="U190" s="395"/>
      <c r="V190" s="805">
        <f t="shared" si="2"/>
        <v>0</v>
      </c>
    </row>
    <row r="191" spans="1:22">
      <c r="A191" s="198"/>
      <c r="B191" s="2"/>
      <c r="C191" s="2"/>
      <c r="D191" s="2"/>
      <c r="E191" s="190"/>
      <c r="F191" s="211"/>
      <c r="H191" s="805">
        <v>0</v>
      </c>
      <c r="I191" s="805">
        <v>0</v>
      </c>
      <c r="J191" s="395"/>
      <c r="K191" s="395"/>
      <c r="L191" s="395"/>
      <c r="M191" s="395"/>
      <c r="N191" s="395"/>
      <c r="O191" s="395"/>
      <c r="P191" s="395"/>
      <c r="Q191" s="395"/>
      <c r="R191" s="395"/>
      <c r="S191" s="395"/>
      <c r="T191" s="395"/>
      <c r="U191" s="395"/>
      <c r="V191" s="805">
        <f t="shared" si="2"/>
        <v>0</v>
      </c>
    </row>
    <row r="192" spans="1:22">
      <c r="A192" s="200"/>
      <c r="B192" s="191"/>
      <c r="C192" s="191"/>
      <c r="D192" s="194"/>
      <c r="E192" s="192"/>
      <c r="F192" s="212"/>
    </row>
    <row r="194" spans="8:22">
      <c r="H194" s="396">
        <f t="shared" ref="H194:I194" si="3">SUM(H5:H191)</f>
        <v>-1774779.3099999996</v>
      </c>
      <c r="I194" s="396">
        <f t="shared" si="3"/>
        <v>-2644185.3236617385</v>
      </c>
      <c r="J194" s="396">
        <f t="shared" ref="J194:V194" si="4">SUM(J5:J191)</f>
        <v>0</v>
      </c>
      <c r="K194" s="396">
        <f t="shared" si="4"/>
        <v>-180000</v>
      </c>
      <c r="L194" s="396">
        <f t="shared" si="4"/>
        <v>0</v>
      </c>
      <c r="M194" s="396">
        <f t="shared" si="4"/>
        <v>0</v>
      </c>
      <c r="N194" s="396">
        <f t="shared" si="4"/>
        <v>0</v>
      </c>
      <c r="O194" s="396">
        <f t="shared" si="4"/>
        <v>0</v>
      </c>
      <c r="P194" s="396">
        <f t="shared" si="4"/>
        <v>0</v>
      </c>
      <c r="Q194" s="396">
        <f t="shared" si="4"/>
        <v>0</v>
      </c>
      <c r="R194" s="396">
        <f t="shared" si="4"/>
        <v>0</v>
      </c>
      <c r="S194" s="396">
        <f t="shared" si="4"/>
        <v>0</v>
      </c>
      <c r="T194" s="396">
        <f t="shared" si="4"/>
        <v>0</v>
      </c>
      <c r="U194" s="396">
        <f t="shared" si="4"/>
        <v>0</v>
      </c>
      <c r="V194" s="396">
        <f t="shared" si="4"/>
        <v>-4598964.6336617377</v>
      </c>
    </row>
  </sheetData>
  <sheetProtection algorithmName="SHA-512" hashValue="ZX/DnjKAHnJ/rD5YwjUfGH1gh+RH9DMjn9QjC8u307VCE8mHhzOegcW8Hx9HDdIdfwM6uZj7BlK4HP6G8CLxYw==" saltValue="m9SfRHZUaZL2u1ollN1tTg==" spinCount="100000" sheet="1" autoFilter="0"/>
  <autoFilter ref="A4:V191" xr:uid="{CD067C11-F7C1-47EC-823D-82310A4F0FE2}"/>
  <conditionalFormatting sqref="A4:F4 H4:V4 A5:E5 E6:E192">
    <cfRule type="cellIs" dxfId="8" priority="2" operator="lessThan">
      <formula>0</formula>
    </cfRule>
  </conditionalFormatting>
  <hyperlinks>
    <hyperlink ref="H3" r:id="rId1" display="../../../../../../:x:/s/SchoolFairfundingTeam/IQDjkKl-sg5lQqGxMlcr_KQ8AZd8jX_BvJ3NLw00QtzEovs?e=9vNdfG" xr:uid="{DE7F63E6-8D70-4188-912F-57E8EC3A8EAB}"/>
    <hyperlink ref="I3" r:id="rId2" display="../../../../../../:x:/s/SchoolFairfundingTeam/IQDjkKl-sg5lQqGxMlcr_KQ8AZd8jX_BvJ3NLw00QtzEovs?e=9vNdfG" xr:uid="{866D2D34-B3C5-4AA2-A861-E2A7C57551DA}"/>
  </hyperlinks>
  <pageMargins left="0.7" right="0.7" top="0.75" bottom="0.75" header="0.3" footer="0.3"/>
  <pageSetup paperSize="9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EBADC-163A-4CDE-AAE2-A1EE7C263F73}">
  <sheetPr codeName="Sheet10">
    <tabColor theme="6" tint="0.59999389629810485"/>
  </sheetPr>
  <dimension ref="A1:AN195"/>
  <sheetViews>
    <sheetView zoomScale="80" zoomScaleNormal="8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T200" sqref="T200"/>
    </sheetView>
  </sheetViews>
  <sheetFormatPr defaultRowHeight="15"/>
  <cols>
    <col min="1" max="1" width="6.5703125" customWidth="1"/>
    <col min="2" max="2" width="7.7109375" bestFit="1" customWidth="1"/>
    <col min="3" max="3" width="11" bestFit="1" customWidth="1"/>
    <col min="4" max="4" width="66.28515625" customWidth="1"/>
    <col min="5" max="5" width="17.42578125" bestFit="1" customWidth="1"/>
    <col min="6" max="6" width="14.7109375" customWidth="1"/>
    <col min="7" max="7" width="14.28515625" bestFit="1" customWidth="1"/>
    <col min="8" max="8" width="14.7109375" style="288" customWidth="1"/>
    <col min="9" max="9" width="16.28515625" style="288" customWidth="1"/>
    <col min="10" max="10" width="16" style="288" customWidth="1"/>
    <col min="11" max="11" width="3" customWidth="1"/>
    <col min="12" max="12" width="12.85546875" style="281" customWidth="1"/>
    <col min="13" max="13" width="13.28515625" style="281" customWidth="1"/>
    <col min="14" max="14" width="3.42578125" customWidth="1"/>
    <col min="15" max="16" width="14.28515625" bestFit="1" customWidth="1"/>
    <col min="17" max="17" width="14.28515625" style="281" bestFit="1" customWidth="1"/>
    <col min="18" max="18" width="14.28515625" style="288" bestFit="1" customWidth="1"/>
    <col min="19" max="19" width="10.28515625" style="281" customWidth="1"/>
    <col min="20" max="20" width="11.7109375" style="281" bestFit="1" customWidth="1"/>
    <col min="34" max="34" width="3.7109375" customWidth="1"/>
    <col min="35" max="35" width="14.28515625" style="295" bestFit="1" customWidth="1"/>
    <col min="36" max="36" width="2.7109375" customWidth="1"/>
    <col min="37" max="37" width="14.28515625" bestFit="1" customWidth="1"/>
    <col min="38" max="38" width="13" bestFit="1" customWidth="1"/>
    <col min="39" max="39" width="14.28515625" bestFit="1" customWidth="1"/>
  </cols>
  <sheetData>
    <row r="1" spans="1:40">
      <c r="A1" s="1" t="s">
        <v>958</v>
      </c>
      <c r="B1" s="1"/>
    </row>
    <row r="2" spans="1:40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 s="288">
        <v>8</v>
      </c>
      <c r="I2" s="288">
        <v>9</v>
      </c>
      <c r="J2" s="288">
        <v>10</v>
      </c>
      <c r="K2">
        <v>11</v>
      </c>
      <c r="L2" s="281">
        <v>12</v>
      </c>
      <c r="M2" s="281">
        <v>13</v>
      </c>
      <c r="N2">
        <v>14</v>
      </c>
      <c r="O2">
        <v>15</v>
      </c>
      <c r="P2">
        <v>16</v>
      </c>
      <c r="Q2" s="281">
        <v>17</v>
      </c>
      <c r="R2" s="288">
        <v>18</v>
      </c>
      <c r="S2" s="281">
        <v>19</v>
      </c>
      <c r="T2" s="281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 s="295">
        <v>35</v>
      </c>
      <c r="AJ2">
        <v>36</v>
      </c>
      <c r="AK2">
        <v>37</v>
      </c>
      <c r="AL2">
        <v>38</v>
      </c>
      <c r="AM2">
        <v>39</v>
      </c>
      <c r="AN2">
        <v>40</v>
      </c>
    </row>
    <row r="3" spans="1:40">
      <c r="D3" s="66"/>
      <c r="G3" s="66" t="s">
        <v>959</v>
      </c>
      <c r="H3" s="792" t="s">
        <v>22</v>
      </c>
      <c r="I3" s="792" t="s">
        <v>26</v>
      </c>
      <c r="J3" s="792" t="s">
        <v>25</v>
      </c>
      <c r="L3" s="793" t="s">
        <v>22</v>
      </c>
      <c r="M3" s="793" t="s">
        <v>25</v>
      </c>
      <c r="O3" s="2"/>
      <c r="P3" s="2"/>
      <c r="Q3" s="285" t="s">
        <v>22</v>
      </c>
      <c r="R3" s="292" t="s">
        <v>25</v>
      </c>
      <c r="S3" s="285" t="s">
        <v>22</v>
      </c>
      <c r="T3" s="285" t="s">
        <v>25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40">
      <c r="D4" s="66"/>
      <c r="G4" s="66" t="s">
        <v>960</v>
      </c>
    </row>
    <row r="5" spans="1:40">
      <c r="D5" s="66"/>
      <c r="G5" s="66"/>
    </row>
    <row r="6" spans="1:40" ht="15.75" customHeight="1" thickBot="1">
      <c r="H6" s="783" t="s">
        <v>961</v>
      </c>
      <c r="I6" s="784"/>
      <c r="J6" s="784"/>
      <c r="L6" s="773" t="s">
        <v>962</v>
      </c>
      <c r="M6" s="786"/>
      <c r="O6" s="789" t="s">
        <v>963</v>
      </c>
      <c r="P6" s="788"/>
      <c r="Q6" s="786"/>
      <c r="R6" s="784"/>
      <c r="S6" s="786"/>
      <c r="T6" s="786"/>
      <c r="U6" s="788"/>
      <c r="V6" s="788"/>
      <c r="W6" s="788"/>
      <c r="X6" s="788"/>
      <c r="Y6" s="788"/>
      <c r="Z6" s="788"/>
      <c r="AA6" s="788"/>
      <c r="AB6" s="788"/>
      <c r="AC6" s="788"/>
      <c r="AD6" s="788"/>
      <c r="AE6" s="788"/>
      <c r="AF6" s="788"/>
      <c r="AG6" s="788"/>
    </row>
    <row r="7" spans="1:40" ht="48" customHeight="1" thickBot="1">
      <c r="A7" s="177" t="s">
        <v>16</v>
      </c>
      <c r="B7" s="178" t="s">
        <v>17</v>
      </c>
      <c r="C7" s="179" t="s">
        <v>18</v>
      </c>
      <c r="D7" s="180" t="s">
        <v>19</v>
      </c>
      <c r="E7" s="179" t="s">
        <v>20</v>
      </c>
      <c r="F7" s="180" t="s">
        <v>21</v>
      </c>
      <c r="G7" s="206"/>
      <c r="H7" s="785" t="s">
        <v>964</v>
      </c>
      <c r="I7" s="785" t="s">
        <v>965</v>
      </c>
      <c r="J7" s="785" t="s">
        <v>966</v>
      </c>
      <c r="L7" s="787" t="s">
        <v>967</v>
      </c>
      <c r="M7" s="787" t="s">
        <v>966</v>
      </c>
      <c r="O7" s="874" t="s">
        <v>968</v>
      </c>
      <c r="P7" s="874" t="s">
        <v>969</v>
      </c>
      <c r="Q7" s="876" t="s">
        <v>970</v>
      </c>
      <c r="R7" s="889" t="s">
        <v>1126</v>
      </c>
      <c r="S7" s="892" t="s">
        <v>1129</v>
      </c>
      <c r="T7" s="892" t="s">
        <v>1126</v>
      </c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I7" s="796" t="s">
        <v>971</v>
      </c>
      <c r="AK7" s="181" t="s">
        <v>22</v>
      </c>
      <c r="AL7" s="182" t="s">
        <v>26</v>
      </c>
      <c r="AM7" s="182" t="s">
        <v>25</v>
      </c>
      <c r="AN7" s="184" t="s">
        <v>953</v>
      </c>
    </row>
    <row r="8" spans="1:40">
      <c r="A8" s="197">
        <v>1027</v>
      </c>
      <c r="B8" s="185">
        <v>103140</v>
      </c>
      <c r="C8" s="185" t="s">
        <v>34</v>
      </c>
      <c r="D8" s="185" t="s">
        <v>35</v>
      </c>
      <c r="E8" s="190" t="s">
        <v>36</v>
      </c>
      <c r="F8" s="211" t="str">
        <f>VLOOKUP(A8,'Summary June 2026'!A:F,6,FALSE)</f>
        <v>Chq Bk</v>
      </c>
      <c r="G8" s="186"/>
      <c r="H8" s="790">
        <v>0</v>
      </c>
      <c r="I8" s="790">
        <v>0</v>
      </c>
      <c r="J8" s="790">
        <v>33962</v>
      </c>
      <c r="L8" s="791">
        <v>0</v>
      </c>
      <c r="M8" s="791">
        <v>0</v>
      </c>
      <c r="O8" s="875">
        <v>-7473.916666666667</v>
      </c>
      <c r="P8" s="875">
        <v>0</v>
      </c>
      <c r="Q8" s="877">
        <v>0</v>
      </c>
      <c r="R8" s="890"/>
      <c r="AI8" s="797">
        <f>SUM(H8:AG8)</f>
        <v>26488.083333333332</v>
      </c>
      <c r="AK8" s="795">
        <f t="shared" ref="AK8:AM27" si="0">SUMIFS($H8:$AG8,$H$3:$AG$3,AK$7)</f>
        <v>0</v>
      </c>
      <c r="AL8" s="795">
        <f t="shared" si="0"/>
        <v>0</v>
      </c>
      <c r="AM8" s="795">
        <f t="shared" si="0"/>
        <v>33962</v>
      </c>
      <c r="AN8" s="278">
        <f>SUM(AK8:AM8)-AI8</f>
        <v>7473.9166666666679</v>
      </c>
    </row>
    <row r="9" spans="1:40">
      <c r="A9" s="198">
        <v>2010</v>
      </c>
      <c r="B9" s="2">
        <v>103159</v>
      </c>
      <c r="C9" s="2" t="s">
        <v>37</v>
      </c>
      <c r="D9" s="2" t="s">
        <v>38</v>
      </c>
      <c r="E9" s="190" t="s">
        <v>39</v>
      </c>
      <c r="F9" s="211" t="str">
        <f>VLOOKUP(A9,'Summary June 2026'!A:F,6,FALSE)</f>
        <v>Chq Bk</v>
      </c>
      <c r="G9" s="33"/>
      <c r="H9" s="790">
        <v>0</v>
      </c>
      <c r="I9" s="790">
        <v>0</v>
      </c>
      <c r="J9" s="790">
        <v>16969.580000000002</v>
      </c>
      <c r="L9" s="791">
        <v>0</v>
      </c>
      <c r="M9" s="791">
        <v>0</v>
      </c>
      <c r="O9" s="875">
        <v>934.44416666666677</v>
      </c>
      <c r="P9" s="875">
        <v>0</v>
      </c>
      <c r="Q9" s="877">
        <v>0</v>
      </c>
      <c r="R9" s="890"/>
      <c r="AI9" s="797">
        <f t="shared" ref="AI9:AI72" si="1">SUM(H9:AG9)</f>
        <v>17904.02416666667</v>
      </c>
      <c r="AK9" s="795">
        <f t="shared" si="0"/>
        <v>0</v>
      </c>
      <c r="AL9" s="795">
        <f t="shared" si="0"/>
        <v>0</v>
      </c>
      <c r="AM9" s="795">
        <f t="shared" si="0"/>
        <v>16969.580000000002</v>
      </c>
      <c r="AN9" s="278">
        <f t="shared" ref="AN9:AN72" si="2">SUM(AK9:AM9)-AI9</f>
        <v>-934.44416666666802</v>
      </c>
    </row>
    <row r="10" spans="1:40">
      <c r="A10" s="198">
        <v>5949</v>
      </c>
      <c r="B10" s="2">
        <v>131465</v>
      </c>
      <c r="C10" s="2" t="s">
        <v>40</v>
      </c>
      <c r="D10" s="2" t="s">
        <v>41</v>
      </c>
      <c r="E10" s="190" t="s">
        <v>39</v>
      </c>
      <c r="F10" s="211" t="str">
        <f>VLOOKUP(A10,'Summary June 2026'!A:F,6,FALSE)</f>
        <v>Chq Bk</v>
      </c>
      <c r="G10" s="33"/>
      <c r="H10" s="790">
        <v>0</v>
      </c>
      <c r="I10" s="790">
        <v>0</v>
      </c>
      <c r="J10" s="790">
        <v>65560.25</v>
      </c>
      <c r="L10" s="791">
        <v>0</v>
      </c>
      <c r="M10" s="791">
        <v>0</v>
      </c>
      <c r="O10" s="875">
        <v>-1083.4933333333331</v>
      </c>
      <c r="P10" s="875">
        <v>0</v>
      </c>
      <c r="Q10" s="877">
        <v>0</v>
      </c>
      <c r="R10" s="890"/>
      <c r="AI10" s="797">
        <f t="shared" si="1"/>
        <v>64476.756666666668</v>
      </c>
      <c r="AK10" s="795">
        <f t="shared" si="0"/>
        <v>0</v>
      </c>
      <c r="AL10" s="795">
        <f t="shared" si="0"/>
        <v>0</v>
      </c>
      <c r="AM10" s="795">
        <f t="shared" si="0"/>
        <v>65560.25</v>
      </c>
      <c r="AN10" s="278">
        <f t="shared" si="2"/>
        <v>1083.493333333332</v>
      </c>
    </row>
    <row r="11" spans="1:40">
      <c r="A11" s="198">
        <v>1017</v>
      </c>
      <c r="B11" s="2">
        <v>103130</v>
      </c>
      <c r="C11" s="2" t="s">
        <v>42</v>
      </c>
      <c r="D11" s="2" t="s">
        <v>43</v>
      </c>
      <c r="E11" s="190" t="s">
        <v>36</v>
      </c>
      <c r="F11" s="211" t="str">
        <f>VLOOKUP(A11,'Summary June 2026'!A:F,6,FALSE)</f>
        <v>Chq Bk</v>
      </c>
      <c r="G11" s="33"/>
      <c r="H11" s="790">
        <v>0</v>
      </c>
      <c r="I11" s="790">
        <v>0</v>
      </c>
      <c r="J11" s="790">
        <v>0</v>
      </c>
      <c r="L11" s="791">
        <v>60000</v>
      </c>
      <c r="M11" s="791">
        <v>60017</v>
      </c>
      <c r="O11" s="875">
        <v>0</v>
      </c>
      <c r="P11" s="875">
        <v>-1164.5</v>
      </c>
      <c r="Q11" s="877">
        <v>-8000</v>
      </c>
      <c r="R11" s="890"/>
      <c r="AI11" s="797">
        <f t="shared" si="1"/>
        <v>110852.5</v>
      </c>
      <c r="AK11" s="795">
        <f t="shared" si="0"/>
        <v>52000</v>
      </c>
      <c r="AL11" s="795">
        <f t="shared" si="0"/>
        <v>0</v>
      </c>
      <c r="AM11" s="795">
        <f t="shared" si="0"/>
        <v>60017</v>
      </c>
      <c r="AN11" s="278">
        <f t="shared" si="2"/>
        <v>1164.5</v>
      </c>
    </row>
    <row r="12" spans="1:40">
      <c r="A12" s="198">
        <v>2153</v>
      </c>
      <c r="B12" s="2">
        <v>103243</v>
      </c>
      <c r="C12" s="2" t="s">
        <v>44</v>
      </c>
      <c r="D12" s="2" t="s">
        <v>45</v>
      </c>
      <c r="E12" s="190" t="s">
        <v>39</v>
      </c>
      <c r="F12" s="211" t="str">
        <f>VLOOKUP(A12,'Summary June 2026'!A:F,6,FALSE)</f>
        <v>Chq Bk</v>
      </c>
      <c r="G12" s="33"/>
      <c r="H12" s="790">
        <v>0</v>
      </c>
      <c r="I12" s="790">
        <v>0</v>
      </c>
      <c r="J12" s="790">
        <v>0</v>
      </c>
      <c r="L12" s="791">
        <v>276000</v>
      </c>
      <c r="M12" s="791">
        <v>530803.82999999996</v>
      </c>
      <c r="O12" s="875">
        <v>0</v>
      </c>
      <c r="P12" s="875">
        <v>-7028.3875000000016</v>
      </c>
      <c r="Q12" s="877">
        <v>0</v>
      </c>
      <c r="R12" s="890"/>
      <c r="AI12" s="797">
        <f t="shared" si="1"/>
        <v>799775.4425</v>
      </c>
      <c r="AK12" s="795">
        <f t="shared" si="0"/>
        <v>276000</v>
      </c>
      <c r="AL12" s="795">
        <f t="shared" si="0"/>
        <v>0</v>
      </c>
      <c r="AM12" s="795">
        <f t="shared" si="0"/>
        <v>530803.82999999996</v>
      </c>
      <c r="AN12" s="278">
        <f t="shared" si="2"/>
        <v>7028.3874999999534</v>
      </c>
    </row>
    <row r="13" spans="1:40">
      <c r="A13" s="198">
        <v>2062</v>
      </c>
      <c r="B13" s="2">
        <v>103192</v>
      </c>
      <c r="C13" s="2" t="s">
        <v>46</v>
      </c>
      <c r="D13" s="2" t="s">
        <v>47</v>
      </c>
      <c r="E13" s="190" t="s">
        <v>39</v>
      </c>
      <c r="F13" s="211" t="str">
        <f>VLOOKUP(A13,'Summary June 2026'!A:F,6,FALSE)</f>
        <v>Chq Bk</v>
      </c>
      <c r="G13" s="33"/>
      <c r="H13" s="790">
        <v>0</v>
      </c>
      <c r="I13" s="790">
        <v>0</v>
      </c>
      <c r="J13" s="790">
        <v>141728.83000000002</v>
      </c>
      <c r="L13" s="791">
        <v>0</v>
      </c>
      <c r="M13" s="791">
        <v>0</v>
      </c>
      <c r="O13" s="875">
        <v>-10061.471666666665</v>
      </c>
      <c r="P13" s="875">
        <v>0</v>
      </c>
      <c r="Q13" s="877">
        <v>0</v>
      </c>
      <c r="R13" s="890"/>
      <c r="AI13" s="797">
        <f t="shared" si="1"/>
        <v>131667.35833333334</v>
      </c>
      <c r="AK13" s="795">
        <f t="shared" si="0"/>
        <v>0</v>
      </c>
      <c r="AL13" s="795">
        <f t="shared" si="0"/>
        <v>0</v>
      </c>
      <c r="AM13" s="795">
        <f t="shared" si="0"/>
        <v>141728.83000000002</v>
      </c>
      <c r="AN13" s="278">
        <f t="shared" si="2"/>
        <v>10061.471666666679</v>
      </c>
    </row>
    <row r="14" spans="1:40">
      <c r="A14" s="198">
        <v>2479</v>
      </c>
      <c r="B14" s="2">
        <v>132074</v>
      </c>
      <c r="C14" s="2" t="s">
        <v>48</v>
      </c>
      <c r="D14" s="2" t="s">
        <v>49</v>
      </c>
      <c r="E14" s="190" t="s">
        <v>39</v>
      </c>
      <c r="F14" s="211" t="str">
        <f>VLOOKUP(A14,'Summary June 2026'!A:F,6,FALSE)</f>
        <v>Chq Bk</v>
      </c>
      <c r="G14" s="33"/>
      <c r="H14" s="790">
        <v>0</v>
      </c>
      <c r="I14" s="790">
        <v>0</v>
      </c>
      <c r="J14" s="790">
        <v>0</v>
      </c>
      <c r="L14" s="791">
        <v>80000</v>
      </c>
      <c r="M14" s="791">
        <v>243183.1</v>
      </c>
      <c r="O14" s="875">
        <v>0</v>
      </c>
      <c r="P14" s="875">
        <v>-15855.715833333334</v>
      </c>
      <c r="Q14" s="877">
        <v>0</v>
      </c>
      <c r="R14" s="890"/>
      <c r="AI14" s="797">
        <f t="shared" si="1"/>
        <v>307327.38416666666</v>
      </c>
      <c r="AK14" s="795">
        <f t="shared" si="0"/>
        <v>80000</v>
      </c>
      <c r="AL14" s="795">
        <f t="shared" si="0"/>
        <v>0</v>
      </c>
      <c r="AM14" s="795">
        <f t="shared" si="0"/>
        <v>243183.1</v>
      </c>
      <c r="AN14" s="278">
        <f t="shared" si="2"/>
        <v>15855.715833333321</v>
      </c>
    </row>
    <row r="15" spans="1:40">
      <c r="A15" s="198">
        <v>2300</v>
      </c>
      <c r="B15" s="2">
        <v>103324</v>
      </c>
      <c r="C15" s="2" t="s">
        <v>50</v>
      </c>
      <c r="D15" s="2" t="s">
        <v>51</v>
      </c>
      <c r="E15" s="190" t="s">
        <v>39</v>
      </c>
      <c r="F15" s="211" t="str">
        <f>VLOOKUP(A15,'Summary June 2026'!A:F,6,FALSE)</f>
        <v>Chq Bk</v>
      </c>
      <c r="G15" s="33"/>
      <c r="H15" s="790">
        <v>0</v>
      </c>
      <c r="I15" s="790">
        <v>0</v>
      </c>
      <c r="J15" s="790">
        <v>120952.42</v>
      </c>
      <c r="L15" s="791">
        <v>0</v>
      </c>
      <c r="M15" s="791">
        <v>0</v>
      </c>
      <c r="O15" s="875">
        <v>-18565.958333333332</v>
      </c>
      <c r="P15" s="875">
        <v>0</v>
      </c>
      <c r="Q15" s="877">
        <v>0</v>
      </c>
      <c r="R15" s="890"/>
      <c r="AI15" s="797">
        <f t="shared" si="1"/>
        <v>102386.46166666667</v>
      </c>
      <c r="AK15" s="795">
        <f t="shared" si="0"/>
        <v>0</v>
      </c>
      <c r="AL15" s="795">
        <f t="shared" si="0"/>
        <v>0</v>
      </c>
      <c r="AM15" s="795">
        <f t="shared" si="0"/>
        <v>120952.42</v>
      </c>
      <c r="AN15" s="278">
        <f t="shared" si="2"/>
        <v>18565.958333333328</v>
      </c>
    </row>
    <row r="16" spans="1:40">
      <c r="A16" s="198">
        <v>2014</v>
      </c>
      <c r="B16" s="2">
        <v>103162</v>
      </c>
      <c r="C16" s="2" t="s">
        <v>52</v>
      </c>
      <c r="D16" s="2" t="s">
        <v>53</v>
      </c>
      <c r="E16" s="190" t="s">
        <v>39</v>
      </c>
      <c r="F16" s="211" t="str">
        <f>VLOOKUP(A16,'Summary June 2026'!A:F,6,FALSE)</f>
        <v>Chq Bk</v>
      </c>
      <c r="G16" s="33"/>
      <c r="H16" s="790">
        <v>0</v>
      </c>
      <c r="I16" s="790">
        <v>0</v>
      </c>
      <c r="J16" s="790">
        <v>74929</v>
      </c>
      <c r="L16" s="791">
        <v>0</v>
      </c>
      <c r="M16" s="791">
        <v>0</v>
      </c>
      <c r="O16" s="875">
        <v>-5277.666666666667</v>
      </c>
      <c r="P16" s="875">
        <v>0</v>
      </c>
      <c r="Q16" s="877">
        <v>0</v>
      </c>
      <c r="R16" s="890"/>
      <c r="AI16" s="797">
        <f t="shared" si="1"/>
        <v>69651.333333333328</v>
      </c>
      <c r="AK16" s="795">
        <f t="shared" si="0"/>
        <v>0</v>
      </c>
      <c r="AL16" s="795">
        <f t="shared" si="0"/>
        <v>0</v>
      </c>
      <c r="AM16" s="795">
        <f t="shared" si="0"/>
        <v>74929</v>
      </c>
      <c r="AN16" s="278">
        <f t="shared" si="2"/>
        <v>5277.6666666666715</v>
      </c>
    </row>
    <row r="17" spans="1:40">
      <c r="A17" s="198">
        <v>7016</v>
      </c>
      <c r="B17" s="2">
        <v>103606</v>
      </c>
      <c r="C17" s="2" t="s">
        <v>54</v>
      </c>
      <c r="D17" s="2" t="s">
        <v>55</v>
      </c>
      <c r="E17" s="190" t="s">
        <v>56</v>
      </c>
      <c r="F17" s="211" t="str">
        <f>VLOOKUP(A17,'Summary June 2026'!A:F,6,FALSE)</f>
        <v>Chq Bk</v>
      </c>
      <c r="G17" s="33"/>
      <c r="H17" s="790">
        <v>1240000</v>
      </c>
      <c r="I17" s="790">
        <v>640000</v>
      </c>
      <c r="J17" s="790">
        <v>3690128.0599999996</v>
      </c>
      <c r="L17" s="791">
        <v>0</v>
      </c>
      <c r="M17" s="791">
        <v>0</v>
      </c>
      <c r="O17" s="875">
        <v>0</v>
      </c>
      <c r="P17" s="875">
        <v>0</v>
      </c>
      <c r="Q17" s="877">
        <v>0</v>
      </c>
      <c r="R17" s="890"/>
      <c r="AI17" s="797">
        <f t="shared" si="1"/>
        <v>5570128.0599999996</v>
      </c>
      <c r="AK17" s="795">
        <f t="shared" si="0"/>
        <v>1240000</v>
      </c>
      <c r="AL17" s="795">
        <f t="shared" si="0"/>
        <v>640000</v>
      </c>
      <c r="AM17" s="795">
        <f t="shared" si="0"/>
        <v>3690128.0599999996</v>
      </c>
      <c r="AN17" s="278">
        <f t="shared" si="2"/>
        <v>0</v>
      </c>
    </row>
    <row r="18" spans="1:40">
      <c r="A18" s="198">
        <v>7052</v>
      </c>
      <c r="B18" s="2">
        <v>103627</v>
      </c>
      <c r="C18" s="2" t="s">
        <v>57</v>
      </c>
      <c r="D18" s="2" t="s">
        <v>58</v>
      </c>
      <c r="E18" s="190" t="s">
        <v>56</v>
      </c>
      <c r="F18" s="211" t="str">
        <f>VLOOKUP(A18,'Summary June 2026'!A:F,6,FALSE)</f>
        <v>Chq Bk</v>
      </c>
      <c r="G18" s="33"/>
      <c r="H18" s="790">
        <v>940000</v>
      </c>
      <c r="I18" s="790">
        <v>0</v>
      </c>
      <c r="J18" s="790">
        <v>1769486.7700000003</v>
      </c>
      <c r="L18" s="791">
        <v>0</v>
      </c>
      <c r="M18" s="791">
        <v>0</v>
      </c>
      <c r="O18" s="875">
        <v>0</v>
      </c>
      <c r="P18" s="875">
        <v>0</v>
      </c>
      <c r="Q18" s="877">
        <v>0</v>
      </c>
      <c r="R18" s="890"/>
      <c r="AI18" s="797">
        <f t="shared" si="1"/>
        <v>2709486.7700000005</v>
      </c>
      <c r="AK18" s="795">
        <f t="shared" si="0"/>
        <v>940000</v>
      </c>
      <c r="AL18" s="795">
        <f t="shared" si="0"/>
        <v>0</v>
      </c>
      <c r="AM18" s="795">
        <f t="shared" si="0"/>
        <v>1769486.7700000003</v>
      </c>
      <c r="AN18" s="278">
        <f t="shared" si="2"/>
        <v>0</v>
      </c>
    </row>
    <row r="19" spans="1:40">
      <c r="A19" s="198">
        <v>2017</v>
      </c>
      <c r="B19" s="2">
        <v>103164</v>
      </c>
      <c r="C19" s="2" t="s">
        <v>59</v>
      </c>
      <c r="D19" s="2" t="s">
        <v>60</v>
      </c>
      <c r="E19" s="190" t="s">
        <v>39</v>
      </c>
      <c r="F19" s="211" t="str">
        <f>VLOOKUP(A19,'Summary June 2026'!A:F,6,FALSE)</f>
        <v>Chq Bk</v>
      </c>
      <c r="G19" s="33"/>
      <c r="H19" s="790">
        <v>0</v>
      </c>
      <c r="I19" s="790">
        <v>0</v>
      </c>
      <c r="J19" s="790">
        <v>66247.5</v>
      </c>
      <c r="L19" s="791">
        <v>0</v>
      </c>
      <c r="M19" s="791">
        <v>0</v>
      </c>
      <c r="O19" s="875">
        <v>-9575.8891666666659</v>
      </c>
      <c r="P19" s="875">
        <v>0</v>
      </c>
      <c r="Q19" s="877">
        <v>0</v>
      </c>
      <c r="R19" s="890"/>
      <c r="AI19" s="797">
        <f t="shared" si="1"/>
        <v>56671.610833333332</v>
      </c>
      <c r="AK19" s="795">
        <f t="shared" si="0"/>
        <v>0</v>
      </c>
      <c r="AL19" s="795">
        <f t="shared" si="0"/>
        <v>0</v>
      </c>
      <c r="AM19" s="795">
        <f t="shared" si="0"/>
        <v>66247.5</v>
      </c>
      <c r="AN19" s="278">
        <f t="shared" si="2"/>
        <v>9575.8891666666677</v>
      </c>
    </row>
    <row r="20" spans="1:40">
      <c r="A20" s="198">
        <v>2016</v>
      </c>
      <c r="B20" s="2">
        <v>103163</v>
      </c>
      <c r="C20" s="2" t="s">
        <v>61</v>
      </c>
      <c r="D20" s="2" t="s">
        <v>62</v>
      </c>
      <c r="E20" s="190" t="s">
        <v>39</v>
      </c>
      <c r="F20" s="211" t="str">
        <f>VLOOKUP(A20,'Summary June 2026'!A:F,6,FALSE)</f>
        <v>Chq Bk</v>
      </c>
      <c r="G20" s="33"/>
      <c r="H20" s="790">
        <v>0</v>
      </c>
      <c r="I20" s="790">
        <v>0</v>
      </c>
      <c r="J20" s="790">
        <v>113548.33</v>
      </c>
      <c r="L20" s="791">
        <v>0</v>
      </c>
      <c r="M20" s="791">
        <v>0</v>
      </c>
      <c r="O20" s="875">
        <v>-7779.3058333333329</v>
      </c>
      <c r="P20" s="875">
        <v>0</v>
      </c>
      <c r="Q20" s="877">
        <v>0</v>
      </c>
      <c r="R20" s="890"/>
      <c r="AI20" s="797">
        <f t="shared" si="1"/>
        <v>105769.02416666667</v>
      </c>
      <c r="AK20" s="795">
        <f t="shared" si="0"/>
        <v>0</v>
      </c>
      <c r="AL20" s="795">
        <f t="shared" si="0"/>
        <v>0</v>
      </c>
      <c r="AM20" s="795">
        <f t="shared" si="0"/>
        <v>113548.33</v>
      </c>
      <c r="AN20" s="278">
        <f t="shared" si="2"/>
        <v>7779.305833333332</v>
      </c>
    </row>
    <row r="21" spans="1:40">
      <c r="A21" s="198">
        <v>2239</v>
      </c>
      <c r="B21" s="2">
        <v>103289</v>
      </c>
      <c r="C21" s="2" t="s">
        <v>63</v>
      </c>
      <c r="D21" s="2" t="s">
        <v>64</v>
      </c>
      <c r="E21" s="190" t="s">
        <v>39</v>
      </c>
      <c r="F21" s="211" t="str">
        <f>VLOOKUP(A21,'Summary June 2026'!A:F,6,FALSE)</f>
        <v>Chq Bk</v>
      </c>
      <c r="G21" s="33"/>
      <c r="H21" s="790">
        <v>0</v>
      </c>
      <c r="I21" s="790">
        <v>0</v>
      </c>
      <c r="J21" s="790">
        <v>75407</v>
      </c>
      <c r="L21" s="791">
        <v>0</v>
      </c>
      <c r="M21" s="791">
        <v>0</v>
      </c>
      <c r="O21" s="875">
        <v>-3025.125</v>
      </c>
      <c r="P21" s="875">
        <v>0</v>
      </c>
      <c r="Q21" s="877">
        <v>0</v>
      </c>
      <c r="R21" s="890"/>
      <c r="S21" s="877"/>
      <c r="AI21" s="797">
        <f t="shared" si="1"/>
        <v>72381.875</v>
      </c>
      <c r="AK21" s="795">
        <f t="shared" si="0"/>
        <v>0</v>
      </c>
      <c r="AL21" s="795">
        <f t="shared" si="0"/>
        <v>0</v>
      </c>
      <c r="AM21" s="795">
        <f t="shared" si="0"/>
        <v>75407</v>
      </c>
      <c r="AN21" s="278">
        <f t="shared" si="2"/>
        <v>3025.125</v>
      </c>
    </row>
    <row r="22" spans="1:40">
      <c r="A22" s="198">
        <v>2241</v>
      </c>
      <c r="B22" s="2">
        <v>103291</v>
      </c>
      <c r="C22" s="2" t="s">
        <v>65</v>
      </c>
      <c r="D22" s="2" t="s">
        <v>66</v>
      </c>
      <c r="E22" s="190" t="s">
        <v>39</v>
      </c>
      <c r="F22" s="211" t="str">
        <f>VLOOKUP(A22,'Summary June 2026'!A:F,6,FALSE)</f>
        <v>Chq Bk</v>
      </c>
      <c r="G22" s="33"/>
      <c r="H22" s="790">
        <v>0</v>
      </c>
      <c r="I22" s="790">
        <v>0</v>
      </c>
      <c r="J22" s="790">
        <v>0</v>
      </c>
      <c r="L22" s="791">
        <v>120000</v>
      </c>
      <c r="M22" s="791">
        <v>77235</v>
      </c>
      <c r="O22" s="875">
        <v>0</v>
      </c>
      <c r="P22" s="875">
        <v>-8418.7083333333339</v>
      </c>
      <c r="Q22" s="877">
        <v>0</v>
      </c>
      <c r="R22" s="890"/>
      <c r="S22" s="877">
        <v>21645</v>
      </c>
      <c r="AI22" s="797">
        <f t="shared" si="1"/>
        <v>210461.29166666666</v>
      </c>
      <c r="AK22" s="795">
        <f t="shared" si="0"/>
        <v>141645</v>
      </c>
      <c r="AL22" s="795">
        <f t="shared" si="0"/>
        <v>0</v>
      </c>
      <c r="AM22" s="795">
        <f t="shared" si="0"/>
        <v>77235</v>
      </c>
      <c r="AN22" s="278">
        <f t="shared" si="2"/>
        <v>8418.708333333343</v>
      </c>
    </row>
    <row r="23" spans="1:40">
      <c r="A23" s="198">
        <v>2456</v>
      </c>
      <c r="B23" s="2">
        <v>103383</v>
      </c>
      <c r="C23" s="2" t="s">
        <v>67</v>
      </c>
      <c r="D23" s="2" t="s">
        <v>68</v>
      </c>
      <c r="E23" s="190" t="s">
        <v>39</v>
      </c>
      <c r="F23" s="211" t="str">
        <f>VLOOKUP(A23,'Summary June 2026'!A:F,6,FALSE)</f>
        <v>Chq Bk</v>
      </c>
      <c r="G23" s="33"/>
      <c r="H23" s="790">
        <v>0</v>
      </c>
      <c r="I23" s="790">
        <v>0</v>
      </c>
      <c r="J23" s="790">
        <v>88697</v>
      </c>
      <c r="L23" s="791">
        <v>0</v>
      </c>
      <c r="M23" s="791">
        <v>0</v>
      </c>
      <c r="O23" s="875">
        <v>-6502.083333333333</v>
      </c>
      <c r="P23" s="875">
        <v>0</v>
      </c>
      <c r="Q23" s="877">
        <v>0</v>
      </c>
      <c r="R23" s="890"/>
      <c r="AI23" s="797">
        <f t="shared" si="1"/>
        <v>82194.916666666672</v>
      </c>
      <c r="AK23" s="795">
        <f t="shared" si="0"/>
        <v>0</v>
      </c>
      <c r="AL23" s="795">
        <f t="shared" si="0"/>
        <v>0</v>
      </c>
      <c r="AM23" s="795">
        <f t="shared" si="0"/>
        <v>88697</v>
      </c>
      <c r="AN23" s="278">
        <f t="shared" si="2"/>
        <v>6502.0833333333285</v>
      </c>
    </row>
    <row r="24" spans="1:40">
      <c r="A24" s="198">
        <v>5413</v>
      </c>
      <c r="B24" s="2">
        <v>103560</v>
      </c>
      <c r="C24" s="2" t="s">
        <v>69</v>
      </c>
      <c r="D24" s="2" t="s">
        <v>70</v>
      </c>
      <c r="E24" s="190" t="s">
        <v>71</v>
      </c>
      <c r="F24" s="211" t="str">
        <f>VLOOKUP(A24,'Summary June 2026'!A:F,6,FALSE)</f>
        <v>Chq Bk</v>
      </c>
      <c r="G24" s="33"/>
      <c r="H24" s="790">
        <v>0</v>
      </c>
      <c r="I24" s="790">
        <v>0</v>
      </c>
      <c r="J24" s="790">
        <v>107747</v>
      </c>
      <c r="L24" s="791">
        <v>0</v>
      </c>
      <c r="M24" s="791">
        <v>0</v>
      </c>
      <c r="O24" s="875">
        <v>-7186.610833333335</v>
      </c>
      <c r="P24" s="875">
        <v>0</v>
      </c>
      <c r="Q24" s="877">
        <v>0</v>
      </c>
      <c r="R24" s="890"/>
      <c r="AI24" s="797">
        <f t="shared" si="1"/>
        <v>100560.38916666666</v>
      </c>
      <c r="AK24" s="795">
        <f t="shared" si="0"/>
        <v>0</v>
      </c>
      <c r="AL24" s="795">
        <f t="shared" si="0"/>
        <v>0</v>
      </c>
      <c r="AM24" s="795">
        <f t="shared" si="0"/>
        <v>107747</v>
      </c>
      <c r="AN24" s="278">
        <f t="shared" si="2"/>
        <v>7186.6108333333395</v>
      </c>
    </row>
    <row r="25" spans="1:40">
      <c r="A25" s="198">
        <v>2254</v>
      </c>
      <c r="B25" s="2">
        <v>103300</v>
      </c>
      <c r="C25" s="2" t="s">
        <v>72</v>
      </c>
      <c r="D25" s="2" t="s">
        <v>73</v>
      </c>
      <c r="E25" s="190" t="s">
        <v>39</v>
      </c>
      <c r="F25" s="211" t="str">
        <f>VLOOKUP(A25,'Summary June 2026'!A:F,6,FALSE)</f>
        <v>Chq Bk</v>
      </c>
      <c r="G25" s="33"/>
      <c r="H25" s="790">
        <v>0</v>
      </c>
      <c r="I25" s="790">
        <v>0</v>
      </c>
      <c r="J25" s="790">
        <v>0</v>
      </c>
      <c r="L25" s="791">
        <v>90000</v>
      </c>
      <c r="M25" s="791">
        <v>249005.33000000002</v>
      </c>
      <c r="O25" s="875">
        <v>0</v>
      </c>
      <c r="P25" s="875">
        <v>-6752.7849999999989</v>
      </c>
      <c r="Q25" s="877">
        <v>0</v>
      </c>
      <c r="R25" s="890"/>
      <c r="AI25" s="797">
        <f t="shared" si="1"/>
        <v>332252.54500000004</v>
      </c>
      <c r="AK25" s="795">
        <f t="shared" si="0"/>
        <v>90000</v>
      </c>
      <c r="AL25" s="795">
        <f t="shared" si="0"/>
        <v>0</v>
      </c>
      <c r="AM25" s="795">
        <f t="shared" si="0"/>
        <v>249005.33000000002</v>
      </c>
      <c r="AN25" s="278">
        <f t="shared" si="2"/>
        <v>6752.7849999999744</v>
      </c>
    </row>
    <row r="26" spans="1:40">
      <c r="A26" s="198">
        <v>1025</v>
      </c>
      <c r="B26" s="2">
        <v>103138</v>
      </c>
      <c r="C26" s="2" t="s">
        <v>74</v>
      </c>
      <c r="D26" s="2" t="s">
        <v>75</v>
      </c>
      <c r="E26" s="190" t="s">
        <v>36</v>
      </c>
      <c r="F26" s="211" t="str">
        <f>VLOOKUP(A26,'Summary June 2026'!A:F,6,FALSE)</f>
        <v>Chq Bk</v>
      </c>
      <c r="G26" s="33"/>
      <c r="H26" s="790">
        <v>0</v>
      </c>
      <c r="I26" s="790">
        <v>0</v>
      </c>
      <c r="J26" s="790">
        <v>0</v>
      </c>
      <c r="L26" s="791">
        <v>0</v>
      </c>
      <c r="M26" s="791">
        <v>0</v>
      </c>
      <c r="O26" s="875">
        <v>-8168.75</v>
      </c>
      <c r="P26" s="875">
        <v>0</v>
      </c>
      <c r="Q26" s="877">
        <v>0</v>
      </c>
      <c r="R26" s="890"/>
      <c r="AI26" s="797">
        <f t="shared" si="1"/>
        <v>-8168.75</v>
      </c>
      <c r="AK26" s="795">
        <f t="shared" si="0"/>
        <v>0</v>
      </c>
      <c r="AL26" s="795">
        <f t="shared" si="0"/>
        <v>0</v>
      </c>
      <c r="AM26" s="795">
        <f t="shared" si="0"/>
        <v>0</v>
      </c>
      <c r="AN26" s="278">
        <f t="shared" si="2"/>
        <v>8168.75</v>
      </c>
    </row>
    <row r="27" spans="1:40">
      <c r="A27" s="198">
        <v>2402</v>
      </c>
      <c r="B27" s="2">
        <v>103342</v>
      </c>
      <c r="C27" s="2" t="s">
        <v>76</v>
      </c>
      <c r="D27" s="2" t="s">
        <v>77</v>
      </c>
      <c r="E27" s="190" t="s">
        <v>39</v>
      </c>
      <c r="F27" s="211" t="str">
        <f>VLOOKUP(A27,'Summary June 2026'!A:F,6,FALSE)</f>
        <v>Chq Bk</v>
      </c>
      <c r="G27" s="33"/>
      <c r="H27" s="790">
        <v>0</v>
      </c>
      <c r="I27" s="790">
        <v>0</v>
      </c>
      <c r="J27" s="790">
        <v>0</v>
      </c>
      <c r="L27" s="791">
        <v>122000</v>
      </c>
      <c r="M27" s="791">
        <v>361023.82</v>
      </c>
      <c r="O27" s="875">
        <v>0</v>
      </c>
      <c r="P27" s="875">
        <v>-7010.916666666667</v>
      </c>
      <c r="Q27" s="877">
        <v>0</v>
      </c>
      <c r="R27" s="890"/>
      <c r="AI27" s="797">
        <f t="shared" si="1"/>
        <v>476012.90333333332</v>
      </c>
      <c r="AK27" s="795">
        <f t="shared" si="0"/>
        <v>122000</v>
      </c>
      <c r="AL27" s="795">
        <f t="shared" si="0"/>
        <v>0</v>
      </c>
      <c r="AM27" s="795">
        <f t="shared" si="0"/>
        <v>361023.82</v>
      </c>
      <c r="AN27" s="278">
        <f t="shared" si="2"/>
        <v>7010.9166666666861</v>
      </c>
    </row>
    <row r="28" spans="1:40">
      <c r="A28" s="198">
        <v>2401</v>
      </c>
      <c r="B28" s="2">
        <v>103341</v>
      </c>
      <c r="C28" s="2" t="s">
        <v>78</v>
      </c>
      <c r="D28" s="2" t="s">
        <v>79</v>
      </c>
      <c r="E28" s="190" t="s">
        <v>39</v>
      </c>
      <c r="F28" s="211" t="str">
        <f>VLOOKUP(A28,'Summary June 2026'!A:F,6,FALSE)</f>
        <v>Chq Bk</v>
      </c>
      <c r="G28" s="33"/>
      <c r="H28" s="790">
        <v>0</v>
      </c>
      <c r="I28" s="790">
        <v>0</v>
      </c>
      <c r="J28" s="790">
        <v>48836.59</v>
      </c>
      <c r="L28" s="791">
        <v>0</v>
      </c>
      <c r="M28" s="791">
        <v>0</v>
      </c>
      <c r="O28" s="875">
        <v>-9649.3325000000023</v>
      </c>
      <c r="P28" s="875">
        <v>0</v>
      </c>
      <c r="Q28" s="877">
        <v>0</v>
      </c>
      <c r="R28" s="890"/>
      <c r="AI28" s="797">
        <f t="shared" si="1"/>
        <v>39187.257499999992</v>
      </c>
      <c r="AK28" s="795">
        <f t="shared" ref="AK28:AM47" si="3">SUMIFS($H28:$AG28,$H$3:$AG$3,AK$7)</f>
        <v>0</v>
      </c>
      <c r="AL28" s="795">
        <f t="shared" si="3"/>
        <v>0</v>
      </c>
      <c r="AM28" s="795">
        <f t="shared" si="3"/>
        <v>48836.59</v>
      </c>
      <c r="AN28" s="278">
        <f t="shared" si="2"/>
        <v>9649.3325000000041</v>
      </c>
    </row>
    <row r="29" spans="1:40">
      <c r="A29" s="198">
        <v>1001</v>
      </c>
      <c r="B29" s="2">
        <v>103120</v>
      </c>
      <c r="C29" s="2" t="s">
        <v>80</v>
      </c>
      <c r="D29" s="2" t="s">
        <v>81</v>
      </c>
      <c r="E29" s="190" t="s">
        <v>36</v>
      </c>
      <c r="F29" s="211" t="str">
        <f>VLOOKUP(A29,'Summary June 2026'!A:F,6,FALSE)</f>
        <v>Chq Bk</v>
      </c>
      <c r="G29" s="33"/>
      <c r="H29" s="790">
        <v>0</v>
      </c>
      <c r="I29" s="790">
        <v>0</v>
      </c>
      <c r="J29" s="790">
        <v>5537.5</v>
      </c>
      <c r="L29" s="791">
        <v>0</v>
      </c>
      <c r="M29" s="791">
        <v>0</v>
      </c>
      <c r="O29" s="875">
        <v>-1146.0416666666667</v>
      </c>
      <c r="P29" s="875">
        <v>0</v>
      </c>
      <c r="Q29" s="877">
        <v>0</v>
      </c>
      <c r="R29" s="890"/>
      <c r="AI29" s="797">
        <f t="shared" si="1"/>
        <v>4391.458333333333</v>
      </c>
      <c r="AK29" s="795">
        <f t="shared" si="3"/>
        <v>0</v>
      </c>
      <c r="AL29" s="795">
        <f t="shared" si="3"/>
        <v>0</v>
      </c>
      <c r="AM29" s="795">
        <f t="shared" si="3"/>
        <v>5537.5</v>
      </c>
      <c r="AN29" s="278">
        <f t="shared" si="2"/>
        <v>1146.041666666667</v>
      </c>
    </row>
    <row r="30" spans="1:40">
      <c r="A30" s="198">
        <v>4115</v>
      </c>
      <c r="B30" s="2">
        <v>103493</v>
      </c>
      <c r="C30" s="2" t="s">
        <v>82</v>
      </c>
      <c r="D30" s="2" t="s">
        <v>83</v>
      </c>
      <c r="E30" s="190" t="s">
        <v>71</v>
      </c>
      <c r="F30" s="211" t="str">
        <f>VLOOKUP(A30,'Summary June 2026'!A:F,6,FALSE)</f>
        <v>Chq Bk</v>
      </c>
      <c r="G30" s="33"/>
      <c r="H30" s="790">
        <v>0</v>
      </c>
      <c r="I30" s="790">
        <v>0</v>
      </c>
      <c r="J30" s="790">
        <v>0</v>
      </c>
      <c r="L30" s="791">
        <v>72000</v>
      </c>
      <c r="M30" s="791">
        <v>303764.02</v>
      </c>
      <c r="O30" s="875">
        <v>0</v>
      </c>
      <c r="P30" s="875">
        <v>-3047.7783333333305</v>
      </c>
      <c r="Q30" s="877">
        <v>0</v>
      </c>
      <c r="R30" s="890"/>
      <c r="AI30" s="797">
        <f t="shared" si="1"/>
        <v>372716.2416666667</v>
      </c>
      <c r="AK30" s="795">
        <f t="shared" si="3"/>
        <v>72000</v>
      </c>
      <c r="AL30" s="795">
        <f t="shared" si="3"/>
        <v>0</v>
      </c>
      <c r="AM30" s="795">
        <f t="shared" si="3"/>
        <v>303764.02</v>
      </c>
      <c r="AN30" s="278">
        <f t="shared" si="2"/>
        <v>3047.7783333333209</v>
      </c>
    </row>
    <row r="31" spans="1:40">
      <c r="A31" s="198">
        <v>2030</v>
      </c>
      <c r="B31" s="2">
        <v>103172</v>
      </c>
      <c r="C31" s="2" t="s">
        <v>84</v>
      </c>
      <c r="D31" s="2" t="s">
        <v>85</v>
      </c>
      <c r="E31" s="190" t="s">
        <v>39</v>
      </c>
      <c r="F31" s="211" t="str">
        <f>VLOOKUP(A31,'Summary June 2026'!A:F,6,FALSE)</f>
        <v>Chq Bk</v>
      </c>
      <c r="G31" s="33"/>
      <c r="H31" s="790">
        <v>0</v>
      </c>
      <c r="I31" s="790">
        <v>0</v>
      </c>
      <c r="J31" s="790">
        <v>38733</v>
      </c>
      <c r="L31" s="791">
        <v>0</v>
      </c>
      <c r="M31" s="791">
        <v>0</v>
      </c>
      <c r="O31" s="875">
        <v>-3056.1666666666665</v>
      </c>
      <c r="P31" s="875">
        <v>0</v>
      </c>
      <c r="Q31" s="877">
        <v>0</v>
      </c>
      <c r="R31" s="890"/>
      <c r="AI31" s="797">
        <f t="shared" si="1"/>
        <v>35676.833333333336</v>
      </c>
      <c r="AK31" s="795">
        <f t="shared" si="3"/>
        <v>0</v>
      </c>
      <c r="AL31" s="795">
        <f t="shared" si="3"/>
        <v>0</v>
      </c>
      <c r="AM31" s="795">
        <f t="shared" si="3"/>
        <v>38733</v>
      </c>
      <c r="AN31" s="278">
        <f t="shared" si="2"/>
        <v>3056.1666666666642</v>
      </c>
    </row>
    <row r="32" spans="1:40">
      <c r="A32" s="198">
        <v>3353</v>
      </c>
      <c r="B32" s="2">
        <v>103445</v>
      </c>
      <c r="C32" s="2" t="s">
        <v>86</v>
      </c>
      <c r="D32" s="2" t="s">
        <v>87</v>
      </c>
      <c r="E32" s="190" t="s">
        <v>39</v>
      </c>
      <c r="F32" s="211" t="str">
        <f>VLOOKUP(A32,'Summary June 2026'!A:F,6,FALSE)</f>
        <v>Chq Bk</v>
      </c>
      <c r="G32" s="33"/>
      <c r="H32" s="790">
        <v>0</v>
      </c>
      <c r="I32" s="790">
        <v>0</v>
      </c>
      <c r="J32" s="790">
        <v>112934.92</v>
      </c>
      <c r="L32" s="791">
        <v>0</v>
      </c>
      <c r="M32" s="791">
        <v>0</v>
      </c>
      <c r="O32" s="875">
        <v>180.70166666666651</v>
      </c>
      <c r="P32" s="875">
        <v>0</v>
      </c>
      <c r="Q32" s="877">
        <v>0</v>
      </c>
      <c r="R32" s="890"/>
      <c r="AI32" s="797">
        <f t="shared" si="1"/>
        <v>113115.62166666666</v>
      </c>
      <c r="AK32" s="795">
        <f t="shared" si="3"/>
        <v>0</v>
      </c>
      <c r="AL32" s="795">
        <f t="shared" si="3"/>
        <v>0</v>
      </c>
      <c r="AM32" s="795">
        <f t="shared" si="3"/>
        <v>112934.92</v>
      </c>
      <c r="AN32" s="278">
        <f t="shared" si="2"/>
        <v>-180.70166666666046</v>
      </c>
    </row>
    <row r="33" spans="1:40">
      <c r="A33" s="198">
        <v>7030</v>
      </c>
      <c r="B33" s="2">
        <v>103611</v>
      </c>
      <c r="C33" s="2" t="s">
        <v>88</v>
      </c>
      <c r="D33" s="2" t="s">
        <v>89</v>
      </c>
      <c r="E33" s="190" t="s">
        <v>56</v>
      </c>
      <c r="F33" s="211" t="str">
        <f>VLOOKUP(A33,'Summary June 2026'!A:F,6,FALSE)</f>
        <v>Chq Bk</v>
      </c>
      <c r="G33" s="33"/>
      <c r="H33" s="790">
        <v>625000</v>
      </c>
      <c r="I33" s="790">
        <v>170000</v>
      </c>
      <c r="J33" s="790">
        <v>1030321.8</v>
      </c>
      <c r="L33" s="791">
        <v>0</v>
      </c>
      <c r="M33" s="791">
        <v>0</v>
      </c>
      <c r="O33" s="875">
        <v>0</v>
      </c>
      <c r="P33" s="875">
        <v>0</v>
      </c>
      <c r="Q33" s="877">
        <v>0</v>
      </c>
      <c r="R33" s="890"/>
      <c r="AI33" s="797">
        <f t="shared" si="1"/>
        <v>1825321.8</v>
      </c>
      <c r="AK33" s="795">
        <f t="shared" si="3"/>
        <v>625000</v>
      </c>
      <c r="AL33" s="795">
        <f t="shared" si="3"/>
        <v>170000</v>
      </c>
      <c r="AM33" s="795">
        <f t="shared" si="3"/>
        <v>1030321.8</v>
      </c>
      <c r="AN33" s="278">
        <f t="shared" si="2"/>
        <v>0</v>
      </c>
    </row>
    <row r="34" spans="1:40">
      <c r="A34" s="198">
        <v>1002</v>
      </c>
      <c r="B34" s="2">
        <v>103121</v>
      </c>
      <c r="C34" s="2" t="s">
        <v>90</v>
      </c>
      <c r="D34" s="2" t="s">
        <v>91</v>
      </c>
      <c r="E34" s="190" t="s">
        <v>36</v>
      </c>
      <c r="F34" s="211" t="str">
        <f>VLOOKUP(A34,'Summary June 2026'!A:F,6,FALSE)</f>
        <v>Chq Bk</v>
      </c>
      <c r="G34" s="33"/>
      <c r="H34" s="790">
        <v>0</v>
      </c>
      <c r="I34" s="790">
        <v>0</v>
      </c>
      <c r="J34" s="790">
        <v>0</v>
      </c>
      <c r="L34" s="791">
        <v>0</v>
      </c>
      <c r="M34" s="791">
        <v>0</v>
      </c>
      <c r="O34" s="875">
        <v>-6664.25</v>
      </c>
      <c r="P34" s="875">
        <v>0</v>
      </c>
      <c r="Q34" s="877">
        <v>0</v>
      </c>
      <c r="R34" s="890"/>
      <c r="AI34" s="797">
        <f t="shared" si="1"/>
        <v>-6664.25</v>
      </c>
      <c r="AK34" s="795">
        <f t="shared" si="3"/>
        <v>0</v>
      </c>
      <c r="AL34" s="795">
        <f t="shared" si="3"/>
        <v>0</v>
      </c>
      <c r="AM34" s="795">
        <f t="shared" si="3"/>
        <v>0</v>
      </c>
      <c r="AN34" s="278">
        <f t="shared" si="2"/>
        <v>6664.25</v>
      </c>
    </row>
    <row r="35" spans="1:40">
      <c r="A35" s="198">
        <v>2465</v>
      </c>
      <c r="B35" s="2">
        <v>103391</v>
      </c>
      <c r="C35" s="2" t="s">
        <v>92</v>
      </c>
      <c r="D35" s="2" t="s">
        <v>93</v>
      </c>
      <c r="E35" s="190" t="s">
        <v>39</v>
      </c>
      <c r="F35" s="211" t="str">
        <f>VLOOKUP(A35,'Summary June 2026'!A:F,6,FALSE)</f>
        <v>Chq Bk</v>
      </c>
      <c r="G35" s="33"/>
      <c r="H35" s="790">
        <v>0</v>
      </c>
      <c r="I35" s="790">
        <v>0</v>
      </c>
      <c r="J35" s="790">
        <v>125902</v>
      </c>
      <c r="L35" s="791">
        <v>0</v>
      </c>
      <c r="M35" s="791">
        <v>0</v>
      </c>
      <c r="O35" s="875">
        <v>-5163.694166666668</v>
      </c>
      <c r="P35" s="875">
        <v>0</v>
      </c>
      <c r="Q35" s="877">
        <v>0</v>
      </c>
      <c r="R35" s="890"/>
      <c r="AI35" s="797">
        <f t="shared" si="1"/>
        <v>120738.30583333333</v>
      </c>
      <c r="AK35" s="795">
        <f t="shared" si="3"/>
        <v>0</v>
      </c>
      <c r="AL35" s="795">
        <f t="shared" si="3"/>
        <v>0</v>
      </c>
      <c r="AM35" s="795">
        <f t="shared" si="3"/>
        <v>125902</v>
      </c>
      <c r="AN35" s="278">
        <f t="shared" si="2"/>
        <v>5163.694166666668</v>
      </c>
    </row>
    <row r="36" spans="1:40">
      <c r="A36" s="198">
        <v>4801</v>
      </c>
      <c r="B36" s="2">
        <v>103539</v>
      </c>
      <c r="C36" s="2" t="s">
        <v>94</v>
      </c>
      <c r="D36" s="2" t="s">
        <v>95</v>
      </c>
      <c r="E36" s="190" t="s">
        <v>71</v>
      </c>
      <c r="F36" s="211" t="str">
        <f>VLOOKUP(A36,'Summary June 2026'!A:F,6,FALSE)</f>
        <v>Chq Bk</v>
      </c>
      <c r="G36" s="33"/>
      <c r="H36" s="790">
        <v>0</v>
      </c>
      <c r="I36" s="790">
        <v>0</v>
      </c>
      <c r="J36" s="790">
        <v>72981.67</v>
      </c>
      <c r="L36" s="791">
        <v>0</v>
      </c>
      <c r="M36" s="791">
        <v>0</v>
      </c>
      <c r="O36" s="875">
        <v>-2113.625</v>
      </c>
      <c r="P36" s="875">
        <v>0</v>
      </c>
      <c r="Q36" s="877">
        <v>0</v>
      </c>
      <c r="R36" s="890"/>
      <c r="AI36" s="797">
        <f t="shared" si="1"/>
        <v>70868.044999999998</v>
      </c>
      <c r="AK36" s="795">
        <f t="shared" si="3"/>
        <v>0</v>
      </c>
      <c r="AL36" s="795">
        <f t="shared" si="3"/>
        <v>0</v>
      </c>
      <c r="AM36" s="795">
        <f t="shared" si="3"/>
        <v>72981.67</v>
      </c>
      <c r="AN36" s="278">
        <f t="shared" si="2"/>
        <v>2113.625</v>
      </c>
    </row>
    <row r="37" spans="1:40">
      <c r="A37" s="198">
        <v>1048</v>
      </c>
      <c r="B37" s="2">
        <v>103144</v>
      </c>
      <c r="C37" s="2" t="s">
        <v>96</v>
      </c>
      <c r="D37" s="2" t="s">
        <v>97</v>
      </c>
      <c r="E37" s="190" t="s">
        <v>36</v>
      </c>
      <c r="F37" s="211" t="str">
        <f>VLOOKUP(A37,'Summary June 2026'!A:F,6,FALSE)</f>
        <v>Chq Bk</v>
      </c>
      <c r="G37" s="33"/>
      <c r="H37" s="790">
        <v>0</v>
      </c>
      <c r="I37" s="790">
        <v>0</v>
      </c>
      <c r="J37" s="790">
        <v>26953.25</v>
      </c>
      <c r="L37" s="791">
        <v>0</v>
      </c>
      <c r="M37" s="791">
        <v>0</v>
      </c>
      <c r="O37" s="875">
        <v>-8101.5625</v>
      </c>
      <c r="P37" s="875">
        <v>0</v>
      </c>
      <c r="Q37" s="877">
        <v>0</v>
      </c>
      <c r="R37" s="890"/>
      <c r="AI37" s="797">
        <f t="shared" si="1"/>
        <v>18851.6875</v>
      </c>
      <c r="AK37" s="795">
        <f t="shared" si="3"/>
        <v>0</v>
      </c>
      <c r="AL37" s="795">
        <f t="shared" si="3"/>
        <v>0</v>
      </c>
      <c r="AM37" s="795">
        <f t="shared" si="3"/>
        <v>26953.25</v>
      </c>
      <c r="AN37" s="278">
        <f t="shared" si="2"/>
        <v>8101.5625</v>
      </c>
    </row>
    <row r="38" spans="1:40">
      <c r="A38" s="198">
        <v>2312</v>
      </c>
      <c r="B38" s="2">
        <v>103332</v>
      </c>
      <c r="C38" s="2" t="s">
        <v>98</v>
      </c>
      <c r="D38" s="2" t="s">
        <v>99</v>
      </c>
      <c r="E38" s="190" t="s">
        <v>39</v>
      </c>
      <c r="F38" s="211" t="str">
        <f>VLOOKUP(A38,'Summary June 2026'!A:F,6,FALSE)</f>
        <v>Chq Bk</v>
      </c>
      <c r="G38" s="33"/>
      <c r="H38" s="790">
        <v>0</v>
      </c>
      <c r="I38" s="790">
        <v>0</v>
      </c>
      <c r="J38" s="790">
        <v>200636.90999999997</v>
      </c>
      <c r="L38" s="791">
        <v>0</v>
      </c>
      <c r="M38" s="791">
        <v>0</v>
      </c>
      <c r="O38" s="875">
        <v>-16745.118333333336</v>
      </c>
      <c r="P38" s="875">
        <v>0</v>
      </c>
      <c r="Q38" s="877">
        <v>0</v>
      </c>
      <c r="R38" s="890"/>
      <c r="AI38" s="797">
        <f t="shared" si="1"/>
        <v>183891.79166666663</v>
      </c>
      <c r="AK38" s="795">
        <f t="shared" si="3"/>
        <v>0</v>
      </c>
      <c r="AL38" s="795">
        <f t="shared" si="3"/>
        <v>0</v>
      </c>
      <c r="AM38" s="795">
        <f t="shared" si="3"/>
        <v>200636.90999999997</v>
      </c>
      <c r="AN38" s="278">
        <f t="shared" si="2"/>
        <v>16745.118333333347</v>
      </c>
    </row>
    <row r="39" spans="1:40">
      <c r="A39" s="198">
        <v>7051</v>
      </c>
      <c r="B39" s="2">
        <v>103626</v>
      </c>
      <c r="C39" s="2" t="s">
        <v>100</v>
      </c>
      <c r="D39" s="2" t="s">
        <v>101</v>
      </c>
      <c r="E39" s="190" t="s">
        <v>56</v>
      </c>
      <c r="F39" s="211" t="str">
        <f>VLOOKUP(A39,'Summary June 2026'!A:F,6,FALSE)</f>
        <v>Chq Bk</v>
      </c>
      <c r="G39" s="33"/>
      <c r="H39" s="790">
        <v>1110000</v>
      </c>
      <c r="I39" s="790">
        <v>0</v>
      </c>
      <c r="J39" s="790">
        <v>1871359.52</v>
      </c>
      <c r="L39" s="791">
        <v>0</v>
      </c>
      <c r="M39" s="791">
        <v>0</v>
      </c>
      <c r="O39" s="875">
        <v>0</v>
      </c>
      <c r="P39" s="875">
        <v>0</v>
      </c>
      <c r="Q39" s="877">
        <v>0</v>
      </c>
      <c r="R39" s="890"/>
      <c r="AI39" s="797">
        <f t="shared" si="1"/>
        <v>2981359.52</v>
      </c>
      <c r="AK39" s="795">
        <f t="shared" si="3"/>
        <v>1110000</v>
      </c>
      <c r="AL39" s="795">
        <f t="shared" si="3"/>
        <v>0</v>
      </c>
      <c r="AM39" s="795">
        <f t="shared" si="3"/>
        <v>1871359.52</v>
      </c>
      <c r="AN39" s="278">
        <f t="shared" si="2"/>
        <v>0</v>
      </c>
    </row>
    <row r="40" spans="1:40">
      <c r="A40" s="198">
        <v>2040</v>
      </c>
      <c r="B40" s="2">
        <v>103178</v>
      </c>
      <c r="C40" s="2" t="s">
        <v>102</v>
      </c>
      <c r="D40" s="2" t="s">
        <v>103</v>
      </c>
      <c r="E40" s="190" t="s">
        <v>39</v>
      </c>
      <c r="F40" s="211" t="str">
        <f>VLOOKUP(A40,'Summary June 2026'!A:F,6,FALSE)</f>
        <v>Chq Bk</v>
      </c>
      <c r="G40" s="33"/>
      <c r="H40" s="790">
        <v>0</v>
      </c>
      <c r="I40" s="790">
        <v>0</v>
      </c>
      <c r="J40" s="790">
        <v>0</v>
      </c>
      <c r="L40" s="791">
        <v>96000</v>
      </c>
      <c r="M40" s="791">
        <v>310177.15000000002</v>
      </c>
      <c r="O40" s="875">
        <v>0</v>
      </c>
      <c r="P40" s="875">
        <v>-8011.194999999997</v>
      </c>
      <c r="Q40" s="877">
        <v>0</v>
      </c>
      <c r="R40" s="890"/>
      <c r="AI40" s="797">
        <f t="shared" si="1"/>
        <v>398165.95500000002</v>
      </c>
      <c r="AK40" s="795">
        <f t="shared" si="3"/>
        <v>96000</v>
      </c>
      <c r="AL40" s="795">
        <f t="shared" si="3"/>
        <v>0</v>
      </c>
      <c r="AM40" s="795">
        <f t="shared" si="3"/>
        <v>310177.15000000002</v>
      </c>
      <c r="AN40" s="278">
        <f t="shared" si="2"/>
        <v>8011.195000000007</v>
      </c>
    </row>
    <row r="41" spans="1:40">
      <c r="A41" s="198">
        <v>2251</v>
      </c>
      <c r="B41" s="2">
        <v>103298</v>
      </c>
      <c r="C41" s="2" t="s">
        <v>104</v>
      </c>
      <c r="D41" s="2" t="s">
        <v>105</v>
      </c>
      <c r="E41" s="190" t="s">
        <v>39</v>
      </c>
      <c r="F41" s="211" t="str">
        <f>VLOOKUP(A41,'Summary June 2026'!A:F,6,FALSE)</f>
        <v>Chq Bk</v>
      </c>
      <c r="G41" s="33"/>
      <c r="H41" s="790">
        <v>0</v>
      </c>
      <c r="I41" s="790">
        <v>0</v>
      </c>
      <c r="J41" s="790">
        <v>70481.09</v>
      </c>
      <c r="L41" s="791">
        <v>0</v>
      </c>
      <c r="M41" s="791">
        <v>0</v>
      </c>
      <c r="O41" s="875">
        <v>-11098.999166666668</v>
      </c>
      <c r="P41" s="875">
        <v>0</v>
      </c>
      <c r="Q41" s="877">
        <v>0</v>
      </c>
      <c r="R41" s="890"/>
      <c r="AI41" s="797">
        <f t="shared" si="1"/>
        <v>59382.090833333328</v>
      </c>
      <c r="AK41" s="795">
        <f t="shared" si="3"/>
        <v>0</v>
      </c>
      <c r="AL41" s="795">
        <f t="shared" si="3"/>
        <v>0</v>
      </c>
      <c r="AM41" s="795">
        <f t="shared" si="3"/>
        <v>70481.09</v>
      </c>
      <c r="AN41" s="278">
        <f t="shared" si="2"/>
        <v>11098.999166666668</v>
      </c>
    </row>
    <row r="42" spans="1:40">
      <c r="A42" s="198">
        <v>3002</v>
      </c>
      <c r="B42" s="2">
        <v>103397</v>
      </c>
      <c r="C42" s="2" t="s">
        <v>106</v>
      </c>
      <c r="D42" s="2" t="s">
        <v>107</v>
      </c>
      <c r="E42" s="190" t="s">
        <v>39</v>
      </c>
      <c r="F42" s="211" t="str">
        <f>VLOOKUP(A42,'Summary June 2026'!A:F,6,FALSE)</f>
        <v>Chq Bk</v>
      </c>
      <c r="G42" s="33"/>
      <c r="H42" s="790">
        <v>0</v>
      </c>
      <c r="I42" s="790">
        <v>0</v>
      </c>
      <c r="J42" s="790">
        <v>45186</v>
      </c>
      <c r="L42" s="791">
        <v>0</v>
      </c>
      <c r="M42" s="791">
        <v>0</v>
      </c>
      <c r="O42" s="875">
        <v>-6689.166666666667</v>
      </c>
      <c r="P42" s="875">
        <v>0</v>
      </c>
      <c r="Q42" s="877">
        <v>0</v>
      </c>
      <c r="R42" s="890"/>
      <c r="AI42" s="797">
        <f t="shared" si="1"/>
        <v>38496.833333333336</v>
      </c>
      <c r="AK42" s="795">
        <f t="shared" si="3"/>
        <v>0</v>
      </c>
      <c r="AL42" s="795">
        <f t="shared" si="3"/>
        <v>0</v>
      </c>
      <c r="AM42" s="795">
        <f t="shared" si="3"/>
        <v>45186</v>
      </c>
      <c r="AN42" s="278">
        <f t="shared" si="2"/>
        <v>6689.1666666666642</v>
      </c>
    </row>
    <row r="43" spans="1:40">
      <c r="A43" s="198">
        <v>3319</v>
      </c>
      <c r="B43" s="2">
        <v>103423</v>
      </c>
      <c r="C43" s="2" t="s">
        <v>108</v>
      </c>
      <c r="D43" s="2" t="s">
        <v>109</v>
      </c>
      <c r="E43" s="190" t="s">
        <v>39</v>
      </c>
      <c r="F43" s="211" t="str">
        <f>VLOOKUP(A43,'Summary June 2026'!A:F,6,FALSE)</f>
        <v>Chq Bk</v>
      </c>
      <c r="G43" s="33"/>
      <c r="H43" s="790">
        <v>0</v>
      </c>
      <c r="I43" s="790">
        <v>0</v>
      </c>
      <c r="J43" s="790">
        <v>127113.5</v>
      </c>
      <c r="L43" s="791">
        <v>0</v>
      </c>
      <c r="M43" s="791">
        <v>0</v>
      </c>
      <c r="O43" s="875">
        <v>-2023.3883333333335</v>
      </c>
      <c r="P43" s="875">
        <v>0</v>
      </c>
      <c r="Q43" s="877">
        <v>0</v>
      </c>
      <c r="R43" s="890"/>
      <c r="AI43" s="797">
        <f t="shared" si="1"/>
        <v>125090.11166666666</v>
      </c>
      <c r="AK43" s="795">
        <f t="shared" si="3"/>
        <v>0</v>
      </c>
      <c r="AL43" s="795">
        <f t="shared" si="3"/>
        <v>0</v>
      </c>
      <c r="AM43" s="795">
        <f t="shared" si="3"/>
        <v>127113.5</v>
      </c>
      <c r="AN43" s="278">
        <f t="shared" si="2"/>
        <v>2023.388333333336</v>
      </c>
    </row>
    <row r="44" spans="1:40">
      <c r="A44" s="198">
        <v>1100</v>
      </c>
      <c r="B44" s="2">
        <v>103146</v>
      </c>
      <c r="C44" s="2" t="s">
        <v>110</v>
      </c>
      <c r="D44" s="2" t="s">
        <v>111</v>
      </c>
      <c r="E44" s="190" t="s">
        <v>112</v>
      </c>
      <c r="F44" s="211" t="str">
        <f>VLOOKUP(A44,'Summary June 2026'!A:F,6,FALSE)</f>
        <v>Chq Bk</v>
      </c>
      <c r="G44" s="33"/>
      <c r="H44" s="790">
        <v>6000000</v>
      </c>
      <c r="I44" s="790">
        <v>0</v>
      </c>
      <c r="J44" s="790">
        <v>8702058</v>
      </c>
      <c r="L44" s="791">
        <v>0</v>
      </c>
      <c r="M44" s="791">
        <v>0</v>
      </c>
      <c r="O44" s="875">
        <v>0</v>
      </c>
      <c r="P44" s="875">
        <v>0</v>
      </c>
      <c r="Q44" s="877">
        <v>0</v>
      </c>
      <c r="R44" s="890"/>
      <c r="AI44" s="797">
        <f t="shared" si="1"/>
        <v>14702058</v>
      </c>
      <c r="AK44" s="795">
        <f t="shared" si="3"/>
        <v>6000000</v>
      </c>
      <c r="AL44" s="795">
        <f t="shared" si="3"/>
        <v>0</v>
      </c>
      <c r="AM44" s="795">
        <f t="shared" si="3"/>
        <v>8702058</v>
      </c>
      <c r="AN44" s="278">
        <f t="shared" si="2"/>
        <v>0</v>
      </c>
    </row>
    <row r="45" spans="1:40">
      <c r="A45" s="198">
        <v>3432</v>
      </c>
      <c r="B45" s="2">
        <v>134840</v>
      </c>
      <c r="C45" s="2" t="s">
        <v>113</v>
      </c>
      <c r="D45" s="2" t="s">
        <v>114</v>
      </c>
      <c r="E45" s="190" t="s">
        <v>39</v>
      </c>
      <c r="F45" s="211" t="str">
        <f>VLOOKUP(A45,'Summary June 2026'!A:F,6,FALSE)</f>
        <v>Chq Bk</v>
      </c>
      <c r="G45" s="33"/>
      <c r="H45" s="790">
        <v>0</v>
      </c>
      <c r="I45" s="790">
        <v>0</v>
      </c>
      <c r="J45" s="790">
        <v>259032.83000000002</v>
      </c>
      <c r="L45" s="791">
        <v>0</v>
      </c>
      <c r="M45" s="791">
        <v>0</v>
      </c>
      <c r="O45" s="875">
        <v>-7355.506666666668</v>
      </c>
      <c r="P45" s="875">
        <v>0</v>
      </c>
      <c r="Q45" s="877">
        <v>0</v>
      </c>
      <c r="R45" s="890"/>
      <c r="AI45" s="797">
        <f t="shared" si="1"/>
        <v>251677.32333333336</v>
      </c>
      <c r="AK45" s="795">
        <f t="shared" si="3"/>
        <v>0</v>
      </c>
      <c r="AL45" s="795">
        <f t="shared" si="3"/>
        <v>0</v>
      </c>
      <c r="AM45" s="795">
        <f t="shared" si="3"/>
        <v>259032.83000000002</v>
      </c>
      <c r="AN45" s="278">
        <f t="shared" si="2"/>
        <v>7355.5066666666535</v>
      </c>
    </row>
    <row r="46" spans="1:40">
      <c r="A46" s="198">
        <v>2289</v>
      </c>
      <c r="B46" s="2">
        <v>103315</v>
      </c>
      <c r="C46" s="2" t="s">
        <v>115</v>
      </c>
      <c r="D46" s="2" t="s">
        <v>116</v>
      </c>
      <c r="E46" s="190" t="s">
        <v>39</v>
      </c>
      <c r="F46" s="211" t="str">
        <f>VLOOKUP(A46,'Summary June 2026'!A:F,6,FALSE)</f>
        <v>Chq Bk</v>
      </c>
      <c r="G46" s="33"/>
      <c r="H46" s="790">
        <v>0</v>
      </c>
      <c r="I46" s="790">
        <v>0</v>
      </c>
      <c r="J46" s="790">
        <v>120893.5</v>
      </c>
      <c r="L46" s="791">
        <v>0</v>
      </c>
      <c r="M46" s="791">
        <v>0</v>
      </c>
      <c r="O46" s="875">
        <v>-2958.5341666666668</v>
      </c>
      <c r="P46" s="875">
        <v>0</v>
      </c>
      <c r="Q46" s="877">
        <v>0</v>
      </c>
      <c r="R46" s="890"/>
      <c r="AI46" s="797">
        <f t="shared" si="1"/>
        <v>117934.96583333334</v>
      </c>
      <c r="AK46" s="795">
        <f t="shared" si="3"/>
        <v>0</v>
      </c>
      <c r="AL46" s="795">
        <f t="shared" si="3"/>
        <v>0</v>
      </c>
      <c r="AM46" s="795">
        <f t="shared" si="3"/>
        <v>120893.5</v>
      </c>
      <c r="AN46" s="278">
        <f t="shared" si="2"/>
        <v>2958.5341666666645</v>
      </c>
    </row>
    <row r="47" spans="1:40">
      <c r="A47" s="198">
        <v>2185</v>
      </c>
      <c r="B47" s="2">
        <v>103263</v>
      </c>
      <c r="C47" s="2" t="s">
        <v>117</v>
      </c>
      <c r="D47" s="2" t="s">
        <v>118</v>
      </c>
      <c r="E47" s="190" t="s">
        <v>39</v>
      </c>
      <c r="F47" s="211" t="str">
        <f>VLOOKUP(A47,'Summary June 2026'!A:F,6,FALSE)</f>
        <v>Chq Bk</v>
      </c>
      <c r="G47" s="33"/>
      <c r="H47" s="790">
        <v>0</v>
      </c>
      <c r="I47" s="790">
        <v>0</v>
      </c>
      <c r="J47" s="790">
        <v>105159.33</v>
      </c>
      <c r="L47" s="791">
        <v>0</v>
      </c>
      <c r="M47" s="791">
        <v>0</v>
      </c>
      <c r="O47" s="875">
        <v>-6697.8616666666676</v>
      </c>
      <c r="P47" s="875">
        <v>0</v>
      </c>
      <c r="Q47" s="877">
        <v>0</v>
      </c>
      <c r="R47" s="890"/>
      <c r="AI47" s="797">
        <f t="shared" si="1"/>
        <v>98461.468333333338</v>
      </c>
      <c r="AK47" s="795">
        <f t="shared" si="3"/>
        <v>0</v>
      </c>
      <c r="AL47" s="795">
        <f t="shared" si="3"/>
        <v>0</v>
      </c>
      <c r="AM47" s="795">
        <f t="shared" si="3"/>
        <v>105159.33</v>
      </c>
      <c r="AN47" s="278">
        <f t="shared" si="2"/>
        <v>6697.861666666664</v>
      </c>
    </row>
    <row r="48" spans="1:40">
      <c r="A48" s="198">
        <v>5416</v>
      </c>
      <c r="B48" s="2">
        <v>103563</v>
      </c>
      <c r="C48" s="2" t="s">
        <v>119</v>
      </c>
      <c r="D48" s="2" t="s">
        <v>120</v>
      </c>
      <c r="E48" s="190" t="s">
        <v>71</v>
      </c>
      <c r="F48" s="211" t="str">
        <f>VLOOKUP(A48,'Summary June 2026'!A:F,6,FALSE)</f>
        <v>Chq Bk</v>
      </c>
      <c r="G48" s="33"/>
      <c r="H48" s="790">
        <v>0</v>
      </c>
      <c r="I48" s="790">
        <v>0</v>
      </c>
      <c r="J48" s="790">
        <v>148383.74999999997</v>
      </c>
      <c r="L48" s="791">
        <v>0</v>
      </c>
      <c r="M48" s="791">
        <v>0</v>
      </c>
      <c r="O48" s="875">
        <v>956.63916666666285</v>
      </c>
      <c r="P48" s="875">
        <v>0</v>
      </c>
      <c r="Q48" s="877">
        <v>0</v>
      </c>
      <c r="R48" s="890"/>
      <c r="AI48" s="797">
        <f t="shared" si="1"/>
        <v>149340.38916666663</v>
      </c>
      <c r="AK48" s="795">
        <f t="shared" ref="AK48:AM67" si="4">SUMIFS($H48:$AG48,$H$3:$AG$3,AK$7)</f>
        <v>0</v>
      </c>
      <c r="AL48" s="795">
        <f t="shared" si="4"/>
        <v>0</v>
      </c>
      <c r="AM48" s="795">
        <f t="shared" si="4"/>
        <v>148383.74999999997</v>
      </c>
      <c r="AN48" s="278">
        <f t="shared" si="2"/>
        <v>-956.63916666666046</v>
      </c>
    </row>
    <row r="49" spans="1:40">
      <c r="A49" s="198">
        <v>2054</v>
      </c>
      <c r="B49" s="2">
        <v>103189</v>
      </c>
      <c r="C49" s="2" t="s">
        <v>121</v>
      </c>
      <c r="D49" s="2" t="s">
        <v>122</v>
      </c>
      <c r="E49" s="190" t="s">
        <v>39</v>
      </c>
      <c r="F49" s="211" t="str">
        <f>VLOOKUP(A49,'Summary June 2026'!A:F,6,FALSE)</f>
        <v>Chq Bk</v>
      </c>
      <c r="G49" s="33"/>
      <c r="H49" s="790">
        <v>0</v>
      </c>
      <c r="I49" s="790">
        <v>0</v>
      </c>
      <c r="J49" s="790">
        <v>51282.25</v>
      </c>
      <c r="L49" s="791">
        <v>0</v>
      </c>
      <c r="M49" s="791">
        <v>0</v>
      </c>
      <c r="O49" s="875">
        <v>-6834.083333333333</v>
      </c>
      <c r="P49" s="875">
        <v>0</v>
      </c>
      <c r="Q49" s="877">
        <v>0</v>
      </c>
      <c r="R49" s="890"/>
      <c r="AI49" s="797">
        <f t="shared" si="1"/>
        <v>44448.166666666664</v>
      </c>
      <c r="AK49" s="795">
        <f t="shared" si="4"/>
        <v>0</v>
      </c>
      <c r="AL49" s="795">
        <f t="shared" si="4"/>
        <v>0</v>
      </c>
      <c r="AM49" s="795">
        <f t="shared" si="4"/>
        <v>51282.25</v>
      </c>
      <c r="AN49" s="278">
        <f t="shared" si="2"/>
        <v>6834.0833333333358</v>
      </c>
    </row>
    <row r="50" spans="1:40">
      <c r="A50" s="198">
        <v>2053</v>
      </c>
      <c r="B50" s="2">
        <v>103188</v>
      </c>
      <c r="C50" s="2" t="s">
        <v>123</v>
      </c>
      <c r="D50" s="2" t="s">
        <v>124</v>
      </c>
      <c r="E50" s="190" t="s">
        <v>39</v>
      </c>
      <c r="F50" s="211" t="str">
        <f>VLOOKUP(A50,'Summary June 2026'!A:F,6,FALSE)</f>
        <v>Chq Bk</v>
      </c>
      <c r="G50" s="33"/>
      <c r="H50" s="790">
        <v>0</v>
      </c>
      <c r="I50" s="790">
        <v>0</v>
      </c>
      <c r="J50" s="790">
        <v>88945.34</v>
      </c>
      <c r="L50" s="791">
        <v>0</v>
      </c>
      <c r="M50" s="791">
        <v>0</v>
      </c>
      <c r="O50" s="875">
        <v>-8729.5758333333342</v>
      </c>
      <c r="P50" s="875">
        <v>0</v>
      </c>
      <c r="Q50" s="877">
        <v>0</v>
      </c>
      <c r="R50" s="890"/>
      <c r="AI50" s="797">
        <f t="shared" si="1"/>
        <v>80215.76416666666</v>
      </c>
      <c r="AK50" s="795">
        <f t="shared" si="4"/>
        <v>0</v>
      </c>
      <c r="AL50" s="795">
        <f t="shared" si="4"/>
        <v>0</v>
      </c>
      <c r="AM50" s="795">
        <f t="shared" si="4"/>
        <v>88945.34</v>
      </c>
      <c r="AN50" s="278">
        <f t="shared" si="2"/>
        <v>8729.575833333336</v>
      </c>
    </row>
    <row r="51" spans="1:40">
      <c r="A51" s="198">
        <v>2464</v>
      </c>
      <c r="B51" s="2">
        <v>103390</v>
      </c>
      <c r="C51" s="2" t="s">
        <v>125</v>
      </c>
      <c r="D51" s="2" t="s">
        <v>126</v>
      </c>
      <c r="E51" s="190" t="s">
        <v>39</v>
      </c>
      <c r="F51" s="211" t="str">
        <f>VLOOKUP(A51,'Summary June 2026'!A:F,6,FALSE)</f>
        <v>Chq Bk</v>
      </c>
      <c r="G51" s="33"/>
      <c r="H51" s="790">
        <v>0</v>
      </c>
      <c r="I51" s="790">
        <v>0</v>
      </c>
      <c r="J51" s="790">
        <v>32643</v>
      </c>
      <c r="L51" s="791">
        <v>0</v>
      </c>
      <c r="M51" s="791">
        <v>0</v>
      </c>
      <c r="O51" s="875">
        <v>321.13916666666654</v>
      </c>
      <c r="P51" s="875">
        <v>0</v>
      </c>
      <c r="Q51" s="877">
        <v>0</v>
      </c>
      <c r="R51" s="890"/>
      <c r="AI51" s="797">
        <f t="shared" si="1"/>
        <v>32964.139166666668</v>
      </c>
      <c r="AK51" s="795">
        <f t="shared" si="4"/>
        <v>0</v>
      </c>
      <c r="AL51" s="795">
        <f t="shared" si="4"/>
        <v>0</v>
      </c>
      <c r="AM51" s="795">
        <f t="shared" si="4"/>
        <v>32643</v>
      </c>
      <c r="AN51" s="278">
        <f t="shared" si="2"/>
        <v>-321.13916666666773</v>
      </c>
    </row>
    <row r="52" spans="1:40">
      <c r="A52" s="198">
        <v>3320</v>
      </c>
      <c r="B52" s="2">
        <v>103424</v>
      </c>
      <c r="C52" s="2" t="s">
        <v>127</v>
      </c>
      <c r="D52" s="2" t="s">
        <v>128</v>
      </c>
      <c r="E52" s="190" t="s">
        <v>39</v>
      </c>
      <c r="F52" s="211" t="str">
        <f>VLOOKUP(A52,'Summary June 2026'!A:F,6,FALSE)</f>
        <v>Chq Bk</v>
      </c>
      <c r="G52" s="33"/>
      <c r="H52" s="790">
        <v>0</v>
      </c>
      <c r="I52" s="790">
        <v>0</v>
      </c>
      <c r="J52" s="790">
        <v>63405.33</v>
      </c>
      <c r="L52" s="791">
        <v>0</v>
      </c>
      <c r="M52" s="791">
        <v>0</v>
      </c>
      <c r="O52" s="875">
        <v>-4081.2425000000003</v>
      </c>
      <c r="P52" s="875">
        <v>0</v>
      </c>
      <c r="Q52" s="877">
        <v>0</v>
      </c>
      <c r="R52" s="890"/>
      <c r="AI52" s="797">
        <f t="shared" si="1"/>
        <v>59324.087500000001</v>
      </c>
      <c r="AK52" s="795">
        <f t="shared" si="4"/>
        <v>0</v>
      </c>
      <c r="AL52" s="795">
        <f t="shared" si="4"/>
        <v>0</v>
      </c>
      <c r="AM52" s="795">
        <f t="shared" si="4"/>
        <v>63405.33</v>
      </c>
      <c r="AN52" s="278">
        <f t="shared" si="2"/>
        <v>4081.2425000000003</v>
      </c>
    </row>
    <row r="53" spans="1:40">
      <c r="A53" s="198">
        <v>2055</v>
      </c>
      <c r="B53" s="2">
        <v>103190</v>
      </c>
      <c r="C53" s="2" t="s">
        <v>129</v>
      </c>
      <c r="D53" s="2" t="s">
        <v>130</v>
      </c>
      <c r="E53" s="190" t="s">
        <v>39</v>
      </c>
      <c r="F53" s="211" t="str">
        <f>VLOOKUP(A53,'Summary June 2026'!A:F,6,FALSE)</f>
        <v>Chq Bk</v>
      </c>
      <c r="G53" s="33"/>
      <c r="H53" s="790">
        <v>0</v>
      </c>
      <c r="I53" s="790">
        <v>0</v>
      </c>
      <c r="J53" s="790">
        <v>103489.5</v>
      </c>
      <c r="L53" s="791">
        <v>0</v>
      </c>
      <c r="M53" s="791">
        <v>0</v>
      </c>
      <c r="O53" s="875">
        <v>-244.9441666666668</v>
      </c>
      <c r="P53" s="875">
        <v>0</v>
      </c>
      <c r="Q53" s="877">
        <v>0</v>
      </c>
      <c r="R53" s="890"/>
      <c r="AI53" s="797">
        <f t="shared" si="1"/>
        <v>103244.55583333333</v>
      </c>
      <c r="AK53" s="795">
        <f t="shared" si="4"/>
        <v>0</v>
      </c>
      <c r="AL53" s="795">
        <f t="shared" si="4"/>
        <v>0</v>
      </c>
      <c r="AM53" s="795">
        <f t="shared" si="4"/>
        <v>103489.5</v>
      </c>
      <c r="AN53" s="278">
        <f t="shared" si="2"/>
        <v>244.94416666666802</v>
      </c>
    </row>
    <row r="54" spans="1:40">
      <c r="A54" s="198">
        <v>1802</v>
      </c>
      <c r="B54" s="2">
        <v>103150</v>
      </c>
      <c r="C54" s="2" t="s">
        <v>131</v>
      </c>
      <c r="D54" s="2" t="s">
        <v>132</v>
      </c>
      <c r="E54" s="190" t="s">
        <v>36</v>
      </c>
      <c r="F54" s="211" t="str">
        <f>VLOOKUP(A54,'Summary June 2026'!A:F,6,FALSE)</f>
        <v>Chq Bk</v>
      </c>
      <c r="G54" s="33"/>
      <c r="H54" s="790">
        <v>0</v>
      </c>
      <c r="I54" s="790">
        <v>0</v>
      </c>
      <c r="J54" s="790">
        <v>0</v>
      </c>
      <c r="L54" s="791">
        <v>0</v>
      </c>
      <c r="M54" s="791">
        <v>0</v>
      </c>
      <c r="O54" s="875">
        <v>-1192.1666666666667</v>
      </c>
      <c r="P54" s="875">
        <v>0</v>
      </c>
      <c r="Q54" s="877">
        <v>0</v>
      </c>
      <c r="R54" s="890"/>
      <c r="AI54" s="797">
        <f t="shared" si="1"/>
        <v>-1192.1666666666667</v>
      </c>
      <c r="AK54" s="795">
        <f t="shared" si="4"/>
        <v>0</v>
      </c>
      <c r="AL54" s="795">
        <f t="shared" si="4"/>
        <v>0</v>
      </c>
      <c r="AM54" s="795">
        <f t="shared" si="4"/>
        <v>0</v>
      </c>
      <c r="AN54" s="278">
        <f t="shared" si="2"/>
        <v>1192.1666666666667</v>
      </c>
    </row>
    <row r="55" spans="1:40">
      <c r="A55" s="198">
        <v>2454</v>
      </c>
      <c r="B55" s="2">
        <v>103381</v>
      </c>
      <c r="C55" s="2" t="s">
        <v>133</v>
      </c>
      <c r="D55" s="2" t="s">
        <v>134</v>
      </c>
      <c r="E55" s="190" t="s">
        <v>39</v>
      </c>
      <c r="F55" s="211" t="str">
        <f>VLOOKUP(A55,'Summary June 2026'!A:F,6,FALSE)</f>
        <v>Chq Bk</v>
      </c>
      <c r="G55" s="33"/>
      <c r="H55" s="790">
        <v>0</v>
      </c>
      <c r="I55" s="790">
        <v>0</v>
      </c>
      <c r="J55" s="790">
        <v>57956</v>
      </c>
      <c r="L55" s="791">
        <v>0</v>
      </c>
      <c r="M55" s="791">
        <v>0</v>
      </c>
      <c r="O55" s="875">
        <v>-4495.9375</v>
      </c>
      <c r="P55" s="875">
        <v>0</v>
      </c>
      <c r="Q55" s="877">
        <v>0</v>
      </c>
      <c r="R55" s="890"/>
      <c r="AI55" s="797">
        <f t="shared" si="1"/>
        <v>53460.0625</v>
      </c>
      <c r="AK55" s="795">
        <f t="shared" si="4"/>
        <v>0</v>
      </c>
      <c r="AL55" s="795">
        <f t="shared" si="4"/>
        <v>0</v>
      </c>
      <c r="AM55" s="795">
        <f t="shared" si="4"/>
        <v>57956</v>
      </c>
      <c r="AN55" s="278">
        <f t="shared" si="2"/>
        <v>4495.9375</v>
      </c>
    </row>
    <row r="56" spans="1:40">
      <c r="A56" s="198">
        <v>3321</v>
      </c>
      <c r="B56" s="2">
        <v>103425</v>
      </c>
      <c r="C56" s="2" t="s">
        <v>135</v>
      </c>
      <c r="D56" s="2" t="s">
        <v>136</v>
      </c>
      <c r="E56" s="190" t="s">
        <v>39</v>
      </c>
      <c r="F56" s="211" t="str">
        <f>VLOOKUP(A56,'Summary June 2026'!A:F,6,FALSE)</f>
        <v>Chq Bk</v>
      </c>
      <c r="G56" s="33"/>
      <c r="H56" s="790">
        <v>0</v>
      </c>
      <c r="I56" s="790">
        <v>0</v>
      </c>
      <c r="J56" s="790">
        <v>82099.33</v>
      </c>
      <c r="L56" s="791">
        <v>0</v>
      </c>
      <c r="M56" s="791">
        <v>0</v>
      </c>
      <c r="O56" s="875">
        <v>-5207.9583333333348</v>
      </c>
      <c r="P56" s="875">
        <v>0</v>
      </c>
      <c r="Q56" s="877">
        <v>0</v>
      </c>
      <c r="R56" s="890"/>
      <c r="AI56" s="797">
        <f t="shared" si="1"/>
        <v>76891.371666666673</v>
      </c>
      <c r="AK56" s="795">
        <f t="shared" si="4"/>
        <v>0</v>
      </c>
      <c r="AL56" s="795">
        <f t="shared" si="4"/>
        <v>0</v>
      </c>
      <c r="AM56" s="795">
        <f t="shared" si="4"/>
        <v>82099.33</v>
      </c>
      <c r="AN56" s="278">
        <f t="shared" si="2"/>
        <v>5207.9583333333285</v>
      </c>
    </row>
    <row r="57" spans="1:40">
      <c r="A57" s="198">
        <v>1026</v>
      </c>
      <c r="B57" s="2">
        <v>103139</v>
      </c>
      <c r="C57" s="2" t="s">
        <v>137</v>
      </c>
      <c r="D57" s="2" t="s">
        <v>138</v>
      </c>
      <c r="E57" s="190" t="s">
        <v>36</v>
      </c>
      <c r="F57" s="211" t="str">
        <f>VLOOKUP(A57,'Summary June 2026'!A:F,6,FALSE)</f>
        <v>Chq Bk</v>
      </c>
      <c r="G57" s="33"/>
      <c r="H57" s="790">
        <v>0</v>
      </c>
      <c r="I57" s="790">
        <v>0</v>
      </c>
      <c r="J57" s="790">
        <v>0</v>
      </c>
      <c r="L57" s="791">
        <v>0</v>
      </c>
      <c r="M57" s="791">
        <v>0</v>
      </c>
      <c r="O57" s="875">
        <v>-6017.5</v>
      </c>
      <c r="P57" s="875">
        <v>0</v>
      </c>
      <c r="Q57" s="877">
        <v>0</v>
      </c>
      <c r="R57" s="890"/>
      <c r="AI57" s="797">
        <f t="shared" si="1"/>
        <v>-6017.5</v>
      </c>
      <c r="AK57" s="795">
        <f t="shared" si="4"/>
        <v>0</v>
      </c>
      <c r="AL57" s="795">
        <f t="shared" si="4"/>
        <v>0</v>
      </c>
      <c r="AM57" s="795">
        <f t="shared" si="4"/>
        <v>0</v>
      </c>
      <c r="AN57" s="278">
        <f t="shared" si="2"/>
        <v>6017.5</v>
      </c>
    </row>
    <row r="58" spans="1:40">
      <c r="A58" s="198">
        <v>2294</v>
      </c>
      <c r="B58" s="2">
        <v>103318</v>
      </c>
      <c r="C58" s="2" t="s">
        <v>139</v>
      </c>
      <c r="D58" s="2" t="s">
        <v>140</v>
      </c>
      <c r="E58" s="190" t="s">
        <v>39</v>
      </c>
      <c r="F58" s="211" t="str">
        <f>VLOOKUP(A58,'Summary June 2026'!A:F,6,FALSE)</f>
        <v>Chq Bk</v>
      </c>
      <c r="G58" s="33"/>
      <c r="H58" s="790">
        <v>0</v>
      </c>
      <c r="I58" s="790">
        <v>0</v>
      </c>
      <c r="J58" s="790">
        <v>227798.5</v>
      </c>
      <c r="L58" s="791">
        <v>0</v>
      </c>
      <c r="M58" s="791">
        <v>0</v>
      </c>
      <c r="O58" s="875">
        <v>-7904.5008333333344</v>
      </c>
      <c r="P58" s="875">
        <v>0</v>
      </c>
      <c r="Q58" s="877">
        <v>0</v>
      </c>
      <c r="R58" s="890"/>
      <c r="AI58" s="797">
        <f t="shared" si="1"/>
        <v>219893.99916666668</v>
      </c>
      <c r="AK58" s="795">
        <f t="shared" si="4"/>
        <v>0</v>
      </c>
      <c r="AL58" s="795">
        <f t="shared" si="4"/>
        <v>0</v>
      </c>
      <c r="AM58" s="795">
        <f t="shared" si="4"/>
        <v>227798.5</v>
      </c>
      <c r="AN58" s="278">
        <f t="shared" si="2"/>
        <v>7904.5008333333244</v>
      </c>
    </row>
    <row r="59" spans="1:40">
      <c r="A59" s="198">
        <v>2486</v>
      </c>
      <c r="B59" s="2">
        <v>133759</v>
      </c>
      <c r="C59" s="2" t="s">
        <v>141</v>
      </c>
      <c r="D59" s="2" t="s">
        <v>142</v>
      </c>
      <c r="E59" s="190" t="s">
        <v>39</v>
      </c>
      <c r="F59" s="211" t="str">
        <f>VLOOKUP(A59,'Summary June 2026'!A:F,6,FALSE)</f>
        <v>Chq Bk</v>
      </c>
      <c r="G59" s="33"/>
      <c r="H59" s="790">
        <v>0</v>
      </c>
      <c r="I59" s="790">
        <v>0</v>
      </c>
      <c r="J59" s="790">
        <v>111767</v>
      </c>
      <c r="L59" s="791">
        <v>0</v>
      </c>
      <c r="M59" s="791">
        <v>0</v>
      </c>
      <c r="O59" s="875">
        <v>-5045.256666666668</v>
      </c>
      <c r="P59" s="875">
        <v>0</v>
      </c>
      <c r="Q59" s="877">
        <v>0</v>
      </c>
      <c r="R59" s="890"/>
      <c r="AI59" s="797">
        <f t="shared" si="1"/>
        <v>106721.74333333333</v>
      </c>
      <c r="AK59" s="795">
        <f t="shared" si="4"/>
        <v>0</v>
      </c>
      <c r="AL59" s="795">
        <f t="shared" si="4"/>
        <v>0</v>
      </c>
      <c r="AM59" s="795">
        <f t="shared" si="4"/>
        <v>111767</v>
      </c>
      <c r="AN59" s="278">
        <f t="shared" si="2"/>
        <v>5045.256666666668</v>
      </c>
    </row>
    <row r="60" spans="1:40">
      <c r="A60" s="198">
        <v>3435</v>
      </c>
      <c r="B60" s="2">
        <v>131920</v>
      </c>
      <c r="C60" s="2" t="s">
        <v>143</v>
      </c>
      <c r="D60" s="2" t="s">
        <v>144</v>
      </c>
      <c r="E60" s="190" t="s">
        <v>39</v>
      </c>
      <c r="F60" s="211" t="str">
        <f>VLOOKUP(A60,'Summary June 2026'!A:F,6,FALSE)</f>
        <v>Chq Bk</v>
      </c>
      <c r="G60" s="33"/>
      <c r="H60" s="790">
        <v>0</v>
      </c>
      <c r="I60" s="790">
        <v>0</v>
      </c>
      <c r="J60" s="790">
        <v>151586.25</v>
      </c>
      <c r="L60" s="791">
        <v>0</v>
      </c>
      <c r="M60" s="791">
        <v>0</v>
      </c>
      <c r="O60" s="875">
        <v>-11417.90333333333</v>
      </c>
      <c r="P60" s="875">
        <v>0</v>
      </c>
      <c r="Q60" s="877">
        <v>0</v>
      </c>
      <c r="R60" s="890"/>
      <c r="AI60" s="797">
        <f t="shared" si="1"/>
        <v>140168.34666666668</v>
      </c>
      <c r="AK60" s="795">
        <f t="shared" si="4"/>
        <v>0</v>
      </c>
      <c r="AL60" s="795">
        <f t="shared" si="4"/>
        <v>0</v>
      </c>
      <c r="AM60" s="795">
        <f t="shared" si="4"/>
        <v>151586.25</v>
      </c>
      <c r="AN60" s="278">
        <f t="shared" si="2"/>
        <v>11417.903333333321</v>
      </c>
    </row>
    <row r="61" spans="1:40">
      <c r="A61" s="198">
        <v>7050</v>
      </c>
      <c r="B61" s="2">
        <v>103625</v>
      </c>
      <c r="C61" s="2" t="s">
        <v>145</v>
      </c>
      <c r="D61" s="2" t="s">
        <v>146</v>
      </c>
      <c r="E61" s="190" t="s">
        <v>56</v>
      </c>
      <c r="F61" s="211" t="str">
        <f>VLOOKUP(A61,'Summary June 2026'!A:F,6,FALSE)</f>
        <v>Chq Bk</v>
      </c>
      <c r="G61" s="33"/>
      <c r="H61" s="790">
        <v>720000</v>
      </c>
      <c r="I61" s="790">
        <v>390000</v>
      </c>
      <c r="J61" s="790">
        <v>2042428.44</v>
      </c>
      <c r="L61" s="791">
        <v>0</v>
      </c>
      <c r="M61" s="791">
        <v>0</v>
      </c>
      <c r="O61" s="875">
        <v>0</v>
      </c>
      <c r="P61" s="875">
        <v>0</v>
      </c>
      <c r="Q61" s="877">
        <v>0</v>
      </c>
      <c r="R61" s="890"/>
      <c r="AI61" s="797">
        <f t="shared" si="1"/>
        <v>3152428.44</v>
      </c>
      <c r="AK61" s="795">
        <f t="shared" si="4"/>
        <v>720000</v>
      </c>
      <c r="AL61" s="795">
        <f t="shared" si="4"/>
        <v>390000</v>
      </c>
      <c r="AM61" s="795">
        <f t="shared" si="4"/>
        <v>2042428.44</v>
      </c>
      <c r="AN61" s="278">
        <f t="shared" si="2"/>
        <v>0</v>
      </c>
    </row>
    <row r="62" spans="1:40">
      <c r="A62" s="198">
        <v>1006</v>
      </c>
      <c r="B62" s="2">
        <v>103122</v>
      </c>
      <c r="C62" s="2" t="s">
        <v>147</v>
      </c>
      <c r="D62" s="2" t="s">
        <v>148</v>
      </c>
      <c r="E62" s="190" t="s">
        <v>36</v>
      </c>
      <c r="F62" s="211" t="str">
        <f>VLOOKUP(A62,'Summary June 2026'!A:F,6,FALSE)</f>
        <v>Chq Bk</v>
      </c>
      <c r="G62" s="33"/>
      <c r="H62" s="790">
        <v>0</v>
      </c>
      <c r="I62" s="790">
        <v>0</v>
      </c>
      <c r="J62" s="790">
        <v>0</v>
      </c>
      <c r="L62" s="791">
        <v>60000</v>
      </c>
      <c r="M62" s="791">
        <v>110756</v>
      </c>
      <c r="O62" s="875">
        <v>0</v>
      </c>
      <c r="P62" s="875">
        <v>0</v>
      </c>
      <c r="Q62" s="877">
        <v>-4000</v>
      </c>
      <c r="R62" s="890"/>
      <c r="AI62" s="797">
        <f t="shared" si="1"/>
        <v>166756</v>
      </c>
      <c r="AK62" s="795">
        <f t="shared" si="4"/>
        <v>56000</v>
      </c>
      <c r="AL62" s="795">
        <f t="shared" si="4"/>
        <v>0</v>
      </c>
      <c r="AM62" s="795">
        <f t="shared" si="4"/>
        <v>110756</v>
      </c>
      <c r="AN62" s="278">
        <f t="shared" si="2"/>
        <v>0</v>
      </c>
    </row>
    <row r="63" spans="1:40">
      <c r="A63" s="198">
        <v>2079</v>
      </c>
      <c r="B63" s="2">
        <v>103200</v>
      </c>
      <c r="C63" s="2" t="s">
        <v>149</v>
      </c>
      <c r="D63" s="2" t="s">
        <v>150</v>
      </c>
      <c r="E63" s="190" t="s">
        <v>39</v>
      </c>
      <c r="F63" s="211" t="str">
        <f>VLOOKUP(A63,'Summary June 2026'!A:F,6,FALSE)</f>
        <v>Chq Bk</v>
      </c>
      <c r="G63" s="33"/>
      <c r="H63" s="790">
        <v>0</v>
      </c>
      <c r="I63" s="790">
        <v>0</v>
      </c>
      <c r="J63" s="790">
        <v>104611.67</v>
      </c>
      <c r="L63" s="791">
        <v>0</v>
      </c>
      <c r="M63" s="791">
        <v>0</v>
      </c>
      <c r="O63" s="875">
        <v>-6702.7216666666682</v>
      </c>
      <c r="P63" s="875">
        <v>0</v>
      </c>
      <c r="Q63" s="877">
        <v>0</v>
      </c>
      <c r="R63" s="890"/>
      <c r="AI63" s="797">
        <f t="shared" si="1"/>
        <v>97908.948333333334</v>
      </c>
      <c r="AK63" s="795">
        <f t="shared" si="4"/>
        <v>0</v>
      </c>
      <c r="AL63" s="795">
        <f t="shared" si="4"/>
        <v>0</v>
      </c>
      <c r="AM63" s="795">
        <f t="shared" si="4"/>
        <v>104611.67</v>
      </c>
      <c r="AN63" s="278">
        <f t="shared" si="2"/>
        <v>6702.7216666666645</v>
      </c>
    </row>
    <row r="64" spans="1:40">
      <c r="A64" s="198">
        <v>2081</v>
      </c>
      <c r="B64" s="2">
        <v>103201</v>
      </c>
      <c r="C64" s="2" t="s">
        <v>151</v>
      </c>
      <c r="D64" s="2" t="s">
        <v>152</v>
      </c>
      <c r="E64" s="190" t="s">
        <v>39</v>
      </c>
      <c r="F64" s="211" t="str">
        <f>VLOOKUP(A64,'Summary June 2026'!A:F,6,FALSE)</f>
        <v>Chq Bk</v>
      </c>
      <c r="G64" s="33"/>
      <c r="H64" s="790">
        <v>0</v>
      </c>
      <c r="I64" s="790">
        <v>0</v>
      </c>
      <c r="J64" s="790">
        <v>109796.5</v>
      </c>
      <c r="L64" s="791">
        <v>0</v>
      </c>
      <c r="M64" s="791">
        <v>0</v>
      </c>
      <c r="O64" s="875">
        <v>-9137.1458333333339</v>
      </c>
      <c r="P64" s="875">
        <v>0</v>
      </c>
      <c r="Q64" s="877">
        <v>0</v>
      </c>
      <c r="R64" s="890"/>
      <c r="AI64" s="797">
        <f t="shared" si="1"/>
        <v>100659.35416666667</v>
      </c>
      <c r="AK64" s="795">
        <f t="shared" si="4"/>
        <v>0</v>
      </c>
      <c r="AL64" s="795">
        <f t="shared" si="4"/>
        <v>0</v>
      </c>
      <c r="AM64" s="795">
        <f t="shared" si="4"/>
        <v>109796.5</v>
      </c>
      <c r="AN64" s="278">
        <f t="shared" si="2"/>
        <v>9137.1458333333285</v>
      </c>
    </row>
    <row r="65" spans="1:40">
      <c r="A65" s="198">
        <v>2296</v>
      </c>
      <c r="B65" s="2">
        <v>103320</v>
      </c>
      <c r="C65" s="2" t="s">
        <v>153</v>
      </c>
      <c r="D65" s="2" t="s">
        <v>154</v>
      </c>
      <c r="E65" s="190" t="s">
        <v>39</v>
      </c>
      <c r="F65" s="211" t="str">
        <f>VLOOKUP(A65,'Summary June 2026'!A:F,6,FALSE)</f>
        <v>Chq bk</v>
      </c>
      <c r="G65" s="33"/>
      <c r="H65" s="790">
        <v>0</v>
      </c>
      <c r="I65" s="790">
        <v>0</v>
      </c>
      <c r="J65" s="790">
        <v>98750</v>
      </c>
      <c r="L65" s="791">
        <v>0</v>
      </c>
      <c r="M65" s="791">
        <v>0</v>
      </c>
      <c r="O65" s="875">
        <v>-5443.416666666667</v>
      </c>
      <c r="P65" s="875">
        <v>0</v>
      </c>
      <c r="Q65" s="877">
        <v>0</v>
      </c>
      <c r="R65" s="890"/>
      <c r="AI65" s="797">
        <f t="shared" si="1"/>
        <v>93306.583333333328</v>
      </c>
      <c r="AK65" s="795">
        <f t="shared" si="4"/>
        <v>0</v>
      </c>
      <c r="AL65" s="795">
        <f t="shared" si="4"/>
        <v>0</v>
      </c>
      <c r="AM65" s="795">
        <f t="shared" si="4"/>
        <v>98750</v>
      </c>
      <c r="AN65" s="278">
        <f t="shared" si="2"/>
        <v>5443.4166666666715</v>
      </c>
    </row>
    <row r="66" spans="1:40">
      <c r="A66" s="198">
        <v>1015</v>
      </c>
      <c r="B66" s="2">
        <v>103128</v>
      </c>
      <c r="C66" s="2" t="s">
        <v>155</v>
      </c>
      <c r="D66" s="2" t="s">
        <v>156</v>
      </c>
      <c r="E66" s="190" t="s">
        <v>36</v>
      </c>
      <c r="F66" s="211" t="str">
        <f>VLOOKUP(A66,'Summary June 2026'!A:F,6,FALSE)</f>
        <v>Chq Bk</v>
      </c>
      <c r="G66" s="33"/>
      <c r="H66" s="790">
        <v>0</v>
      </c>
      <c r="I66" s="790">
        <v>0</v>
      </c>
      <c r="J66" s="790">
        <v>13290</v>
      </c>
      <c r="L66" s="791">
        <v>0</v>
      </c>
      <c r="M66" s="791">
        <v>0</v>
      </c>
      <c r="O66" s="875">
        <v>1107.5</v>
      </c>
      <c r="P66" s="875">
        <v>0</v>
      </c>
      <c r="Q66" s="877">
        <v>0</v>
      </c>
      <c r="R66" s="890"/>
      <c r="AI66" s="797">
        <f t="shared" si="1"/>
        <v>14397.5</v>
      </c>
      <c r="AK66" s="795">
        <f t="shared" si="4"/>
        <v>0</v>
      </c>
      <c r="AL66" s="795">
        <f t="shared" si="4"/>
        <v>0</v>
      </c>
      <c r="AM66" s="795">
        <f t="shared" si="4"/>
        <v>13290</v>
      </c>
      <c r="AN66" s="278">
        <f t="shared" si="2"/>
        <v>-1107.5</v>
      </c>
    </row>
    <row r="67" spans="1:40">
      <c r="A67" s="198">
        <v>1022</v>
      </c>
      <c r="B67" s="2">
        <v>103135</v>
      </c>
      <c r="C67" s="2" t="s">
        <v>157</v>
      </c>
      <c r="D67" s="2" t="s">
        <v>158</v>
      </c>
      <c r="E67" s="190" t="s">
        <v>36</v>
      </c>
      <c r="F67" s="211" t="str">
        <f>VLOOKUP(A67,'Summary June 2026'!A:F,6,FALSE)</f>
        <v>Chq Bk</v>
      </c>
      <c r="G67" s="33"/>
      <c r="H67" s="790">
        <v>0</v>
      </c>
      <c r="I67" s="790">
        <v>0</v>
      </c>
      <c r="J67" s="790">
        <v>13290</v>
      </c>
      <c r="L67" s="791">
        <v>0</v>
      </c>
      <c r="M67" s="791">
        <v>0</v>
      </c>
      <c r="O67" s="875">
        <v>-2107.5</v>
      </c>
      <c r="P67" s="875">
        <v>0</v>
      </c>
      <c r="Q67" s="877">
        <v>0</v>
      </c>
      <c r="R67" s="890"/>
      <c r="AI67" s="797">
        <f t="shared" si="1"/>
        <v>11182.5</v>
      </c>
      <c r="AK67" s="795">
        <f t="shared" si="4"/>
        <v>0</v>
      </c>
      <c r="AL67" s="795">
        <f t="shared" si="4"/>
        <v>0</v>
      </c>
      <c r="AM67" s="795">
        <f t="shared" si="4"/>
        <v>13290</v>
      </c>
      <c r="AN67" s="278">
        <f t="shared" si="2"/>
        <v>2107.5</v>
      </c>
    </row>
    <row r="68" spans="1:40">
      <c r="A68" s="198">
        <v>2087</v>
      </c>
      <c r="B68" s="2">
        <v>103205</v>
      </c>
      <c r="C68" s="2" t="s">
        <v>159</v>
      </c>
      <c r="D68" s="2" t="s">
        <v>160</v>
      </c>
      <c r="E68" s="190" t="s">
        <v>39</v>
      </c>
      <c r="F68" s="211" t="str">
        <f>VLOOKUP(A68,'Summary June 2026'!A:F,6,FALSE)</f>
        <v>Chq Bk</v>
      </c>
      <c r="G68" s="33"/>
      <c r="H68" s="790">
        <v>0</v>
      </c>
      <c r="I68" s="790">
        <v>0</v>
      </c>
      <c r="J68" s="790">
        <v>125347</v>
      </c>
      <c r="L68" s="791">
        <v>0</v>
      </c>
      <c r="M68" s="791">
        <v>0</v>
      </c>
      <c r="O68" s="875">
        <v>-4326.770833333333</v>
      </c>
      <c r="P68" s="875">
        <v>0</v>
      </c>
      <c r="Q68" s="877">
        <v>0</v>
      </c>
      <c r="R68" s="890"/>
      <c r="AI68" s="797">
        <f t="shared" si="1"/>
        <v>121020.22916666667</v>
      </c>
      <c r="AK68" s="795">
        <f t="shared" ref="AK68:AM87" si="5">SUMIFS($H68:$AG68,$H$3:$AG$3,AK$7)</f>
        <v>0</v>
      </c>
      <c r="AL68" s="795">
        <f t="shared" si="5"/>
        <v>0</v>
      </c>
      <c r="AM68" s="795">
        <f t="shared" si="5"/>
        <v>125347</v>
      </c>
      <c r="AN68" s="278">
        <f t="shared" si="2"/>
        <v>4326.7708333333285</v>
      </c>
    </row>
    <row r="69" spans="1:40">
      <c r="A69" s="198">
        <v>2466</v>
      </c>
      <c r="B69" s="2">
        <v>103392</v>
      </c>
      <c r="C69" s="2" t="s">
        <v>161</v>
      </c>
      <c r="D69" s="2" t="s">
        <v>162</v>
      </c>
      <c r="E69" s="190" t="s">
        <v>39</v>
      </c>
      <c r="F69" s="211" t="str">
        <f>VLOOKUP(A69,'Summary June 2026'!A:F,6,FALSE)</f>
        <v>Chq Bk</v>
      </c>
      <c r="G69" s="33"/>
      <c r="H69" s="790">
        <v>0</v>
      </c>
      <c r="I69" s="790">
        <v>0</v>
      </c>
      <c r="J69" s="790">
        <v>69848.33</v>
      </c>
      <c r="L69" s="791">
        <v>0</v>
      </c>
      <c r="M69" s="791">
        <v>0</v>
      </c>
      <c r="O69" s="875">
        <v>-2563.6808333333333</v>
      </c>
      <c r="P69" s="875">
        <v>0</v>
      </c>
      <c r="Q69" s="877">
        <v>0</v>
      </c>
      <c r="R69" s="890"/>
      <c r="AI69" s="797">
        <f t="shared" si="1"/>
        <v>67284.64916666667</v>
      </c>
      <c r="AK69" s="795">
        <f t="shared" si="5"/>
        <v>0</v>
      </c>
      <c r="AL69" s="795">
        <f t="shared" si="5"/>
        <v>0</v>
      </c>
      <c r="AM69" s="795">
        <f t="shared" si="5"/>
        <v>69848.33</v>
      </c>
      <c r="AN69" s="278">
        <f t="shared" si="2"/>
        <v>2563.680833333332</v>
      </c>
    </row>
    <row r="70" spans="1:40">
      <c r="A70" s="198">
        <v>2091</v>
      </c>
      <c r="B70" s="2">
        <v>103208</v>
      </c>
      <c r="C70" s="2" t="s">
        <v>163</v>
      </c>
      <c r="D70" s="2" t="s">
        <v>164</v>
      </c>
      <c r="E70" s="190" t="s">
        <v>39</v>
      </c>
      <c r="F70" s="211" t="str">
        <f>VLOOKUP(A70,'Summary June 2026'!A:F,6,FALSE)</f>
        <v>Chq Bk</v>
      </c>
      <c r="G70" s="33"/>
      <c r="H70" s="790">
        <v>0</v>
      </c>
      <c r="I70" s="790">
        <v>0</v>
      </c>
      <c r="J70" s="790">
        <v>123897.25</v>
      </c>
      <c r="L70" s="791">
        <v>0</v>
      </c>
      <c r="M70" s="791">
        <v>0</v>
      </c>
      <c r="O70" s="875">
        <v>-302.39583333333331</v>
      </c>
      <c r="P70" s="875">
        <v>0</v>
      </c>
      <c r="Q70" s="877">
        <v>0</v>
      </c>
      <c r="R70" s="890"/>
      <c r="AI70" s="797">
        <f t="shared" si="1"/>
        <v>123594.85416666667</v>
      </c>
      <c r="AK70" s="795">
        <f t="shared" si="5"/>
        <v>0</v>
      </c>
      <c r="AL70" s="795">
        <f t="shared" si="5"/>
        <v>0</v>
      </c>
      <c r="AM70" s="795">
        <f t="shared" si="5"/>
        <v>123897.25</v>
      </c>
      <c r="AN70" s="278">
        <f t="shared" si="2"/>
        <v>302.39583333332848</v>
      </c>
    </row>
    <row r="71" spans="1:40">
      <c r="A71" s="198">
        <v>2093</v>
      </c>
      <c r="B71" s="2">
        <v>103210</v>
      </c>
      <c r="C71" s="2" t="s">
        <v>165</v>
      </c>
      <c r="D71" s="2" t="s">
        <v>166</v>
      </c>
      <c r="E71" s="190" t="s">
        <v>39</v>
      </c>
      <c r="F71" s="211" t="str">
        <f>VLOOKUP(A71,'Summary June 2026'!A:F,6,FALSE)</f>
        <v>Chq Bk</v>
      </c>
      <c r="G71" s="33"/>
      <c r="H71" s="790">
        <v>0</v>
      </c>
      <c r="I71" s="790">
        <v>0</v>
      </c>
      <c r="J71" s="790">
        <v>80617.25</v>
      </c>
      <c r="L71" s="791">
        <v>0</v>
      </c>
      <c r="M71" s="791">
        <v>0</v>
      </c>
      <c r="O71" s="875">
        <v>-6446.951666666665</v>
      </c>
      <c r="P71" s="875">
        <v>0</v>
      </c>
      <c r="Q71" s="877">
        <v>0</v>
      </c>
      <c r="R71" s="890"/>
      <c r="AI71" s="797">
        <f t="shared" si="1"/>
        <v>74170.29833333334</v>
      </c>
      <c r="AK71" s="795">
        <f t="shared" si="5"/>
        <v>0</v>
      </c>
      <c r="AL71" s="795">
        <f t="shared" si="5"/>
        <v>0</v>
      </c>
      <c r="AM71" s="795">
        <f t="shared" si="5"/>
        <v>80617.25</v>
      </c>
      <c r="AN71" s="278">
        <f t="shared" si="2"/>
        <v>6446.9516666666605</v>
      </c>
    </row>
    <row r="72" spans="1:40">
      <c r="A72" s="198">
        <v>2092</v>
      </c>
      <c r="B72" s="2">
        <v>103209</v>
      </c>
      <c r="C72" s="2" t="s">
        <v>167</v>
      </c>
      <c r="D72" s="2" t="s">
        <v>168</v>
      </c>
      <c r="E72" s="190" t="s">
        <v>39</v>
      </c>
      <c r="F72" s="211" t="str">
        <f>VLOOKUP(A72,'Summary June 2026'!A:F,6,FALSE)</f>
        <v>Chq Bk</v>
      </c>
      <c r="G72" s="33"/>
      <c r="H72" s="790">
        <v>0</v>
      </c>
      <c r="I72" s="790">
        <v>0</v>
      </c>
      <c r="J72" s="790">
        <v>79362.33</v>
      </c>
      <c r="L72" s="791">
        <v>0</v>
      </c>
      <c r="M72" s="791">
        <v>0</v>
      </c>
      <c r="O72" s="875">
        <v>-4793.2574999999988</v>
      </c>
      <c r="P72" s="875">
        <v>0</v>
      </c>
      <c r="Q72" s="877">
        <v>0</v>
      </c>
      <c r="R72" s="890"/>
      <c r="AI72" s="797">
        <f t="shared" si="1"/>
        <v>74569.072500000009</v>
      </c>
      <c r="AK72" s="795">
        <f t="shared" si="5"/>
        <v>0</v>
      </c>
      <c r="AL72" s="795">
        <f t="shared" si="5"/>
        <v>0</v>
      </c>
      <c r="AM72" s="795">
        <f t="shared" si="5"/>
        <v>79362.33</v>
      </c>
      <c r="AN72" s="278">
        <f t="shared" si="2"/>
        <v>4793.2574999999924</v>
      </c>
    </row>
    <row r="73" spans="1:40">
      <c r="A73" s="198">
        <v>7006</v>
      </c>
      <c r="B73" s="2">
        <v>103600</v>
      </c>
      <c r="C73" s="2" t="s">
        <v>169</v>
      </c>
      <c r="D73" s="2" t="s">
        <v>170</v>
      </c>
      <c r="E73" s="190" t="s">
        <v>56</v>
      </c>
      <c r="F73" s="211" t="str">
        <f>VLOOKUP(A73,'Summary June 2026'!A:F,6,FALSE)</f>
        <v>Chq Bk</v>
      </c>
      <c r="G73" s="33"/>
      <c r="H73" s="790">
        <v>2130000</v>
      </c>
      <c r="I73" s="790">
        <v>0</v>
      </c>
      <c r="J73" s="790">
        <v>3624987.6799999997</v>
      </c>
      <c r="L73" s="791">
        <v>0</v>
      </c>
      <c r="M73" s="791">
        <v>0</v>
      </c>
      <c r="O73" s="875">
        <v>0</v>
      </c>
      <c r="P73" s="875">
        <v>0</v>
      </c>
      <c r="Q73" s="877">
        <v>0</v>
      </c>
      <c r="R73" s="890"/>
      <c r="AI73" s="797">
        <f t="shared" ref="AI73:AI136" si="6">SUM(H73:AG73)</f>
        <v>5754987.6799999997</v>
      </c>
      <c r="AK73" s="795">
        <f t="shared" si="5"/>
        <v>2130000</v>
      </c>
      <c r="AL73" s="795">
        <f t="shared" si="5"/>
        <v>0</v>
      </c>
      <c r="AM73" s="795">
        <f t="shared" si="5"/>
        <v>3624987.6799999997</v>
      </c>
      <c r="AN73" s="278">
        <f t="shared" ref="AN73:AN136" si="7">SUM(AK73:AM73)-AI73</f>
        <v>0</v>
      </c>
    </row>
    <row r="74" spans="1:40">
      <c r="A74" s="198">
        <v>2477</v>
      </c>
      <c r="B74" s="2">
        <v>132261</v>
      </c>
      <c r="C74" s="2" t="s">
        <v>171</v>
      </c>
      <c r="D74" s="2" t="s">
        <v>172</v>
      </c>
      <c r="E74" s="190" t="s">
        <v>39</v>
      </c>
      <c r="F74" s="211" t="str">
        <f>VLOOKUP(A74,'Summary June 2026'!A:F,6,FALSE)</f>
        <v>Chq Bk</v>
      </c>
      <c r="G74" s="33"/>
      <c r="H74" s="790">
        <v>0</v>
      </c>
      <c r="I74" s="790">
        <v>0</v>
      </c>
      <c r="J74" s="790">
        <v>138300.66999999998</v>
      </c>
      <c r="L74" s="791">
        <v>0</v>
      </c>
      <c r="M74" s="791">
        <v>0</v>
      </c>
      <c r="O74" s="875">
        <v>-8660.5766666666677</v>
      </c>
      <c r="P74" s="875">
        <v>0</v>
      </c>
      <c r="Q74" s="877">
        <v>0</v>
      </c>
      <c r="R74" s="890"/>
      <c r="AI74" s="797">
        <f t="shared" si="6"/>
        <v>129640.09333333332</v>
      </c>
      <c r="AK74" s="795">
        <f t="shared" si="5"/>
        <v>0</v>
      </c>
      <c r="AL74" s="795">
        <f t="shared" si="5"/>
        <v>0</v>
      </c>
      <c r="AM74" s="795">
        <f t="shared" si="5"/>
        <v>138300.66999999998</v>
      </c>
      <c r="AN74" s="278">
        <f t="shared" si="7"/>
        <v>8660.5766666666605</v>
      </c>
    </row>
    <row r="75" spans="1:40">
      <c r="A75" s="198">
        <v>3436</v>
      </c>
      <c r="B75" s="2">
        <v>136440</v>
      </c>
      <c r="C75" s="2" t="s">
        <v>173</v>
      </c>
      <c r="D75" s="2" t="s">
        <v>174</v>
      </c>
      <c r="E75" s="190" t="s">
        <v>39</v>
      </c>
      <c r="F75" s="211" t="str">
        <f>VLOOKUP(A75,'Summary June 2026'!A:F,6,FALSE)</f>
        <v>Chq Bk</v>
      </c>
      <c r="G75" s="33"/>
      <c r="H75" s="790">
        <v>0</v>
      </c>
      <c r="I75" s="790">
        <v>0</v>
      </c>
      <c r="J75" s="790">
        <v>43318</v>
      </c>
      <c r="L75" s="791">
        <v>0</v>
      </c>
      <c r="M75" s="791">
        <v>0</v>
      </c>
      <c r="O75" s="875">
        <v>-3210.1666666666665</v>
      </c>
      <c r="P75" s="875">
        <v>0</v>
      </c>
      <c r="Q75" s="877">
        <v>0</v>
      </c>
      <c r="R75" s="890"/>
      <c r="AI75" s="797">
        <f t="shared" si="6"/>
        <v>40107.833333333336</v>
      </c>
      <c r="AK75" s="795">
        <f t="shared" si="5"/>
        <v>0</v>
      </c>
      <c r="AL75" s="795">
        <f t="shared" si="5"/>
        <v>0</v>
      </c>
      <c r="AM75" s="795">
        <f t="shared" si="5"/>
        <v>43318</v>
      </c>
      <c r="AN75" s="278">
        <f t="shared" si="7"/>
        <v>3210.1666666666642</v>
      </c>
    </row>
    <row r="76" spans="1:40">
      <c r="A76" s="198">
        <v>2099</v>
      </c>
      <c r="B76" s="2">
        <v>103214</v>
      </c>
      <c r="C76" s="2" t="s">
        <v>175</v>
      </c>
      <c r="D76" s="2" t="s">
        <v>176</v>
      </c>
      <c r="E76" s="190" t="s">
        <v>39</v>
      </c>
      <c r="F76" s="211" t="str">
        <f>VLOOKUP(A76,'Summary June 2026'!A:F,6,FALSE)</f>
        <v>Chq Bk</v>
      </c>
      <c r="G76" s="33"/>
      <c r="H76" s="790">
        <v>0</v>
      </c>
      <c r="I76" s="790">
        <v>0</v>
      </c>
      <c r="J76" s="790">
        <v>0</v>
      </c>
      <c r="L76" s="791">
        <v>72000</v>
      </c>
      <c r="M76" s="791">
        <v>143911.13999999998</v>
      </c>
      <c r="O76" s="875">
        <v>0</v>
      </c>
      <c r="P76" s="875">
        <v>-2020.035000000001</v>
      </c>
      <c r="Q76" s="877">
        <v>0</v>
      </c>
      <c r="R76" s="890"/>
      <c r="AI76" s="797">
        <f t="shared" si="6"/>
        <v>213891.10499999998</v>
      </c>
      <c r="AK76" s="795">
        <f t="shared" si="5"/>
        <v>72000</v>
      </c>
      <c r="AL76" s="795">
        <f t="shared" si="5"/>
        <v>0</v>
      </c>
      <c r="AM76" s="795">
        <f t="shared" si="5"/>
        <v>143911.13999999998</v>
      </c>
      <c r="AN76" s="278">
        <f t="shared" si="7"/>
        <v>2020.0350000000035</v>
      </c>
    </row>
    <row r="77" spans="1:40">
      <c r="A77" s="198">
        <v>1010</v>
      </c>
      <c r="B77" s="2">
        <v>103125</v>
      </c>
      <c r="C77" s="2" t="s">
        <v>177</v>
      </c>
      <c r="D77" s="2" t="s">
        <v>178</v>
      </c>
      <c r="E77" s="190" t="s">
        <v>36</v>
      </c>
      <c r="F77" s="211" t="str">
        <f>VLOOKUP(A77,'Summary June 2026'!A:F,6,FALSE)</f>
        <v>Chq Bk</v>
      </c>
      <c r="G77" s="33"/>
      <c r="H77" s="790">
        <v>0</v>
      </c>
      <c r="I77" s="790">
        <v>0</v>
      </c>
      <c r="J77" s="790">
        <v>10632</v>
      </c>
      <c r="L77" s="791">
        <v>0</v>
      </c>
      <c r="M77" s="791">
        <v>0</v>
      </c>
      <c r="O77" s="875">
        <v>-6364.583333333333</v>
      </c>
      <c r="P77" s="875">
        <v>0</v>
      </c>
      <c r="Q77" s="877">
        <v>0</v>
      </c>
      <c r="R77" s="890"/>
      <c r="AI77" s="797">
        <f t="shared" si="6"/>
        <v>4267.416666666667</v>
      </c>
      <c r="AK77" s="795">
        <f t="shared" si="5"/>
        <v>0</v>
      </c>
      <c r="AL77" s="795">
        <f t="shared" si="5"/>
        <v>0</v>
      </c>
      <c r="AM77" s="795">
        <f t="shared" si="5"/>
        <v>10632</v>
      </c>
      <c r="AN77" s="278">
        <f t="shared" si="7"/>
        <v>6364.583333333333</v>
      </c>
    </row>
    <row r="78" spans="1:40">
      <c r="A78" s="198">
        <v>1021</v>
      </c>
      <c r="B78" s="2">
        <v>103134</v>
      </c>
      <c r="C78" s="2" t="s">
        <v>179</v>
      </c>
      <c r="D78" s="2" t="s">
        <v>180</v>
      </c>
      <c r="E78" s="190" t="s">
        <v>36</v>
      </c>
      <c r="F78" s="211" t="str">
        <f>VLOOKUP(A78,'Summary June 2026'!A:F,6,FALSE)</f>
        <v>Chq Bk</v>
      </c>
      <c r="G78" s="33"/>
      <c r="H78" s="790">
        <v>0</v>
      </c>
      <c r="I78" s="790">
        <v>0</v>
      </c>
      <c r="J78" s="790">
        <v>5316</v>
      </c>
      <c r="L78" s="791">
        <v>0</v>
      </c>
      <c r="M78" s="791">
        <v>0</v>
      </c>
      <c r="O78" s="875">
        <v>-1208.25</v>
      </c>
      <c r="P78" s="875">
        <v>0</v>
      </c>
      <c r="Q78" s="877">
        <v>0</v>
      </c>
      <c r="R78" s="890"/>
      <c r="AI78" s="797">
        <f t="shared" si="6"/>
        <v>4107.75</v>
      </c>
      <c r="AK78" s="795">
        <f t="shared" si="5"/>
        <v>0</v>
      </c>
      <c r="AL78" s="795">
        <f t="shared" si="5"/>
        <v>0</v>
      </c>
      <c r="AM78" s="795">
        <f t="shared" si="5"/>
        <v>5316</v>
      </c>
      <c r="AN78" s="278">
        <f t="shared" si="7"/>
        <v>1208.25</v>
      </c>
    </row>
    <row r="79" spans="1:40">
      <c r="A79" s="198">
        <v>4201</v>
      </c>
      <c r="B79" s="2">
        <v>103503</v>
      </c>
      <c r="C79" s="2" t="s">
        <v>181</v>
      </c>
      <c r="D79" s="2" t="s">
        <v>182</v>
      </c>
      <c r="E79" s="190" t="s">
        <v>71</v>
      </c>
      <c r="F79" s="211" t="str">
        <f>VLOOKUP(A79,'Summary June 2026'!A:F,6,FALSE)</f>
        <v>Chq Bk</v>
      </c>
      <c r="G79" s="33"/>
      <c r="H79" s="790">
        <v>0</v>
      </c>
      <c r="I79" s="790">
        <v>0</v>
      </c>
      <c r="J79" s="790">
        <v>108698.09</v>
      </c>
      <c r="L79" s="791">
        <v>0</v>
      </c>
      <c r="M79" s="791">
        <v>0</v>
      </c>
      <c r="O79" s="875">
        <v>-3021.6033333333348</v>
      </c>
      <c r="P79" s="875">
        <v>0</v>
      </c>
      <c r="Q79" s="877">
        <v>0</v>
      </c>
      <c r="R79" s="890"/>
      <c r="AI79" s="797">
        <f t="shared" si="6"/>
        <v>105676.48666666666</v>
      </c>
      <c r="AK79" s="795">
        <f t="shared" si="5"/>
        <v>0</v>
      </c>
      <c r="AL79" s="795">
        <f t="shared" si="5"/>
        <v>0</v>
      </c>
      <c r="AM79" s="795">
        <f t="shared" si="5"/>
        <v>108698.09</v>
      </c>
      <c r="AN79" s="278">
        <f t="shared" si="7"/>
        <v>3021.6033333333326</v>
      </c>
    </row>
    <row r="80" spans="1:40">
      <c r="A80" s="198">
        <v>4015</v>
      </c>
      <c r="B80" s="2">
        <v>103483</v>
      </c>
      <c r="C80" s="2" t="s">
        <v>183</v>
      </c>
      <c r="D80" s="2" t="s">
        <v>184</v>
      </c>
      <c r="E80" s="190" t="s">
        <v>71</v>
      </c>
      <c r="F80" s="211" t="str">
        <f>VLOOKUP(A80,'Summary June 2026'!A:F,6,FALSE)</f>
        <v>Chq Bk</v>
      </c>
      <c r="G80" s="33"/>
      <c r="H80" s="790">
        <v>0</v>
      </c>
      <c r="I80" s="790">
        <v>0</v>
      </c>
      <c r="J80" s="790">
        <v>53093</v>
      </c>
      <c r="L80" s="791">
        <v>0</v>
      </c>
      <c r="M80" s="791">
        <v>0</v>
      </c>
      <c r="O80" s="875">
        <v>-2697.1666666666665</v>
      </c>
      <c r="P80" s="875">
        <v>0</v>
      </c>
      <c r="Q80" s="877">
        <v>0</v>
      </c>
      <c r="R80" s="890"/>
      <c r="AI80" s="797">
        <f t="shared" si="6"/>
        <v>50395.833333333336</v>
      </c>
      <c r="AK80" s="795">
        <f t="shared" si="5"/>
        <v>0</v>
      </c>
      <c r="AL80" s="795">
        <f t="shared" si="5"/>
        <v>0</v>
      </c>
      <c r="AM80" s="795">
        <f t="shared" si="5"/>
        <v>53093</v>
      </c>
      <c r="AN80" s="278">
        <f t="shared" si="7"/>
        <v>2697.1666666666642</v>
      </c>
    </row>
    <row r="81" spans="1:40">
      <c r="A81" s="198">
        <v>3411</v>
      </c>
      <c r="B81" s="2">
        <v>103479</v>
      </c>
      <c r="C81" s="2" t="s">
        <v>185</v>
      </c>
      <c r="D81" s="2" t="s">
        <v>186</v>
      </c>
      <c r="E81" s="190" t="s">
        <v>39</v>
      </c>
      <c r="F81" s="211" t="str">
        <f>VLOOKUP(A81,'Summary June 2026'!A:F,6,FALSE)</f>
        <v>Chq Bk</v>
      </c>
      <c r="G81" s="33"/>
      <c r="H81" s="790">
        <v>0</v>
      </c>
      <c r="I81" s="790">
        <v>0</v>
      </c>
      <c r="J81" s="790">
        <v>190747.25</v>
      </c>
      <c r="L81" s="791">
        <v>0</v>
      </c>
      <c r="M81" s="791">
        <v>0</v>
      </c>
      <c r="O81" s="875">
        <v>-9475.2083333333339</v>
      </c>
      <c r="P81" s="875">
        <v>0</v>
      </c>
      <c r="Q81" s="877">
        <v>0</v>
      </c>
      <c r="R81" s="890"/>
      <c r="AI81" s="797">
        <f t="shared" si="6"/>
        <v>181272.04166666666</v>
      </c>
      <c r="AK81" s="795">
        <f t="shared" si="5"/>
        <v>0</v>
      </c>
      <c r="AL81" s="795">
        <f t="shared" si="5"/>
        <v>0</v>
      </c>
      <c r="AM81" s="795">
        <f t="shared" si="5"/>
        <v>190747.25</v>
      </c>
      <c r="AN81" s="278">
        <f t="shared" si="7"/>
        <v>9475.208333333343</v>
      </c>
    </row>
    <row r="82" spans="1:40">
      <c r="A82" s="198">
        <v>2474</v>
      </c>
      <c r="B82" s="2">
        <v>131672</v>
      </c>
      <c r="C82" s="2" t="s">
        <v>187</v>
      </c>
      <c r="D82" s="2" t="s">
        <v>188</v>
      </c>
      <c r="E82" s="190" t="s">
        <v>39</v>
      </c>
      <c r="F82" s="211" t="str">
        <f>VLOOKUP(A82,'Summary June 2026'!A:F,6,FALSE)</f>
        <v>Chq Bk</v>
      </c>
      <c r="G82" s="33"/>
      <c r="H82" s="790">
        <v>0</v>
      </c>
      <c r="I82" s="790">
        <v>0</v>
      </c>
      <c r="J82" s="790">
        <v>25988</v>
      </c>
      <c r="L82" s="791">
        <v>0</v>
      </c>
      <c r="M82" s="791">
        <v>0</v>
      </c>
      <c r="O82" s="875">
        <v>-3747.7358333333336</v>
      </c>
      <c r="P82" s="875">
        <v>0</v>
      </c>
      <c r="Q82" s="877">
        <v>0</v>
      </c>
      <c r="R82" s="890"/>
      <c r="AI82" s="797">
        <f t="shared" si="6"/>
        <v>22240.264166666668</v>
      </c>
      <c r="AK82" s="795">
        <f t="shared" si="5"/>
        <v>0</v>
      </c>
      <c r="AL82" s="795">
        <f t="shared" si="5"/>
        <v>0</v>
      </c>
      <c r="AM82" s="795">
        <f t="shared" si="5"/>
        <v>25988</v>
      </c>
      <c r="AN82" s="278">
        <f t="shared" si="7"/>
        <v>3747.7358333333323</v>
      </c>
    </row>
    <row r="83" spans="1:40">
      <c r="A83" s="198">
        <v>4223</v>
      </c>
      <c r="B83" s="2">
        <v>103509</v>
      </c>
      <c r="C83" s="2" t="s">
        <v>189</v>
      </c>
      <c r="D83" s="2" t="s">
        <v>190</v>
      </c>
      <c r="E83" s="190" t="s">
        <v>71</v>
      </c>
      <c r="F83" s="211" t="str">
        <f>VLOOKUP(A83,'Summary June 2026'!A:F,6,FALSE)</f>
        <v>Chq Bk</v>
      </c>
      <c r="G83" s="33"/>
      <c r="H83" s="790">
        <v>0</v>
      </c>
      <c r="I83" s="790">
        <v>0</v>
      </c>
      <c r="J83" s="790">
        <v>155867.75</v>
      </c>
      <c r="L83" s="791">
        <v>0</v>
      </c>
      <c r="M83" s="791">
        <v>0</v>
      </c>
      <c r="O83" s="875">
        <v>-2797.1875</v>
      </c>
      <c r="P83" s="875">
        <v>0</v>
      </c>
      <c r="Q83" s="877">
        <v>0</v>
      </c>
      <c r="R83" s="890"/>
      <c r="AI83" s="797">
        <f t="shared" si="6"/>
        <v>153070.5625</v>
      </c>
      <c r="AK83" s="795">
        <f t="shared" si="5"/>
        <v>0</v>
      </c>
      <c r="AL83" s="795">
        <f t="shared" si="5"/>
        <v>0</v>
      </c>
      <c r="AM83" s="795">
        <f t="shared" si="5"/>
        <v>155867.75</v>
      </c>
      <c r="AN83" s="278">
        <f t="shared" si="7"/>
        <v>2797.1875</v>
      </c>
    </row>
    <row r="84" spans="1:40">
      <c r="A84" s="198">
        <v>3317</v>
      </c>
      <c r="B84" s="2">
        <v>103421</v>
      </c>
      <c r="C84" s="2" t="s">
        <v>191</v>
      </c>
      <c r="D84" s="2" t="s">
        <v>192</v>
      </c>
      <c r="E84" s="190" t="s">
        <v>39</v>
      </c>
      <c r="F84" s="211" t="str">
        <f>VLOOKUP(A84,'Summary June 2026'!A:F,6,FALSE)</f>
        <v>Chq Bk</v>
      </c>
      <c r="G84" s="33"/>
      <c r="H84" s="790">
        <v>0</v>
      </c>
      <c r="I84" s="790">
        <v>0</v>
      </c>
      <c r="J84" s="790">
        <v>40948.5</v>
      </c>
      <c r="L84" s="791">
        <v>0</v>
      </c>
      <c r="M84" s="791">
        <v>0</v>
      </c>
      <c r="O84" s="875">
        <v>-1940.5416666666667</v>
      </c>
      <c r="P84" s="875">
        <v>0</v>
      </c>
      <c r="Q84" s="877">
        <v>0</v>
      </c>
      <c r="R84" s="890"/>
      <c r="AI84" s="797">
        <f t="shared" si="6"/>
        <v>39007.958333333336</v>
      </c>
      <c r="AK84" s="795">
        <f t="shared" si="5"/>
        <v>0</v>
      </c>
      <c r="AL84" s="795">
        <f t="shared" si="5"/>
        <v>0</v>
      </c>
      <c r="AM84" s="795">
        <f t="shared" si="5"/>
        <v>40948.5</v>
      </c>
      <c r="AN84" s="278">
        <f t="shared" si="7"/>
        <v>1940.5416666666642</v>
      </c>
    </row>
    <row r="85" spans="1:40">
      <c r="A85" s="198">
        <v>1023</v>
      </c>
      <c r="B85" s="2">
        <v>103136</v>
      </c>
      <c r="C85" s="2" t="s">
        <v>193</v>
      </c>
      <c r="D85" s="2" t="s">
        <v>194</v>
      </c>
      <c r="E85" s="190" t="s">
        <v>36</v>
      </c>
      <c r="F85" s="211" t="str">
        <f>VLOOKUP(A85,'Summary June 2026'!A:F,6,FALSE)</f>
        <v>Chq Bk</v>
      </c>
      <c r="G85" s="33"/>
      <c r="H85" s="790">
        <v>0</v>
      </c>
      <c r="I85" s="790">
        <v>0</v>
      </c>
      <c r="J85" s="790">
        <v>13290</v>
      </c>
      <c r="L85" s="791">
        <v>0</v>
      </c>
      <c r="M85" s="791">
        <v>0</v>
      </c>
      <c r="O85" s="875">
        <v>-6143.083333333333</v>
      </c>
      <c r="P85" s="875">
        <v>0</v>
      </c>
      <c r="Q85" s="877">
        <v>0</v>
      </c>
      <c r="R85" s="890"/>
      <c r="AI85" s="797">
        <f t="shared" si="6"/>
        <v>7146.916666666667</v>
      </c>
      <c r="AK85" s="795">
        <f t="shared" si="5"/>
        <v>0</v>
      </c>
      <c r="AL85" s="795">
        <f t="shared" si="5"/>
        <v>0</v>
      </c>
      <c r="AM85" s="795">
        <f t="shared" si="5"/>
        <v>13290</v>
      </c>
      <c r="AN85" s="278">
        <f t="shared" si="7"/>
        <v>6143.083333333333</v>
      </c>
    </row>
    <row r="86" spans="1:40">
      <c r="A86" s="198">
        <v>2015</v>
      </c>
      <c r="B86" s="2">
        <v>134102</v>
      </c>
      <c r="C86" s="2" t="s">
        <v>195</v>
      </c>
      <c r="D86" s="2" t="s">
        <v>196</v>
      </c>
      <c r="E86" s="190" t="s">
        <v>39</v>
      </c>
      <c r="F86" s="211" t="str">
        <f>VLOOKUP(A86,'Summary June 2026'!A:F,6,FALSE)</f>
        <v>Chq Bk</v>
      </c>
      <c r="G86" s="33"/>
      <c r="H86" s="790">
        <v>0</v>
      </c>
      <c r="I86" s="790">
        <v>0</v>
      </c>
      <c r="J86" s="790">
        <v>56437.83</v>
      </c>
      <c r="L86" s="791">
        <v>0</v>
      </c>
      <c r="M86" s="791">
        <v>0</v>
      </c>
      <c r="O86" s="875">
        <v>903.94416666666677</v>
      </c>
      <c r="P86" s="875">
        <v>0</v>
      </c>
      <c r="Q86" s="877">
        <v>0</v>
      </c>
      <c r="R86" s="890"/>
      <c r="AI86" s="797">
        <f t="shared" si="6"/>
        <v>57341.77416666667</v>
      </c>
      <c r="AK86" s="795">
        <f t="shared" si="5"/>
        <v>0</v>
      </c>
      <c r="AL86" s="795">
        <f t="shared" si="5"/>
        <v>0</v>
      </c>
      <c r="AM86" s="795">
        <f t="shared" si="5"/>
        <v>56437.83</v>
      </c>
      <c r="AN86" s="278">
        <f t="shared" si="7"/>
        <v>-903.94416666666802</v>
      </c>
    </row>
    <row r="87" spans="1:40">
      <c r="A87" s="198">
        <v>3352</v>
      </c>
      <c r="B87" s="2">
        <v>103444</v>
      </c>
      <c r="C87" s="2" t="s">
        <v>197</v>
      </c>
      <c r="D87" s="2" t="s">
        <v>198</v>
      </c>
      <c r="E87" s="190" t="s">
        <v>39</v>
      </c>
      <c r="F87" s="211" t="str">
        <f>VLOOKUP(A87,'Summary June 2026'!A:F,6,FALSE)</f>
        <v>Chq Bk</v>
      </c>
      <c r="G87" s="33"/>
      <c r="H87" s="790">
        <v>0</v>
      </c>
      <c r="I87" s="790">
        <v>0</v>
      </c>
      <c r="J87" s="790">
        <v>25226.33</v>
      </c>
      <c r="L87" s="791">
        <v>0</v>
      </c>
      <c r="M87" s="791">
        <v>0</v>
      </c>
      <c r="O87" s="875">
        <v>-8013.8891666666668</v>
      </c>
      <c r="P87" s="875">
        <v>0</v>
      </c>
      <c r="Q87" s="877">
        <v>0</v>
      </c>
      <c r="R87" s="890"/>
      <c r="AI87" s="797">
        <f t="shared" si="6"/>
        <v>17212.440833333334</v>
      </c>
      <c r="AK87" s="795">
        <f t="shared" si="5"/>
        <v>0</v>
      </c>
      <c r="AL87" s="795">
        <f t="shared" si="5"/>
        <v>0</v>
      </c>
      <c r="AM87" s="795">
        <f t="shared" si="5"/>
        <v>25226.33</v>
      </c>
      <c r="AN87" s="278">
        <f t="shared" si="7"/>
        <v>8013.8891666666677</v>
      </c>
    </row>
    <row r="88" spans="1:40">
      <c r="A88" s="198">
        <v>2005</v>
      </c>
      <c r="B88" s="2">
        <v>134098</v>
      </c>
      <c r="C88" s="2" t="s">
        <v>199</v>
      </c>
      <c r="D88" s="2" t="s">
        <v>200</v>
      </c>
      <c r="E88" s="190" t="s">
        <v>39</v>
      </c>
      <c r="F88" s="211" t="str">
        <f>VLOOKUP(A88,'Summary June 2026'!A:F,6,FALSE)</f>
        <v>Chq Bk</v>
      </c>
      <c r="G88" s="33"/>
      <c r="H88" s="790">
        <v>0</v>
      </c>
      <c r="I88" s="790">
        <v>0</v>
      </c>
      <c r="J88" s="790">
        <v>0</v>
      </c>
      <c r="L88" s="791">
        <v>0</v>
      </c>
      <c r="M88" s="791">
        <v>144918.44</v>
      </c>
      <c r="O88" s="875">
        <v>0</v>
      </c>
      <c r="P88" s="875">
        <v>-1067.6383333333335</v>
      </c>
      <c r="Q88" s="877">
        <v>-4000</v>
      </c>
      <c r="R88" s="890"/>
      <c r="AI88" s="797">
        <f t="shared" si="6"/>
        <v>139850.80166666667</v>
      </c>
      <c r="AK88" s="795">
        <f t="shared" ref="AK88:AM107" si="8">SUMIFS($H88:$AG88,$H$3:$AG$3,AK$7)</f>
        <v>-4000</v>
      </c>
      <c r="AL88" s="795">
        <f t="shared" si="8"/>
        <v>0</v>
      </c>
      <c r="AM88" s="795">
        <f t="shared" si="8"/>
        <v>144918.44</v>
      </c>
      <c r="AN88" s="278">
        <f t="shared" si="7"/>
        <v>1067.638333333336</v>
      </c>
    </row>
    <row r="89" spans="1:40">
      <c r="A89" s="198">
        <v>4063</v>
      </c>
      <c r="B89" s="2">
        <v>103486</v>
      </c>
      <c r="C89" s="2" t="s">
        <v>201</v>
      </c>
      <c r="D89" s="2" t="s">
        <v>202</v>
      </c>
      <c r="E89" s="190" t="s">
        <v>71</v>
      </c>
      <c r="F89" s="211" t="str">
        <f>VLOOKUP(A89,'Summary June 2026'!A:F,6,FALSE)</f>
        <v>Chq Bk</v>
      </c>
      <c r="G89" s="33"/>
      <c r="H89" s="790">
        <v>0</v>
      </c>
      <c r="I89" s="790">
        <v>0</v>
      </c>
      <c r="J89" s="790">
        <v>173057.84</v>
      </c>
      <c r="L89" s="791">
        <v>0</v>
      </c>
      <c r="M89" s="791">
        <v>0</v>
      </c>
      <c r="O89" s="875">
        <v>-10626.950833333334</v>
      </c>
      <c r="P89" s="875">
        <v>0</v>
      </c>
      <c r="Q89" s="877">
        <v>0</v>
      </c>
      <c r="R89" s="890"/>
      <c r="AI89" s="797">
        <f t="shared" si="6"/>
        <v>162430.88916666666</v>
      </c>
      <c r="AK89" s="795">
        <f t="shared" si="8"/>
        <v>0</v>
      </c>
      <c r="AL89" s="795">
        <f t="shared" si="8"/>
        <v>0</v>
      </c>
      <c r="AM89" s="795">
        <f t="shared" si="8"/>
        <v>173057.84</v>
      </c>
      <c r="AN89" s="278">
        <f t="shared" si="7"/>
        <v>10626.950833333336</v>
      </c>
    </row>
    <row r="90" spans="1:40">
      <c r="A90" s="198">
        <v>1016</v>
      </c>
      <c r="B90" s="2">
        <v>103129</v>
      </c>
      <c r="C90" s="2" t="s">
        <v>203</v>
      </c>
      <c r="D90" s="2" t="s">
        <v>204</v>
      </c>
      <c r="E90" s="190" t="s">
        <v>36</v>
      </c>
      <c r="F90" s="211" t="str">
        <f>VLOOKUP(A90,'Summary June 2026'!A:F,6,FALSE)</f>
        <v>Chq Bk</v>
      </c>
      <c r="G90" s="33"/>
      <c r="H90" s="790">
        <v>0</v>
      </c>
      <c r="I90" s="790">
        <v>0</v>
      </c>
      <c r="J90" s="790">
        <v>13290</v>
      </c>
      <c r="L90" s="791">
        <v>0</v>
      </c>
      <c r="M90" s="791">
        <v>0</v>
      </c>
      <c r="O90" s="875">
        <v>-5937.666666666667</v>
      </c>
      <c r="P90" s="875">
        <v>0</v>
      </c>
      <c r="Q90" s="877">
        <v>0</v>
      </c>
      <c r="R90" s="890"/>
      <c r="AI90" s="797">
        <f t="shared" si="6"/>
        <v>7352.333333333333</v>
      </c>
      <c r="AK90" s="795">
        <f t="shared" si="8"/>
        <v>0</v>
      </c>
      <c r="AL90" s="795">
        <f t="shared" si="8"/>
        <v>0</v>
      </c>
      <c r="AM90" s="795">
        <f t="shared" si="8"/>
        <v>13290</v>
      </c>
      <c r="AN90" s="278">
        <f t="shared" si="7"/>
        <v>5937.666666666667</v>
      </c>
    </row>
    <row r="91" spans="1:40">
      <c r="A91" s="198">
        <v>2115</v>
      </c>
      <c r="B91" s="2">
        <v>103221</v>
      </c>
      <c r="C91" s="2" t="s">
        <v>205</v>
      </c>
      <c r="D91" s="2" t="s">
        <v>206</v>
      </c>
      <c r="E91" s="190" t="s">
        <v>39</v>
      </c>
      <c r="F91" s="211" t="str">
        <f>VLOOKUP(A91,'Summary June 2026'!A:F,6,FALSE)</f>
        <v>Chq Bk</v>
      </c>
      <c r="G91" s="33"/>
      <c r="H91" s="790">
        <v>0</v>
      </c>
      <c r="I91" s="790">
        <v>0</v>
      </c>
      <c r="J91" s="790">
        <v>171432</v>
      </c>
      <c r="L91" s="791">
        <v>0</v>
      </c>
      <c r="M91" s="791">
        <v>0</v>
      </c>
      <c r="O91" s="875">
        <v>-2754.5275000000015</v>
      </c>
      <c r="P91" s="875">
        <v>0</v>
      </c>
      <c r="Q91" s="877">
        <v>0</v>
      </c>
      <c r="R91" s="890"/>
      <c r="AI91" s="797">
        <f t="shared" si="6"/>
        <v>168677.4725</v>
      </c>
      <c r="AK91" s="795">
        <f t="shared" si="8"/>
        <v>0</v>
      </c>
      <c r="AL91" s="795">
        <f t="shared" si="8"/>
        <v>0</v>
      </c>
      <c r="AM91" s="795">
        <f t="shared" si="8"/>
        <v>171432</v>
      </c>
      <c r="AN91" s="278">
        <f t="shared" si="7"/>
        <v>2754.5274999999965</v>
      </c>
    </row>
    <row r="92" spans="1:40">
      <c r="A92" s="198">
        <v>2441</v>
      </c>
      <c r="B92" s="2">
        <v>103368</v>
      </c>
      <c r="C92" s="2" t="s">
        <v>207</v>
      </c>
      <c r="D92" s="2" t="s">
        <v>208</v>
      </c>
      <c r="E92" s="190" t="s">
        <v>39</v>
      </c>
      <c r="F92" s="211" t="str">
        <f>VLOOKUP(A92,'Summary June 2026'!A:F,6,FALSE)</f>
        <v>Chq Bk</v>
      </c>
      <c r="G92" s="33"/>
      <c r="H92" s="790">
        <v>0</v>
      </c>
      <c r="I92" s="790">
        <v>0</v>
      </c>
      <c r="J92" s="790">
        <v>80950.17</v>
      </c>
      <c r="L92" s="791">
        <v>0</v>
      </c>
      <c r="M92" s="791">
        <v>0</v>
      </c>
      <c r="O92" s="875">
        <v>-4301.6033333333335</v>
      </c>
      <c r="P92" s="875">
        <v>0</v>
      </c>
      <c r="Q92" s="877">
        <v>0</v>
      </c>
      <c r="R92" s="890"/>
      <c r="AI92" s="797">
        <f t="shared" si="6"/>
        <v>76648.566666666666</v>
      </c>
      <c r="AK92" s="795">
        <f t="shared" si="8"/>
        <v>0</v>
      </c>
      <c r="AL92" s="795">
        <f t="shared" si="8"/>
        <v>0</v>
      </c>
      <c r="AM92" s="795">
        <f t="shared" si="8"/>
        <v>80950.17</v>
      </c>
      <c r="AN92" s="278">
        <f t="shared" si="7"/>
        <v>4301.6033333333326</v>
      </c>
    </row>
    <row r="93" spans="1:40">
      <c r="A93" s="198">
        <v>2321</v>
      </c>
      <c r="B93" s="2">
        <v>103339</v>
      </c>
      <c r="C93" s="2" t="s">
        <v>209</v>
      </c>
      <c r="D93" s="2" t="s">
        <v>210</v>
      </c>
      <c r="E93" s="190" t="s">
        <v>39</v>
      </c>
      <c r="F93" s="211" t="str">
        <f>VLOOKUP(A93,'Summary June 2026'!A:F,6,FALSE)</f>
        <v>Chq Bk</v>
      </c>
      <c r="G93" s="33"/>
      <c r="H93" s="790">
        <v>0</v>
      </c>
      <c r="I93" s="790">
        <v>0</v>
      </c>
      <c r="J93" s="790">
        <v>129544.5</v>
      </c>
      <c r="L93" s="791">
        <v>0</v>
      </c>
      <c r="M93" s="791">
        <v>0</v>
      </c>
      <c r="O93" s="875">
        <v>-2914.4650000000015</v>
      </c>
      <c r="P93" s="875">
        <v>0</v>
      </c>
      <c r="Q93" s="877">
        <v>0</v>
      </c>
      <c r="R93" s="890"/>
      <c r="AI93" s="797">
        <f t="shared" si="6"/>
        <v>126630.035</v>
      </c>
      <c r="AK93" s="795">
        <f t="shared" si="8"/>
        <v>0</v>
      </c>
      <c r="AL93" s="795">
        <f t="shared" si="8"/>
        <v>0</v>
      </c>
      <c r="AM93" s="795">
        <f t="shared" si="8"/>
        <v>129544.5</v>
      </c>
      <c r="AN93" s="278">
        <f t="shared" si="7"/>
        <v>2914.4649999999965</v>
      </c>
    </row>
    <row r="94" spans="1:40">
      <c r="A94" s="198">
        <v>2189</v>
      </c>
      <c r="B94" s="2">
        <v>103265</v>
      </c>
      <c r="C94" s="2" t="s">
        <v>211</v>
      </c>
      <c r="D94" s="2" t="s">
        <v>212</v>
      </c>
      <c r="E94" s="190" t="s">
        <v>39</v>
      </c>
      <c r="F94" s="211" t="str">
        <f>VLOOKUP(A94,'Summary June 2026'!A:F,6,FALSE)</f>
        <v>Chq Bk</v>
      </c>
      <c r="G94" s="33"/>
      <c r="H94" s="790">
        <v>0</v>
      </c>
      <c r="I94" s="790">
        <v>0</v>
      </c>
      <c r="J94" s="790">
        <v>25967.919999999998</v>
      </c>
      <c r="L94" s="791">
        <v>0</v>
      </c>
      <c r="M94" s="791">
        <v>0</v>
      </c>
      <c r="O94" s="875">
        <v>-2048.6458333333335</v>
      </c>
      <c r="P94" s="875">
        <v>0</v>
      </c>
      <c r="Q94" s="877">
        <v>0</v>
      </c>
      <c r="R94" s="890"/>
      <c r="AI94" s="797">
        <f t="shared" si="6"/>
        <v>23919.274166666666</v>
      </c>
      <c r="AK94" s="795">
        <f t="shared" si="8"/>
        <v>0</v>
      </c>
      <c r="AL94" s="795">
        <f t="shared" si="8"/>
        <v>0</v>
      </c>
      <c r="AM94" s="795">
        <f t="shared" si="8"/>
        <v>25967.919999999998</v>
      </c>
      <c r="AN94" s="278">
        <f t="shared" si="7"/>
        <v>2048.6458333333321</v>
      </c>
    </row>
    <row r="95" spans="1:40">
      <c r="A95" s="198">
        <v>7060</v>
      </c>
      <c r="B95" s="2">
        <v>103630</v>
      </c>
      <c r="C95" s="2" t="s">
        <v>213</v>
      </c>
      <c r="D95" s="2" t="s">
        <v>214</v>
      </c>
      <c r="E95" s="190" t="s">
        <v>56</v>
      </c>
      <c r="F95" s="211" t="str">
        <f>VLOOKUP(A95,'Summary June 2026'!A:F,6,FALSE)</f>
        <v>Chq Bk</v>
      </c>
      <c r="G95" s="33"/>
      <c r="H95" s="790">
        <v>1250000</v>
      </c>
      <c r="I95" s="790">
        <v>0</v>
      </c>
      <c r="J95" s="790">
        <v>2331413.38</v>
      </c>
      <c r="L95" s="791">
        <v>0</v>
      </c>
      <c r="M95" s="791">
        <v>0</v>
      </c>
      <c r="O95" s="875">
        <v>0</v>
      </c>
      <c r="P95" s="875">
        <v>0</v>
      </c>
      <c r="Q95" s="877">
        <v>0</v>
      </c>
      <c r="R95" s="890"/>
      <c r="AI95" s="797">
        <f t="shared" si="6"/>
        <v>3581413.38</v>
      </c>
      <c r="AK95" s="795">
        <f t="shared" si="8"/>
        <v>1250000</v>
      </c>
      <c r="AL95" s="795">
        <f t="shared" si="8"/>
        <v>0</v>
      </c>
      <c r="AM95" s="795">
        <f t="shared" si="8"/>
        <v>2331413.38</v>
      </c>
      <c r="AN95" s="278">
        <f t="shared" si="7"/>
        <v>0</v>
      </c>
    </row>
    <row r="96" spans="1:40">
      <c r="A96" s="198">
        <v>1024</v>
      </c>
      <c r="B96" s="2">
        <v>103137</v>
      </c>
      <c r="C96" s="2" t="s">
        <v>215</v>
      </c>
      <c r="D96" s="2" t="s">
        <v>216</v>
      </c>
      <c r="E96" s="190" t="s">
        <v>36</v>
      </c>
      <c r="F96" s="211" t="str">
        <f>VLOOKUP(A96,'Summary June 2026'!A:F,6,FALSE)</f>
        <v>Chq Bk</v>
      </c>
      <c r="G96" s="33"/>
      <c r="H96" s="790">
        <v>0</v>
      </c>
      <c r="I96" s="790">
        <v>0</v>
      </c>
      <c r="J96" s="790">
        <v>0</v>
      </c>
      <c r="L96" s="791">
        <v>0</v>
      </c>
      <c r="M96" s="791">
        <v>0</v>
      </c>
      <c r="O96" s="875">
        <v>0</v>
      </c>
      <c r="P96" s="875">
        <v>0</v>
      </c>
      <c r="Q96" s="877">
        <v>0</v>
      </c>
      <c r="R96" s="890"/>
      <c r="AI96" s="797">
        <f t="shared" si="6"/>
        <v>0</v>
      </c>
      <c r="AK96" s="795">
        <f t="shared" si="8"/>
        <v>0</v>
      </c>
      <c r="AL96" s="795">
        <f t="shared" si="8"/>
        <v>0</v>
      </c>
      <c r="AM96" s="795">
        <f t="shared" si="8"/>
        <v>0</v>
      </c>
      <c r="AN96" s="278">
        <f t="shared" si="7"/>
        <v>0</v>
      </c>
    </row>
    <row r="97" spans="1:40">
      <c r="A97" s="198">
        <v>7062</v>
      </c>
      <c r="B97" s="2">
        <v>103632</v>
      </c>
      <c r="C97" s="2" t="s">
        <v>217</v>
      </c>
      <c r="D97" s="2" t="s">
        <v>218</v>
      </c>
      <c r="E97" s="190" t="s">
        <v>56</v>
      </c>
      <c r="F97" s="211" t="str">
        <f>VLOOKUP(A97,'Summary June 2026'!A:F,6,FALSE)</f>
        <v>Chq Bk</v>
      </c>
      <c r="G97" s="33"/>
      <c r="H97" s="790">
        <v>1525000</v>
      </c>
      <c r="I97" s="790">
        <v>0</v>
      </c>
      <c r="J97" s="790">
        <v>3518904.42</v>
      </c>
      <c r="L97" s="791">
        <v>0</v>
      </c>
      <c r="M97" s="791">
        <v>0</v>
      </c>
      <c r="O97" s="875">
        <v>0</v>
      </c>
      <c r="P97" s="875">
        <v>0</v>
      </c>
      <c r="Q97" s="877">
        <v>0</v>
      </c>
      <c r="R97" s="890"/>
      <c r="AI97" s="797">
        <f t="shared" si="6"/>
        <v>5043904.42</v>
      </c>
      <c r="AK97" s="795">
        <f t="shared" si="8"/>
        <v>1525000</v>
      </c>
      <c r="AL97" s="795">
        <f t="shared" si="8"/>
        <v>0</v>
      </c>
      <c r="AM97" s="795">
        <f t="shared" si="8"/>
        <v>3518904.42</v>
      </c>
      <c r="AN97" s="278">
        <f t="shared" si="7"/>
        <v>0</v>
      </c>
    </row>
    <row r="98" spans="1:40">
      <c r="A98" s="198">
        <v>2462</v>
      </c>
      <c r="B98" s="2">
        <v>103388</v>
      </c>
      <c r="C98" s="2" t="s">
        <v>219</v>
      </c>
      <c r="D98" s="2" t="s">
        <v>220</v>
      </c>
      <c r="E98" s="190" t="s">
        <v>39</v>
      </c>
      <c r="F98" s="211" t="str">
        <f>VLOOKUP(A98,'Summary June 2026'!A:F,6,FALSE)</f>
        <v>Chq Bk</v>
      </c>
      <c r="G98" s="33"/>
      <c r="H98" s="790">
        <v>0</v>
      </c>
      <c r="I98" s="790">
        <v>0</v>
      </c>
      <c r="J98" s="790">
        <v>32117.5</v>
      </c>
      <c r="L98" s="791">
        <v>0</v>
      </c>
      <c r="M98" s="791">
        <v>0</v>
      </c>
      <c r="O98" s="875">
        <v>-782.04166666666663</v>
      </c>
      <c r="P98" s="875">
        <v>0</v>
      </c>
      <c r="Q98" s="877">
        <v>0</v>
      </c>
      <c r="R98" s="890"/>
      <c r="AI98" s="797">
        <f t="shared" si="6"/>
        <v>31335.458333333332</v>
      </c>
      <c r="AK98" s="795">
        <f t="shared" si="8"/>
        <v>0</v>
      </c>
      <c r="AL98" s="795">
        <f t="shared" si="8"/>
        <v>0</v>
      </c>
      <c r="AM98" s="795">
        <f t="shared" si="8"/>
        <v>32117.5</v>
      </c>
      <c r="AN98" s="278">
        <f t="shared" si="7"/>
        <v>782.04166666666788</v>
      </c>
    </row>
    <row r="99" spans="1:40">
      <c r="A99" s="198">
        <v>7012</v>
      </c>
      <c r="B99" s="2">
        <v>103603</v>
      </c>
      <c r="C99" s="2" t="s">
        <v>221</v>
      </c>
      <c r="D99" s="2" t="s">
        <v>222</v>
      </c>
      <c r="E99" s="190" t="s">
        <v>56</v>
      </c>
      <c r="F99" s="211" t="str">
        <f>VLOOKUP(A99,'Summary June 2026'!A:F,6,FALSE)</f>
        <v>Chq Bk</v>
      </c>
      <c r="G99" s="33"/>
      <c r="H99" s="790">
        <v>650000</v>
      </c>
      <c r="I99" s="790">
        <v>0</v>
      </c>
      <c r="J99" s="790">
        <v>864524.26</v>
      </c>
      <c r="L99" s="791">
        <v>0</v>
      </c>
      <c r="M99" s="791">
        <v>0</v>
      </c>
      <c r="O99" s="875">
        <v>0</v>
      </c>
      <c r="P99" s="875">
        <v>0</v>
      </c>
      <c r="Q99" s="877">
        <v>0</v>
      </c>
      <c r="R99" s="890"/>
      <c r="AI99" s="797">
        <f t="shared" si="6"/>
        <v>1514524.26</v>
      </c>
      <c r="AK99" s="795">
        <f t="shared" si="8"/>
        <v>650000</v>
      </c>
      <c r="AL99" s="795">
        <f t="shared" si="8"/>
        <v>0</v>
      </c>
      <c r="AM99" s="795">
        <f t="shared" si="8"/>
        <v>864524.26</v>
      </c>
      <c r="AN99" s="278">
        <f t="shared" si="7"/>
        <v>0</v>
      </c>
    </row>
    <row r="100" spans="1:40">
      <c r="A100" s="198">
        <v>2127</v>
      </c>
      <c r="B100" s="2">
        <v>103227</v>
      </c>
      <c r="C100" s="2" t="s">
        <v>223</v>
      </c>
      <c r="D100" s="2" t="s">
        <v>224</v>
      </c>
      <c r="E100" s="190" t="s">
        <v>39</v>
      </c>
      <c r="F100" s="211" t="str">
        <f>VLOOKUP(A100,'Summary June 2026'!A:F,6,FALSE)</f>
        <v>Chq Bk</v>
      </c>
      <c r="G100" s="33"/>
      <c r="H100" s="790">
        <v>0</v>
      </c>
      <c r="I100" s="790">
        <v>0</v>
      </c>
      <c r="J100" s="790">
        <v>205217.25</v>
      </c>
      <c r="L100" s="791">
        <v>0</v>
      </c>
      <c r="M100" s="791">
        <v>0</v>
      </c>
      <c r="O100" s="875">
        <v>-18859.0625</v>
      </c>
      <c r="P100" s="875">
        <v>0</v>
      </c>
      <c r="Q100" s="877">
        <v>0</v>
      </c>
      <c r="R100" s="890"/>
      <c r="AI100" s="797">
        <f t="shared" si="6"/>
        <v>186358.1875</v>
      </c>
      <c r="AK100" s="795">
        <f t="shared" si="8"/>
        <v>0</v>
      </c>
      <c r="AL100" s="795">
        <f t="shared" si="8"/>
        <v>0</v>
      </c>
      <c r="AM100" s="795">
        <f t="shared" si="8"/>
        <v>205217.25</v>
      </c>
      <c r="AN100" s="278">
        <f t="shared" si="7"/>
        <v>18859.0625</v>
      </c>
    </row>
    <row r="101" spans="1:40">
      <c r="A101" s="198">
        <v>2129</v>
      </c>
      <c r="B101" s="2">
        <v>103229</v>
      </c>
      <c r="C101" s="2" t="s">
        <v>225</v>
      </c>
      <c r="D101" s="2" t="s">
        <v>226</v>
      </c>
      <c r="E101" s="190" t="s">
        <v>39</v>
      </c>
      <c r="F101" s="211" t="str">
        <f>VLOOKUP(A101,'Summary June 2026'!A:F,6,FALSE)</f>
        <v>Chq Bk</v>
      </c>
      <c r="G101" s="33"/>
      <c r="H101" s="790">
        <v>0</v>
      </c>
      <c r="I101" s="790">
        <v>0</v>
      </c>
      <c r="J101" s="790">
        <v>0</v>
      </c>
      <c r="L101" s="791">
        <v>76000</v>
      </c>
      <c r="M101" s="791">
        <v>139128.64000000001</v>
      </c>
      <c r="O101" s="875">
        <v>0</v>
      </c>
      <c r="P101" s="875">
        <v>-2785.7699999999968</v>
      </c>
      <c r="Q101" s="877">
        <v>0</v>
      </c>
      <c r="R101" s="890"/>
      <c r="AI101" s="797">
        <f t="shared" si="6"/>
        <v>212342.87000000002</v>
      </c>
      <c r="AK101" s="795">
        <f t="shared" si="8"/>
        <v>76000</v>
      </c>
      <c r="AL101" s="795">
        <f t="shared" si="8"/>
        <v>0</v>
      </c>
      <c r="AM101" s="795">
        <f t="shared" si="8"/>
        <v>139128.64000000001</v>
      </c>
      <c r="AN101" s="278">
        <f t="shared" si="7"/>
        <v>2785.7699999999895</v>
      </c>
    </row>
    <row r="102" spans="1:40">
      <c r="A102" s="198">
        <v>2128</v>
      </c>
      <c r="B102" s="2">
        <v>103228</v>
      </c>
      <c r="C102" s="2" t="s">
        <v>227</v>
      </c>
      <c r="D102" s="2" t="s">
        <v>228</v>
      </c>
      <c r="E102" s="190" t="s">
        <v>39</v>
      </c>
      <c r="F102" s="211" t="str">
        <f>VLOOKUP(A102,'Summary June 2026'!A:F,6,FALSE)</f>
        <v>Chq Bk</v>
      </c>
      <c r="G102" s="33"/>
      <c r="H102" s="790">
        <v>0</v>
      </c>
      <c r="I102" s="790">
        <v>0</v>
      </c>
      <c r="J102" s="790">
        <v>0</v>
      </c>
      <c r="L102" s="791">
        <v>62000</v>
      </c>
      <c r="M102" s="791">
        <v>136635.38</v>
      </c>
      <c r="O102" s="875">
        <v>0</v>
      </c>
      <c r="P102" s="875">
        <v>-3386.6741666666662</v>
      </c>
      <c r="Q102" s="877">
        <v>0</v>
      </c>
      <c r="R102" s="890"/>
      <c r="AI102" s="797">
        <f t="shared" si="6"/>
        <v>195248.70583333334</v>
      </c>
      <c r="AK102" s="795">
        <f t="shared" si="8"/>
        <v>62000</v>
      </c>
      <c r="AL102" s="795">
        <f t="shared" si="8"/>
        <v>0</v>
      </c>
      <c r="AM102" s="795">
        <f t="shared" si="8"/>
        <v>136635.38</v>
      </c>
      <c r="AN102" s="278">
        <f t="shared" si="7"/>
        <v>3386.674166666664</v>
      </c>
    </row>
    <row r="103" spans="1:40">
      <c r="A103" s="198">
        <v>2420</v>
      </c>
      <c r="B103" s="2">
        <v>103353</v>
      </c>
      <c r="C103" s="2" t="s">
        <v>229</v>
      </c>
      <c r="D103" s="2" t="s">
        <v>230</v>
      </c>
      <c r="E103" s="190" t="s">
        <v>39</v>
      </c>
      <c r="F103" s="211" t="str">
        <f>VLOOKUP(A103,'Summary June 2026'!A:F,6,FALSE)</f>
        <v>Chq Bk</v>
      </c>
      <c r="G103" s="33"/>
      <c r="H103" s="790">
        <v>0</v>
      </c>
      <c r="I103" s="790">
        <v>0</v>
      </c>
      <c r="J103" s="790">
        <v>56753.67</v>
      </c>
      <c r="L103" s="791">
        <v>0</v>
      </c>
      <c r="M103" s="791">
        <v>0</v>
      </c>
      <c r="O103" s="875">
        <v>-8242.8191666666662</v>
      </c>
      <c r="P103" s="875">
        <v>0</v>
      </c>
      <c r="Q103" s="877">
        <v>0</v>
      </c>
      <c r="R103" s="890"/>
      <c r="AI103" s="797">
        <f t="shared" si="6"/>
        <v>48510.85083333333</v>
      </c>
      <c r="AK103" s="795">
        <f t="shared" si="8"/>
        <v>0</v>
      </c>
      <c r="AL103" s="795">
        <f t="shared" si="8"/>
        <v>0</v>
      </c>
      <c r="AM103" s="795">
        <f t="shared" si="8"/>
        <v>56753.67</v>
      </c>
      <c r="AN103" s="278">
        <f t="shared" si="7"/>
        <v>8242.819166666668</v>
      </c>
    </row>
    <row r="104" spans="1:40">
      <c r="A104" s="198">
        <v>2004</v>
      </c>
      <c r="B104" s="2">
        <v>134094</v>
      </c>
      <c r="C104" s="2" t="s">
        <v>231</v>
      </c>
      <c r="D104" s="2" t="s">
        <v>232</v>
      </c>
      <c r="E104" s="190" t="s">
        <v>39</v>
      </c>
      <c r="F104" s="211" t="str">
        <f>VLOOKUP(A104,'Summary June 2026'!A:F,6,FALSE)</f>
        <v>Chq Bk</v>
      </c>
      <c r="G104" s="33"/>
      <c r="H104" s="790">
        <v>0</v>
      </c>
      <c r="I104" s="790">
        <v>0</v>
      </c>
      <c r="J104" s="790">
        <v>59177.83</v>
      </c>
      <c r="L104" s="791">
        <v>0</v>
      </c>
      <c r="M104" s="791">
        <v>0</v>
      </c>
      <c r="O104" s="875">
        <v>600.94416666666677</v>
      </c>
      <c r="P104" s="875">
        <v>0</v>
      </c>
      <c r="Q104" s="877">
        <v>0</v>
      </c>
      <c r="R104" s="890"/>
      <c r="AI104" s="797">
        <f t="shared" si="6"/>
        <v>59778.77416666667</v>
      </c>
      <c r="AK104" s="795">
        <f t="shared" si="8"/>
        <v>0</v>
      </c>
      <c r="AL104" s="795">
        <f t="shared" si="8"/>
        <v>0</v>
      </c>
      <c r="AM104" s="795">
        <f t="shared" si="8"/>
        <v>59177.83</v>
      </c>
      <c r="AN104" s="278">
        <f t="shared" si="7"/>
        <v>-600.94416666666802</v>
      </c>
    </row>
    <row r="105" spans="1:40">
      <c r="A105" s="198">
        <v>1012</v>
      </c>
      <c r="B105" s="2">
        <v>103126</v>
      </c>
      <c r="C105" s="2" t="s">
        <v>233</v>
      </c>
      <c r="D105" s="2" t="s">
        <v>234</v>
      </c>
      <c r="E105" s="190" t="s">
        <v>36</v>
      </c>
      <c r="F105" s="211" t="str">
        <f>VLOOKUP(A105,'Summary June 2026'!A:F,6,FALSE)</f>
        <v>Chq Bk</v>
      </c>
      <c r="G105" s="33"/>
      <c r="H105" s="790">
        <v>0</v>
      </c>
      <c r="I105" s="790">
        <v>0</v>
      </c>
      <c r="J105" s="790">
        <v>0</v>
      </c>
      <c r="L105" s="791">
        <v>0</v>
      </c>
      <c r="M105" s="791">
        <v>0</v>
      </c>
      <c r="O105" s="875">
        <v>0</v>
      </c>
      <c r="P105" s="875">
        <v>0</v>
      </c>
      <c r="Q105" s="877">
        <v>0</v>
      </c>
      <c r="R105" s="890"/>
      <c r="AI105" s="797">
        <f t="shared" si="6"/>
        <v>0</v>
      </c>
      <c r="AK105" s="795">
        <f t="shared" si="8"/>
        <v>0</v>
      </c>
      <c r="AL105" s="795">
        <f t="shared" si="8"/>
        <v>0</v>
      </c>
      <c r="AM105" s="795">
        <f t="shared" si="8"/>
        <v>0</v>
      </c>
      <c r="AN105" s="278">
        <f t="shared" si="7"/>
        <v>0</v>
      </c>
    </row>
    <row r="106" spans="1:40">
      <c r="A106" s="198">
        <v>2133</v>
      </c>
      <c r="B106" s="2">
        <v>103233</v>
      </c>
      <c r="C106" s="2" t="s">
        <v>235</v>
      </c>
      <c r="D106" s="2" t="s">
        <v>236</v>
      </c>
      <c r="E106" s="190" t="s">
        <v>39</v>
      </c>
      <c r="F106" s="211" t="str">
        <f>VLOOKUP(A106,'Summary June 2026'!A:F,6,FALSE)</f>
        <v>Chq Bk</v>
      </c>
      <c r="G106" s="33"/>
      <c r="H106" s="790">
        <v>0</v>
      </c>
      <c r="I106" s="790">
        <v>0</v>
      </c>
      <c r="J106" s="790">
        <v>64914</v>
      </c>
      <c r="L106" s="791">
        <v>0</v>
      </c>
      <c r="M106" s="791">
        <v>0</v>
      </c>
      <c r="O106" s="875">
        <v>-9981.9166666666661</v>
      </c>
      <c r="P106" s="875">
        <v>0</v>
      </c>
      <c r="Q106" s="877">
        <v>0</v>
      </c>
      <c r="R106" s="890"/>
      <c r="AI106" s="797">
        <f t="shared" si="6"/>
        <v>54932.083333333336</v>
      </c>
      <c r="AK106" s="795">
        <f t="shared" si="8"/>
        <v>0</v>
      </c>
      <c r="AL106" s="795">
        <f t="shared" si="8"/>
        <v>0</v>
      </c>
      <c r="AM106" s="795">
        <f t="shared" si="8"/>
        <v>64914</v>
      </c>
      <c r="AN106" s="278">
        <f t="shared" si="7"/>
        <v>9981.9166666666642</v>
      </c>
    </row>
    <row r="107" spans="1:40">
      <c r="A107" s="198">
        <v>2406</v>
      </c>
      <c r="B107" s="2">
        <v>103345</v>
      </c>
      <c r="C107" s="2" t="s">
        <v>237</v>
      </c>
      <c r="D107" s="2" t="s">
        <v>238</v>
      </c>
      <c r="E107" s="190" t="s">
        <v>39</v>
      </c>
      <c r="F107" s="211" t="str">
        <f>VLOOKUP(A107,'Summary June 2026'!A:F,6,FALSE)</f>
        <v>Chq Bk</v>
      </c>
      <c r="G107" s="33"/>
      <c r="H107" s="790">
        <v>0</v>
      </c>
      <c r="I107" s="790">
        <v>0</v>
      </c>
      <c r="J107" s="790">
        <v>32117.5</v>
      </c>
      <c r="L107" s="791">
        <v>0</v>
      </c>
      <c r="M107" s="791">
        <v>0</v>
      </c>
      <c r="O107" s="875">
        <v>-4356.4858333333332</v>
      </c>
      <c r="P107" s="875">
        <v>0</v>
      </c>
      <c r="Q107" s="877">
        <v>0</v>
      </c>
      <c r="R107" s="890"/>
      <c r="AI107" s="797">
        <f t="shared" si="6"/>
        <v>27761.014166666668</v>
      </c>
      <c r="AK107" s="795">
        <f t="shared" si="8"/>
        <v>0</v>
      </c>
      <c r="AL107" s="795">
        <f t="shared" si="8"/>
        <v>0</v>
      </c>
      <c r="AM107" s="795">
        <f t="shared" si="8"/>
        <v>32117.5</v>
      </c>
      <c r="AN107" s="278">
        <f t="shared" si="7"/>
        <v>4356.4858333333323</v>
      </c>
    </row>
    <row r="108" spans="1:40">
      <c r="A108" s="198">
        <v>2416</v>
      </c>
      <c r="B108" s="2">
        <v>103351</v>
      </c>
      <c r="C108" s="2" t="s">
        <v>239</v>
      </c>
      <c r="D108" s="2" t="s">
        <v>240</v>
      </c>
      <c r="E108" s="190" t="s">
        <v>39</v>
      </c>
      <c r="F108" s="211" t="str">
        <f>VLOOKUP(A108,'Summary June 2026'!A:F,6,FALSE)</f>
        <v>Chq Bk</v>
      </c>
      <c r="G108" s="33"/>
      <c r="H108" s="790">
        <v>0</v>
      </c>
      <c r="I108" s="790">
        <v>0</v>
      </c>
      <c r="J108" s="790">
        <v>40948.5</v>
      </c>
      <c r="L108" s="791">
        <v>0</v>
      </c>
      <c r="M108" s="791">
        <v>0</v>
      </c>
      <c r="O108" s="875">
        <v>-5929.9516666666668</v>
      </c>
      <c r="P108" s="875">
        <v>0</v>
      </c>
      <c r="Q108" s="877">
        <v>0</v>
      </c>
      <c r="R108" s="890"/>
      <c r="AI108" s="797">
        <f t="shared" si="6"/>
        <v>35018.548333333332</v>
      </c>
      <c r="AK108" s="795">
        <f t="shared" ref="AK108:AM127" si="9">SUMIFS($H108:$AG108,$H$3:$AG$3,AK$7)</f>
        <v>0</v>
      </c>
      <c r="AL108" s="795">
        <f t="shared" si="9"/>
        <v>0</v>
      </c>
      <c r="AM108" s="795">
        <f t="shared" si="9"/>
        <v>40948.5</v>
      </c>
      <c r="AN108" s="278">
        <f t="shared" si="7"/>
        <v>5929.9516666666677</v>
      </c>
    </row>
    <row r="109" spans="1:40">
      <c r="A109" s="198">
        <v>3003</v>
      </c>
      <c r="B109" s="2">
        <v>103398</v>
      </c>
      <c r="C109" s="2" t="s">
        <v>241</v>
      </c>
      <c r="D109" s="2" t="s">
        <v>242</v>
      </c>
      <c r="E109" s="190" t="s">
        <v>39</v>
      </c>
      <c r="F109" s="211" t="str">
        <f>VLOOKUP(A109,'Summary June 2026'!A:F,6,FALSE)</f>
        <v>Chq Bk</v>
      </c>
      <c r="G109" s="33"/>
      <c r="H109" s="790">
        <v>0</v>
      </c>
      <c r="I109" s="790">
        <v>0</v>
      </c>
      <c r="J109" s="790">
        <v>39139</v>
      </c>
      <c r="L109" s="791">
        <v>0</v>
      </c>
      <c r="M109" s="791">
        <v>0</v>
      </c>
      <c r="O109" s="875">
        <v>-8454.5833333333339</v>
      </c>
      <c r="P109" s="875">
        <v>0</v>
      </c>
      <c r="Q109" s="877">
        <v>0</v>
      </c>
      <c r="R109" s="890"/>
      <c r="AI109" s="797">
        <f t="shared" si="6"/>
        <v>30684.416666666664</v>
      </c>
      <c r="AK109" s="795">
        <f t="shared" si="9"/>
        <v>0</v>
      </c>
      <c r="AL109" s="795">
        <f t="shared" si="9"/>
        <v>0</v>
      </c>
      <c r="AM109" s="795">
        <f t="shared" si="9"/>
        <v>39139</v>
      </c>
      <c r="AN109" s="278">
        <f t="shared" si="7"/>
        <v>8454.5833333333358</v>
      </c>
    </row>
    <row r="110" spans="1:40">
      <c r="A110" s="198">
        <v>4245</v>
      </c>
      <c r="B110" s="2">
        <v>103519</v>
      </c>
      <c r="C110" s="2" t="s">
        <v>243</v>
      </c>
      <c r="D110" s="2" t="s">
        <v>244</v>
      </c>
      <c r="E110" s="190" t="s">
        <v>71</v>
      </c>
      <c r="F110" s="211" t="str">
        <f>VLOOKUP(A110,'Summary June 2026'!A:F,6,FALSE)</f>
        <v>Chq Bk</v>
      </c>
      <c r="G110" s="33"/>
      <c r="H110" s="790">
        <v>0</v>
      </c>
      <c r="I110" s="790">
        <v>0</v>
      </c>
      <c r="J110" s="790">
        <v>124303.84</v>
      </c>
      <c r="L110" s="791">
        <v>0</v>
      </c>
      <c r="M110" s="791">
        <v>0</v>
      </c>
      <c r="O110" s="875">
        <v>-6258.7216666666673</v>
      </c>
      <c r="P110" s="875">
        <v>0</v>
      </c>
      <c r="Q110" s="877">
        <v>0</v>
      </c>
      <c r="R110" s="890"/>
      <c r="AI110" s="797">
        <f t="shared" si="6"/>
        <v>118045.11833333333</v>
      </c>
      <c r="AK110" s="795">
        <f t="shared" si="9"/>
        <v>0</v>
      </c>
      <c r="AL110" s="795">
        <f t="shared" si="9"/>
        <v>0</v>
      </c>
      <c r="AM110" s="795">
        <f t="shared" si="9"/>
        <v>124303.84</v>
      </c>
      <c r="AN110" s="278">
        <f t="shared" si="7"/>
        <v>6258.7216666666645</v>
      </c>
    </row>
    <row r="111" spans="1:40">
      <c r="A111" s="198">
        <v>2457</v>
      </c>
      <c r="B111" s="2">
        <v>103384</v>
      </c>
      <c r="C111" s="2" t="s">
        <v>245</v>
      </c>
      <c r="D111" s="2" t="s">
        <v>246</v>
      </c>
      <c r="E111" s="190" t="s">
        <v>39</v>
      </c>
      <c r="F111" s="211" t="str">
        <f>VLOOKUP(A111,'Summary June 2026'!A:F,6,FALSE)</f>
        <v>Chq Bk</v>
      </c>
      <c r="G111" s="33"/>
      <c r="H111" s="790">
        <v>0</v>
      </c>
      <c r="I111" s="790">
        <v>0</v>
      </c>
      <c r="J111" s="790">
        <v>0</v>
      </c>
      <c r="L111" s="791">
        <v>0</v>
      </c>
      <c r="M111" s="791">
        <v>172510.51</v>
      </c>
      <c r="O111" s="875">
        <v>0</v>
      </c>
      <c r="P111" s="875">
        <v>-10137.214166666667</v>
      </c>
      <c r="Q111" s="877">
        <v>0</v>
      </c>
      <c r="R111" s="890"/>
      <c r="AI111" s="797">
        <f t="shared" si="6"/>
        <v>162373.29583333334</v>
      </c>
      <c r="AK111" s="795">
        <f t="shared" si="9"/>
        <v>0</v>
      </c>
      <c r="AL111" s="795">
        <f t="shared" si="9"/>
        <v>0</v>
      </c>
      <c r="AM111" s="795">
        <f t="shared" si="9"/>
        <v>172510.51</v>
      </c>
      <c r="AN111" s="278">
        <f t="shared" si="7"/>
        <v>10137.214166666672</v>
      </c>
    </row>
    <row r="112" spans="1:40">
      <c r="A112" s="198">
        <v>2142</v>
      </c>
      <c r="B112" s="2">
        <v>103237</v>
      </c>
      <c r="C112" s="2" t="s">
        <v>247</v>
      </c>
      <c r="D112" s="2" t="s">
        <v>248</v>
      </c>
      <c r="E112" s="190" t="s">
        <v>39</v>
      </c>
      <c r="F112" s="211" t="str">
        <f>VLOOKUP(A112,'Summary June 2026'!A:F,6,FALSE)</f>
        <v>Chq Bk</v>
      </c>
      <c r="G112" s="33"/>
      <c r="H112" s="790">
        <v>0</v>
      </c>
      <c r="I112" s="790">
        <v>0</v>
      </c>
      <c r="J112" s="790">
        <v>153119.75</v>
      </c>
      <c r="L112" s="791">
        <v>0</v>
      </c>
      <c r="M112" s="791">
        <v>0</v>
      </c>
      <c r="O112" s="875">
        <v>-17182.854166666668</v>
      </c>
      <c r="P112" s="875">
        <v>0</v>
      </c>
      <c r="Q112" s="877">
        <v>0</v>
      </c>
      <c r="R112" s="890"/>
      <c r="AI112" s="797">
        <f t="shared" si="6"/>
        <v>135936.89583333334</v>
      </c>
      <c r="AK112" s="795">
        <f t="shared" si="9"/>
        <v>0</v>
      </c>
      <c r="AL112" s="795">
        <f t="shared" si="9"/>
        <v>0</v>
      </c>
      <c r="AM112" s="795">
        <f t="shared" si="9"/>
        <v>153119.75</v>
      </c>
      <c r="AN112" s="278">
        <f t="shared" si="7"/>
        <v>17182.854166666657</v>
      </c>
    </row>
    <row r="113" spans="1:40">
      <c r="A113" s="198">
        <v>2469</v>
      </c>
      <c r="B113" s="2">
        <v>103395</v>
      </c>
      <c r="C113" s="2" t="s">
        <v>249</v>
      </c>
      <c r="D113" s="2" t="s">
        <v>250</v>
      </c>
      <c r="E113" s="190" t="s">
        <v>39</v>
      </c>
      <c r="F113" s="211" t="str">
        <f>VLOOKUP(A113,'Summary June 2026'!A:F,6,FALSE)</f>
        <v>Chq Bk</v>
      </c>
      <c r="G113" s="33"/>
      <c r="H113" s="790">
        <v>0</v>
      </c>
      <c r="I113" s="790">
        <v>0</v>
      </c>
      <c r="J113" s="790">
        <v>93842.25</v>
      </c>
      <c r="L113" s="791">
        <v>0</v>
      </c>
      <c r="M113" s="791">
        <v>0</v>
      </c>
      <c r="O113" s="875">
        <v>-10680.402500000002</v>
      </c>
      <c r="P113" s="875">
        <v>0</v>
      </c>
      <c r="Q113" s="877">
        <v>0</v>
      </c>
      <c r="R113" s="890"/>
      <c r="AI113" s="797">
        <f t="shared" si="6"/>
        <v>83161.847500000003</v>
      </c>
      <c r="AK113" s="795">
        <f t="shared" si="9"/>
        <v>0</v>
      </c>
      <c r="AL113" s="795">
        <f t="shared" si="9"/>
        <v>0</v>
      </c>
      <c r="AM113" s="795">
        <f t="shared" si="9"/>
        <v>93842.25</v>
      </c>
      <c r="AN113" s="278">
        <f t="shared" si="7"/>
        <v>10680.402499999997</v>
      </c>
    </row>
    <row r="114" spans="1:40">
      <c r="A114" s="198">
        <v>1028</v>
      </c>
      <c r="B114" s="2">
        <v>103141</v>
      </c>
      <c r="C114" s="2" t="s">
        <v>251</v>
      </c>
      <c r="D114" s="2" t="s">
        <v>252</v>
      </c>
      <c r="E114" s="190" t="s">
        <v>36</v>
      </c>
      <c r="F114" s="211" t="str">
        <f>VLOOKUP(A114,'Summary June 2026'!A:F,6,FALSE)</f>
        <v>Chq Bk</v>
      </c>
      <c r="G114" s="33"/>
      <c r="H114" s="790">
        <v>0</v>
      </c>
      <c r="I114" s="790">
        <v>0</v>
      </c>
      <c r="J114" s="790">
        <v>21197</v>
      </c>
      <c r="L114" s="791">
        <v>0</v>
      </c>
      <c r="M114" s="791">
        <v>0</v>
      </c>
      <c r="O114" s="875">
        <v>-1448.5833333333333</v>
      </c>
      <c r="P114" s="875">
        <v>0</v>
      </c>
      <c r="Q114" s="877">
        <v>0</v>
      </c>
      <c r="R114" s="890"/>
      <c r="AI114" s="797">
        <f t="shared" si="6"/>
        <v>19748.416666666668</v>
      </c>
      <c r="AK114" s="795">
        <f t="shared" si="9"/>
        <v>0</v>
      </c>
      <c r="AL114" s="795">
        <f t="shared" si="9"/>
        <v>0</v>
      </c>
      <c r="AM114" s="795">
        <f t="shared" si="9"/>
        <v>21197</v>
      </c>
      <c r="AN114" s="278">
        <f t="shared" si="7"/>
        <v>1448.5833333333321</v>
      </c>
    </row>
    <row r="115" spans="1:40">
      <c r="A115" s="198">
        <v>1049</v>
      </c>
      <c r="B115" s="2">
        <v>103145</v>
      </c>
      <c r="C115" s="2" t="s">
        <v>253</v>
      </c>
      <c r="D115" s="2" t="s">
        <v>254</v>
      </c>
      <c r="E115" s="190" t="s">
        <v>36</v>
      </c>
      <c r="F115" s="211" t="str">
        <f>VLOOKUP(A115,'Summary June 2026'!A:F,6,FALSE)</f>
        <v>Chq Bk</v>
      </c>
      <c r="G115" s="33"/>
      <c r="H115" s="790">
        <v>0</v>
      </c>
      <c r="I115" s="790">
        <v>0</v>
      </c>
      <c r="J115" s="790">
        <v>10875.83</v>
      </c>
      <c r="L115" s="791">
        <v>0</v>
      </c>
      <c r="M115" s="791">
        <v>0</v>
      </c>
      <c r="O115" s="875">
        <v>-2596.0141666666664</v>
      </c>
      <c r="P115" s="875">
        <v>0</v>
      </c>
      <c r="Q115" s="877">
        <v>0</v>
      </c>
      <c r="R115" s="890"/>
      <c r="AI115" s="797">
        <f t="shared" si="6"/>
        <v>8279.815833333334</v>
      </c>
      <c r="AK115" s="795">
        <f t="shared" si="9"/>
        <v>0</v>
      </c>
      <c r="AL115" s="795">
        <f t="shared" si="9"/>
        <v>0</v>
      </c>
      <c r="AM115" s="795">
        <f t="shared" si="9"/>
        <v>10875.83</v>
      </c>
      <c r="AN115" s="278">
        <f t="shared" si="7"/>
        <v>2596.0141666666659</v>
      </c>
    </row>
    <row r="116" spans="1:40">
      <c r="A116" s="198">
        <v>3351</v>
      </c>
      <c r="B116" s="2">
        <v>103443</v>
      </c>
      <c r="C116" s="2" t="s">
        <v>255</v>
      </c>
      <c r="D116" s="2" t="s">
        <v>256</v>
      </c>
      <c r="E116" s="190" t="s">
        <v>39</v>
      </c>
      <c r="F116" s="211" t="str">
        <f>VLOOKUP(A116,'Summary June 2026'!A:F,6,FALSE)</f>
        <v>Chq Bk</v>
      </c>
      <c r="G116" s="33"/>
      <c r="H116" s="790">
        <v>0</v>
      </c>
      <c r="I116" s="790">
        <v>0</v>
      </c>
      <c r="J116" s="790">
        <v>43566.25</v>
      </c>
      <c r="L116" s="791">
        <v>0</v>
      </c>
      <c r="M116" s="791">
        <v>0</v>
      </c>
      <c r="O116" s="875">
        <v>-3484.0766666666664</v>
      </c>
      <c r="P116" s="875">
        <v>0</v>
      </c>
      <c r="Q116" s="877">
        <v>0</v>
      </c>
      <c r="R116" s="890"/>
      <c r="AI116" s="797">
        <f t="shared" si="6"/>
        <v>40082.173333333332</v>
      </c>
      <c r="AK116" s="795">
        <f t="shared" si="9"/>
        <v>0</v>
      </c>
      <c r="AL116" s="795">
        <f t="shared" si="9"/>
        <v>0</v>
      </c>
      <c r="AM116" s="795">
        <f t="shared" si="9"/>
        <v>43566.25</v>
      </c>
      <c r="AN116" s="278">
        <f t="shared" si="7"/>
        <v>3484.0766666666677</v>
      </c>
    </row>
    <row r="117" spans="1:40">
      <c r="A117" s="198">
        <v>3328</v>
      </c>
      <c r="B117" s="2">
        <v>103430</v>
      </c>
      <c r="C117" s="2" t="s">
        <v>257</v>
      </c>
      <c r="D117" s="2" t="s">
        <v>258</v>
      </c>
      <c r="E117" s="190" t="s">
        <v>39</v>
      </c>
      <c r="F117" s="211" t="str">
        <f>VLOOKUP(A117,'Summary June 2026'!A:F,6,FALSE)</f>
        <v>Chq Bk</v>
      </c>
      <c r="G117" s="33"/>
      <c r="H117" s="790">
        <v>0</v>
      </c>
      <c r="I117" s="790">
        <v>0</v>
      </c>
      <c r="J117" s="790">
        <v>45678.09</v>
      </c>
      <c r="L117" s="791">
        <v>0</v>
      </c>
      <c r="M117" s="791">
        <v>0</v>
      </c>
      <c r="O117" s="875">
        <v>-8085.2358333333323</v>
      </c>
      <c r="P117" s="875">
        <v>0</v>
      </c>
      <c r="Q117" s="877">
        <v>0</v>
      </c>
      <c r="R117" s="890"/>
      <c r="AI117" s="797">
        <f t="shared" si="6"/>
        <v>37592.854166666664</v>
      </c>
      <c r="AK117" s="795">
        <f t="shared" si="9"/>
        <v>0</v>
      </c>
      <c r="AL117" s="795">
        <f t="shared" si="9"/>
        <v>0</v>
      </c>
      <c r="AM117" s="795">
        <f t="shared" si="9"/>
        <v>45678.09</v>
      </c>
      <c r="AN117" s="278">
        <f t="shared" si="7"/>
        <v>8085.2358333333323</v>
      </c>
    </row>
    <row r="118" spans="1:40">
      <c r="A118" s="198">
        <v>2150</v>
      </c>
      <c r="B118" s="2">
        <v>103241</v>
      </c>
      <c r="C118" s="2" t="s">
        <v>259</v>
      </c>
      <c r="D118" s="2" t="s">
        <v>260</v>
      </c>
      <c r="E118" s="190" t="s">
        <v>39</v>
      </c>
      <c r="F118" s="211" t="str">
        <f>VLOOKUP(A118,'Summary June 2026'!A:F,6,FALSE)</f>
        <v>Chq Bk</v>
      </c>
      <c r="G118" s="33"/>
      <c r="H118" s="790">
        <v>0</v>
      </c>
      <c r="I118" s="790">
        <v>0</v>
      </c>
      <c r="J118" s="790">
        <v>72754.83</v>
      </c>
      <c r="L118" s="791">
        <v>0</v>
      </c>
      <c r="M118" s="791">
        <v>0</v>
      </c>
      <c r="O118" s="875">
        <v>-4503.666666666667</v>
      </c>
      <c r="P118" s="875">
        <v>0</v>
      </c>
      <c r="Q118" s="877">
        <v>0</v>
      </c>
      <c r="R118" s="890"/>
      <c r="AI118" s="797">
        <f t="shared" si="6"/>
        <v>68251.16333333333</v>
      </c>
      <c r="AK118" s="795">
        <f t="shared" si="9"/>
        <v>0</v>
      </c>
      <c r="AL118" s="795">
        <f t="shared" si="9"/>
        <v>0</v>
      </c>
      <c r="AM118" s="795">
        <f t="shared" si="9"/>
        <v>72754.83</v>
      </c>
      <c r="AN118" s="278">
        <f t="shared" si="7"/>
        <v>4503.6666666666715</v>
      </c>
    </row>
    <row r="119" spans="1:40">
      <c r="A119" s="198">
        <v>2425</v>
      </c>
      <c r="B119" s="2">
        <v>103356</v>
      </c>
      <c r="C119" s="2" t="s">
        <v>261</v>
      </c>
      <c r="D119" s="2" t="s">
        <v>262</v>
      </c>
      <c r="E119" s="190" t="s">
        <v>39</v>
      </c>
      <c r="F119" s="211" t="str">
        <f>VLOOKUP(A119,'Summary June 2026'!A:F,6,FALSE)</f>
        <v>Chq Bk</v>
      </c>
      <c r="G119" s="33"/>
      <c r="H119" s="790">
        <v>0</v>
      </c>
      <c r="I119" s="790">
        <v>0</v>
      </c>
      <c r="J119" s="790">
        <v>47252</v>
      </c>
      <c r="L119" s="791">
        <v>0</v>
      </c>
      <c r="M119" s="791">
        <v>0</v>
      </c>
      <c r="O119" s="875">
        <v>-1415.25</v>
      </c>
      <c r="P119" s="875">
        <v>0</v>
      </c>
      <c r="Q119" s="877">
        <v>0</v>
      </c>
      <c r="R119" s="890"/>
      <c r="AI119" s="797">
        <f t="shared" si="6"/>
        <v>45836.75</v>
      </c>
      <c r="AK119" s="795">
        <f t="shared" si="9"/>
        <v>0</v>
      </c>
      <c r="AL119" s="795">
        <f t="shared" si="9"/>
        <v>0</v>
      </c>
      <c r="AM119" s="795">
        <f t="shared" si="9"/>
        <v>47252</v>
      </c>
      <c r="AN119" s="278">
        <f t="shared" si="7"/>
        <v>1415.25</v>
      </c>
    </row>
    <row r="120" spans="1:40">
      <c r="A120" s="198">
        <v>1008</v>
      </c>
      <c r="B120" s="2">
        <v>103123</v>
      </c>
      <c r="C120" s="2" t="s">
        <v>263</v>
      </c>
      <c r="D120" s="2" t="s">
        <v>264</v>
      </c>
      <c r="E120" s="190" t="s">
        <v>36</v>
      </c>
      <c r="F120" s="211" t="str">
        <f>VLOOKUP(A120,'Summary June 2026'!A:F,6,FALSE)</f>
        <v>Chq Bk</v>
      </c>
      <c r="G120" s="33"/>
      <c r="H120" s="790">
        <v>0</v>
      </c>
      <c r="I120" s="790">
        <v>0</v>
      </c>
      <c r="J120" s="790">
        <v>0</v>
      </c>
      <c r="L120" s="791">
        <v>0</v>
      </c>
      <c r="M120" s="791">
        <v>0</v>
      </c>
      <c r="O120" s="875">
        <v>0</v>
      </c>
      <c r="P120" s="875">
        <v>0</v>
      </c>
      <c r="Q120" s="877">
        <v>0</v>
      </c>
      <c r="R120" s="890"/>
      <c r="AI120" s="797">
        <f t="shared" si="6"/>
        <v>0</v>
      </c>
      <c r="AK120" s="795">
        <f t="shared" si="9"/>
        <v>0</v>
      </c>
      <c r="AL120" s="795">
        <f t="shared" si="9"/>
        <v>0</v>
      </c>
      <c r="AM120" s="795">
        <f t="shared" si="9"/>
        <v>0</v>
      </c>
      <c r="AN120" s="278">
        <f t="shared" si="7"/>
        <v>0</v>
      </c>
    </row>
    <row r="121" spans="1:40">
      <c r="A121" s="198">
        <v>7034</v>
      </c>
      <c r="B121" s="2">
        <v>103614</v>
      </c>
      <c r="C121" s="2" t="s">
        <v>265</v>
      </c>
      <c r="D121" s="2" t="s">
        <v>266</v>
      </c>
      <c r="E121" s="190" t="s">
        <v>56</v>
      </c>
      <c r="F121" s="211" t="str">
        <f>VLOOKUP(A121,'Summary June 2026'!A:F,6,FALSE)</f>
        <v>Chq Bk</v>
      </c>
      <c r="G121" s="33"/>
      <c r="H121" s="790">
        <v>690000</v>
      </c>
      <c r="I121" s="790">
        <v>210000</v>
      </c>
      <c r="J121" s="790">
        <v>1574504.1400000001</v>
      </c>
      <c r="L121" s="791">
        <v>0</v>
      </c>
      <c r="M121" s="791">
        <v>0</v>
      </c>
      <c r="O121" s="875">
        <v>0</v>
      </c>
      <c r="P121" s="875">
        <v>0</v>
      </c>
      <c r="Q121" s="877">
        <v>0</v>
      </c>
      <c r="R121" s="890"/>
      <c r="AI121" s="797">
        <f t="shared" si="6"/>
        <v>2474504.14</v>
      </c>
      <c r="AK121" s="795">
        <f t="shared" si="9"/>
        <v>690000</v>
      </c>
      <c r="AL121" s="795">
        <f t="shared" si="9"/>
        <v>210000</v>
      </c>
      <c r="AM121" s="795">
        <f t="shared" si="9"/>
        <v>1574504.1400000001</v>
      </c>
      <c r="AN121" s="278">
        <f t="shared" si="7"/>
        <v>0</v>
      </c>
    </row>
    <row r="122" spans="1:40">
      <c r="A122" s="198">
        <v>4173</v>
      </c>
      <c r="B122" s="2">
        <v>103497</v>
      </c>
      <c r="C122" s="2" t="s">
        <v>267</v>
      </c>
      <c r="D122" s="2" t="s">
        <v>268</v>
      </c>
      <c r="E122" s="190" t="s">
        <v>71</v>
      </c>
      <c r="F122" s="211" t="str">
        <f>VLOOKUP(A122,'Summary June 2026'!A:F,6,FALSE)</f>
        <v>Chq Bk</v>
      </c>
      <c r="G122" s="33"/>
      <c r="H122" s="790">
        <v>0</v>
      </c>
      <c r="I122" s="790">
        <v>0</v>
      </c>
      <c r="J122" s="790">
        <v>238031.67</v>
      </c>
      <c r="L122" s="791">
        <v>0</v>
      </c>
      <c r="M122" s="791">
        <v>0</v>
      </c>
      <c r="O122" s="875">
        <v>-13700.735833333332</v>
      </c>
      <c r="P122" s="875">
        <v>0</v>
      </c>
      <c r="Q122" s="877">
        <v>0</v>
      </c>
      <c r="R122" s="890"/>
      <c r="AI122" s="797">
        <f t="shared" si="6"/>
        <v>224330.93416666667</v>
      </c>
      <c r="AK122" s="795">
        <f t="shared" si="9"/>
        <v>0</v>
      </c>
      <c r="AL122" s="795">
        <f t="shared" si="9"/>
        <v>0</v>
      </c>
      <c r="AM122" s="795">
        <f t="shared" si="9"/>
        <v>238031.67</v>
      </c>
      <c r="AN122" s="278">
        <f t="shared" si="7"/>
        <v>13700.73583333334</v>
      </c>
    </row>
    <row r="123" spans="1:40">
      <c r="A123" s="198">
        <v>2157</v>
      </c>
      <c r="B123" s="2">
        <v>103246</v>
      </c>
      <c r="C123" s="2" t="s">
        <v>269</v>
      </c>
      <c r="D123" s="2" t="s">
        <v>270</v>
      </c>
      <c r="E123" s="190" t="s">
        <v>39</v>
      </c>
      <c r="F123" s="211" t="str">
        <f>VLOOKUP(A123,'Summary June 2026'!A:F,6,FALSE)</f>
        <v>Chq Bk</v>
      </c>
      <c r="G123" s="33"/>
      <c r="H123" s="790">
        <v>0</v>
      </c>
      <c r="I123" s="790">
        <v>0</v>
      </c>
      <c r="J123" s="790">
        <v>20072.830000000002</v>
      </c>
      <c r="L123" s="791">
        <v>0</v>
      </c>
      <c r="M123" s="791">
        <v>0</v>
      </c>
      <c r="O123" s="875">
        <v>-2851.0416666666665</v>
      </c>
      <c r="P123" s="875">
        <v>0</v>
      </c>
      <c r="Q123" s="877">
        <v>0</v>
      </c>
      <c r="R123" s="890"/>
      <c r="AI123" s="797">
        <f t="shared" si="6"/>
        <v>17221.788333333334</v>
      </c>
      <c r="AK123" s="795">
        <f t="shared" si="9"/>
        <v>0</v>
      </c>
      <c r="AL123" s="795">
        <f t="shared" si="9"/>
        <v>0</v>
      </c>
      <c r="AM123" s="795">
        <f t="shared" si="9"/>
        <v>20072.830000000002</v>
      </c>
      <c r="AN123" s="278">
        <f t="shared" si="7"/>
        <v>2851.0416666666679</v>
      </c>
    </row>
    <row r="124" spans="1:40">
      <c r="A124" s="198">
        <v>2159</v>
      </c>
      <c r="B124" s="2">
        <v>103247</v>
      </c>
      <c r="C124" s="2" t="s">
        <v>271</v>
      </c>
      <c r="D124" s="2" t="s">
        <v>272</v>
      </c>
      <c r="E124" s="190" t="s">
        <v>39</v>
      </c>
      <c r="F124" s="211" t="str">
        <f>VLOOKUP(A124,'Summary June 2026'!A:F,6,FALSE)</f>
        <v>Chq Bk</v>
      </c>
      <c r="G124" s="33"/>
      <c r="H124" s="790">
        <v>0</v>
      </c>
      <c r="I124" s="790">
        <v>0</v>
      </c>
      <c r="J124" s="790">
        <v>39921.839999999997</v>
      </c>
      <c r="L124" s="791">
        <v>0</v>
      </c>
      <c r="M124" s="791">
        <v>0</v>
      </c>
      <c r="O124" s="875">
        <v>-6158.1941666666671</v>
      </c>
      <c r="P124" s="875">
        <v>0</v>
      </c>
      <c r="Q124" s="877">
        <v>0</v>
      </c>
      <c r="R124" s="890"/>
      <c r="AI124" s="797">
        <f t="shared" si="6"/>
        <v>33763.645833333328</v>
      </c>
      <c r="AK124" s="795">
        <f t="shared" si="9"/>
        <v>0</v>
      </c>
      <c r="AL124" s="795">
        <f t="shared" si="9"/>
        <v>0</v>
      </c>
      <c r="AM124" s="795">
        <f t="shared" si="9"/>
        <v>39921.839999999997</v>
      </c>
      <c r="AN124" s="278">
        <f t="shared" si="7"/>
        <v>6158.194166666668</v>
      </c>
    </row>
    <row r="125" spans="1:40">
      <c r="A125" s="198">
        <v>2161</v>
      </c>
      <c r="B125" s="2">
        <v>103249</v>
      </c>
      <c r="C125" s="2" t="s">
        <v>273</v>
      </c>
      <c r="D125" s="2" t="s">
        <v>274</v>
      </c>
      <c r="E125" s="190" t="s">
        <v>39</v>
      </c>
      <c r="F125" s="211" t="str">
        <f>VLOOKUP(A125,'Summary June 2026'!A:F,6,FALSE)</f>
        <v>Chq Bk</v>
      </c>
      <c r="G125" s="33"/>
      <c r="H125" s="790">
        <v>0</v>
      </c>
      <c r="I125" s="790">
        <v>0</v>
      </c>
      <c r="J125" s="790">
        <v>92928.42</v>
      </c>
      <c r="L125" s="791">
        <v>0</v>
      </c>
      <c r="M125" s="791">
        <v>0</v>
      </c>
      <c r="O125" s="875">
        <v>-4335.3258333333351</v>
      </c>
      <c r="P125" s="875">
        <v>0</v>
      </c>
      <c r="Q125" s="877">
        <v>0</v>
      </c>
      <c r="R125" s="890"/>
      <c r="AI125" s="797">
        <f t="shared" si="6"/>
        <v>88593.094166666662</v>
      </c>
      <c r="AK125" s="795">
        <f t="shared" si="9"/>
        <v>0</v>
      </c>
      <c r="AL125" s="795">
        <f t="shared" si="9"/>
        <v>0</v>
      </c>
      <c r="AM125" s="795">
        <f t="shared" si="9"/>
        <v>92928.42</v>
      </c>
      <c r="AN125" s="278">
        <f t="shared" si="7"/>
        <v>4335.325833333336</v>
      </c>
    </row>
    <row r="126" spans="1:40">
      <c r="A126" s="198">
        <v>2160</v>
      </c>
      <c r="B126" s="2">
        <v>103248</v>
      </c>
      <c r="C126" s="2" t="s">
        <v>275</v>
      </c>
      <c r="D126" s="2" t="s">
        <v>276</v>
      </c>
      <c r="E126" s="190" t="s">
        <v>39</v>
      </c>
      <c r="F126" s="211" t="str">
        <f>VLOOKUP(A126,'Summary June 2026'!A:F,6,FALSE)</f>
        <v>Chq Bk</v>
      </c>
      <c r="G126" s="33"/>
      <c r="H126" s="790">
        <v>0</v>
      </c>
      <c r="I126" s="790">
        <v>0</v>
      </c>
      <c r="J126" s="790">
        <v>32117.5</v>
      </c>
      <c r="L126" s="791">
        <v>0</v>
      </c>
      <c r="M126" s="791">
        <v>0</v>
      </c>
      <c r="O126" s="875">
        <v>-3498.0550000000003</v>
      </c>
      <c r="P126" s="875">
        <v>0</v>
      </c>
      <c r="Q126" s="877">
        <v>0</v>
      </c>
      <c r="R126" s="890"/>
      <c r="AI126" s="797">
        <f t="shared" si="6"/>
        <v>28619.445</v>
      </c>
      <c r="AK126" s="795">
        <f t="shared" si="9"/>
        <v>0</v>
      </c>
      <c r="AL126" s="795">
        <f t="shared" si="9"/>
        <v>0</v>
      </c>
      <c r="AM126" s="795">
        <f t="shared" si="9"/>
        <v>32117.5</v>
      </c>
      <c r="AN126" s="278">
        <f t="shared" si="7"/>
        <v>3498.0550000000003</v>
      </c>
    </row>
    <row r="127" spans="1:40">
      <c r="A127" s="198">
        <v>2063</v>
      </c>
      <c r="B127" s="2">
        <v>103193</v>
      </c>
      <c r="C127" s="2" t="s">
        <v>277</v>
      </c>
      <c r="D127" s="2" t="s">
        <v>278</v>
      </c>
      <c r="E127" s="190" t="s">
        <v>39</v>
      </c>
      <c r="F127" s="211" t="str">
        <f>VLOOKUP(A127,'Summary June 2026'!A:F,6,FALSE)</f>
        <v>Chq Bk</v>
      </c>
      <c r="G127" s="33"/>
      <c r="H127" s="790">
        <v>0</v>
      </c>
      <c r="I127" s="790">
        <v>0</v>
      </c>
      <c r="J127" s="790">
        <v>43496</v>
      </c>
      <c r="L127" s="791">
        <v>0</v>
      </c>
      <c r="M127" s="791">
        <v>0</v>
      </c>
      <c r="O127" s="875">
        <v>-7605.458333333333</v>
      </c>
      <c r="P127" s="875">
        <v>0</v>
      </c>
      <c r="Q127" s="877">
        <v>0</v>
      </c>
      <c r="R127" s="890"/>
      <c r="AI127" s="797">
        <f t="shared" si="6"/>
        <v>35890.541666666664</v>
      </c>
      <c r="AK127" s="795">
        <f t="shared" si="9"/>
        <v>0</v>
      </c>
      <c r="AL127" s="795">
        <f t="shared" si="9"/>
        <v>0</v>
      </c>
      <c r="AM127" s="795">
        <f t="shared" si="9"/>
        <v>43496</v>
      </c>
      <c r="AN127" s="278">
        <f t="shared" si="7"/>
        <v>7605.4583333333358</v>
      </c>
    </row>
    <row r="128" spans="1:40">
      <c r="A128" s="198">
        <v>1018</v>
      </c>
      <c r="B128" s="2">
        <v>103131</v>
      </c>
      <c r="C128" s="2" t="s">
        <v>279</v>
      </c>
      <c r="D128" s="2" t="s">
        <v>280</v>
      </c>
      <c r="E128" s="190" t="s">
        <v>36</v>
      </c>
      <c r="F128" s="211" t="str">
        <f>VLOOKUP(A128,'Summary June 2026'!A:F,6,FALSE)</f>
        <v>Chq Bk</v>
      </c>
      <c r="G128" s="33"/>
      <c r="H128" s="790">
        <v>0</v>
      </c>
      <c r="I128" s="790">
        <v>0</v>
      </c>
      <c r="J128" s="790">
        <v>0</v>
      </c>
      <c r="L128" s="791">
        <v>0</v>
      </c>
      <c r="M128" s="791">
        <v>0</v>
      </c>
      <c r="O128" s="875">
        <v>-3830.1666666666665</v>
      </c>
      <c r="P128" s="875">
        <v>0</v>
      </c>
      <c r="Q128" s="877">
        <v>0</v>
      </c>
      <c r="R128" s="890"/>
      <c r="AI128" s="797">
        <f t="shared" si="6"/>
        <v>-3830.1666666666665</v>
      </c>
      <c r="AK128" s="795">
        <f t="shared" ref="AK128:AM147" si="10">SUMIFS($H128:$AG128,$H$3:$AG$3,AK$7)</f>
        <v>0</v>
      </c>
      <c r="AL128" s="795">
        <f t="shared" si="10"/>
        <v>0</v>
      </c>
      <c r="AM128" s="795">
        <f t="shared" si="10"/>
        <v>0</v>
      </c>
      <c r="AN128" s="278">
        <f t="shared" si="7"/>
        <v>3830.1666666666665</v>
      </c>
    </row>
    <row r="129" spans="1:40">
      <c r="A129" s="198">
        <v>1000</v>
      </c>
      <c r="B129" s="2">
        <v>137796</v>
      </c>
      <c r="C129" s="2" t="s">
        <v>281</v>
      </c>
      <c r="D129" s="2" t="s">
        <v>282</v>
      </c>
      <c r="E129" s="190" t="s">
        <v>36</v>
      </c>
      <c r="F129" s="211" t="str">
        <f>VLOOKUP(A129,'Summary June 2026'!A:F,6,FALSE)</f>
        <v>Chq Bk</v>
      </c>
      <c r="G129" s="33"/>
      <c r="H129" s="790">
        <v>0</v>
      </c>
      <c r="I129" s="790">
        <v>0</v>
      </c>
      <c r="J129" s="790">
        <v>0</v>
      </c>
      <c r="L129" s="791">
        <v>0</v>
      </c>
      <c r="M129" s="791">
        <v>0</v>
      </c>
      <c r="O129" s="875">
        <v>-1651.25</v>
      </c>
      <c r="P129" s="875">
        <v>0</v>
      </c>
      <c r="Q129" s="877">
        <v>0</v>
      </c>
      <c r="R129" s="890"/>
      <c r="AI129" s="797">
        <f t="shared" si="6"/>
        <v>-1651.25</v>
      </c>
      <c r="AK129" s="795">
        <f t="shared" si="10"/>
        <v>0</v>
      </c>
      <c r="AL129" s="795">
        <f t="shared" si="10"/>
        <v>0</v>
      </c>
      <c r="AM129" s="795">
        <f t="shared" si="10"/>
        <v>0</v>
      </c>
      <c r="AN129" s="278">
        <f t="shared" si="7"/>
        <v>1651.25</v>
      </c>
    </row>
    <row r="130" spans="1:40">
      <c r="A130" s="198">
        <v>7033</v>
      </c>
      <c r="B130" s="2">
        <v>103613</v>
      </c>
      <c r="C130" s="2" t="s">
        <v>283</v>
      </c>
      <c r="D130" s="2" t="s">
        <v>284</v>
      </c>
      <c r="E130" s="190" t="s">
        <v>56</v>
      </c>
      <c r="F130" s="211" t="str">
        <f>VLOOKUP(A130,'Summary June 2026'!A:F,6,FALSE)</f>
        <v>Chq Bk</v>
      </c>
      <c r="G130" s="33"/>
      <c r="H130" s="790">
        <v>2880000</v>
      </c>
      <c r="I130" s="790">
        <v>1070000</v>
      </c>
      <c r="J130" s="790">
        <v>4491190.1100000003</v>
      </c>
      <c r="L130" s="791">
        <v>0</v>
      </c>
      <c r="M130" s="791">
        <v>0</v>
      </c>
      <c r="O130" s="875">
        <v>0</v>
      </c>
      <c r="P130" s="875">
        <v>0</v>
      </c>
      <c r="Q130" s="877">
        <v>0</v>
      </c>
      <c r="R130" s="890">
        <v>56107</v>
      </c>
      <c r="AI130" s="797">
        <f t="shared" si="6"/>
        <v>8497297.1099999994</v>
      </c>
      <c r="AK130" s="795">
        <f t="shared" si="10"/>
        <v>2880000</v>
      </c>
      <c r="AL130" s="795">
        <f t="shared" si="10"/>
        <v>1070000</v>
      </c>
      <c r="AM130" s="795">
        <f t="shared" si="10"/>
        <v>4547297.1100000003</v>
      </c>
      <c r="AN130" s="278">
        <f t="shared" si="7"/>
        <v>0</v>
      </c>
    </row>
    <row r="131" spans="1:40">
      <c r="A131" s="198">
        <v>4177</v>
      </c>
      <c r="B131" s="2">
        <v>103498</v>
      </c>
      <c r="C131" s="2" t="s">
        <v>285</v>
      </c>
      <c r="D131" s="2" t="s">
        <v>286</v>
      </c>
      <c r="E131" s="190" t="s">
        <v>71</v>
      </c>
      <c r="F131" s="211" t="str">
        <f>VLOOKUP(A131,'Summary June 2026'!A:F,6,FALSE)</f>
        <v>Chq Bk</v>
      </c>
      <c r="G131" s="33"/>
      <c r="H131" s="790">
        <v>0</v>
      </c>
      <c r="I131" s="790">
        <v>0</v>
      </c>
      <c r="J131" s="790">
        <v>91343.33</v>
      </c>
      <c r="L131" s="791">
        <v>0</v>
      </c>
      <c r="M131" s="791">
        <v>0</v>
      </c>
      <c r="O131" s="875">
        <v>-3552.3474999999999</v>
      </c>
      <c r="P131" s="875">
        <v>0</v>
      </c>
      <c r="Q131" s="877">
        <v>0</v>
      </c>
      <c r="R131" s="890"/>
      <c r="AI131" s="797">
        <f t="shared" si="6"/>
        <v>87790.982499999998</v>
      </c>
      <c r="AK131" s="795">
        <f t="shared" si="10"/>
        <v>0</v>
      </c>
      <c r="AL131" s="795">
        <f t="shared" si="10"/>
        <v>0</v>
      </c>
      <c r="AM131" s="795">
        <f t="shared" si="10"/>
        <v>91343.33</v>
      </c>
      <c r="AN131" s="278">
        <f t="shared" si="7"/>
        <v>3552.3475000000035</v>
      </c>
    </row>
    <row r="132" spans="1:40">
      <c r="A132" s="198">
        <v>2169</v>
      </c>
      <c r="B132" s="2">
        <v>103252</v>
      </c>
      <c r="C132" s="2" t="s">
        <v>287</v>
      </c>
      <c r="D132" s="2" t="s">
        <v>288</v>
      </c>
      <c r="E132" s="190" t="s">
        <v>39</v>
      </c>
      <c r="F132" s="211" t="str">
        <f>VLOOKUP(A132,'Summary June 2026'!A:F,6,FALSE)</f>
        <v>Chq Bk</v>
      </c>
      <c r="G132" s="33"/>
      <c r="H132" s="790">
        <v>0</v>
      </c>
      <c r="I132" s="790">
        <v>0</v>
      </c>
      <c r="J132" s="790">
        <v>8306</v>
      </c>
      <c r="L132" s="791">
        <v>0</v>
      </c>
      <c r="M132" s="791">
        <v>0</v>
      </c>
      <c r="O132" s="875">
        <v>507.58333333333331</v>
      </c>
      <c r="P132" s="875">
        <v>0</v>
      </c>
      <c r="Q132" s="877">
        <v>0</v>
      </c>
      <c r="R132" s="890"/>
      <c r="AI132" s="797">
        <f t="shared" si="6"/>
        <v>8813.5833333333339</v>
      </c>
      <c r="AK132" s="795">
        <f t="shared" si="10"/>
        <v>0</v>
      </c>
      <c r="AL132" s="795">
        <f t="shared" si="10"/>
        <v>0</v>
      </c>
      <c r="AM132" s="795">
        <f t="shared" si="10"/>
        <v>8306</v>
      </c>
      <c r="AN132" s="278">
        <f t="shared" si="7"/>
        <v>-507.58333333333394</v>
      </c>
    </row>
    <row r="133" spans="1:40">
      <c r="A133" s="198">
        <v>2008</v>
      </c>
      <c r="B133" s="2">
        <v>103157</v>
      </c>
      <c r="C133" s="2" t="s">
        <v>289</v>
      </c>
      <c r="D133" s="2" t="s">
        <v>290</v>
      </c>
      <c r="E133" s="190" t="s">
        <v>39</v>
      </c>
      <c r="F133" s="211" t="str">
        <f>VLOOKUP(A133,'Summary June 2026'!A:F,6,FALSE)</f>
        <v>Chq Bk</v>
      </c>
      <c r="G133" s="33"/>
      <c r="H133" s="790">
        <v>0</v>
      </c>
      <c r="I133" s="790">
        <v>0</v>
      </c>
      <c r="J133" s="790">
        <v>78205.09</v>
      </c>
      <c r="L133" s="791">
        <v>0</v>
      </c>
      <c r="M133" s="791">
        <v>0</v>
      </c>
      <c r="O133" s="875">
        <v>-5918.9366666666683</v>
      </c>
      <c r="P133" s="875">
        <v>0</v>
      </c>
      <c r="Q133" s="877">
        <v>0</v>
      </c>
      <c r="R133" s="890"/>
      <c r="AI133" s="797">
        <f t="shared" si="6"/>
        <v>72286.153333333321</v>
      </c>
      <c r="AK133" s="795">
        <f t="shared" si="10"/>
        <v>0</v>
      </c>
      <c r="AL133" s="795">
        <f t="shared" si="10"/>
        <v>0</v>
      </c>
      <c r="AM133" s="795">
        <f t="shared" si="10"/>
        <v>78205.09</v>
      </c>
      <c r="AN133" s="278">
        <f t="shared" si="7"/>
        <v>5918.9366666666756</v>
      </c>
    </row>
    <row r="134" spans="1:40">
      <c r="A134" s="198">
        <v>1038</v>
      </c>
      <c r="B134" s="2">
        <v>103142</v>
      </c>
      <c r="C134" s="2" t="s">
        <v>291</v>
      </c>
      <c r="D134" s="2" t="s">
        <v>292</v>
      </c>
      <c r="E134" s="190" t="s">
        <v>36</v>
      </c>
      <c r="F134" s="211" t="str">
        <f>VLOOKUP(A134,'Summary June 2026'!A:F,6,FALSE)</f>
        <v>Chq Bk</v>
      </c>
      <c r="G134" s="33"/>
      <c r="H134" s="790">
        <v>0</v>
      </c>
      <c r="I134" s="790">
        <v>0</v>
      </c>
      <c r="J134" s="790">
        <v>9217.08</v>
      </c>
      <c r="L134" s="791">
        <v>0</v>
      </c>
      <c r="M134" s="791">
        <v>0</v>
      </c>
      <c r="O134" s="875">
        <v>-6817.0766666666668</v>
      </c>
      <c r="P134" s="875">
        <v>0</v>
      </c>
      <c r="Q134" s="877">
        <v>0</v>
      </c>
      <c r="R134" s="890"/>
      <c r="AI134" s="797">
        <f t="shared" si="6"/>
        <v>2400.0033333333331</v>
      </c>
      <c r="AK134" s="795">
        <f t="shared" si="10"/>
        <v>0</v>
      </c>
      <c r="AL134" s="795">
        <f t="shared" si="10"/>
        <v>0</v>
      </c>
      <c r="AM134" s="795">
        <f t="shared" si="10"/>
        <v>9217.08</v>
      </c>
      <c r="AN134" s="278">
        <f t="shared" si="7"/>
        <v>6817.0766666666668</v>
      </c>
    </row>
    <row r="135" spans="1:40">
      <c r="A135" s="198">
        <v>2174</v>
      </c>
      <c r="B135" s="2">
        <v>103255</v>
      </c>
      <c r="C135" s="2" t="s">
        <v>293</v>
      </c>
      <c r="D135" s="2" t="s">
        <v>294</v>
      </c>
      <c r="E135" s="190" t="s">
        <v>39</v>
      </c>
      <c r="F135" s="211" t="str">
        <f>VLOOKUP(A135,'Summary June 2026'!A:F,6,FALSE)</f>
        <v>Chq Bk</v>
      </c>
      <c r="G135" s="33"/>
      <c r="H135" s="790">
        <v>0</v>
      </c>
      <c r="I135" s="790">
        <v>0</v>
      </c>
      <c r="J135" s="790">
        <v>79985.33</v>
      </c>
      <c r="L135" s="791">
        <v>0</v>
      </c>
      <c r="M135" s="791">
        <v>0</v>
      </c>
      <c r="O135" s="875">
        <v>1461.0408333333337</v>
      </c>
      <c r="P135" s="875">
        <v>0</v>
      </c>
      <c r="Q135" s="877">
        <v>0</v>
      </c>
      <c r="R135" s="890"/>
      <c r="AI135" s="797">
        <f t="shared" si="6"/>
        <v>81446.370833333334</v>
      </c>
      <c r="AK135" s="795">
        <f t="shared" si="10"/>
        <v>0</v>
      </c>
      <c r="AL135" s="795">
        <f t="shared" si="10"/>
        <v>0</v>
      </c>
      <c r="AM135" s="795">
        <f t="shared" si="10"/>
        <v>79985.33</v>
      </c>
      <c r="AN135" s="278">
        <f t="shared" si="7"/>
        <v>-1461.0408333333326</v>
      </c>
    </row>
    <row r="136" spans="1:40">
      <c r="A136" s="198">
        <v>2176</v>
      </c>
      <c r="B136" s="2">
        <v>103256</v>
      </c>
      <c r="C136" s="2" t="s">
        <v>295</v>
      </c>
      <c r="D136" s="2" t="s">
        <v>296</v>
      </c>
      <c r="E136" s="190" t="s">
        <v>39</v>
      </c>
      <c r="F136" s="211" t="str">
        <f>VLOOKUP(A136,'Summary June 2026'!A:F,6,FALSE)</f>
        <v>Chq Bk</v>
      </c>
      <c r="G136" s="33"/>
      <c r="H136" s="790">
        <v>0</v>
      </c>
      <c r="I136" s="790">
        <v>0</v>
      </c>
      <c r="J136" s="790">
        <v>179299.75</v>
      </c>
      <c r="L136" s="791">
        <v>0</v>
      </c>
      <c r="M136" s="791">
        <v>0</v>
      </c>
      <c r="O136" s="875">
        <v>-15542.027500000002</v>
      </c>
      <c r="P136" s="875">
        <v>0</v>
      </c>
      <c r="Q136" s="877">
        <v>0</v>
      </c>
      <c r="R136" s="890"/>
      <c r="AI136" s="797">
        <f t="shared" si="6"/>
        <v>163757.7225</v>
      </c>
      <c r="AK136" s="795">
        <f t="shared" si="10"/>
        <v>0</v>
      </c>
      <c r="AL136" s="795">
        <f t="shared" si="10"/>
        <v>0</v>
      </c>
      <c r="AM136" s="795">
        <f t="shared" si="10"/>
        <v>179299.75</v>
      </c>
      <c r="AN136" s="278">
        <f t="shared" si="7"/>
        <v>15542.027499999997</v>
      </c>
    </row>
    <row r="137" spans="1:40">
      <c r="A137" s="198">
        <v>7047</v>
      </c>
      <c r="B137" s="2">
        <v>103623</v>
      </c>
      <c r="C137" s="2" t="s">
        <v>297</v>
      </c>
      <c r="D137" s="2" t="s">
        <v>298</v>
      </c>
      <c r="E137" s="190" t="s">
        <v>56</v>
      </c>
      <c r="F137" s="211" t="str">
        <f>VLOOKUP(A137,'Summary June 2026'!A:F,6,FALSE)</f>
        <v>Chq Bk</v>
      </c>
      <c r="G137" s="33"/>
      <c r="H137" s="790">
        <v>1150000</v>
      </c>
      <c r="I137" s="790">
        <v>0</v>
      </c>
      <c r="J137" s="790">
        <v>1908714.9</v>
      </c>
      <c r="L137" s="791">
        <v>0</v>
      </c>
      <c r="M137" s="791">
        <v>0</v>
      </c>
      <c r="O137" s="875">
        <v>0</v>
      </c>
      <c r="P137" s="875">
        <v>0</v>
      </c>
      <c r="Q137" s="877">
        <v>0</v>
      </c>
      <c r="R137" s="890"/>
      <c r="AI137" s="797">
        <f t="shared" ref="AI137:AI193" si="11">SUM(H137:AG137)</f>
        <v>3058714.9</v>
      </c>
      <c r="AK137" s="795">
        <f t="shared" si="10"/>
        <v>1150000</v>
      </c>
      <c r="AL137" s="795">
        <f t="shared" si="10"/>
        <v>0</v>
      </c>
      <c r="AM137" s="795">
        <f t="shared" si="10"/>
        <v>1908714.9</v>
      </c>
      <c r="AN137" s="278">
        <f t="shared" ref="AN137:AN193" si="12">SUM(AK137:AM137)-AI137</f>
        <v>0</v>
      </c>
    </row>
    <row r="138" spans="1:40">
      <c r="A138" s="198">
        <v>3410</v>
      </c>
      <c r="B138" s="2">
        <v>103478</v>
      </c>
      <c r="C138" s="2" t="s">
        <v>299</v>
      </c>
      <c r="D138" s="2" t="s">
        <v>300</v>
      </c>
      <c r="E138" s="190" t="s">
        <v>39</v>
      </c>
      <c r="F138" s="211" t="str">
        <f>VLOOKUP(A138,'Summary June 2026'!A:F,6,FALSE)</f>
        <v>Chq Bk</v>
      </c>
      <c r="G138" s="33"/>
      <c r="H138" s="790">
        <v>0</v>
      </c>
      <c r="I138" s="790">
        <v>0</v>
      </c>
      <c r="J138" s="790">
        <v>164665.59</v>
      </c>
      <c r="L138" s="791">
        <v>0</v>
      </c>
      <c r="M138" s="791">
        <v>0</v>
      </c>
      <c r="O138" s="875">
        <v>-6823.8950000000013</v>
      </c>
      <c r="P138" s="875">
        <v>0</v>
      </c>
      <c r="Q138" s="877">
        <v>0</v>
      </c>
      <c r="R138" s="890"/>
      <c r="AI138" s="797">
        <f t="shared" si="11"/>
        <v>157841.69500000001</v>
      </c>
      <c r="AK138" s="795">
        <f t="shared" si="10"/>
        <v>0</v>
      </c>
      <c r="AL138" s="795">
        <f t="shared" si="10"/>
        <v>0</v>
      </c>
      <c r="AM138" s="795">
        <f t="shared" si="10"/>
        <v>164665.59</v>
      </c>
      <c r="AN138" s="278">
        <f t="shared" si="12"/>
        <v>6823.8949999999895</v>
      </c>
    </row>
    <row r="139" spans="1:40">
      <c r="A139" s="198">
        <v>3381</v>
      </c>
      <c r="B139" s="2">
        <v>103466</v>
      </c>
      <c r="C139" s="2" t="s">
        <v>301</v>
      </c>
      <c r="D139" s="2" t="s">
        <v>302</v>
      </c>
      <c r="E139" s="190" t="s">
        <v>39</v>
      </c>
      <c r="F139" s="211" t="str">
        <f>VLOOKUP(A139,'Summary June 2026'!A:F,6,FALSE)</f>
        <v>Chq Bk</v>
      </c>
      <c r="G139" s="33"/>
      <c r="H139" s="790">
        <v>0</v>
      </c>
      <c r="I139" s="790">
        <v>0</v>
      </c>
      <c r="J139" s="790">
        <v>53055.25</v>
      </c>
      <c r="L139" s="791">
        <v>0</v>
      </c>
      <c r="M139" s="791">
        <v>0</v>
      </c>
      <c r="O139" s="875">
        <v>-96.229166666666671</v>
      </c>
      <c r="P139" s="875">
        <v>0</v>
      </c>
      <c r="Q139" s="877">
        <v>0</v>
      </c>
      <c r="R139" s="890"/>
      <c r="AI139" s="797">
        <f t="shared" si="11"/>
        <v>52959.020833333336</v>
      </c>
      <c r="AK139" s="795">
        <f t="shared" si="10"/>
        <v>0</v>
      </c>
      <c r="AL139" s="795">
        <f t="shared" si="10"/>
        <v>0</v>
      </c>
      <c r="AM139" s="795">
        <f t="shared" si="10"/>
        <v>53055.25</v>
      </c>
      <c r="AN139" s="278">
        <f t="shared" si="12"/>
        <v>96.229166666664241</v>
      </c>
    </row>
    <row r="140" spans="1:40">
      <c r="A140" s="198">
        <v>3335</v>
      </c>
      <c r="B140" s="2">
        <v>103434</v>
      </c>
      <c r="C140" s="2" t="s">
        <v>303</v>
      </c>
      <c r="D140" s="2" t="s">
        <v>304</v>
      </c>
      <c r="E140" s="190" t="s">
        <v>39</v>
      </c>
      <c r="F140" s="211" t="str">
        <f>VLOOKUP(A140,'Summary June 2026'!A:F,6,FALSE)</f>
        <v>Chq Bk</v>
      </c>
      <c r="G140" s="33"/>
      <c r="H140" s="790">
        <v>0</v>
      </c>
      <c r="I140" s="790">
        <v>0</v>
      </c>
      <c r="J140" s="790">
        <v>76839.83</v>
      </c>
      <c r="L140" s="791">
        <v>0</v>
      </c>
      <c r="M140" s="791">
        <v>0</v>
      </c>
      <c r="O140" s="875">
        <v>-3809.0558333333333</v>
      </c>
      <c r="P140" s="875">
        <v>0</v>
      </c>
      <c r="Q140" s="877">
        <v>0</v>
      </c>
      <c r="R140" s="890"/>
      <c r="AI140" s="797">
        <f t="shared" si="11"/>
        <v>73030.77416666667</v>
      </c>
      <c r="AK140" s="795">
        <f t="shared" si="10"/>
        <v>0</v>
      </c>
      <c r="AL140" s="795">
        <f t="shared" si="10"/>
        <v>0</v>
      </c>
      <c r="AM140" s="795">
        <f t="shared" si="10"/>
        <v>76839.83</v>
      </c>
      <c r="AN140" s="278">
        <f t="shared" si="12"/>
        <v>3809.055833333332</v>
      </c>
    </row>
    <row r="141" spans="1:40">
      <c r="A141" s="198">
        <v>2183</v>
      </c>
      <c r="B141" s="2">
        <v>103261</v>
      </c>
      <c r="C141" s="2" t="s">
        <v>305</v>
      </c>
      <c r="D141" s="2" t="s">
        <v>306</v>
      </c>
      <c r="E141" s="190" t="s">
        <v>39</v>
      </c>
      <c r="F141" s="211" t="str">
        <f>VLOOKUP(A141,'Summary June 2026'!A:F,6,FALSE)</f>
        <v>Chq Bk</v>
      </c>
      <c r="G141" s="33"/>
      <c r="H141" s="790">
        <v>0</v>
      </c>
      <c r="I141" s="790">
        <v>0</v>
      </c>
      <c r="J141" s="790">
        <v>0</v>
      </c>
      <c r="L141" s="791">
        <v>164000</v>
      </c>
      <c r="M141" s="791">
        <v>318827.32999999996</v>
      </c>
      <c r="O141" s="875">
        <v>0</v>
      </c>
      <c r="P141" s="875">
        <v>-1426.125</v>
      </c>
      <c r="Q141" s="877">
        <v>0</v>
      </c>
      <c r="R141" s="890"/>
      <c r="AI141" s="797">
        <f t="shared" si="11"/>
        <v>481401.20499999996</v>
      </c>
      <c r="AK141" s="795">
        <f t="shared" si="10"/>
        <v>164000</v>
      </c>
      <c r="AL141" s="795">
        <f t="shared" si="10"/>
        <v>0</v>
      </c>
      <c r="AM141" s="795">
        <f t="shared" si="10"/>
        <v>318827.32999999996</v>
      </c>
      <c r="AN141" s="278">
        <f t="shared" si="12"/>
        <v>1426.125</v>
      </c>
    </row>
    <row r="142" spans="1:40">
      <c r="A142" s="198">
        <v>3372</v>
      </c>
      <c r="B142" s="2">
        <v>103460</v>
      </c>
      <c r="C142" s="2" t="s">
        <v>307</v>
      </c>
      <c r="D142" s="2" t="s">
        <v>308</v>
      </c>
      <c r="E142" s="190" t="s">
        <v>39</v>
      </c>
      <c r="F142" s="211" t="str">
        <f>VLOOKUP(A142,'Summary June 2026'!A:F,6,FALSE)</f>
        <v>Chq Bk</v>
      </c>
      <c r="G142" s="33"/>
      <c r="H142" s="790">
        <v>0</v>
      </c>
      <c r="I142" s="790">
        <v>0</v>
      </c>
      <c r="J142" s="790">
        <v>134746</v>
      </c>
      <c r="L142" s="791">
        <v>0</v>
      </c>
      <c r="M142" s="791">
        <v>0</v>
      </c>
      <c r="O142" s="875">
        <v>-10355.020833333334</v>
      </c>
      <c r="P142" s="875">
        <v>0</v>
      </c>
      <c r="Q142" s="877">
        <v>0</v>
      </c>
      <c r="R142" s="890"/>
      <c r="AI142" s="797">
        <f t="shared" si="11"/>
        <v>124390.97916666667</v>
      </c>
      <c r="AK142" s="795">
        <f t="shared" si="10"/>
        <v>0</v>
      </c>
      <c r="AL142" s="795">
        <f t="shared" si="10"/>
        <v>0</v>
      </c>
      <c r="AM142" s="795">
        <f t="shared" si="10"/>
        <v>134746</v>
      </c>
      <c r="AN142" s="278">
        <f t="shared" si="12"/>
        <v>10355.020833333328</v>
      </c>
    </row>
    <row r="143" spans="1:40">
      <c r="A143" s="198">
        <v>3375</v>
      </c>
      <c r="B143" s="2">
        <v>103462</v>
      </c>
      <c r="C143" s="2" t="s">
        <v>309</v>
      </c>
      <c r="D143" s="2" t="s">
        <v>310</v>
      </c>
      <c r="E143" s="190" t="s">
        <v>39</v>
      </c>
      <c r="F143" s="211" t="str">
        <f>VLOOKUP(A143,'Summary June 2026'!A:F,6,FALSE)</f>
        <v>Chq Bk</v>
      </c>
      <c r="G143" s="33"/>
      <c r="H143" s="790">
        <v>0</v>
      </c>
      <c r="I143" s="790">
        <v>0</v>
      </c>
      <c r="J143" s="790">
        <v>95554</v>
      </c>
      <c r="L143" s="791">
        <v>0</v>
      </c>
      <c r="M143" s="791">
        <v>0</v>
      </c>
      <c r="O143" s="875">
        <v>-11829.25</v>
      </c>
      <c r="P143" s="875">
        <v>0</v>
      </c>
      <c r="Q143" s="877">
        <v>0</v>
      </c>
      <c r="R143" s="890"/>
      <c r="AI143" s="797">
        <f t="shared" si="11"/>
        <v>83724.75</v>
      </c>
      <c r="AK143" s="795">
        <f t="shared" si="10"/>
        <v>0</v>
      </c>
      <c r="AL143" s="795">
        <f t="shared" si="10"/>
        <v>0</v>
      </c>
      <c r="AM143" s="795">
        <f t="shared" si="10"/>
        <v>95554</v>
      </c>
      <c r="AN143" s="278">
        <f t="shared" si="12"/>
        <v>11829.25</v>
      </c>
    </row>
    <row r="144" spans="1:40">
      <c r="A144" s="198">
        <v>3331</v>
      </c>
      <c r="B144" s="2">
        <v>103433</v>
      </c>
      <c r="C144" s="2" t="s">
        <v>311</v>
      </c>
      <c r="D144" s="2" t="s">
        <v>312</v>
      </c>
      <c r="E144" s="190" t="s">
        <v>39</v>
      </c>
      <c r="F144" s="211" t="str">
        <f>VLOOKUP(A144,'Summary June 2026'!A:F,6,FALSE)</f>
        <v>Chq Bk</v>
      </c>
      <c r="G144" s="33"/>
      <c r="H144" s="790">
        <v>0</v>
      </c>
      <c r="I144" s="790">
        <v>0</v>
      </c>
      <c r="J144" s="790">
        <v>64049.83</v>
      </c>
      <c r="L144" s="791">
        <v>0</v>
      </c>
      <c r="M144" s="791">
        <v>0</v>
      </c>
      <c r="O144" s="875">
        <v>275.94416666666683</v>
      </c>
      <c r="P144" s="875">
        <v>0</v>
      </c>
      <c r="Q144" s="877">
        <v>0</v>
      </c>
      <c r="R144" s="890"/>
      <c r="AI144" s="797">
        <f t="shared" si="11"/>
        <v>64325.77416666667</v>
      </c>
      <c r="AK144" s="795">
        <f t="shared" si="10"/>
        <v>0</v>
      </c>
      <c r="AL144" s="795">
        <f t="shared" si="10"/>
        <v>0</v>
      </c>
      <c r="AM144" s="795">
        <f t="shared" si="10"/>
        <v>64049.83</v>
      </c>
      <c r="AN144" s="278">
        <f t="shared" si="12"/>
        <v>-275.94416666666802</v>
      </c>
    </row>
    <row r="145" spans="1:40">
      <c r="A145" s="198">
        <v>3386</v>
      </c>
      <c r="B145" s="2">
        <v>103470</v>
      </c>
      <c r="C145" s="2" t="s">
        <v>313</v>
      </c>
      <c r="D145" s="2" t="s">
        <v>314</v>
      </c>
      <c r="E145" s="190" t="s">
        <v>39</v>
      </c>
      <c r="F145" s="211" t="str">
        <f>VLOOKUP(A145,'Summary June 2026'!A:F,6,FALSE)</f>
        <v>Chq Bk</v>
      </c>
      <c r="G145" s="33"/>
      <c r="H145" s="790">
        <v>0</v>
      </c>
      <c r="I145" s="790">
        <v>0</v>
      </c>
      <c r="J145" s="790">
        <v>86681.83</v>
      </c>
      <c r="L145" s="791">
        <v>0</v>
      </c>
      <c r="M145" s="791">
        <v>0</v>
      </c>
      <c r="O145" s="875">
        <v>-2030.6458333333333</v>
      </c>
      <c r="P145" s="875">
        <v>0</v>
      </c>
      <c r="Q145" s="877">
        <v>0</v>
      </c>
      <c r="R145" s="890"/>
      <c r="AI145" s="797">
        <f t="shared" si="11"/>
        <v>84651.184166666673</v>
      </c>
      <c r="AK145" s="795">
        <f t="shared" si="10"/>
        <v>0</v>
      </c>
      <c r="AL145" s="795">
        <f t="shared" si="10"/>
        <v>0</v>
      </c>
      <c r="AM145" s="795">
        <f t="shared" si="10"/>
        <v>86681.83</v>
      </c>
      <c r="AN145" s="278">
        <f t="shared" si="12"/>
        <v>2030.6458333333285</v>
      </c>
    </row>
    <row r="146" spans="1:40">
      <c r="A146" s="198">
        <v>3363</v>
      </c>
      <c r="B146" s="2">
        <v>103455</v>
      </c>
      <c r="C146" s="2" t="s">
        <v>315</v>
      </c>
      <c r="D146" s="2" t="s">
        <v>316</v>
      </c>
      <c r="E146" s="190" t="s">
        <v>39</v>
      </c>
      <c r="F146" s="211" t="str">
        <f>VLOOKUP(A146,'Summary June 2026'!A:F,6,FALSE)</f>
        <v>Chq Bk</v>
      </c>
      <c r="G146" s="33"/>
      <c r="H146" s="790">
        <v>0</v>
      </c>
      <c r="I146" s="790">
        <v>0</v>
      </c>
      <c r="J146" s="790">
        <v>32642.5</v>
      </c>
      <c r="L146" s="791">
        <v>0</v>
      </c>
      <c r="M146" s="791">
        <v>0</v>
      </c>
      <c r="O146" s="875">
        <v>1407.4858333333334</v>
      </c>
      <c r="P146" s="875">
        <v>0</v>
      </c>
      <c r="Q146" s="877">
        <v>0</v>
      </c>
      <c r="R146" s="890"/>
      <c r="AI146" s="797">
        <f t="shared" si="11"/>
        <v>34049.985833333332</v>
      </c>
      <c r="AK146" s="795">
        <f t="shared" si="10"/>
        <v>0</v>
      </c>
      <c r="AL146" s="795">
        <f t="shared" si="10"/>
        <v>0</v>
      </c>
      <c r="AM146" s="795">
        <f t="shared" si="10"/>
        <v>32642.5</v>
      </c>
      <c r="AN146" s="278">
        <f t="shared" si="12"/>
        <v>-1407.4858333333323</v>
      </c>
    </row>
    <row r="147" spans="1:40">
      <c r="A147" s="198">
        <v>3355</v>
      </c>
      <c r="B147" s="2">
        <v>103447</v>
      </c>
      <c r="C147" s="2" t="s">
        <v>317</v>
      </c>
      <c r="D147" s="2" t="s">
        <v>318</v>
      </c>
      <c r="E147" s="190" t="s">
        <v>39</v>
      </c>
      <c r="F147" s="211" t="str">
        <f>VLOOKUP(A147,'Summary June 2026'!A:F,6,FALSE)</f>
        <v>Chq Bk</v>
      </c>
      <c r="G147" s="33"/>
      <c r="H147" s="790">
        <v>0</v>
      </c>
      <c r="I147" s="790">
        <v>0</v>
      </c>
      <c r="J147" s="790">
        <v>54425.41</v>
      </c>
      <c r="L147" s="791">
        <v>0</v>
      </c>
      <c r="M147" s="791">
        <v>0</v>
      </c>
      <c r="O147" s="875">
        <v>-12556.958333333334</v>
      </c>
      <c r="P147" s="875">
        <v>0</v>
      </c>
      <c r="Q147" s="877">
        <v>0</v>
      </c>
      <c r="R147" s="890"/>
      <c r="AI147" s="797">
        <f t="shared" si="11"/>
        <v>41868.451666666668</v>
      </c>
      <c r="AK147" s="795">
        <f t="shared" si="10"/>
        <v>0</v>
      </c>
      <c r="AL147" s="795">
        <f t="shared" si="10"/>
        <v>0</v>
      </c>
      <c r="AM147" s="795">
        <f t="shared" si="10"/>
        <v>54425.41</v>
      </c>
      <c r="AN147" s="278">
        <f t="shared" si="12"/>
        <v>12556.958333333336</v>
      </c>
    </row>
    <row r="148" spans="1:40">
      <c r="A148" s="198">
        <v>3367</v>
      </c>
      <c r="B148" s="2">
        <v>103458</v>
      </c>
      <c r="C148" s="2" t="s">
        <v>319</v>
      </c>
      <c r="D148" s="2" t="s">
        <v>320</v>
      </c>
      <c r="E148" s="190" t="s">
        <v>39</v>
      </c>
      <c r="F148" s="211" t="str">
        <f>VLOOKUP(A148,'Summary June 2026'!A:F,6,FALSE)</f>
        <v>Chq Bk</v>
      </c>
      <c r="G148" s="33"/>
      <c r="H148" s="790">
        <v>0</v>
      </c>
      <c r="I148" s="790">
        <v>0</v>
      </c>
      <c r="J148" s="790">
        <v>13290</v>
      </c>
      <c r="L148" s="791">
        <v>0</v>
      </c>
      <c r="M148" s="791">
        <v>0</v>
      </c>
      <c r="O148" s="875">
        <v>-1674.6875</v>
      </c>
      <c r="P148" s="875">
        <v>0</v>
      </c>
      <c r="Q148" s="877">
        <v>0</v>
      </c>
      <c r="R148" s="890"/>
      <c r="AI148" s="797">
        <f t="shared" si="11"/>
        <v>11615.3125</v>
      </c>
      <c r="AK148" s="795">
        <f t="shared" ref="AK148:AM167" si="13">SUMIFS($H148:$AG148,$H$3:$AG$3,AK$7)</f>
        <v>0</v>
      </c>
      <c r="AL148" s="795">
        <f t="shared" si="13"/>
        <v>0</v>
      </c>
      <c r="AM148" s="795">
        <f t="shared" si="13"/>
        <v>13290</v>
      </c>
      <c r="AN148" s="278">
        <f t="shared" si="12"/>
        <v>1674.6875</v>
      </c>
    </row>
    <row r="149" spans="1:40">
      <c r="A149" s="198">
        <v>3010</v>
      </c>
      <c r="B149" s="2">
        <v>103401</v>
      </c>
      <c r="C149" s="2" t="s">
        <v>321</v>
      </c>
      <c r="D149" s="2" t="s">
        <v>322</v>
      </c>
      <c r="E149" s="190" t="s">
        <v>39</v>
      </c>
      <c r="F149" s="211" t="str">
        <f>VLOOKUP(A149,'Summary June 2026'!A:F,6,FALSE)</f>
        <v>Chq Bk</v>
      </c>
      <c r="G149" s="33"/>
      <c r="H149" s="790">
        <v>0</v>
      </c>
      <c r="I149" s="790">
        <v>0</v>
      </c>
      <c r="J149" s="790">
        <v>105463.5</v>
      </c>
      <c r="L149" s="791">
        <v>0</v>
      </c>
      <c r="M149" s="791">
        <v>0</v>
      </c>
      <c r="O149" s="875">
        <v>-5007.944166666668</v>
      </c>
      <c r="P149" s="875">
        <v>0</v>
      </c>
      <c r="Q149" s="877">
        <v>0</v>
      </c>
      <c r="R149" s="890"/>
      <c r="AI149" s="797">
        <f t="shared" si="11"/>
        <v>100455.55583333333</v>
      </c>
      <c r="AK149" s="795">
        <f t="shared" si="13"/>
        <v>0</v>
      </c>
      <c r="AL149" s="795">
        <f t="shared" si="13"/>
        <v>0</v>
      </c>
      <c r="AM149" s="795">
        <f t="shared" si="13"/>
        <v>105463.5</v>
      </c>
      <c r="AN149" s="278">
        <f t="shared" si="12"/>
        <v>5007.944166666668</v>
      </c>
    </row>
    <row r="150" spans="1:40">
      <c r="A150" s="198">
        <v>4625</v>
      </c>
      <c r="B150" s="2">
        <v>103534</v>
      </c>
      <c r="C150" s="2" t="s">
        <v>323</v>
      </c>
      <c r="D150" s="2" t="s">
        <v>324</v>
      </c>
      <c r="E150" s="190" t="s">
        <v>71</v>
      </c>
      <c r="F150" s="211" t="str">
        <f>VLOOKUP(A150,'Summary June 2026'!A:F,6,FALSE)</f>
        <v>Chq Bk</v>
      </c>
      <c r="G150" s="33"/>
      <c r="H150" s="790">
        <v>0</v>
      </c>
      <c r="I150" s="790">
        <v>0</v>
      </c>
      <c r="J150" s="790">
        <v>121476.17</v>
      </c>
      <c r="L150" s="791">
        <v>0</v>
      </c>
      <c r="M150" s="791">
        <v>0</v>
      </c>
      <c r="O150" s="875">
        <v>-242.50083333333291</v>
      </c>
      <c r="P150" s="875">
        <v>0</v>
      </c>
      <c r="Q150" s="877">
        <v>0</v>
      </c>
      <c r="R150" s="890"/>
      <c r="AI150" s="797">
        <f t="shared" si="11"/>
        <v>121233.66916666666</v>
      </c>
      <c r="AK150" s="795">
        <f t="shared" si="13"/>
        <v>0</v>
      </c>
      <c r="AL150" s="795">
        <f t="shared" si="13"/>
        <v>0</v>
      </c>
      <c r="AM150" s="795">
        <f t="shared" si="13"/>
        <v>121476.17</v>
      </c>
      <c r="AN150" s="278">
        <f t="shared" si="12"/>
        <v>242.50083333333896</v>
      </c>
    </row>
    <row r="151" spans="1:40">
      <c r="A151" s="198">
        <v>3377</v>
      </c>
      <c r="B151" s="2">
        <v>103463</v>
      </c>
      <c r="C151" s="2" t="s">
        <v>325</v>
      </c>
      <c r="D151" s="2" t="s">
        <v>326</v>
      </c>
      <c r="E151" s="190" t="s">
        <v>39</v>
      </c>
      <c r="F151" s="211" t="str">
        <f>VLOOKUP(A151,'Summary June 2026'!A:F,6,FALSE)</f>
        <v>Chq Bk</v>
      </c>
      <c r="G151" s="33"/>
      <c r="H151" s="790">
        <v>0</v>
      </c>
      <c r="I151" s="790">
        <v>0</v>
      </c>
      <c r="J151" s="790">
        <v>35718.33</v>
      </c>
      <c r="L151" s="791">
        <v>0</v>
      </c>
      <c r="M151" s="791">
        <v>0</v>
      </c>
      <c r="O151" s="875">
        <v>-1636.9099999999999</v>
      </c>
      <c r="P151" s="875">
        <v>0</v>
      </c>
      <c r="Q151" s="877">
        <v>0</v>
      </c>
      <c r="R151" s="890"/>
      <c r="AI151" s="797">
        <f t="shared" si="11"/>
        <v>34081.42</v>
      </c>
      <c r="AK151" s="795">
        <f t="shared" si="13"/>
        <v>0</v>
      </c>
      <c r="AL151" s="795">
        <f t="shared" si="13"/>
        <v>0</v>
      </c>
      <c r="AM151" s="795">
        <f t="shared" si="13"/>
        <v>35718.33</v>
      </c>
      <c r="AN151" s="278">
        <f t="shared" si="12"/>
        <v>1636.9100000000035</v>
      </c>
    </row>
    <row r="152" spans="1:40">
      <c r="A152" s="198">
        <v>3371</v>
      </c>
      <c r="B152" s="2">
        <v>103459</v>
      </c>
      <c r="C152" s="2" t="s">
        <v>327</v>
      </c>
      <c r="D152" s="2" t="s">
        <v>328</v>
      </c>
      <c r="E152" s="190" t="s">
        <v>39</v>
      </c>
      <c r="F152" s="211" t="str">
        <f>VLOOKUP(A152,'Summary June 2026'!A:F,6,FALSE)</f>
        <v>Academy</v>
      </c>
      <c r="G152" s="33"/>
      <c r="H152" s="790">
        <v>0</v>
      </c>
      <c r="I152" s="790">
        <v>0</v>
      </c>
      <c r="J152" s="790">
        <v>0</v>
      </c>
      <c r="L152" s="791">
        <v>0</v>
      </c>
      <c r="M152" s="791">
        <v>0</v>
      </c>
      <c r="O152" s="875"/>
      <c r="P152" s="875">
        <v>0</v>
      </c>
      <c r="Q152" s="877">
        <v>0</v>
      </c>
      <c r="R152" s="890"/>
      <c r="AI152" s="797">
        <f t="shared" si="11"/>
        <v>0</v>
      </c>
      <c r="AK152" s="795">
        <f t="shared" si="13"/>
        <v>0</v>
      </c>
      <c r="AL152" s="795">
        <f t="shared" si="13"/>
        <v>0</v>
      </c>
      <c r="AM152" s="795">
        <f t="shared" si="13"/>
        <v>0</v>
      </c>
      <c r="AN152" s="278">
        <f t="shared" si="12"/>
        <v>0</v>
      </c>
    </row>
    <row r="153" spans="1:40">
      <c r="A153" s="198">
        <v>3307</v>
      </c>
      <c r="B153" s="2">
        <v>103416</v>
      </c>
      <c r="C153" s="2" t="s">
        <v>329</v>
      </c>
      <c r="D153" s="2" t="s">
        <v>330</v>
      </c>
      <c r="E153" s="190" t="s">
        <v>39</v>
      </c>
      <c r="F153" s="211" t="str">
        <f>VLOOKUP(A153,'Summary June 2026'!A:F,6,FALSE)</f>
        <v>Academy</v>
      </c>
      <c r="G153" s="33"/>
      <c r="H153" s="790">
        <v>0</v>
      </c>
      <c r="I153" s="790">
        <v>0</v>
      </c>
      <c r="J153" s="790">
        <v>0</v>
      </c>
      <c r="L153" s="791">
        <v>0</v>
      </c>
      <c r="M153" s="791">
        <v>0</v>
      </c>
      <c r="O153" s="875"/>
      <c r="P153" s="875">
        <v>0</v>
      </c>
      <c r="Q153" s="877">
        <v>0</v>
      </c>
      <c r="R153" s="890"/>
      <c r="AI153" s="797">
        <f t="shared" si="11"/>
        <v>0</v>
      </c>
      <c r="AK153" s="795">
        <f t="shared" si="13"/>
        <v>0</v>
      </c>
      <c r="AL153" s="795">
        <f t="shared" si="13"/>
        <v>0</v>
      </c>
      <c r="AM153" s="795">
        <f t="shared" si="13"/>
        <v>0</v>
      </c>
      <c r="AN153" s="278">
        <f t="shared" si="12"/>
        <v>0</v>
      </c>
    </row>
    <row r="154" spans="1:40">
      <c r="A154" s="198">
        <v>3361</v>
      </c>
      <c r="B154" s="2">
        <v>103453</v>
      </c>
      <c r="C154" s="2" t="s">
        <v>331</v>
      </c>
      <c r="D154" s="2" t="s">
        <v>332</v>
      </c>
      <c r="E154" s="190" t="s">
        <v>39</v>
      </c>
      <c r="F154" s="211" t="str">
        <f>VLOOKUP(A154,'Summary June 2026'!A:F,6,FALSE)</f>
        <v>Chq Bk</v>
      </c>
      <c r="G154" s="33"/>
      <c r="H154" s="790">
        <v>0</v>
      </c>
      <c r="I154" s="790">
        <v>0</v>
      </c>
      <c r="J154" s="790">
        <v>41246</v>
      </c>
      <c r="L154" s="791">
        <v>0</v>
      </c>
      <c r="M154" s="791">
        <v>0</v>
      </c>
      <c r="O154" s="875">
        <v>-1645.5691666666669</v>
      </c>
      <c r="P154" s="875">
        <v>0</v>
      </c>
      <c r="Q154" s="877">
        <v>0</v>
      </c>
      <c r="R154" s="890"/>
      <c r="AI154" s="797">
        <f t="shared" si="11"/>
        <v>39600.430833333332</v>
      </c>
      <c r="AK154" s="795">
        <f t="shared" si="13"/>
        <v>0</v>
      </c>
      <c r="AL154" s="795">
        <f t="shared" si="13"/>
        <v>0</v>
      </c>
      <c r="AM154" s="795">
        <f t="shared" si="13"/>
        <v>41246</v>
      </c>
      <c r="AN154" s="278">
        <f t="shared" si="12"/>
        <v>1645.569166666668</v>
      </c>
    </row>
    <row r="155" spans="1:40">
      <c r="A155" s="198">
        <v>3382</v>
      </c>
      <c r="B155" s="2">
        <v>103467</v>
      </c>
      <c r="C155" s="2" t="s">
        <v>333</v>
      </c>
      <c r="D155" s="2" t="s">
        <v>334</v>
      </c>
      <c r="E155" s="190" t="s">
        <v>39</v>
      </c>
      <c r="F155" s="211" t="str">
        <f>VLOOKUP(A155,'Summary June 2026'!A:F,6,FALSE)</f>
        <v>Chq Bk</v>
      </c>
      <c r="G155" s="33"/>
      <c r="H155" s="790">
        <v>0</v>
      </c>
      <c r="I155" s="790">
        <v>0</v>
      </c>
      <c r="J155" s="790">
        <v>93538.83</v>
      </c>
      <c r="L155" s="791">
        <v>0</v>
      </c>
      <c r="M155" s="791">
        <v>0</v>
      </c>
      <c r="O155" s="875">
        <v>-928.18083333333323</v>
      </c>
      <c r="P155" s="875">
        <v>0</v>
      </c>
      <c r="Q155" s="877">
        <v>0</v>
      </c>
      <c r="R155" s="890"/>
      <c r="AI155" s="797">
        <f t="shared" si="11"/>
        <v>92610.64916666667</v>
      </c>
      <c r="AK155" s="795">
        <f t="shared" si="13"/>
        <v>0</v>
      </c>
      <c r="AL155" s="795">
        <f t="shared" si="13"/>
        <v>0</v>
      </c>
      <c r="AM155" s="795">
        <f t="shared" si="13"/>
        <v>93538.83</v>
      </c>
      <c r="AN155" s="278">
        <f t="shared" si="12"/>
        <v>928.18083333333198</v>
      </c>
    </row>
    <row r="156" spans="1:40">
      <c r="A156" s="198">
        <v>3344</v>
      </c>
      <c r="B156" s="2">
        <v>103438</v>
      </c>
      <c r="C156" s="2" t="s">
        <v>335</v>
      </c>
      <c r="D156" s="2" t="s">
        <v>336</v>
      </c>
      <c r="E156" s="190" t="s">
        <v>39</v>
      </c>
      <c r="F156" s="211" t="str">
        <f>VLOOKUP(A156,'Summary June 2026'!A:F,6,FALSE)</f>
        <v>Chq Bk</v>
      </c>
      <c r="G156" s="33"/>
      <c r="H156" s="790">
        <v>0</v>
      </c>
      <c r="I156" s="790">
        <v>0</v>
      </c>
      <c r="J156" s="790">
        <v>107869</v>
      </c>
      <c r="L156" s="791">
        <v>0</v>
      </c>
      <c r="M156" s="791">
        <v>0</v>
      </c>
      <c r="O156" s="875">
        <v>-2471.25</v>
      </c>
      <c r="P156" s="875">
        <v>0</v>
      </c>
      <c r="Q156" s="877">
        <v>0</v>
      </c>
      <c r="R156" s="890"/>
      <c r="AI156" s="797">
        <f t="shared" si="11"/>
        <v>105397.75</v>
      </c>
      <c r="AK156" s="795">
        <f t="shared" si="13"/>
        <v>0</v>
      </c>
      <c r="AL156" s="795">
        <f t="shared" si="13"/>
        <v>0</v>
      </c>
      <c r="AM156" s="795">
        <f t="shared" si="13"/>
        <v>107869</v>
      </c>
      <c r="AN156" s="278">
        <f t="shared" si="12"/>
        <v>2471.25</v>
      </c>
    </row>
    <row r="157" spans="1:40">
      <c r="A157" s="198">
        <v>3025</v>
      </c>
      <c r="B157" s="2">
        <v>103410</v>
      </c>
      <c r="C157" s="2" t="s">
        <v>337</v>
      </c>
      <c r="D157" s="2" t="s">
        <v>338</v>
      </c>
      <c r="E157" s="190" t="s">
        <v>39</v>
      </c>
      <c r="F157" s="211" t="str">
        <f>VLOOKUP(A157,'Summary June 2026'!A:F,6,FALSE)</f>
        <v>Chq Bk</v>
      </c>
      <c r="G157" s="33"/>
      <c r="H157" s="790">
        <v>0</v>
      </c>
      <c r="I157" s="790">
        <v>0</v>
      </c>
      <c r="J157" s="790">
        <v>141926.66</v>
      </c>
      <c r="L157" s="791">
        <v>0</v>
      </c>
      <c r="M157" s="791">
        <v>0</v>
      </c>
      <c r="O157" s="875">
        <v>-6853.9724999999989</v>
      </c>
      <c r="P157" s="875">
        <v>0</v>
      </c>
      <c r="Q157" s="877">
        <v>0</v>
      </c>
      <c r="R157" s="890"/>
      <c r="AI157" s="797">
        <f t="shared" si="11"/>
        <v>135072.6875</v>
      </c>
      <c r="AK157" s="795">
        <f t="shared" si="13"/>
        <v>0</v>
      </c>
      <c r="AL157" s="795">
        <f t="shared" si="13"/>
        <v>0</v>
      </c>
      <c r="AM157" s="795">
        <f t="shared" si="13"/>
        <v>141926.66</v>
      </c>
      <c r="AN157" s="278">
        <f t="shared" si="12"/>
        <v>6853.9725000000035</v>
      </c>
    </row>
    <row r="158" spans="1:40">
      <c r="A158" s="198">
        <v>3016</v>
      </c>
      <c r="B158" s="2">
        <v>103404</v>
      </c>
      <c r="C158" s="2" t="s">
        <v>339</v>
      </c>
      <c r="D158" s="2" t="s">
        <v>340</v>
      </c>
      <c r="E158" s="190" t="s">
        <v>39</v>
      </c>
      <c r="F158" s="211" t="str">
        <f>VLOOKUP(A158,'Summary June 2026'!A:F,6,FALSE)</f>
        <v>Chq Bk</v>
      </c>
      <c r="G158" s="33"/>
      <c r="H158" s="790">
        <v>0</v>
      </c>
      <c r="I158" s="790">
        <v>0</v>
      </c>
      <c r="J158" s="790">
        <v>122513</v>
      </c>
      <c r="L158" s="791">
        <v>0</v>
      </c>
      <c r="M158" s="791">
        <v>0</v>
      </c>
      <c r="O158" s="875">
        <v>-12499.902500000002</v>
      </c>
      <c r="P158" s="875">
        <v>0</v>
      </c>
      <c r="Q158" s="877">
        <v>0</v>
      </c>
      <c r="R158" s="890"/>
      <c r="AI158" s="797">
        <f t="shared" si="11"/>
        <v>110013.0975</v>
      </c>
      <c r="AK158" s="795">
        <f t="shared" si="13"/>
        <v>0</v>
      </c>
      <c r="AL158" s="795">
        <f t="shared" si="13"/>
        <v>0</v>
      </c>
      <c r="AM158" s="795">
        <f t="shared" si="13"/>
        <v>122513</v>
      </c>
      <c r="AN158" s="278">
        <f t="shared" si="12"/>
        <v>12499.902499999997</v>
      </c>
    </row>
    <row r="159" spans="1:40">
      <c r="A159" s="198">
        <v>3346</v>
      </c>
      <c r="B159" s="2">
        <v>103439</v>
      </c>
      <c r="C159" s="2" t="s">
        <v>341</v>
      </c>
      <c r="D159" s="2" t="s">
        <v>342</v>
      </c>
      <c r="E159" s="190" t="s">
        <v>39</v>
      </c>
      <c r="F159" s="211" t="str">
        <f>VLOOKUP(A159,'Summary June 2026'!A:F,6,FALSE)</f>
        <v>Chq Bk</v>
      </c>
      <c r="G159" s="33"/>
      <c r="H159" s="790">
        <v>0</v>
      </c>
      <c r="I159" s="790">
        <v>0</v>
      </c>
      <c r="J159" s="790">
        <v>95779.58</v>
      </c>
      <c r="L159" s="791">
        <v>0</v>
      </c>
      <c r="M159" s="791">
        <v>0</v>
      </c>
      <c r="O159" s="875">
        <v>-2104.9933333333333</v>
      </c>
      <c r="P159" s="875">
        <v>0</v>
      </c>
      <c r="Q159" s="877">
        <v>0</v>
      </c>
      <c r="R159" s="890"/>
      <c r="AI159" s="797">
        <f t="shared" si="11"/>
        <v>93674.58666666667</v>
      </c>
      <c r="AK159" s="795">
        <f t="shared" si="13"/>
        <v>0</v>
      </c>
      <c r="AL159" s="795">
        <f t="shared" si="13"/>
        <v>0</v>
      </c>
      <c r="AM159" s="795">
        <f t="shared" si="13"/>
        <v>95779.58</v>
      </c>
      <c r="AN159" s="278">
        <f t="shared" si="12"/>
        <v>2104.993333333332</v>
      </c>
    </row>
    <row r="160" spans="1:40">
      <c r="A160" s="198">
        <v>4606</v>
      </c>
      <c r="B160" s="2">
        <v>103531</v>
      </c>
      <c r="C160" s="2" t="s">
        <v>343</v>
      </c>
      <c r="D160" s="2" t="s">
        <v>344</v>
      </c>
      <c r="E160" s="190" t="s">
        <v>71</v>
      </c>
      <c r="F160" s="211" t="str">
        <f>VLOOKUP(A160,'Summary June 2026'!A:F,6,FALSE)</f>
        <v>Chq Bk</v>
      </c>
      <c r="G160" s="33"/>
      <c r="H160" s="790">
        <v>0</v>
      </c>
      <c r="I160" s="790">
        <v>0</v>
      </c>
      <c r="J160" s="790">
        <v>94803.33</v>
      </c>
      <c r="L160" s="791">
        <v>0</v>
      </c>
      <c r="M160" s="791">
        <v>0</v>
      </c>
      <c r="O160" s="875">
        <v>-728.91666666666663</v>
      </c>
      <c r="P160" s="875">
        <v>0</v>
      </c>
      <c r="Q160" s="877">
        <v>0</v>
      </c>
      <c r="R160" s="890"/>
      <c r="AI160" s="797">
        <f t="shared" si="11"/>
        <v>94074.41333333333</v>
      </c>
      <c r="AK160" s="795">
        <f t="shared" si="13"/>
        <v>0</v>
      </c>
      <c r="AL160" s="795">
        <f t="shared" si="13"/>
        <v>0</v>
      </c>
      <c r="AM160" s="795">
        <f t="shared" si="13"/>
        <v>94803.33</v>
      </c>
      <c r="AN160" s="278">
        <f t="shared" si="12"/>
        <v>728.91666666667152</v>
      </c>
    </row>
    <row r="161" spans="1:40">
      <c r="A161" s="198">
        <v>3428</v>
      </c>
      <c r="B161" s="2">
        <v>134476</v>
      </c>
      <c r="C161" s="2" t="s">
        <v>345</v>
      </c>
      <c r="D161" s="2" t="s">
        <v>346</v>
      </c>
      <c r="E161" s="190" t="s">
        <v>39</v>
      </c>
      <c r="F161" s="211" t="str">
        <f>VLOOKUP(A161,'Summary June 2026'!A:F,6,FALSE)</f>
        <v>Chq Bk</v>
      </c>
      <c r="G161" s="33"/>
      <c r="H161" s="790">
        <v>0</v>
      </c>
      <c r="I161" s="790">
        <v>0</v>
      </c>
      <c r="J161" s="790">
        <v>126403.84</v>
      </c>
      <c r="L161" s="791">
        <v>0</v>
      </c>
      <c r="M161" s="791">
        <v>0</v>
      </c>
      <c r="O161" s="875">
        <v>-6562</v>
      </c>
      <c r="P161" s="875">
        <v>0</v>
      </c>
      <c r="Q161" s="877">
        <v>0</v>
      </c>
      <c r="R161" s="890"/>
      <c r="AI161" s="797">
        <f t="shared" si="11"/>
        <v>119841.84</v>
      </c>
      <c r="AK161" s="795">
        <f t="shared" si="13"/>
        <v>0</v>
      </c>
      <c r="AL161" s="795">
        <f t="shared" si="13"/>
        <v>0</v>
      </c>
      <c r="AM161" s="795">
        <f t="shared" si="13"/>
        <v>126403.84</v>
      </c>
      <c r="AN161" s="278">
        <f t="shared" si="12"/>
        <v>6562</v>
      </c>
    </row>
    <row r="162" spans="1:40">
      <c r="A162" s="198">
        <v>3019</v>
      </c>
      <c r="B162" s="2">
        <v>103406</v>
      </c>
      <c r="C162" s="2" t="s">
        <v>347</v>
      </c>
      <c r="D162" s="2" t="s">
        <v>348</v>
      </c>
      <c r="E162" s="190" t="s">
        <v>39</v>
      </c>
      <c r="F162" s="211" t="str">
        <f>VLOOKUP(A162,'Summary June 2026'!A:F,6,FALSE)</f>
        <v>Chq Bk</v>
      </c>
      <c r="G162" s="33"/>
      <c r="H162" s="790">
        <v>0</v>
      </c>
      <c r="I162" s="790">
        <v>0</v>
      </c>
      <c r="J162" s="790">
        <v>183248</v>
      </c>
      <c r="L162" s="791">
        <v>0</v>
      </c>
      <c r="M162" s="791">
        <v>0</v>
      </c>
      <c r="O162" s="875">
        <v>-9196.4166666666661</v>
      </c>
      <c r="P162" s="875">
        <v>0</v>
      </c>
      <c r="Q162" s="877">
        <v>0</v>
      </c>
      <c r="R162" s="890"/>
      <c r="AI162" s="797">
        <f t="shared" si="11"/>
        <v>174051.58333333334</v>
      </c>
      <c r="AK162" s="795">
        <f t="shared" si="13"/>
        <v>0</v>
      </c>
      <c r="AL162" s="795">
        <f t="shared" si="13"/>
        <v>0</v>
      </c>
      <c r="AM162" s="795">
        <f t="shared" si="13"/>
        <v>183248</v>
      </c>
      <c r="AN162" s="278">
        <f t="shared" si="12"/>
        <v>9196.416666666657</v>
      </c>
    </row>
    <row r="163" spans="1:40">
      <c r="A163" s="198">
        <v>1009</v>
      </c>
      <c r="B163" s="2">
        <v>103124</v>
      </c>
      <c r="C163" s="2" t="s">
        <v>349</v>
      </c>
      <c r="D163" s="2" t="s">
        <v>350</v>
      </c>
      <c r="E163" s="190" t="s">
        <v>36</v>
      </c>
      <c r="F163" s="211" t="str">
        <f>VLOOKUP(A163,'Summary June 2026'!A:F,6,FALSE)</f>
        <v>Chq Bk</v>
      </c>
      <c r="G163" s="33"/>
      <c r="H163" s="790">
        <v>0</v>
      </c>
      <c r="I163" s="790">
        <v>0</v>
      </c>
      <c r="J163" s="790">
        <v>5756.25</v>
      </c>
      <c r="L163" s="791">
        <v>0</v>
      </c>
      <c r="M163" s="791">
        <v>0</v>
      </c>
      <c r="O163" s="875">
        <v>-1127.8125</v>
      </c>
      <c r="P163" s="875">
        <v>0</v>
      </c>
      <c r="Q163" s="877">
        <v>0</v>
      </c>
      <c r="R163" s="890"/>
      <c r="AI163" s="797">
        <f t="shared" si="11"/>
        <v>4628.4375</v>
      </c>
      <c r="AK163" s="795">
        <f t="shared" si="13"/>
        <v>0</v>
      </c>
      <c r="AL163" s="795">
        <f t="shared" si="13"/>
        <v>0</v>
      </c>
      <c r="AM163" s="795">
        <f t="shared" si="13"/>
        <v>5756.25</v>
      </c>
      <c r="AN163" s="278">
        <f t="shared" si="12"/>
        <v>1127.8125</v>
      </c>
    </row>
    <row r="164" spans="1:40">
      <c r="A164" s="198">
        <v>2178</v>
      </c>
      <c r="B164" s="2">
        <v>103257</v>
      </c>
      <c r="C164" s="2" t="s">
        <v>351</v>
      </c>
      <c r="D164" s="2" t="s">
        <v>352</v>
      </c>
      <c r="E164" s="190" t="s">
        <v>39</v>
      </c>
      <c r="F164" s="211" t="str">
        <f>VLOOKUP(A164,'Summary June 2026'!A:F,6,FALSE)</f>
        <v>Chq Bk</v>
      </c>
      <c r="G164" s="33"/>
      <c r="H164" s="790">
        <v>0</v>
      </c>
      <c r="I164" s="790">
        <v>0</v>
      </c>
      <c r="J164" s="790">
        <v>13290</v>
      </c>
      <c r="L164" s="791">
        <v>0</v>
      </c>
      <c r="M164" s="791">
        <v>0</v>
      </c>
      <c r="O164" s="875">
        <v>-276.83333333333331</v>
      </c>
      <c r="P164" s="875">
        <v>0</v>
      </c>
      <c r="Q164" s="877">
        <v>0</v>
      </c>
      <c r="R164" s="890"/>
      <c r="AI164" s="797">
        <f t="shared" si="11"/>
        <v>13013.166666666666</v>
      </c>
      <c r="AK164" s="795">
        <f t="shared" si="13"/>
        <v>0</v>
      </c>
      <c r="AL164" s="795">
        <f t="shared" si="13"/>
        <v>0</v>
      </c>
      <c r="AM164" s="795">
        <f t="shared" si="13"/>
        <v>13290</v>
      </c>
      <c r="AN164" s="278">
        <f t="shared" si="12"/>
        <v>276.83333333333394</v>
      </c>
    </row>
    <row r="165" spans="1:40">
      <c r="A165" s="198">
        <v>2184</v>
      </c>
      <c r="B165" s="2">
        <v>103262</v>
      </c>
      <c r="C165" s="2" t="s">
        <v>353</v>
      </c>
      <c r="D165" s="2" t="s">
        <v>354</v>
      </c>
      <c r="E165" s="190" t="s">
        <v>39</v>
      </c>
      <c r="F165" s="211" t="str">
        <f>VLOOKUP(A165,'Summary June 2026'!A:F,6,FALSE)</f>
        <v>Chq Bk</v>
      </c>
      <c r="G165" s="33"/>
      <c r="H165" s="790">
        <v>0</v>
      </c>
      <c r="I165" s="790">
        <v>0</v>
      </c>
      <c r="J165" s="790">
        <v>58082.17</v>
      </c>
      <c r="L165" s="791">
        <v>0</v>
      </c>
      <c r="M165" s="791">
        <v>0</v>
      </c>
      <c r="O165" s="875">
        <v>-4043.8325000000004</v>
      </c>
      <c r="P165" s="875">
        <v>0</v>
      </c>
      <c r="Q165" s="877">
        <v>0</v>
      </c>
      <c r="R165" s="890"/>
      <c r="AI165" s="797">
        <f t="shared" si="11"/>
        <v>54038.337499999994</v>
      </c>
      <c r="AK165" s="795">
        <f t="shared" si="13"/>
        <v>0</v>
      </c>
      <c r="AL165" s="795">
        <f t="shared" si="13"/>
        <v>0</v>
      </c>
      <c r="AM165" s="795">
        <f t="shared" si="13"/>
        <v>58082.17</v>
      </c>
      <c r="AN165" s="278">
        <f t="shared" si="12"/>
        <v>4043.8325000000041</v>
      </c>
    </row>
    <row r="166" spans="1:40">
      <c r="A166" s="198">
        <v>2190</v>
      </c>
      <c r="B166" s="2">
        <v>103266</v>
      </c>
      <c r="C166" s="2" t="s">
        <v>355</v>
      </c>
      <c r="D166" s="2" t="s">
        <v>356</v>
      </c>
      <c r="E166" s="190" t="s">
        <v>39</v>
      </c>
      <c r="F166" s="211" t="str">
        <f>VLOOKUP(A166,'Summary June 2026'!A:F,6,FALSE)</f>
        <v>Chq Bk</v>
      </c>
      <c r="G166" s="33"/>
      <c r="H166" s="790">
        <v>0</v>
      </c>
      <c r="I166" s="790">
        <v>0</v>
      </c>
      <c r="J166" s="790">
        <v>16612</v>
      </c>
      <c r="L166" s="791">
        <v>0</v>
      </c>
      <c r="M166" s="791">
        <v>0</v>
      </c>
      <c r="O166" s="875">
        <v>-4367.416666666667</v>
      </c>
      <c r="P166" s="875">
        <v>0</v>
      </c>
      <c r="Q166" s="877">
        <v>0</v>
      </c>
      <c r="R166" s="890"/>
      <c r="AI166" s="797">
        <f t="shared" si="11"/>
        <v>12244.583333333332</v>
      </c>
      <c r="AK166" s="795">
        <f t="shared" si="13"/>
        <v>0</v>
      </c>
      <c r="AL166" s="795">
        <f t="shared" si="13"/>
        <v>0</v>
      </c>
      <c r="AM166" s="795">
        <f t="shared" si="13"/>
        <v>16612</v>
      </c>
      <c r="AN166" s="278">
        <f t="shared" si="12"/>
        <v>4367.4166666666679</v>
      </c>
    </row>
    <row r="167" spans="1:40">
      <c r="A167" s="198">
        <v>7035</v>
      </c>
      <c r="B167" s="2">
        <v>103615</v>
      </c>
      <c r="C167" s="2" t="s">
        <v>357</v>
      </c>
      <c r="D167" s="2" t="s">
        <v>358</v>
      </c>
      <c r="E167" s="190" t="s">
        <v>56</v>
      </c>
      <c r="F167" s="211" t="str">
        <f>VLOOKUP(A167,'Summary June 2026'!A:F,6,FALSE)</f>
        <v>Chq Bk</v>
      </c>
      <c r="G167" s="33"/>
      <c r="H167" s="790">
        <v>1476666.67</v>
      </c>
      <c r="I167" s="790">
        <v>0</v>
      </c>
      <c r="J167" s="790">
        <v>2219907.2399999998</v>
      </c>
      <c r="L167" s="791">
        <v>0</v>
      </c>
      <c r="M167" s="791">
        <v>0</v>
      </c>
      <c r="O167" s="875">
        <v>0</v>
      </c>
      <c r="P167" s="875">
        <v>0</v>
      </c>
      <c r="Q167" s="877">
        <v>0</v>
      </c>
      <c r="R167" s="890"/>
      <c r="AI167" s="797">
        <f t="shared" si="11"/>
        <v>3696573.9099999997</v>
      </c>
      <c r="AK167" s="795">
        <f t="shared" si="13"/>
        <v>1476666.67</v>
      </c>
      <c r="AL167" s="795">
        <f t="shared" si="13"/>
        <v>0</v>
      </c>
      <c r="AM167" s="795">
        <f t="shared" si="13"/>
        <v>2219907.2399999998</v>
      </c>
      <c r="AN167" s="278">
        <f t="shared" si="12"/>
        <v>0</v>
      </c>
    </row>
    <row r="168" spans="1:40">
      <c r="A168" s="198">
        <v>7045</v>
      </c>
      <c r="B168" s="2">
        <v>103622</v>
      </c>
      <c r="C168" s="2" t="s">
        <v>359</v>
      </c>
      <c r="D168" s="2" t="s">
        <v>360</v>
      </c>
      <c r="E168" s="190" t="s">
        <v>56</v>
      </c>
      <c r="F168" s="211" t="str">
        <f>VLOOKUP(A168,'Summary June 2026'!A:F,6,FALSE)</f>
        <v>Chq Bk</v>
      </c>
      <c r="G168" s="33"/>
      <c r="H168" s="790">
        <v>2700000</v>
      </c>
      <c r="I168" s="790">
        <v>0</v>
      </c>
      <c r="J168" s="790">
        <v>4300376.08</v>
      </c>
      <c r="L168" s="791">
        <v>0</v>
      </c>
      <c r="M168" s="791">
        <v>0</v>
      </c>
      <c r="O168" s="875">
        <v>0</v>
      </c>
      <c r="P168" s="875">
        <v>0</v>
      </c>
      <c r="Q168" s="877">
        <v>0</v>
      </c>
      <c r="R168" s="890"/>
      <c r="AI168" s="797">
        <f t="shared" si="11"/>
        <v>7000376.0800000001</v>
      </c>
      <c r="AK168" s="795">
        <f t="shared" ref="AK168:AM187" si="14">SUMIFS($H168:$AG168,$H$3:$AG$3,AK$7)</f>
        <v>2700000</v>
      </c>
      <c r="AL168" s="795">
        <f t="shared" si="14"/>
        <v>0</v>
      </c>
      <c r="AM168" s="795">
        <f t="shared" si="14"/>
        <v>4300376.08</v>
      </c>
      <c r="AN168" s="278">
        <f t="shared" si="12"/>
        <v>0</v>
      </c>
    </row>
    <row r="169" spans="1:40">
      <c r="A169" s="198">
        <v>2192</v>
      </c>
      <c r="B169" s="2">
        <v>103268</v>
      </c>
      <c r="C169" s="2" t="s">
        <v>361</v>
      </c>
      <c r="D169" s="2" t="s">
        <v>362</v>
      </c>
      <c r="E169" s="190" t="s">
        <v>39</v>
      </c>
      <c r="F169" s="211" t="str">
        <f>VLOOKUP(A169,'Summary June 2026'!A:F,6,FALSE)</f>
        <v>Chq Bk</v>
      </c>
      <c r="G169" s="33"/>
      <c r="H169" s="790">
        <v>0</v>
      </c>
      <c r="I169" s="790">
        <v>0</v>
      </c>
      <c r="J169" s="790">
        <v>17226.669999999998</v>
      </c>
      <c r="L169" s="791">
        <v>0</v>
      </c>
      <c r="M169" s="791">
        <v>0</v>
      </c>
      <c r="O169" s="875">
        <v>-1625.971666666667</v>
      </c>
      <c r="P169" s="875">
        <v>0</v>
      </c>
      <c r="Q169" s="877">
        <v>0</v>
      </c>
      <c r="R169" s="890"/>
      <c r="AI169" s="797">
        <f t="shared" si="11"/>
        <v>15600.698333333332</v>
      </c>
      <c r="AK169" s="795">
        <f t="shared" si="14"/>
        <v>0</v>
      </c>
      <c r="AL169" s="795">
        <f t="shared" si="14"/>
        <v>0</v>
      </c>
      <c r="AM169" s="795">
        <f t="shared" si="14"/>
        <v>17226.669999999998</v>
      </c>
      <c r="AN169" s="278">
        <f t="shared" si="12"/>
        <v>1625.9716666666664</v>
      </c>
    </row>
    <row r="170" spans="1:40">
      <c r="A170" s="198">
        <v>7014</v>
      </c>
      <c r="B170" s="2">
        <v>103605</v>
      </c>
      <c r="C170" s="2" t="s">
        <v>363</v>
      </c>
      <c r="D170" s="2" t="s">
        <v>364</v>
      </c>
      <c r="E170" s="190" t="s">
        <v>56</v>
      </c>
      <c r="F170" s="211" t="str">
        <f>VLOOKUP(A170,'Summary June 2026'!A:F,6,FALSE)</f>
        <v>Chq Bk</v>
      </c>
      <c r="G170" s="33"/>
      <c r="H170" s="790">
        <v>2438333.34</v>
      </c>
      <c r="I170" s="790">
        <v>520000</v>
      </c>
      <c r="J170" s="790">
        <v>5500289.8700000001</v>
      </c>
      <c r="L170" s="791">
        <v>0</v>
      </c>
      <c r="M170" s="791">
        <v>0</v>
      </c>
      <c r="O170" s="875">
        <v>0</v>
      </c>
      <c r="P170" s="875">
        <v>0</v>
      </c>
      <c r="Q170" s="877">
        <v>0</v>
      </c>
      <c r="R170" s="890"/>
      <c r="AI170" s="797">
        <f t="shared" si="11"/>
        <v>8458623.2100000009</v>
      </c>
      <c r="AK170" s="795">
        <f t="shared" si="14"/>
        <v>2438333.34</v>
      </c>
      <c r="AL170" s="795">
        <f t="shared" si="14"/>
        <v>520000</v>
      </c>
      <c r="AM170" s="795">
        <f t="shared" si="14"/>
        <v>5500289.8700000001</v>
      </c>
      <c r="AN170" s="278">
        <f t="shared" si="12"/>
        <v>0</v>
      </c>
    </row>
    <row r="171" spans="1:40">
      <c r="A171" s="198">
        <v>7009</v>
      </c>
      <c r="B171" s="2">
        <v>103601</v>
      </c>
      <c r="C171" s="2" t="s">
        <v>365</v>
      </c>
      <c r="D171" s="2" t="s">
        <v>366</v>
      </c>
      <c r="E171" s="190" t="s">
        <v>56</v>
      </c>
      <c r="F171" s="211" t="str">
        <f>VLOOKUP(A171,'Summary June 2026'!A:F,6,FALSE)</f>
        <v>Chq Bk</v>
      </c>
      <c r="G171" s="33"/>
      <c r="H171" s="790">
        <v>1856666.67</v>
      </c>
      <c r="I171" s="790">
        <v>470000</v>
      </c>
      <c r="J171" s="790">
        <v>4420416.76</v>
      </c>
      <c r="L171" s="791">
        <v>0</v>
      </c>
      <c r="M171" s="791">
        <v>0</v>
      </c>
      <c r="O171" s="875">
        <v>0</v>
      </c>
      <c r="P171" s="875">
        <v>0</v>
      </c>
      <c r="Q171" s="877">
        <v>0</v>
      </c>
      <c r="R171" s="890"/>
      <c r="AI171" s="797">
        <f t="shared" si="11"/>
        <v>6747083.4299999997</v>
      </c>
      <c r="AK171" s="795">
        <f t="shared" si="14"/>
        <v>1856666.67</v>
      </c>
      <c r="AL171" s="795">
        <f t="shared" si="14"/>
        <v>470000</v>
      </c>
      <c r="AM171" s="795">
        <f t="shared" si="14"/>
        <v>4420416.76</v>
      </c>
      <c r="AN171" s="278">
        <f t="shared" si="12"/>
        <v>0</v>
      </c>
    </row>
    <row r="172" spans="1:40">
      <c r="A172" s="198">
        <v>5203</v>
      </c>
      <c r="B172" s="2">
        <v>103544</v>
      </c>
      <c r="C172" s="2" t="s">
        <v>367</v>
      </c>
      <c r="D172" s="2" t="s">
        <v>368</v>
      </c>
      <c r="E172" s="190" t="s">
        <v>39</v>
      </c>
      <c r="F172" s="211" t="str">
        <f>VLOOKUP(A172,'Summary June 2026'!A:F,6,FALSE)</f>
        <v>Chq Bk</v>
      </c>
      <c r="G172" s="33"/>
      <c r="H172" s="790">
        <v>0</v>
      </c>
      <c r="I172" s="790">
        <v>0</v>
      </c>
      <c r="J172" s="790">
        <v>45407.5</v>
      </c>
      <c r="L172" s="791">
        <v>0</v>
      </c>
      <c r="M172" s="791">
        <v>0</v>
      </c>
      <c r="O172" s="875">
        <v>-4243.2641666666668</v>
      </c>
      <c r="P172" s="875">
        <v>0</v>
      </c>
      <c r="Q172" s="877">
        <v>0</v>
      </c>
      <c r="R172" s="890"/>
      <c r="AI172" s="797">
        <f t="shared" si="11"/>
        <v>41164.235833333332</v>
      </c>
      <c r="AK172" s="795">
        <f t="shared" si="14"/>
        <v>0</v>
      </c>
      <c r="AL172" s="795">
        <f t="shared" si="14"/>
        <v>0</v>
      </c>
      <c r="AM172" s="795">
        <f t="shared" si="14"/>
        <v>45407.5</v>
      </c>
      <c r="AN172" s="278">
        <f t="shared" si="12"/>
        <v>4243.2641666666677</v>
      </c>
    </row>
    <row r="173" spans="1:40">
      <c r="A173" s="198">
        <v>5202</v>
      </c>
      <c r="B173" s="2">
        <v>103543</v>
      </c>
      <c r="C173" s="2" t="s">
        <v>369</v>
      </c>
      <c r="D173" s="2" t="s">
        <v>370</v>
      </c>
      <c r="E173" s="190" t="s">
        <v>39</v>
      </c>
      <c r="F173" s="211" t="str">
        <f>VLOOKUP(A173,'Summary June 2026'!A:F,6,FALSE)</f>
        <v>Chq Bk</v>
      </c>
      <c r="G173" s="33"/>
      <c r="H173" s="790">
        <v>0</v>
      </c>
      <c r="I173" s="790">
        <v>0</v>
      </c>
      <c r="J173" s="790">
        <v>77525</v>
      </c>
      <c r="L173" s="791">
        <v>0</v>
      </c>
      <c r="M173" s="791">
        <v>0</v>
      </c>
      <c r="O173" s="875">
        <v>-7201.6175000000003</v>
      </c>
      <c r="P173" s="875">
        <v>0</v>
      </c>
      <c r="Q173" s="877">
        <v>0</v>
      </c>
      <c r="R173" s="890"/>
      <c r="AI173" s="797">
        <f t="shared" si="11"/>
        <v>70323.382500000007</v>
      </c>
      <c r="AK173" s="795">
        <f t="shared" si="14"/>
        <v>0</v>
      </c>
      <c r="AL173" s="795">
        <f t="shared" si="14"/>
        <v>0</v>
      </c>
      <c r="AM173" s="795">
        <f t="shared" si="14"/>
        <v>77525</v>
      </c>
      <c r="AN173" s="278">
        <f t="shared" si="12"/>
        <v>7201.617499999993</v>
      </c>
    </row>
    <row r="174" spans="1:40">
      <c r="A174" s="198">
        <v>2108</v>
      </c>
      <c r="B174" s="2">
        <v>103217</v>
      </c>
      <c r="C174" s="2" t="s">
        <v>371</v>
      </c>
      <c r="D174" s="2" t="s">
        <v>372</v>
      </c>
      <c r="E174" s="190" t="s">
        <v>39</v>
      </c>
      <c r="F174" s="211" t="str">
        <f>VLOOKUP(A174,'Summary June 2026'!A:F,6,FALSE)</f>
        <v>Chq Bk</v>
      </c>
      <c r="G174" s="33"/>
      <c r="H174" s="790">
        <v>0</v>
      </c>
      <c r="I174" s="790">
        <v>0</v>
      </c>
      <c r="J174" s="790">
        <v>0</v>
      </c>
      <c r="L174" s="791">
        <v>98000</v>
      </c>
      <c r="M174" s="791">
        <v>320295.71999999997</v>
      </c>
      <c r="O174" s="875">
        <v>0</v>
      </c>
      <c r="P174" s="875">
        <v>-13068.40916666667</v>
      </c>
      <c r="Q174" s="877">
        <v>0</v>
      </c>
      <c r="R174" s="890"/>
      <c r="S174" s="877">
        <v>10000</v>
      </c>
      <c r="T174" s="877">
        <v>-22590.720000000001</v>
      </c>
      <c r="AI174" s="797">
        <f t="shared" si="11"/>
        <v>392636.59083333332</v>
      </c>
      <c r="AK174" s="795">
        <f t="shared" si="14"/>
        <v>108000</v>
      </c>
      <c r="AL174" s="795">
        <f t="shared" si="14"/>
        <v>0</v>
      </c>
      <c r="AM174" s="795">
        <f t="shared" si="14"/>
        <v>297705</v>
      </c>
      <c r="AN174" s="278">
        <f t="shared" si="12"/>
        <v>13068.409166666679</v>
      </c>
    </row>
    <row r="175" spans="1:40">
      <c r="A175" s="198">
        <v>1019</v>
      </c>
      <c r="B175" s="2">
        <v>103132</v>
      </c>
      <c r="C175" s="2" t="s">
        <v>373</v>
      </c>
      <c r="D175" s="2" t="s">
        <v>374</v>
      </c>
      <c r="E175" s="190" t="s">
        <v>36</v>
      </c>
      <c r="F175" s="211" t="str">
        <f>VLOOKUP(A175,'Summary June 2026'!A:F,6,FALSE)</f>
        <v>Chq Bk</v>
      </c>
      <c r="G175" s="33"/>
      <c r="H175" s="790">
        <v>0</v>
      </c>
      <c r="I175" s="790">
        <v>0</v>
      </c>
      <c r="J175" s="790">
        <v>0</v>
      </c>
      <c r="L175" s="791">
        <v>0</v>
      </c>
      <c r="M175" s="791">
        <v>0</v>
      </c>
      <c r="O175" s="875">
        <v>-1607.5</v>
      </c>
      <c r="P175" s="875">
        <v>0</v>
      </c>
      <c r="Q175" s="877">
        <v>0</v>
      </c>
      <c r="R175" s="890"/>
      <c r="AI175" s="797">
        <f t="shared" si="11"/>
        <v>-1607.5</v>
      </c>
      <c r="AK175" s="795">
        <f t="shared" si="14"/>
        <v>0</v>
      </c>
      <c r="AL175" s="795">
        <f t="shared" si="14"/>
        <v>0</v>
      </c>
      <c r="AM175" s="795">
        <f t="shared" si="14"/>
        <v>0</v>
      </c>
      <c r="AN175" s="278">
        <f t="shared" si="12"/>
        <v>1607.5</v>
      </c>
    </row>
    <row r="176" spans="1:40">
      <c r="A176" s="198">
        <v>2306</v>
      </c>
      <c r="B176" s="2">
        <v>103326</v>
      </c>
      <c r="C176" s="2" t="s">
        <v>375</v>
      </c>
      <c r="D176" s="2" t="s">
        <v>376</v>
      </c>
      <c r="E176" s="190" t="s">
        <v>39</v>
      </c>
      <c r="F176" s="211" t="str">
        <f>VLOOKUP(A176,'Summary June 2026'!A:F,6,FALSE)</f>
        <v>Chq Bk</v>
      </c>
      <c r="G176" s="33"/>
      <c r="H176" s="790">
        <v>0</v>
      </c>
      <c r="I176" s="790">
        <v>0</v>
      </c>
      <c r="J176" s="790">
        <v>13290</v>
      </c>
      <c r="L176" s="791">
        <v>0</v>
      </c>
      <c r="M176" s="791">
        <v>0</v>
      </c>
      <c r="O176" s="875">
        <v>-3785.9025000000001</v>
      </c>
      <c r="P176" s="875">
        <v>0</v>
      </c>
      <c r="Q176" s="877">
        <v>0</v>
      </c>
      <c r="R176" s="890"/>
      <c r="AI176" s="797">
        <f t="shared" si="11"/>
        <v>9504.0974999999999</v>
      </c>
      <c r="AK176" s="795">
        <f t="shared" si="14"/>
        <v>0</v>
      </c>
      <c r="AL176" s="795">
        <f t="shared" si="14"/>
        <v>0</v>
      </c>
      <c r="AM176" s="795">
        <f t="shared" si="14"/>
        <v>13290</v>
      </c>
      <c r="AN176" s="278">
        <f t="shared" si="12"/>
        <v>3785.9025000000001</v>
      </c>
    </row>
    <row r="177" spans="1:40">
      <c r="A177" s="198">
        <v>2308</v>
      </c>
      <c r="B177" s="2">
        <v>103328</v>
      </c>
      <c r="C177" s="2" t="s">
        <v>377</v>
      </c>
      <c r="D177" s="2" t="s">
        <v>378</v>
      </c>
      <c r="E177" s="190" t="s">
        <v>39</v>
      </c>
      <c r="F177" s="211" t="str">
        <f>VLOOKUP(A177,'Summary June 2026'!A:F,6,FALSE)</f>
        <v>Chq Bk</v>
      </c>
      <c r="G177" s="33"/>
      <c r="H177" s="790">
        <v>0</v>
      </c>
      <c r="I177" s="790">
        <v>0</v>
      </c>
      <c r="J177" s="790">
        <v>0</v>
      </c>
      <c r="L177" s="791">
        <v>0</v>
      </c>
      <c r="M177" s="791">
        <v>132900</v>
      </c>
      <c r="O177" s="875">
        <v>0</v>
      </c>
      <c r="P177" s="875">
        <v>-14621.305833333332</v>
      </c>
      <c r="Q177" s="877">
        <v>0</v>
      </c>
      <c r="R177" s="890"/>
      <c r="AI177" s="797">
        <f t="shared" si="11"/>
        <v>118278.69416666667</v>
      </c>
      <c r="AK177" s="795">
        <f t="shared" si="14"/>
        <v>0</v>
      </c>
      <c r="AL177" s="795">
        <f t="shared" si="14"/>
        <v>0</v>
      </c>
      <c r="AM177" s="795">
        <f t="shared" si="14"/>
        <v>132900</v>
      </c>
      <c r="AN177" s="278">
        <f t="shared" si="12"/>
        <v>14621.305833333332</v>
      </c>
    </row>
    <row r="178" spans="1:40">
      <c r="A178" s="198">
        <v>2245</v>
      </c>
      <c r="B178" s="2">
        <v>103295</v>
      </c>
      <c r="C178" s="2" t="s">
        <v>379</v>
      </c>
      <c r="D178" s="2" t="s">
        <v>380</v>
      </c>
      <c r="E178" s="190" t="s">
        <v>39</v>
      </c>
      <c r="F178" s="211" t="str">
        <f>VLOOKUP(A178,'Summary June 2026'!A:F,6,FALSE)</f>
        <v>Chq Bk</v>
      </c>
      <c r="G178" s="33"/>
      <c r="H178" s="790">
        <v>0</v>
      </c>
      <c r="I178" s="790">
        <v>0</v>
      </c>
      <c r="J178" s="790">
        <v>0</v>
      </c>
      <c r="L178" s="791">
        <v>80000</v>
      </c>
      <c r="M178" s="791">
        <v>157662.79999999999</v>
      </c>
      <c r="O178" s="875">
        <v>0</v>
      </c>
      <c r="P178" s="875">
        <v>-3688.9166666666665</v>
      </c>
      <c r="Q178" s="877">
        <v>0</v>
      </c>
      <c r="R178" s="890"/>
      <c r="AI178" s="797">
        <f t="shared" si="11"/>
        <v>233973.88333333333</v>
      </c>
      <c r="AK178" s="795">
        <f t="shared" si="14"/>
        <v>80000</v>
      </c>
      <c r="AL178" s="795">
        <f t="shared" si="14"/>
        <v>0</v>
      </c>
      <c r="AM178" s="795">
        <f t="shared" si="14"/>
        <v>157662.79999999999</v>
      </c>
      <c r="AN178" s="278">
        <f t="shared" si="12"/>
        <v>3688.916666666657</v>
      </c>
    </row>
    <row r="179" spans="1:40">
      <c r="A179" s="198">
        <v>1020</v>
      </c>
      <c r="B179" s="2">
        <v>103133</v>
      </c>
      <c r="C179" s="2" t="s">
        <v>381</v>
      </c>
      <c r="D179" s="2" t="s">
        <v>382</v>
      </c>
      <c r="E179" s="190" t="s">
        <v>36</v>
      </c>
      <c r="F179" s="211" t="str">
        <f>VLOOKUP(A179,'Summary June 2026'!A:F,6,FALSE)</f>
        <v>Chq Bk</v>
      </c>
      <c r="G179" s="33"/>
      <c r="H179" s="790">
        <v>0</v>
      </c>
      <c r="I179" s="790">
        <v>0</v>
      </c>
      <c r="J179" s="790">
        <v>0</v>
      </c>
      <c r="L179" s="791">
        <v>0</v>
      </c>
      <c r="M179" s="791">
        <v>0</v>
      </c>
      <c r="O179" s="875">
        <v>-13082.083333333334</v>
      </c>
      <c r="P179" s="875">
        <v>0</v>
      </c>
      <c r="Q179" s="877">
        <v>0</v>
      </c>
      <c r="R179" s="890"/>
      <c r="AI179" s="797">
        <f t="shared" si="11"/>
        <v>-13082.083333333334</v>
      </c>
      <c r="AK179" s="795">
        <f t="shared" si="14"/>
        <v>0</v>
      </c>
      <c r="AL179" s="795">
        <f t="shared" si="14"/>
        <v>0</v>
      </c>
      <c r="AM179" s="795">
        <f t="shared" si="14"/>
        <v>0</v>
      </c>
      <c r="AN179" s="278">
        <f t="shared" si="12"/>
        <v>13082.083333333334</v>
      </c>
    </row>
    <row r="180" spans="1:40">
      <c r="A180" s="198">
        <v>1014</v>
      </c>
      <c r="B180" s="2">
        <v>103127</v>
      </c>
      <c r="C180" s="2" t="s">
        <v>383</v>
      </c>
      <c r="D180" s="2" t="s">
        <v>384</v>
      </c>
      <c r="E180" s="190" t="s">
        <v>36</v>
      </c>
      <c r="F180" s="211" t="str">
        <f>VLOOKUP(A180,'Summary June 2026'!A:F,6,FALSE)</f>
        <v>Chq Bk</v>
      </c>
      <c r="G180" s="33"/>
      <c r="H180" s="790">
        <v>0</v>
      </c>
      <c r="I180" s="790">
        <v>0</v>
      </c>
      <c r="J180" s="790">
        <v>0</v>
      </c>
      <c r="L180" s="791">
        <v>0</v>
      </c>
      <c r="M180" s="791">
        <v>0</v>
      </c>
      <c r="O180" s="875">
        <v>-3302.5</v>
      </c>
      <c r="P180" s="875">
        <v>0</v>
      </c>
      <c r="Q180" s="877">
        <v>0</v>
      </c>
      <c r="R180" s="890"/>
      <c r="AI180" s="797">
        <f t="shared" si="11"/>
        <v>-3302.5</v>
      </c>
      <c r="AK180" s="795">
        <f t="shared" si="14"/>
        <v>0</v>
      </c>
      <c r="AL180" s="795">
        <f t="shared" si="14"/>
        <v>0</v>
      </c>
      <c r="AM180" s="795">
        <f t="shared" si="14"/>
        <v>0</v>
      </c>
      <c r="AN180" s="278">
        <f t="shared" si="12"/>
        <v>3302.5</v>
      </c>
    </row>
    <row r="181" spans="1:40">
      <c r="A181" s="198">
        <v>2019</v>
      </c>
      <c r="B181" s="2">
        <v>134279</v>
      </c>
      <c r="C181" s="2" t="s">
        <v>385</v>
      </c>
      <c r="D181" s="2" t="s">
        <v>386</v>
      </c>
      <c r="E181" s="190" t="s">
        <v>39</v>
      </c>
      <c r="F181" s="211" t="str">
        <f>VLOOKUP(A181,'Summary June 2026'!A:F,6,FALSE)</f>
        <v>Chq Bk</v>
      </c>
      <c r="G181" s="33"/>
      <c r="H181" s="790">
        <v>0</v>
      </c>
      <c r="I181" s="790">
        <v>0</v>
      </c>
      <c r="J181" s="790">
        <v>229252.5</v>
      </c>
      <c r="L181" s="791">
        <v>0</v>
      </c>
      <c r="M181" s="791">
        <v>0</v>
      </c>
      <c r="O181" s="875">
        <v>-15218.020833333334</v>
      </c>
      <c r="P181" s="875">
        <v>0</v>
      </c>
      <c r="Q181" s="877">
        <v>0</v>
      </c>
      <c r="R181" s="890"/>
      <c r="AI181" s="797">
        <f t="shared" si="11"/>
        <v>214034.47916666666</v>
      </c>
      <c r="AK181" s="795">
        <f t="shared" si="14"/>
        <v>0</v>
      </c>
      <c r="AL181" s="795">
        <f t="shared" si="14"/>
        <v>0</v>
      </c>
      <c r="AM181" s="795">
        <f t="shared" si="14"/>
        <v>229252.5</v>
      </c>
      <c r="AN181" s="278">
        <f t="shared" si="12"/>
        <v>15218.020833333343</v>
      </c>
    </row>
    <row r="182" spans="1:40">
      <c r="A182" s="198">
        <v>2011</v>
      </c>
      <c r="B182" s="2">
        <v>134099</v>
      </c>
      <c r="C182" s="2" t="s">
        <v>387</v>
      </c>
      <c r="D182" s="2" t="s">
        <v>388</v>
      </c>
      <c r="E182" s="190" t="s">
        <v>39</v>
      </c>
      <c r="F182" s="211" t="str">
        <f>VLOOKUP(A182,'Summary June 2026'!A:F,6,FALSE)</f>
        <v>Chq Bk</v>
      </c>
      <c r="G182" s="33"/>
      <c r="H182" s="790">
        <v>0</v>
      </c>
      <c r="I182" s="790">
        <v>0</v>
      </c>
      <c r="J182" s="790">
        <v>187167.5</v>
      </c>
      <c r="L182" s="791">
        <v>0</v>
      </c>
      <c r="M182" s="791">
        <v>0</v>
      </c>
      <c r="O182" s="875">
        <v>-9726.1108333333304</v>
      </c>
      <c r="P182" s="875">
        <v>0</v>
      </c>
      <c r="Q182" s="877">
        <v>0</v>
      </c>
      <c r="R182" s="890"/>
      <c r="AI182" s="797">
        <f t="shared" si="11"/>
        <v>177441.38916666666</v>
      </c>
      <c r="AK182" s="795">
        <f t="shared" si="14"/>
        <v>0</v>
      </c>
      <c r="AL182" s="795">
        <f t="shared" si="14"/>
        <v>0</v>
      </c>
      <c r="AM182" s="795">
        <f t="shared" si="14"/>
        <v>187167.5</v>
      </c>
      <c r="AN182" s="278">
        <f t="shared" si="12"/>
        <v>9726.1108333333395</v>
      </c>
    </row>
    <row r="183" spans="1:40">
      <c r="A183" s="198">
        <v>4193</v>
      </c>
      <c r="B183" s="2">
        <v>103501</v>
      </c>
      <c r="C183" s="2" t="s">
        <v>389</v>
      </c>
      <c r="D183" s="2" t="s">
        <v>390</v>
      </c>
      <c r="E183" s="190" t="s">
        <v>71</v>
      </c>
      <c r="F183" s="211" t="str">
        <f>VLOOKUP(A183,'Summary June 2026'!A:F,6,FALSE)</f>
        <v>Chq Bk</v>
      </c>
      <c r="G183" s="33"/>
      <c r="H183" s="790">
        <v>0</v>
      </c>
      <c r="I183" s="790">
        <v>0</v>
      </c>
      <c r="J183" s="790">
        <v>171662.5</v>
      </c>
      <c r="L183" s="791">
        <v>0</v>
      </c>
      <c r="M183" s="791">
        <v>0</v>
      </c>
      <c r="O183" s="875">
        <v>-10493.097499999998</v>
      </c>
      <c r="P183" s="875">
        <v>0</v>
      </c>
      <c r="Q183" s="877">
        <v>0</v>
      </c>
      <c r="R183" s="890"/>
      <c r="AI183" s="797">
        <f t="shared" si="11"/>
        <v>161169.4025</v>
      </c>
      <c r="AK183" s="795">
        <f t="shared" si="14"/>
        <v>0</v>
      </c>
      <c r="AL183" s="795">
        <f t="shared" si="14"/>
        <v>0</v>
      </c>
      <c r="AM183" s="795">
        <f t="shared" si="14"/>
        <v>171662.5</v>
      </c>
      <c r="AN183" s="278">
        <f t="shared" si="12"/>
        <v>10493.097500000003</v>
      </c>
    </row>
    <row r="184" spans="1:40">
      <c r="A184" s="198">
        <v>2478</v>
      </c>
      <c r="B184" s="2">
        <v>132007</v>
      </c>
      <c r="C184" s="2" t="s">
        <v>391</v>
      </c>
      <c r="D184" s="2" t="s">
        <v>392</v>
      </c>
      <c r="E184" s="190" t="s">
        <v>39</v>
      </c>
      <c r="F184" s="211" t="str">
        <f>VLOOKUP(A184,'Summary June 2026'!A:F,6,FALSE)</f>
        <v>Chq Bk</v>
      </c>
      <c r="G184" s="33"/>
      <c r="H184" s="790">
        <v>0</v>
      </c>
      <c r="I184" s="790">
        <v>0</v>
      </c>
      <c r="J184" s="790">
        <v>26580</v>
      </c>
      <c r="L184" s="791">
        <v>0</v>
      </c>
      <c r="M184" s="791">
        <v>0</v>
      </c>
      <c r="O184" s="875">
        <v>-3694.6666666666665</v>
      </c>
      <c r="P184" s="875">
        <v>0</v>
      </c>
      <c r="Q184" s="877">
        <v>0</v>
      </c>
      <c r="R184" s="890"/>
      <c r="AI184" s="797">
        <f t="shared" si="11"/>
        <v>22885.333333333332</v>
      </c>
      <c r="AK184" s="795">
        <f t="shared" si="14"/>
        <v>0</v>
      </c>
      <c r="AL184" s="795">
        <f t="shared" si="14"/>
        <v>0</v>
      </c>
      <c r="AM184" s="795">
        <f t="shared" si="14"/>
        <v>26580</v>
      </c>
      <c r="AN184" s="278">
        <f t="shared" si="12"/>
        <v>3694.6666666666679</v>
      </c>
    </row>
    <row r="185" spans="1:40">
      <c r="A185" s="198">
        <v>2293</v>
      </c>
      <c r="B185" s="2">
        <v>103317</v>
      </c>
      <c r="C185" s="2" t="s">
        <v>393</v>
      </c>
      <c r="D185" s="2" t="s">
        <v>394</v>
      </c>
      <c r="E185" s="190" t="s">
        <v>39</v>
      </c>
      <c r="F185" s="211" t="str">
        <f>VLOOKUP(A185,'Summary June 2026'!A:F,6,FALSE)</f>
        <v>Chq Bk</v>
      </c>
      <c r="G185" s="33"/>
      <c r="H185" s="790">
        <v>0</v>
      </c>
      <c r="I185" s="790">
        <v>0</v>
      </c>
      <c r="J185" s="790">
        <v>111857.5</v>
      </c>
      <c r="L185" s="791">
        <v>0</v>
      </c>
      <c r="M185" s="791">
        <v>0</v>
      </c>
      <c r="O185" s="875">
        <v>-4641.75</v>
      </c>
      <c r="P185" s="875">
        <v>0</v>
      </c>
      <c r="Q185" s="877">
        <v>0</v>
      </c>
      <c r="R185" s="890"/>
      <c r="AI185" s="797">
        <f t="shared" si="11"/>
        <v>107215.75</v>
      </c>
      <c r="AK185" s="795">
        <f t="shared" si="14"/>
        <v>0</v>
      </c>
      <c r="AL185" s="795">
        <f t="shared" si="14"/>
        <v>0</v>
      </c>
      <c r="AM185" s="795">
        <f t="shared" si="14"/>
        <v>111857.5</v>
      </c>
      <c r="AN185" s="278">
        <f t="shared" si="12"/>
        <v>4641.75</v>
      </c>
    </row>
    <row r="186" spans="1:40">
      <c r="A186" s="198">
        <v>2445</v>
      </c>
      <c r="B186" s="2">
        <v>103372</v>
      </c>
      <c r="C186" s="2" t="s">
        <v>395</v>
      </c>
      <c r="D186" s="2" t="s">
        <v>396</v>
      </c>
      <c r="E186" s="190" t="s">
        <v>39</v>
      </c>
      <c r="F186" s="211" t="str">
        <f>VLOOKUP(A186,'Summary June 2026'!A:F,6,FALSE)</f>
        <v>Chq Bk</v>
      </c>
      <c r="G186" s="33"/>
      <c r="H186" s="790">
        <v>0</v>
      </c>
      <c r="I186" s="790">
        <v>0</v>
      </c>
      <c r="J186" s="790">
        <v>85277.5</v>
      </c>
      <c r="L186" s="791">
        <v>0</v>
      </c>
      <c r="M186" s="791">
        <v>0</v>
      </c>
      <c r="O186" s="875">
        <v>-6805.916666666667</v>
      </c>
      <c r="P186" s="875">
        <v>0</v>
      </c>
      <c r="Q186" s="877">
        <v>0</v>
      </c>
      <c r="R186" s="890"/>
      <c r="AI186" s="797">
        <f t="shared" si="11"/>
        <v>78471.583333333328</v>
      </c>
      <c r="AK186" s="795">
        <f t="shared" si="14"/>
        <v>0</v>
      </c>
      <c r="AL186" s="795">
        <f t="shared" si="14"/>
        <v>0</v>
      </c>
      <c r="AM186" s="795">
        <f t="shared" si="14"/>
        <v>85277.5</v>
      </c>
      <c r="AN186" s="278">
        <f t="shared" si="12"/>
        <v>6805.9166666666715</v>
      </c>
    </row>
    <row r="187" spans="1:40">
      <c r="A187" s="198">
        <v>2278</v>
      </c>
      <c r="B187" s="2">
        <v>103310</v>
      </c>
      <c r="C187" s="2" t="s">
        <v>397</v>
      </c>
      <c r="D187" s="2" t="s">
        <v>398</v>
      </c>
      <c r="E187" s="190" t="s">
        <v>39</v>
      </c>
      <c r="F187" s="211" t="str">
        <f>VLOOKUP(A187,'Summary June 2026'!A:F,6,FALSE)</f>
        <v>Chq Bk</v>
      </c>
      <c r="G187" s="33"/>
      <c r="H187" s="790">
        <v>0</v>
      </c>
      <c r="I187" s="790">
        <v>0</v>
      </c>
      <c r="J187" s="790">
        <v>170555</v>
      </c>
      <c r="L187" s="791">
        <v>0</v>
      </c>
      <c r="M187" s="791">
        <v>0</v>
      </c>
      <c r="O187" s="875">
        <v>-20807.7775</v>
      </c>
      <c r="P187" s="875">
        <v>0</v>
      </c>
      <c r="Q187" s="877">
        <v>0</v>
      </c>
      <c r="R187" s="890"/>
      <c r="AI187" s="797">
        <f t="shared" si="11"/>
        <v>149747.2225</v>
      </c>
      <c r="AK187" s="795">
        <f t="shared" si="14"/>
        <v>0</v>
      </c>
      <c r="AL187" s="795">
        <f t="shared" si="14"/>
        <v>0</v>
      </c>
      <c r="AM187" s="795">
        <f t="shared" si="14"/>
        <v>170555</v>
      </c>
      <c r="AN187" s="278">
        <f t="shared" si="12"/>
        <v>20807.777499999997</v>
      </c>
    </row>
    <row r="188" spans="1:40">
      <c r="A188" s="198">
        <v>2317</v>
      </c>
      <c r="B188" s="2">
        <v>103337</v>
      </c>
      <c r="C188" s="2" t="s">
        <v>399</v>
      </c>
      <c r="D188" s="2" t="s">
        <v>400</v>
      </c>
      <c r="E188" s="190" t="s">
        <v>39</v>
      </c>
      <c r="F188" s="211" t="str">
        <f>VLOOKUP(A188,'Summary June 2026'!A:F,6,FALSE)</f>
        <v>Chq Bk</v>
      </c>
      <c r="G188" s="33"/>
      <c r="H188" s="790">
        <v>0</v>
      </c>
      <c r="I188" s="790">
        <v>0</v>
      </c>
      <c r="J188" s="790">
        <v>0</v>
      </c>
      <c r="L188" s="791">
        <v>26000</v>
      </c>
      <c r="M188" s="791">
        <v>177398.54</v>
      </c>
      <c r="O188" s="875">
        <v>0</v>
      </c>
      <c r="P188" s="875">
        <v>1473.8125</v>
      </c>
      <c r="Q188" s="877">
        <v>0</v>
      </c>
      <c r="R188" s="890"/>
      <c r="AI188" s="797">
        <f t="shared" si="11"/>
        <v>204872.35250000001</v>
      </c>
      <c r="AK188" s="795">
        <f t="shared" ref="AK188:AM193" si="15">SUMIFS($H188:$AG188,$H$3:$AG$3,AK$7)</f>
        <v>26000</v>
      </c>
      <c r="AL188" s="795">
        <f t="shared" si="15"/>
        <v>0</v>
      </c>
      <c r="AM188" s="795">
        <f t="shared" si="15"/>
        <v>177398.54</v>
      </c>
      <c r="AN188" s="278">
        <f t="shared" si="12"/>
        <v>-1473.8125</v>
      </c>
    </row>
    <row r="189" spans="1:40">
      <c r="A189" s="198">
        <v>2225</v>
      </c>
      <c r="B189" s="2">
        <v>103279</v>
      </c>
      <c r="C189" s="2" t="s">
        <v>401</v>
      </c>
      <c r="D189" s="2" t="s">
        <v>402</v>
      </c>
      <c r="E189" s="190" t="s">
        <v>39</v>
      </c>
      <c r="F189" s="211" t="str">
        <f>VLOOKUP(A189,'Summary June 2026'!A:F,6,FALSE)</f>
        <v>Chq Bk</v>
      </c>
      <c r="G189" s="33"/>
      <c r="H189" s="790">
        <v>0</v>
      </c>
      <c r="I189" s="790">
        <v>0</v>
      </c>
      <c r="J189" s="790">
        <v>0</v>
      </c>
      <c r="L189" s="791">
        <v>60000</v>
      </c>
      <c r="M189" s="791">
        <v>185632.74</v>
      </c>
      <c r="O189" s="875">
        <v>0</v>
      </c>
      <c r="P189" s="875">
        <v>-8136.0625</v>
      </c>
      <c r="Q189" s="877">
        <v>0</v>
      </c>
      <c r="R189" s="890"/>
      <c r="AI189" s="797">
        <f t="shared" si="11"/>
        <v>237496.67749999999</v>
      </c>
      <c r="AK189" s="795">
        <f t="shared" si="15"/>
        <v>60000</v>
      </c>
      <c r="AL189" s="795">
        <f t="shared" si="15"/>
        <v>0</v>
      </c>
      <c r="AM189" s="795">
        <f t="shared" si="15"/>
        <v>185632.74</v>
      </c>
      <c r="AN189" s="278">
        <f t="shared" si="12"/>
        <v>8136.0625</v>
      </c>
    </row>
    <row r="190" spans="1:40">
      <c r="A190" s="198">
        <v>2412</v>
      </c>
      <c r="B190" s="2">
        <v>103349</v>
      </c>
      <c r="C190" s="2" t="s">
        <v>403</v>
      </c>
      <c r="D190" s="2" t="s">
        <v>404</v>
      </c>
      <c r="E190" s="190" t="s">
        <v>39</v>
      </c>
      <c r="F190" s="211" t="str">
        <f>VLOOKUP(A190,'Summary June 2026'!A:F,6,FALSE)</f>
        <v>Chq Bk</v>
      </c>
      <c r="G190" s="33"/>
      <c r="H190" s="790">
        <v>0</v>
      </c>
      <c r="I190" s="790">
        <v>0</v>
      </c>
      <c r="J190" s="790">
        <v>104105</v>
      </c>
      <c r="L190" s="791">
        <v>0</v>
      </c>
      <c r="M190" s="791">
        <v>0</v>
      </c>
      <c r="O190" s="875">
        <v>-5494.958333333333</v>
      </c>
      <c r="P190" s="875">
        <v>0</v>
      </c>
      <c r="Q190" s="877">
        <v>0</v>
      </c>
      <c r="R190" s="890"/>
      <c r="AI190" s="797">
        <f t="shared" si="11"/>
        <v>98610.041666666672</v>
      </c>
      <c r="AK190" s="795">
        <f t="shared" si="15"/>
        <v>0</v>
      </c>
      <c r="AL190" s="795">
        <f t="shared" si="15"/>
        <v>0</v>
      </c>
      <c r="AM190" s="795">
        <f t="shared" si="15"/>
        <v>104105</v>
      </c>
      <c r="AN190" s="278">
        <f t="shared" si="12"/>
        <v>5494.9583333333285</v>
      </c>
    </row>
    <row r="191" spans="1:40">
      <c r="A191" s="198">
        <v>3421</v>
      </c>
      <c r="B191" s="2">
        <v>133996</v>
      </c>
      <c r="C191" s="2" t="s">
        <v>405</v>
      </c>
      <c r="D191" s="2" t="s">
        <v>406</v>
      </c>
      <c r="E191" s="190" t="s">
        <v>39</v>
      </c>
      <c r="F191" s="211" t="str">
        <f>VLOOKUP(A191,'Summary June 2026'!A:F,6,FALSE)</f>
        <v>Chq Bk</v>
      </c>
      <c r="G191" s="33"/>
      <c r="H191" s="790">
        <v>0</v>
      </c>
      <c r="I191" s="790">
        <v>0</v>
      </c>
      <c r="J191" s="790">
        <v>157265</v>
      </c>
      <c r="L191" s="791">
        <v>0</v>
      </c>
      <c r="M191" s="791">
        <v>0</v>
      </c>
      <c r="O191" s="875">
        <v>-11817.520833333334</v>
      </c>
      <c r="P191" s="875">
        <v>0</v>
      </c>
      <c r="Q191" s="877">
        <v>0</v>
      </c>
      <c r="R191" s="890"/>
      <c r="AI191" s="797">
        <f t="shared" si="11"/>
        <v>145447.47916666666</v>
      </c>
      <c r="AK191" s="795">
        <f t="shared" si="15"/>
        <v>0</v>
      </c>
      <c r="AL191" s="795">
        <f t="shared" si="15"/>
        <v>0</v>
      </c>
      <c r="AM191" s="795">
        <f t="shared" si="15"/>
        <v>157265</v>
      </c>
      <c r="AN191" s="278">
        <f t="shared" si="12"/>
        <v>11817.520833333343</v>
      </c>
    </row>
    <row r="192" spans="1:40">
      <c r="A192" s="198">
        <v>2227</v>
      </c>
      <c r="B192" s="2">
        <v>103281</v>
      </c>
      <c r="C192" s="2" t="s">
        <v>407</v>
      </c>
      <c r="D192" s="2" t="s">
        <v>408</v>
      </c>
      <c r="E192" s="190" t="s">
        <v>39</v>
      </c>
      <c r="F192" s="211" t="str">
        <f>VLOOKUP(A192,'Summary June 2026'!A:F,6,FALSE)</f>
        <v>Chq Bk</v>
      </c>
      <c r="G192" s="33"/>
      <c r="H192" s="790">
        <v>0</v>
      </c>
      <c r="I192" s="790">
        <v>0</v>
      </c>
      <c r="J192" s="790">
        <v>125147.5</v>
      </c>
      <c r="L192" s="791">
        <v>0</v>
      </c>
      <c r="M192" s="791">
        <v>0</v>
      </c>
      <c r="O192" s="875">
        <v>-14763.673333333334</v>
      </c>
      <c r="P192" s="875">
        <v>0</v>
      </c>
      <c r="Q192" s="877">
        <v>0</v>
      </c>
      <c r="R192" s="890"/>
      <c r="AI192" s="797">
        <f t="shared" si="11"/>
        <v>110383.82666666666</v>
      </c>
      <c r="AK192" s="795">
        <f t="shared" si="15"/>
        <v>0</v>
      </c>
      <c r="AL192" s="795">
        <f t="shared" si="15"/>
        <v>0</v>
      </c>
      <c r="AM192" s="795">
        <f t="shared" si="15"/>
        <v>125147.5</v>
      </c>
      <c r="AN192" s="278">
        <f t="shared" si="12"/>
        <v>14763.67333333334</v>
      </c>
    </row>
    <row r="193" spans="1:40">
      <c r="A193" s="198">
        <v>2231</v>
      </c>
      <c r="B193" s="2">
        <v>103284</v>
      </c>
      <c r="C193" s="2" t="s">
        <v>409</v>
      </c>
      <c r="D193" s="2" t="s">
        <v>410</v>
      </c>
      <c r="E193" s="190" t="s">
        <v>39</v>
      </c>
      <c r="F193" s="211" t="str">
        <f>VLOOKUP(A193,'Summary June 2026'!A:F,6,FALSE)</f>
        <v>Academy</v>
      </c>
      <c r="G193" s="33"/>
      <c r="H193" s="790">
        <v>0</v>
      </c>
      <c r="I193" s="790">
        <v>0</v>
      </c>
      <c r="J193" s="790">
        <v>0</v>
      </c>
      <c r="L193" s="791">
        <v>0</v>
      </c>
      <c r="M193" s="791">
        <v>0</v>
      </c>
      <c r="O193" s="875"/>
      <c r="P193" s="875">
        <v>0</v>
      </c>
      <c r="Q193" s="877">
        <v>0</v>
      </c>
      <c r="AI193" s="797">
        <f t="shared" si="11"/>
        <v>0</v>
      </c>
      <c r="AK193" s="795">
        <f t="shared" si="15"/>
        <v>0</v>
      </c>
      <c r="AL193" s="795">
        <f t="shared" si="15"/>
        <v>0</v>
      </c>
      <c r="AM193" s="795">
        <f t="shared" si="15"/>
        <v>0</v>
      </c>
      <c r="AN193" s="278">
        <f t="shared" si="12"/>
        <v>0</v>
      </c>
    </row>
    <row r="194" spans="1:40">
      <c r="A194" s="198"/>
      <c r="B194" s="2"/>
      <c r="C194" s="2"/>
      <c r="D194" s="2"/>
      <c r="E194" s="190"/>
      <c r="F194" s="211"/>
      <c r="G194" s="33"/>
    </row>
    <row r="195" spans="1:40">
      <c r="A195" s="198"/>
      <c r="B195" s="2"/>
      <c r="C195" s="2"/>
      <c r="D195" s="4"/>
      <c r="E195" s="190"/>
      <c r="F195" s="794"/>
      <c r="G195" s="33"/>
      <c r="H195" s="871">
        <f>SUM(H8:H194)</f>
        <v>29381666.68</v>
      </c>
      <c r="I195" s="871">
        <f t="shared" ref="I195" si="16">SUM(I8:I194)</f>
        <v>3470000</v>
      </c>
      <c r="J195" s="871">
        <f>SUM(J8:J194)</f>
        <v>65245310.859999985</v>
      </c>
      <c r="K195" s="872"/>
      <c r="L195" s="873">
        <f>SUM(L8:L194)</f>
        <v>1614000</v>
      </c>
      <c r="M195" s="873">
        <f>SUM(M8:M194)</f>
        <v>4275786.49</v>
      </c>
      <c r="O195" s="396">
        <f>SUM(O8:O194)</f>
        <v>-789269.72083333344</v>
      </c>
      <c r="P195" s="396">
        <f t="shared" ref="P195:AK195" si="17">SUM(P8:P194)</f>
        <v>-116154.325</v>
      </c>
      <c r="Q195" s="878">
        <f t="shared" si="17"/>
        <v>-16000</v>
      </c>
      <c r="R195" s="891">
        <f t="shared" si="17"/>
        <v>56107</v>
      </c>
      <c r="S195" s="878">
        <f t="shared" si="17"/>
        <v>31645</v>
      </c>
      <c r="T195" s="878">
        <f t="shared" si="17"/>
        <v>-22590.720000000001</v>
      </c>
      <c r="U195" s="396">
        <f t="shared" si="17"/>
        <v>0</v>
      </c>
      <c r="V195" s="396">
        <f t="shared" si="17"/>
        <v>0</v>
      </c>
      <c r="W195" s="396">
        <f t="shared" si="17"/>
        <v>0</v>
      </c>
      <c r="X195" s="396">
        <f t="shared" si="17"/>
        <v>0</v>
      </c>
      <c r="Y195" s="396">
        <f t="shared" si="17"/>
        <v>0</v>
      </c>
      <c r="Z195" s="396">
        <f t="shared" si="17"/>
        <v>0</v>
      </c>
      <c r="AA195" s="396">
        <f t="shared" ref="AA195" si="18">SUM(AA8:AA194)</f>
        <v>0</v>
      </c>
      <c r="AB195" s="396">
        <f t="shared" ref="AB195" si="19">SUM(AB8:AB194)</f>
        <v>0</v>
      </c>
      <c r="AC195" s="396">
        <f t="shared" ref="AC195" si="20">SUM(AC8:AC194)</f>
        <v>0</v>
      </c>
      <c r="AD195" s="396">
        <f t="shared" ref="AD195" si="21">SUM(AD8:AD194)</f>
        <v>0</v>
      </c>
      <c r="AE195" s="396">
        <f t="shared" ref="AE195" si="22">SUM(AE8:AE194)</f>
        <v>0</v>
      </c>
      <c r="AF195" s="396">
        <f t="shared" ref="AF195" si="23">SUM(AF8:AF194)</f>
        <v>0</v>
      </c>
      <c r="AG195" s="396">
        <f t="shared" ref="AG195" si="24">SUM(AG8:AG194)</f>
        <v>0</v>
      </c>
      <c r="AI195" s="797">
        <f t="shared" si="17"/>
        <v>103130501.26416668</v>
      </c>
      <c r="AK195" s="396">
        <f t="shared" si="17"/>
        <v>31011311.68</v>
      </c>
      <c r="AL195" s="396">
        <f t="shared" ref="AL195" si="25">SUM(AL8:AL194)</f>
        <v>3470000</v>
      </c>
      <c r="AM195" s="396">
        <f t="shared" ref="AM195" si="26">SUM(AM8:AM194)</f>
        <v>69554613.62999998</v>
      </c>
    </row>
  </sheetData>
  <sheetProtection algorithmName="SHA-512" hashValue="LWBnVJdOLsmQvN7jw41Ps98x+z+3FdKdpwYUXlLjiUPevFO5OYWjG2JVdZmwsVUm52oabuD2OS5AUX1o6sZSRw==" saltValue="u/ZEOnsnYJhA2q1V14RD2A==" spinCount="100000" sheet="1" autoFilter="0"/>
  <autoFilter ref="A7:G195" xr:uid="{775EBADC-163A-4CDE-AAE2-A1EE7C263F73}"/>
  <phoneticPr fontId="94" type="noConversion"/>
  <conditionalFormatting sqref="A7:F7 H7:J7 L7:M7 A8:E8 E9:E195">
    <cfRule type="cellIs" dxfId="7" priority="2" operator="lessThan">
      <formula>0</formula>
    </cfRule>
  </conditionalFormatting>
  <conditionalFormatting sqref="AI7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8E088D61435D429F53A8D9D38B3C75" ma:contentTypeVersion="16" ma:contentTypeDescription="Create a new document." ma:contentTypeScope="" ma:versionID="d051f25b37c5f98882f7a49a1b763792">
  <xsd:schema xmlns:xsd="http://www.w3.org/2001/XMLSchema" xmlns:xs="http://www.w3.org/2001/XMLSchema" xmlns:p="http://schemas.microsoft.com/office/2006/metadata/properties" xmlns:ns2="1ce9011b-86f1-4b85-8468-bde8c49fc6b6" xmlns:ns3="db86872e-852c-4ba3-99d1-10e4e0767240" targetNamespace="http://schemas.microsoft.com/office/2006/metadata/properties" ma:root="true" ma:fieldsID="da688b352a2041fa20d9e68dc7297162" ns2:_="" ns3:_="">
    <xsd:import namespace="1ce9011b-86f1-4b85-8468-bde8c49fc6b6"/>
    <xsd:import namespace="db86872e-852c-4ba3-99d1-10e4e076724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e9011b-86f1-4b85-8468-bde8c49fc6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f7eb6393-bae5-439c-9df7-ed1047f922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86872e-852c-4ba3-99d1-10e4e076724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d70b6b83-76f1-4f83-84ac-1b0750170f81}" ma:internalName="TaxCatchAll" ma:showField="CatchAllData" ma:web="db86872e-852c-4ba3-99d1-10e4e07672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e9011b-86f1-4b85-8468-bde8c49fc6b6">
      <Terms xmlns="http://schemas.microsoft.com/office/infopath/2007/PartnerControls"/>
    </lcf76f155ced4ddcb4097134ff3c332f>
    <TaxCatchAll xmlns="db86872e-852c-4ba3-99d1-10e4e076724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C4A34B7-1780-46CB-ACBE-5026187623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e9011b-86f1-4b85-8468-bde8c49fc6b6"/>
    <ds:schemaRef ds:uri="db86872e-852c-4ba3-99d1-10e4e07672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0A208F7-8C11-4951-BB85-466BA6BD88E0}">
  <ds:schemaRefs>
    <ds:schemaRef ds:uri="http://schemas.microsoft.com/office/2006/metadata/properties"/>
    <ds:schemaRef ds:uri="http://schemas.microsoft.com/office/infopath/2007/PartnerControls"/>
    <ds:schemaRef ds:uri="1ce9011b-86f1-4b85-8468-bde8c49fc6b6"/>
    <ds:schemaRef ds:uri="db86872e-852c-4ba3-99d1-10e4e0767240"/>
  </ds:schemaRefs>
</ds:datastoreItem>
</file>

<file path=customXml/itemProps3.xml><?xml version="1.0" encoding="utf-8"?>
<ds:datastoreItem xmlns:ds="http://schemas.openxmlformats.org/officeDocument/2006/customXml" ds:itemID="{A0CEB0B6-1A5E-45F2-A605-B2C0D3E4F31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CONTROL CFR</vt:lpstr>
      <vt:lpstr>1. Calculator</vt:lpstr>
      <vt:lpstr>2. Cash Flow Statement</vt:lpstr>
      <vt:lpstr>3. Monitoring</vt:lpstr>
      <vt:lpstr>PIVOT Summary May 2026</vt:lpstr>
      <vt:lpstr>Summary June 2026</vt:lpstr>
      <vt:lpstr>Grants+ Other Funding</vt:lpstr>
      <vt:lpstr>Cash Advances</vt:lpstr>
      <vt:lpstr>HN</vt:lpstr>
      <vt:lpstr>EY</vt:lpstr>
      <vt:lpstr>Post 16</vt:lpstr>
      <vt:lpstr>ISB</vt:lpstr>
      <vt:lpstr>LA Deductions</vt:lpstr>
      <vt:lpstr>Lookup</vt:lpstr>
      <vt:lpstr>'1. Calculator'!Print_Area</vt:lpstr>
      <vt:lpstr>'2. Cash Flow Statement'!Print_Area</vt:lpstr>
    </vt:vector>
  </TitlesOfParts>
  <Manager/>
  <Company>London Borough of Redbridge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Cash Sheets Oct 2025 Maintained</dc:title>
  <dc:subject/>
  <dc:creator>Melissa Williamson</dc:creator>
  <cp:keywords/>
  <dc:description/>
  <cp:lastModifiedBy>Christopher Deacon</cp:lastModifiedBy>
  <cp:revision/>
  <dcterms:created xsi:type="dcterms:W3CDTF">2017-03-31T08:18:11Z</dcterms:created>
  <dcterms:modified xsi:type="dcterms:W3CDTF">2026-06-02T08:15:52Z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96 96 1920 1080</vt:lpwstr>
  </property>
  <property fmtid="{D5CDD505-2E9C-101B-9397-08002B2CF9AE}" pid="3" name="ContentTypeId">
    <vt:lpwstr>0x010100718E088D61435D429F53A8D9D38B3C75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17471b1-27ab-4640-9264-e69a67407ca3_Enabled">
    <vt:lpwstr>true</vt:lpwstr>
  </property>
  <property fmtid="{D5CDD505-2E9C-101B-9397-08002B2CF9AE}" pid="7" name="MSIP_Label_a17471b1-27ab-4640-9264-e69a67407ca3_SetDate">
    <vt:lpwstr>2024-05-24T10:54:52Z</vt:lpwstr>
  </property>
  <property fmtid="{D5CDD505-2E9C-101B-9397-08002B2CF9AE}" pid="8" name="MSIP_Label_a17471b1-27ab-4640-9264-e69a67407ca3_Method">
    <vt:lpwstr>Standard</vt:lpwstr>
  </property>
  <property fmtid="{D5CDD505-2E9C-101B-9397-08002B2CF9AE}" pid="9" name="MSIP_Label_a17471b1-27ab-4640-9264-e69a67407ca3_Name">
    <vt:lpwstr>BCC - OFFICIAL</vt:lpwstr>
  </property>
  <property fmtid="{D5CDD505-2E9C-101B-9397-08002B2CF9AE}" pid="10" name="MSIP_Label_a17471b1-27ab-4640-9264-e69a67407ca3_SiteId">
    <vt:lpwstr>699ace67-d2e4-4bcd-b303-d2bbe2b9bbf1</vt:lpwstr>
  </property>
  <property fmtid="{D5CDD505-2E9C-101B-9397-08002B2CF9AE}" pid="11" name="MSIP_Label_a17471b1-27ab-4640-9264-e69a67407ca3_ActionId">
    <vt:lpwstr>d69e5e4a-f524-4583-8dd9-b967dc4ea78d</vt:lpwstr>
  </property>
  <property fmtid="{D5CDD505-2E9C-101B-9397-08002B2CF9AE}" pid="12" name="MSIP_Label_a17471b1-27ab-4640-9264-e69a67407ca3_ContentBits">
    <vt:lpwstr>2</vt:lpwstr>
  </property>
  <property fmtid="{D5CDD505-2E9C-101B-9397-08002B2CF9AE}" pid="13" name="MediaServiceImageTags">
    <vt:lpwstr/>
  </property>
  <property fmtid="{D5CDD505-2E9C-101B-9397-08002B2CF9AE}" pid="14" name="CloudStatistics_StoryID">
    <vt:lpwstr>8937c4ff-8663-4f87-b16d-fd6adba17b81</vt:lpwstr>
  </property>
</Properties>
</file>